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8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9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0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21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956707-1175-4ECB-91A3-7D9FC526708F}" xr6:coauthVersionLast="47" xr6:coauthVersionMax="47" xr10:uidLastSave="{00000000-0000-0000-0000-000000000000}"/>
  <bookViews>
    <workbookView xWindow="11424" yWindow="0" windowWidth="11712" windowHeight="12336" firstSheet="1" activeTab="2" xr2:uid="{93485949-7408-4FA5-98A4-9B6CADC2995D}"/>
  </bookViews>
  <sheets>
    <sheet name="Cuadro de cargas" sheetId="56" r:id="rId1"/>
    <sheet name="Datos2" sheetId="1" r:id="rId2"/>
    <sheet name="Cálculos" sheetId="2" r:id="rId3"/>
    <sheet name="Área" sheetId="43" r:id="rId4"/>
    <sheet name="SIGO GoodWe" sheetId="52" r:id="rId5"/>
    <sheet name="Capex GoodWe" sheetId="57" r:id="rId6"/>
    <sheet name="Ejecución" sheetId="59" r:id="rId7"/>
    <sheet name="Cronograma" sheetId="62" r:id="rId8"/>
    <sheet name="Instalación" sheetId="54" r:id="rId9"/>
    <sheet name="Prestamo 5 años" sheetId="30" r:id="rId10"/>
    <sheet name="Prestamo 10 años" sheetId="31" r:id="rId11"/>
    <sheet name="Simulacion prestamo" sheetId="22" state="hidden" r:id="rId12"/>
    <sheet name="Prestamo 15 años" sheetId="32" r:id="rId13"/>
    <sheet name="Comparativo" sheetId="20" r:id="rId14"/>
    <sheet name="Producción" sheetId="4" r:id="rId15"/>
    <sheet name="Liquidación" sheetId="21" r:id="rId16"/>
    <sheet name="Curva diaria" sheetId="47" r:id="rId17"/>
    <sheet name="Gráfico1" sheetId="19" r:id="rId18"/>
    <sheet name="Tarifas" sheetId="10" r:id="rId19"/>
    <sheet name="Capital propio" sheetId="13" r:id="rId20"/>
    <sheet name="Análisis cliente final CP" sheetId="7" r:id="rId21"/>
    <sheet name="Análisis cliente financiamiento" sheetId="46" r:id="rId22"/>
    <sheet name="Análisis cliente final MP" sheetId="23" state="hidden" r:id="rId23"/>
    <sheet name="Análisis cliente final LP" sheetId="26" state="hidden" r:id="rId24"/>
    <sheet name="Anál inv cap propio" sheetId="45" r:id="rId25"/>
    <sheet name="Anál inv CP" sheetId="27" r:id="rId26"/>
    <sheet name="Análisis ESP CP" sheetId="8" state="hidden" r:id="rId27"/>
    <sheet name="Análisis ESP MP" sheetId="24" state="hidden" r:id="rId28"/>
    <sheet name="Análisis ESP LP" sheetId="25" state="hidden" r:id="rId29"/>
    <sheet name="Anál arrend finan MP" sheetId="33" state="hidden" r:id="rId30"/>
    <sheet name="Anál arrend finan LP" sheetId="34" state="hidden" r:id="rId31"/>
    <sheet name="EEFF" sheetId="11" r:id="rId32"/>
    <sheet name="A O&amp;M" sheetId="44" r:id="rId33"/>
    <sheet name="Resumen" sheetId="14" r:id="rId34"/>
    <sheet name="Listado de materiales" sheetId="18" r:id="rId35"/>
    <sheet name="Basado en Area disponible" sheetId="3" state="hidden" r:id="rId36"/>
  </sheets>
  <definedNames>
    <definedName name="_xlnm._FilterDatabase" localSheetId="5" hidden="1">'Capex GoodWe'!$A$8:$Z$153</definedName>
    <definedName name="_xlnm._FilterDatabase" localSheetId="0" hidden="1">'Cuadro de cargas'!$A$1:$L$23</definedName>
    <definedName name="AmortizaciónInterés" localSheetId="10">-IPMT('Prestamo 10 años'!TasaInterés/12,'Prestamo 10 años'!NúmeroDePago,'Prestamo 10 años'!NúmeroDePagos,'Prestamo 10 años'!CantidadPréstamo)</definedName>
    <definedName name="AmortizaciónInterés" localSheetId="12">-IPMT('Prestamo 15 años'!TasaInterés/12,'Prestamo 15 años'!NúmeroDePago,'Prestamo 15 años'!NúmeroDePagos,'Prestamo 15 años'!CantidadPréstamo)</definedName>
    <definedName name="AmortizaciónInterés">-IPMT(TasaInterés/12,NúmeroDePago,NúmeroDePagos,CantidadPréstamo)</definedName>
    <definedName name="AñosPréstamo" localSheetId="10">'Prestamo 10 años'!$D$6</definedName>
    <definedName name="AñosPréstamo" localSheetId="12">'Prestamo 15 años'!$D$6</definedName>
    <definedName name="AñosPréstamo">'Prestamo 5 años'!$D$6</definedName>
    <definedName name="ÁreaImpresión_ESTABLECIDA" localSheetId="10">OFFSET('Prestamo 10 años'!$B$1,,,'Prestamo 10 años'!ÚltimaFila,'Prestamo 10 años'!ÚltimaColumna)</definedName>
    <definedName name="ÁreaImpresión_ESTABLECIDA" localSheetId="12">OFFSET('Prestamo 15 años'!$B$1,,,'Prestamo 15 años'!ÚltimaFila,'Prestamo 15 años'!ÚltimaColumna)</definedName>
    <definedName name="ÁreaImpresión_ESTABLECIDA">OFFSET('Prestamo 5 años'!$B$1,,,ÚltimaFila,ÚltimaColumna)</definedName>
    <definedName name="CantidadPréstamo" localSheetId="10">'Prestamo 10 años'!$D$4</definedName>
    <definedName name="CantidadPréstamo" localSheetId="12">'Prestamo 15 años'!$D$4</definedName>
    <definedName name="CantidadPréstamo">'Prestamo 5 años'!$D$4</definedName>
    <definedName name="Capital" localSheetId="10">-PPMT('Prestamo 10 años'!TasaInterés/12,'Prestamo 10 años'!NúmeroDePago,'Prestamo 10 años'!NúmeroDePagos,'Prestamo 10 años'!CantidadPréstamo)</definedName>
    <definedName name="Capital" localSheetId="12">-PPMT('Prestamo 15 años'!TasaInterés/12,'Prestamo 15 años'!NúmeroDePago,'Prestamo 15 años'!NúmeroDePagos,'Prestamo 15 años'!CantidadPréstamo)</definedName>
    <definedName name="Capital">-PPMT(TasaInterés/12,NúmeroDePago,NúmeroDePagos,CantidadPréstamo)</definedName>
    <definedName name="CosteTotalPréstamo" localSheetId="10">'Prestamo 10 años'!$H$7</definedName>
    <definedName name="CosteTotalPréstamo" localSheetId="12">'Prestamo 15 años'!$H$7</definedName>
    <definedName name="CosteTotalPréstamo">'Prestamo 5 años'!$H$7</definedName>
    <definedName name="FechaDePago" localSheetId="10">DATE(YEAR('Prestamo 10 años'!FechaInicioPréstamo),MONTH('Prestamo 10 años'!FechaInicioPréstamo)+'Prestamo 10 años'!NúmeroDePago,DAY('Prestamo 10 años'!FechaInicioPréstamo))</definedName>
    <definedName name="FechaDePago" localSheetId="12">DATE(YEAR('Prestamo 15 años'!FechaInicioPréstamo),MONTH('Prestamo 15 años'!FechaInicioPréstamo)+'Prestamo 15 años'!NúmeroDePago,DAY('Prestamo 15 años'!FechaInicioPréstamo))</definedName>
    <definedName name="FechaDePago">DATE(YEAR(FechaInicioPréstamo),MONTH(FechaInicioPréstamo)+NúmeroDePago,DAY(FechaInicioPréstamo))</definedName>
    <definedName name="FechaInicioPréstamo" localSheetId="10">'Prestamo 10 años'!$D$7</definedName>
    <definedName name="FechaInicioPréstamo" localSheetId="12">'Prestamo 15 años'!$D$7</definedName>
    <definedName name="FechaInicioPréstamo">'Prestamo 5 años'!$D$7</definedName>
    <definedName name="FilaEncabezados" localSheetId="10">ROW('Prestamo 10 años'!$9:$9)</definedName>
    <definedName name="FilaEncabezados" localSheetId="12">ROW('Prestamo 15 años'!$9:$9)</definedName>
    <definedName name="FilaEncabezados">ROW('Prestamo 5 años'!$9:$9)</definedName>
    <definedName name="Intereses_Total" localSheetId="10">'Prestamo 10 años'!$H$6</definedName>
    <definedName name="Intereses_Total" localSheetId="12">'Prestamo 15 años'!$H$6</definedName>
    <definedName name="Intereses_Total">'Prestamo 5 años'!$H$6</definedName>
    <definedName name="NúmeroDePago" localSheetId="10">ROW()-'Prestamo 10 años'!FilaEncabezados</definedName>
    <definedName name="NúmeroDePago" localSheetId="12">ROW()-'Prestamo 15 años'!FilaEncabezados</definedName>
    <definedName name="NúmeroDePago">ROW()-FilaEncabezados</definedName>
    <definedName name="NúmeroDePagos" localSheetId="10">'Prestamo 10 años'!$H$5</definedName>
    <definedName name="NúmeroDePagos" localSheetId="12">'Prestamo 15 años'!$H$5</definedName>
    <definedName name="NúmeroDePagos">'Prestamo 5 años'!$H$5</definedName>
    <definedName name="PagoMensual" localSheetId="10">-PMT('Prestamo 10 años'!TasaInterés/12,'Prestamo 10 años'!NúmeroDePagos,'Prestamo 10 años'!CantidadPréstamo)</definedName>
    <definedName name="PagoMensual" localSheetId="12">-PMT('Prestamo 15 años'!TasaInterés/12,'Prestamo 15 años'!NúmeroDePagos,'Prestamo 15 años'!CantidadPréstamo)</definedName>
    <definedName name="PagoMensual">-PMT(TasaInterés/12,NúmeroDePagos,CantidadPréstamo)</definedName>
    <definedName name="PréstamoNoPagado" localSheetId="10">IF('Prestamo 10 años'!NúmeroDePago&lt;='Prestamo 10 años'!NúmeroDePagos,1,0)</definedName>
    <definedName name="PréstamoNoPagado" localSheetId="12">IF('Prestamo 15 años'!NúmeroDePago&lt;='Prestamo 15 años'!NúmeroDePagos,1,0)</definedName>
    <definedName name="PréstamoNoPagado">IF(NúmeroDePago&lt;=NúmeroDePagos,1,0)</definedName>
    <definedName name="PréstamoPagado" localSheetId="10">IF('Prestamo 10 años'!CantidadPréstamo*'Prestamo 10 años'!TasaInterés*'Prestamo 10 años'!AñosPréstamo*'Prestamo 10 años'!FechaInicioPréstamo&gt;0,1,0)</definedName>
    <definedName name="PréstamoPagado" localSheetId="12">IF('Prestamo 15 años'!CantidadPréstamo*'Prestamo 15 años'!TasaInterés*'Prestamo 15 años'!AñosPréstamo*'Prestamo 15 años'!FechaInicioPréstamo&gt;0,1,0)</definedName>
    <definedName name="PréstamoPagado">IF(CantidadPréstamo*TasaInterés*AñosPréstamo*FechaInicioPréstamo&gt;0,1,0)</definedName>
    <definedName name="SaldoFinal" localSheetId="10">-FV('Prestamo 10 años'!TasaInterés/12,'Prestamo 10 años'!NúmeroDePago,-'Prestamo 10 años'!PagoMensual,'Prestamo 10 años'!CantidadPréstamo)</definedName>
    <definedName name="SaldoFinal" localSheetId="12">-FV('Prestamo 15 años'!TasaInterés/12,'Prestamo 15 años'!NúmeroDePago,-'Prestamo 15 años'!PagoMensual,'Prestamo 15 años'!CantidadPréstamo)</definedName>
    <definedName name="SaldoFinal">-FV(TasaInterés/12,NúmeroDePago,-PagoMensual,CantidadPréstamo)</definedName>
    <definedName name="TasaInterés" localSheetId="10">'Prestamo 10 años'!$D$5</definedName>
    <definedName name="TasaInterés" localSheetId="12">'Prestamo 15 años'!$D$5</definedName>
    <definedName name="TasaInterés">'Prestamo 5 años'!$D$5</definedName>
    <definedName name="TítuloDeColumna1" localSheetId="30">Préstamo[[#Headers],[N.° de pago]]</definedName>
    <definedName name="TítuloDeColumna1" localSheetId="29">Préstamo[[#Headers],[N.° de pago]]</definedName>
    <definedName name="TítuloDeColumna1" localSheetId="24">Préstamo[[#Headers],[N.° de pago]]</definedName>
    <definedName name="TítuloDeColumna1" localSheetId="21">Préstamo[[#Headers],[N.° de pago]]</definedName>
    <definedName name="TítuloDeColumna1" localSheetId="5">Préstamo[[#Headers],[N.° de pago]]</definedName>
    <definedName name="TítuloDeColumna1" localSheetId="10">Préstamo[[#Headers],[N.° de pago]]</definedName>
    <definedName name="TítuloDeColumna1" localSheetId="12">Préstamo[[#Headers],[N.° de pago]]</definedName>
    <definedName name="TítuloDeColumna1">Préstamo[[#Headers],[N.° de pago]]</definedName>
    <definedName name="TítuloDeFilaRegión2..H6" localSheetId="10">'Prestamo 10 años'!$F$4</definedName>
    <definedName name="TítuloDeFilaRegión2..H6" localSheetId="12">'Prestamo 15 años'!$F$4</definedName>
    <definedName name="TítuloDeFilaRegión2..H6">'Prestamo 5 años'!$F$4</definedName>
    <definedName name="TítuloFilaRegión1..D6" localSheetId="10">'Prestamo 10 años'!$B$4</definedName>
    <definedName name="TítuloFilaRegión1..D6" localSheetId="12">'Prestamo 15 años'!$B$4</definedName>
    <definedName name="TítuloFilaRegión1..D6">'Prestamo 5 años'!$B$4</definedName>
    <definedName name="_xlnm.Print_Titles" localSheetId="10">'Prestamo 10 años'!$9:$9</definedName>
    <definedName name="_xlnm.Print_Titles" localSheetId="12">'Prestamo 15 años'!$9:$9</definedName>
    <definedName name="_xlnm.Print_Titles" localSheetId="9">'Prestamo 5 años'!$9:$9</definedName>
    <definedName name="ÚltimaColumna" localSheetId="10">COUNTA('Prestamo 10 años'!$9:$9)</definedName>
    <definedName name="ÚltimaColumna" localSheetId="12">COUNTA('Prestamo 15 años'!$9:$9)</definedName>
    <definedName name="ÚltimaColumna">COUNTA('Prestamo 5 años'!$9:$9)</definedName>
    <definedName name="ÚltimaFila" localSheetId="10">MATCH(9.99E+307,'Prestamo 10 años'!$B:$B)</definedName>
    <definedName name="ÚltimaFila" localSheetId="12">MATCH(9.99E+307,'Prestamo 15 años'!$B:$B)</definedName>
    <definedName name="ÚltimaFila">MATCH(9.99E+307,'Prestamo 5 años'!$B:$B)</definedName>
    <definedName name="ValorPréstamo" localSheetId="10">-FV('Prestamo 10 años'!TasaInterés/12,'Prestamo 10 años'!NúmeroDePago-1,-'Prestamo 10 años'!PagoMensual,'Prestamo 10 años'!CantidadPréstamo)</definedName>
    <definedName name="ValorPréstamo" localSheetId="12">-FV('Prestamo 15 años'!TasaInterés/12,'Prestamo 15 años'!NúmeroDePago-1,-'Prestamo 15 años'!PagoMensual,'Prestamo 15 años'!CantidadPréstamo)</definedName>
    <definedName name="ValorPréstamo">-FV(TasaInterés/12,NúmeroDePago-1,-PagoMensual,CantidadPréstamo)</definedName>
  </definedNames>
  <calcPr calcId="191028"/>
  <pivotCaches>
    <pivotCache cacheId="0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B21" i="1"/>
  <c r="B4" i="1"/>
  <c r="B18" i="1"/>
  <c r="G11" i="52"/>
  <c r="G10" i="52"/>
  <c r="G9" i="52"/>
  <c r="I20" i="52"/>
  <c r="I21" i="52"/>
  <c r="I22" i="52"/>
  <c r="I19" i="52"/>
  <c r="H20" i="52"/>
  <c r="H21" i="52"/>
  <c r="H22" i="52"/>
  <c r="H19" i="52"/>
  <c r="D12" i="52"/>
  <c r="F13" i="14"/>
  <c r="G13" i="14"/>
  <c r="H13" i="14"/>
  <c r="I13" i="14"/>
  <c r="J13" i="14"/>
  <c r="K13" i="14"/>
  <c r="L13" i="14"/>
  <c r="M13" i="14"/>
  <c r="N13" i="14"/>
  <c r="O13" i="14"/>
  <c r="P13" i="14"/>
  <c r="Q13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E15" i="14"/>
  <c r="E13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E12" i="14"/>
  <c r="CL31" i="46"/>
  <c r="CM31" i="46"/>
  <c r="CN31" i="46"/>
  <c r="CO31" i="46"/>
  <c r="CP31" i="46"/>
  <c r="CQ31" i="46"/>
  <c r="CR31" i="46"/>
  <c r="CS31" i="46"/>
  <c r="CT31" i="46"/>
  <c r="CU31" i="46"/>
  <c r="CV31" i="46"/>
  <c r="CW31" i="46"/>
  <c r="CX31" i="46"/>
  <c r="CY31" i="46"/>
  <c r="CZ31" i="46"/>
  <c r="DA31" i="46"/>
  <c r="DB31" i="46"/>
  <c r="DC31" i="46"/>
  <c r="DD31" i="46"/>
  <c r="DE31" i="46"/>
  <c r="DF31" i="46"/>
  <c r="DG31" i="46"/>
  <c r="DH31" i="46"/>
  <c r="DI31" i="46"/>
  <c r="DJ31" i="46"/>
  <c r="DK31" i="46"/>
  <c r="DL31" i="46"/>
  <c r="DM31" i="46"/>
  <c r="DN31" i="46"/>
  <c r="DO31" i="46"/>
  <c r="DP31" i="46"/>
  <c r="DQ31" i="46"/>
  <c r="DR31" i="46"/>
  <c r="DS31" i="46"/>
  <c r="DT31" i="46"/>
  <c r="DU31" i="46"/>
  <c r="DV31" i="46"/>
  <c r="DW31" i="46"/>
  <c r="DX31" i="46"/>
  <c r="DY31" i="46"/>
  <c r="DZ31" i="46"/>
  <c r="EA31" i="46"/>
  <c r="EB31" i="46"/>
  <c r="EC31" i="46"/>
  <c r="ED31" i="46"/>
  <c r="EE31" i="46"/>
  <c r="EF31" i="46"/>
  <c r="EG31" i="46"/>
  <c r="EH31" i="46"/>
  <c r="EI31" i="46"/>
  <c r="EJ31" i="46"/>
  <c r="EK31" i="46"/>
  <c r="EL31" i="46"/>
  <c r="EM31" i="46"/>
  <c r="EN31" i="46"/>
  <c r="EO31" i="46"/>
  <c r="EP31" i="46"/>
  <c r="EQ31" i="46"/>
  <c r="ER31" i="46"/>
  <c r="ES31" i="46"/>
  <c r="ET31" i="46"/>
  <c r="EU31" i="46"/>
  <c r="EV31" i="46"/>
  <c r="EW31" i="46"/>
  <c r="EX31" i="46"/>
  <c r="EY31" i="46"/>
  <c r="EZ31" i="46"/>
  <c r="FA31" i="46"/>
  <c r="FB31" i="46"/>
  <c r="FC31" i="46"/>
  <c r="FD31" i="46"/>
  <c r="FE31" i="46"/>
  <c r="FF31" i="46"/>
  <c r="FG31" i="46"/>
  <c r="FH31" i="46"/>
  <c r="FI31" i="46"/>
  <c r="FJ31" i="46"/>
  <c r="FK31" i="46"/>
  <c r="FL31" i="46"/>
  <c r="FM31" i="46"/>
  <c r="FN31" i="46"/>
  <c r="FO31" i="46"/>
  <c r="FP31" i="46"/>
  <c r="FQ31" i="46"/>
  <c r="FR31" i="46"/>
  <c r="FS31" i="46"/>
  <c r="FT31" i="46"/>
  <c r="FU31" i="46"/>
  <c r="FV31" i="46"/>
  <c r="FW31" i="46"/>
  <c r="FX31" i="46"/>
  <c r="FY31" i="46"/>
  <c r="FZ31" i="46"/>
  <c r="GA31" i="46"/>
  <c r="GB31" i="46"/>
  <c r="GC31" i="46"/>
  <c r="GD31" i="46"/>
  <c r="GE31" i="46"/>
  <c r="GF31" i="46"/>
  <c r="GG31" i="46"/>
  <c r="GH31" i="46"/>
  <c r="GI31" i="46"/>
  <c r="GJ31" i="46"/>
  <c r="GK31" i="46"/>
  <c r="GL31" i="46"/>
  <c r="GM31" i="46"/>
  <c r="GN31" i="46"/>
  <c r="GO31" i="46"/>
  <c r="GP31" i="46"/>
  <c r="GQ31" i="46"/>
  <c r="GR31" i="46"/>
  <c r="GS31" i="46"/>
  <c r="GT31" i="46"/>
  <c r="GU31" i="46"/>
  <c r="GV31" i="46"/>
  <c r="GW31" i="46"/>
  <c r="GX31" i="46"/>
  <c r="GY31" i="46"/>
  <c r="GZ31" i="46"/>
  <c r="HA31" i="46"/>
  <c r="HB31" i="46"/>
  <c r="HC31" i="46"/>
  <c r="HD31" i="46"/>
  <c r="HE31" i="46"/>
  <c r="HF31" i="46"/>
  <c r="HG31" i="46"/>
  <c r="HH31" i="46"/>
  <c r="HI31" i="46"/>
  <c r="HJ31" i="46"/>
  <c r="HK31" i="46"/>
  <c r="HL31" i="46"/>
  <c r="HM31" i="46"/>
  <c r="HN31" i="46"/>
  <c r="HO31" i="46"/>
  <c r="HP31" i="46"/>
  <c r="HQ31" i="46"/>
  <c r="HR31" i="46"/>
  <c r="HS31" i="46"/>
  <c r="HT31" i="46"/>
  <c r="HU31" i="46"/>
  <c r="HV31" i="46"/>
  <c r="HW31" i="46"/>
  <c r="HX31" i="46"/>
  <c r="HY31" i="46"/>
  <c r="HZ31" i="46"/>
  <c r="IA31" i="46"/>
  <c r="IB31" i="46"/>
  <c r="IC31" i="46"/>
  <c r="ID31" i="46"/>
  <c r="IE31" i="46"/>
  <c r="IF31" i="46"/>
  <c r="IG31" i="46"/>
  <c r="IH31" i="46"/>
  <c r="II31" i="46"/>
  <c r="IJ31" i="46"/>
  <c r="IK31" i="46"/>
  <c r="IL31" i="46"/>
  <c r="IM31" i="46"/>
  <c r="AE32" i="46"/>
  <c r="AF32" i="46"/>
  <c r="AG32" i="46"/>
  <c r="AH32" i="46"/>
  <c r="AI32" i="46"/>
  <c r="AJ32" i="46"/>
  <c r="AK32" i="46"/>
  <c r="AL32" i="46"/>
  <c r="AM32" i="46"/>
  <c r="AN32" i="46"/>
  <c r="AO32" i="46"/>
  <c r="AP32" i="46"/>
  <c r="AQ32" i="46"/>
  <c r="AR32" i="46"/>
  <c r="AS32" i="46"/>
  <c r="AT32" i="46"/>
  <c r="AU32" i="46"/>
  <c r="AV32" i="46"/>
  <c r="AW32" i="46"/>
  <c r="AX32" i="46"/>
  <c r="AY32" i="46"/>
  <c r="AZ32" i="46"/>
  <c r="BA32" i="46"/>
  <c r="BB32" i="46"/>
  <c r="BC32" i="46"/>
  <c r="BD32" i="46"/>
  <c r="BE32" i="46"/>
  <c r="BF32" i="46"/>
  <c r="BG32" i="46"/>
  <c r="BH32" i="46"/>
  <c r="BI32" i="46"/>
  <c r="BJ32" i="46"/>
  <c r="BK32" i="46"/>
  <c r="BL32" i="46"/>
  <c r="BM32" i="46"/>
  <c r="BN32" i="46"/>
  <c r="BO32" i="46"/>
  <c r="BP32" i="46"/>
  <c r="BQ32" i="46"/>
  <c r="BR32" i="46"/>
  <c r="BS32" i="46"/>
  <c r="BT32" i="46"/>
  <c r="W46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O37" i="13"/>
  <c r="BP37" i="13"/>
  <c r="BQ37" i="13"/>
  <c r="BR37" i="13"/>
  <c r="BS37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DY37" i="13"/>
  <c r="DZ37" i="13"/>
  <c r="EA37" i="13"/>
  <c r="EB37" i="13"/>
  <c r="EC37" i="13"/>
  <c r="ED37" i="13"/>
  <c r="EE37" i="13"/>
  <c r="EF37" i="13"/>
  <c r="EG37" i="13"/>
  <c r="EH37" i="13"/>
  <c r="EI37" i="13"/>
  <c r="EJ37" i="13"/>
  <c r="EK37" i="13"/>
  <c r="EL37" i="13"/>
  <c r="EM37" i="13"/>
  <c r="EN37" i="13"/>
  <c r="EO37" i="13"/>
  <c r="EP37" i="13"/>
  <c r="EQ37" i="13"/>
  <c r="ER37" i="13"/>
  <c r="ES37" i="13"/>
  <c r="ET37" i="13"/>
  <c r="EU37" i="13"/>
  <c r="EV37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FI37" i="13"/>
  <c r="FJ37" i="13"/>
  <c r="FK37" i="13"/>
  <c r="FL37" i="13"/>
  <c r="FM37" i="13"/>
  <c r="FN37" i="13"/>
  <c r="FO37" i="13"/>
  <c r="FP37" i="13"/>
  <c r="FQ37" i="13"/>
  <c r="FR37" i="13"/>
  <c r="FS37" i="13"/>
  <c r="FT37" i="13"/>
  <c r="FU37" i="13"/>
  <c r="FV37" i="13"/>
  <c r="FW37" i="13"/>
  <c r="FX37" i="13"/>
  <c r="FY37" i="13"/>
  <c r="FZ37" i="13"/>
  <c r="GA37" i="13"/>
  <c r="GB37" i="13"/>
  <c r="GC37" i="13"/>
  <c r="GD37" i="13"/>
  <c r="GE37" i="13"/>
  <c r="GF37" i="13"/>
  <c r="GG37" i="13"/>
  <c r="GH37" i="13"/>
  <c r="GI37" i="13"/>
  <c r="GJ37" i="13"/>
  <c r="GK37" i="13"/>
  <c r="GL37" i="13"/>
  <c r="GM37" i="13"/>
  <c r="GN37" i="13"/>
  <c r="GO37" i="13"/>
  <c r="GP37" i="13"/>
  <c r="GQ37" i="13"/>
  <c r="GR37" i="13"/>
  <c r="GS37" i="13"/>
  <c r="GT37" i="13"/>
  <c r="GU37" i="13"/>
  <c r="GV37" i="13"/>
  <c r="GW37" i="13"/>
  <c r="GX37" i="13"/>
  <c r="GY37" i="13"/>
  <c r="GZ37" i="13"/>
  <c r="HA37" i="13"/>
  <c r="HB37" i="13"/>
  <c r="HC37" i="13"/>
  <c r="HD37" i="13"/>
  <c r="HE37" i="13"/>
  <c r="HF37" i="13"/>
  <c r="HG37" i="13"/>
  <c r="HH37" i="13"/>
  <c r="HI37" i="13"/>
  <c r="HJ37" i="13"/>
  <c r="HK37" i="13"/>
  <c r="HL37" i="13"/>
  <c r="HM37" i="13"/>
  <c r="HN37" i="13"/>
  <c r="HO37" i="13"/>
  <c r="HP37" i="13"/>
  <c r="HQ37" i="13"/>
  <c r="HR37" i="13"/>
  <c r="HS37" i="13"/>
  <c r="HT37" i="13"/>
  <c r="HU37" i="13"/>
  <c r="HV37" i="13"/>
  <c r="HW37" i="13"/>
  <c r="HX37" i="13"/>
  <c r="HY37" i="13"/>
  <c r="HZ37" i="13"/>
  <c r="IA37" i="13"/>
  <c r="IB37" i="13"/>
  <c r="IC37" i="13"/>
  <c r="ID37" i="13"/>
  <c r="IE37" i="13"/>
  <c r="IF37" i="13"/>
  <c r="IG37" i="13"/>
  <c r="IH37" i="13"/>
  <c r="II37" i="13"/>
  <c r="IJ37" i="13"/>
  <c r="IK37" i="13"/>
  <c r="IL37" i="13"/>
  <c r="IM37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O38" i="13"/>
  <c r="BP38" i="13"/>
  <c r="BQ38" i="13"/>
  <c r="BR38" i="13"/>
  <c r="BS38" i="13"/>
  <c r="BT38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C39" i="13"/>
  <c r="ED39" i="13"/>
  <c r="EE39" i="13"/>
  <c r="EF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HI39" i="13"/>
  <c r="HJ39" i="13"/>
  <c r="HK39" i="13"/>
  <c r="HL39" i="13"/>
  <c r="HM39" i="13"/>
  <c r="HN39" i="13"/>
  <c r="HO39" i="13"/>
  <c r="HP39" i="13"/>
  <c r="HQ39" i="13"/>
  <c r="HR39" i="13"/>
  <c r="HS39" i="13"/>
  <c r="HT39" i="13"/>
  <c r="HU39" i="13"/>
  <c r="HV39" i="13"/>
  <c r="HW39" i="13"/>
  <c r="HX39" i="13"/>
  <c r="HY39" i="13"/>
  <c r="HZ39" i="13"/>
  <c r="IA39" i="13"/>
  <c r="IB39" i="13"/>
  <c r="IC39" i="13"/>
  <c r="ID39" i="13"/>
  <c r="IE39" i="13"/>
  <c r="IF39" i="13"/>
  <c r="IG39" i="13"/>
  <c r="IH39" i="13"/>
  <c r="II39" i="13"/>
  <c r="IJ39" i="13"/>
  <c r="IK39" i="13"/>
  <c r="IL39" i="13"/>
  <c r="IM39" i="13"/>
  <c r="AD39" i="13"/>
  <c r="AD37" i="13"/>
  <c r="AF26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B20" i="4"/>
  <c r="FC20" i="4"/>
  <c r="FD20" i="4"/>
  <c r="FE20" i="4"/>
  <c r="FF20" i="4"/>
  <c r="FG20" i="4"/>
  <c r="FH20" i="4"/>
  <c r="FI20" i="4"/>
  <c r="FJ20" i="4"/>
  <c r="FK20" i="4"/>
  <c r="FL20" i="4"/>
  <c r="FM20" i="4"/>
  <c r="FN20" i="4"/>
  <c r="FO20" i="4"/>
  <c r="FP20" i="4"/>
  <c r="FQ20" i="4"/>
  <c r="FR20" i="4"/>
  <c r="FS20" i="4"/>
  <c r="FT20" i="4"/>
  <c r="FU20" i="4"/>
  <c r="FV20" i="4"/>
  <c r="FW20" i="4"/>
  <c r="FX20" i="4"/>
  <c r="FY20" i="4"/>
  <c r="FZ20" i="4"/>
  <c r="GA20" i="4"/>
  <c r="GB20" i="4"/>
  <c r="GC20" i="4"/>
  <c r="GD20" i="4"/>
  <c r="GE20" i="4"/>
  <c r="GF20" i="4"/>
  <c r="GG20" i="4"/>
  <c r="GH20" i="4"/>
  <c r="GI20" i="4"/>
  <c r="GJ20" i="4"/>
  <c r="GK20" i="4"/>
  <c r="GL20" i="4"/>
  <c r="GM20" i="4"/>
  <c r="GN20" i="4"/>
  <c r="GO20" i="4"/>
  <c r="GP20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HI20" i="4"/>
  <c r="HJ20" i="4"/>
  <c r="HK20" i="4"/>
  <c r="HL20" i="4"/>
  <c r="HM20" i="4"/>
  <c r="HN20" i="4"/>
  <c r="HO20" i="4"/>
  <c r="HP20" i="4"/>
  <c r="HQ20" i="4"/>
  <c r="HR20" i="4"/>
  <c r="HS20" i="4"/>
  <c r="HT20" i="4"/>
  <c r="HU20" i="4"/>
  <c r="HV20" i="4"/>
  <c r="HW20" i="4"/>
  <c r="HX20" i="4"/>
  <c r="HY20" i="4"/>
  <c r="HZ20" i="4"/>
  <c r="IA20" i="4"/>
  <c r="IB20" i="4"/>
  <c r="IC20" i="4"/>
  <c r="ID20" i="4"/>
  <c r="IE20" i="4"/>
  <c r="IF20" i="4"/>
  <c r="IG20" i="4"/>
  <c r="IH20" i="4"/>
  <c r="II20" i="4"/>
  <c r="IJ20" i="4"/>
  <c r="IK20" i="4"/>
  <c r="IL20" i="4"/>
  <c r="IM20" i="4"/>
  <c r="IN20" i="4"/>
  <c r="IO20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EZ21" i="4"/>
  <c r="FA21" i="4"/>
  <c r="FB21" i="4"/>
  <c r="FC21" i="4"/>
  <c r="FD21" i="4"/>
  <c r="FE21" i="4"/>
  <c r="FF21" i="4"/>
  <c r="FG21" i="4"/>
  <c r="FH21" i="4"/>
  <c r="FI21" i="4"/>
  <c r="FJ21" i="4"/>
  <c r="FK21" i="4"/>
  <c r="FL21" i="4"/>
  <c r="FM21" i="4"/>
  <c r="FN21" i="4"/>
  <c r="FO21" i="4"/>
  <c r="FP21" i="4"/>
  <c r="FQ21" i="4"/>
  <c r="FR21" i="4"/>
  <c r="FS21" i="4"/>
  <c r="FT21" i="4"/>
  <c r="FU21" i="4"/>
  <c r="FV21" i="4"/>
  <c r="FW21" i="4"/>
  <c r="FX21" i="4"/>
  <c r="FY21" i="4"/>
  <c r="FZ21" i="4"/>
  <c r="GA21" i="4"/>
  <c r="GB21" i="4"/>
  <c r="GC21" i="4"/>
  <c r="GD21" i="4"/>
  <c r="GE21" i="4"/>
  <c r="GF21" i="4"/>
  <c r="GG21" i="4"/>
  <c r="GH21" i="4"/>
  <c r="GI21" i="4"/>
  <c r="GJ21" i="4"/>
  <c r="GK21" i="4"/>
  <c r="GL21" i="4"/>
  <c r="GM21" i="4"/>
  <c r="GN21" i="4"/>
  <c r="GO21" i="4"/>
  <c r="GP21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HI21" i="4"/>
  <c r="HJ21" i="4"/>
  <c r="HK21" i="4"/>
  <c r="HL21" i="4"/>
  <c r="HM21" i="4"/>
  <c r="HN21" i="4"/>
  <c r="HO21" i="4"/>
  <c r="HP21" i="4"/>
  <c r="HQ21" i="4"/>
  <c r="HR21" i="4"/>
  <c r="HS21" i="4"/>
  <c r="HT21" i="4"/>
  <c r="HU21" i="4"/>
  <c r="HV21" i="4"/>
  <c r="HW21" i="4"/>
  <c r="HX21" i="4"/>
  <c r="HY21" i="4"/>
  <c r="HZ21" i="4"/>
  <c r="IA21" i="4"/>
  <c r="IB21" i="4"/>
  <c r="IC21" i="4"/>
  <c r="ID21" i="4"/>
  <c r="IE21" i="4"/>
  <c r="IF21" i="4"/>
  <c r="IG21" i="4"/>
  <c r="IH21" i="4"/>
  <c r="II21" i="4"/>
  <c r="IJ21" i="4"/>
  <c r="IK21" i="4"/>
  <c r="IL21" i="4"/>
  <c r="IM21" i="4"/>
  <c r="IN21" i="4"/>
  <c r="IO21" i="4"/>
  <c r="CN22" i="4"/>
  <c r="CO22" i="4"/>
  <c r="CP22" i="4"/>
  <c r="I22" i="11" s="1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R22" i="4"/>
  <c r="FS22" i="4"/>
  <c r="FT22" i="4"/>
  <c r="FU22" i="4"/>
  <c r="FV22" i="4"/>
  <c r="P22" i="11" s="1"/>
  <c r="FW22" i="4"/>
  <c r="FX22" i="4"/>
  <c r="FY22" i="4"/>
  <c r="FZ22" i="4"/>
  <c r="GA22" i="4"/>
  <c r="GB22" i="4"/>
  <c r="GC22" i="4"/>
  <c r="GD22" i="4"/>
  <c r="GE22" i="4"/>
  <c r="GF22" i="4"/>
  <c r="GG22" i="4"/>
  <c r="GH22" i="4"/>
  <c r="Q22" i="11" s="1"/>
  <c r="GI22" i="4"/>
  <c r="GJ22" i="4"/>
  <c r="GK22" i="4"/>
  <c r="GL22" i="4"/>
  <c r="GM22" i="4"/>
  <c r="GN22" i="4"/>
  <c r="GO22" i="4"/>
  <c r="GP22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S22" i="11" s="1"/>
  <c r="HG22" i="4"/>
  <c r="HH22" i="4"/>
  <c r="HI22" i="4"/>
  <c r="HJ22" i="4"/>
  <c r="HK22" i="4"/>
  <c r="HL22" i="4"/>
  <c r="HM22" i="4"/>
  <c r="HN22" i="4"/>
  <c r="HO22" i="4"/>
  <c r="HP22" i="4"/>
  <c r="HQ22" i="4"/>
  <c r="HR22" i="4"/>
  <c r="T22" i="11" s="1"/>
  <c r="HS22" i="4"/>
  <c r="HT22" i="4"/>
  <c r="HU22" i="4"/>
  <c r="HV22" i="4"/>
  <c r="HW22" i="4"/>
  <c r="HX22" i="4"/>
  <c r="HY22" i="4"/>
  <c r="HZ22" i="4"/>
  <c r="IA22" i="4"/>
  <c r="IB22" i="4"/>
  <c r="IC22" i="4"/>
  <c r="ID22" i="4"/>
  <c r="U22" i="11" s="1"/>
  <c r="IE22" i="4"/>
  <c r="IF22" i="4"/>
  <c r="IG22" i="4"/>
  <c r="IH22" i="4"/>
  <c r="II22" i="4"/>
  <c r="IJ22" i="4"/>
  <c r="IK22" i="4"/>
  <c r="IL22" i="4"/>
  <c r="IM22" i="4"/>
  <c r="IN22" i="4"/>
  <c r="IO22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GI23" i="4"/>
  <c r="GJ23" i="4"/>
  <c r="GK23" i="4"/>
  <c r="Q15" i="11" s="1"/>
  <c r="GL23" i="4"/>
  <c r="GM23" i="4"/>
  <c r="GN23" i="4"/>
  <c r="GO23" i="4"/>
  <c r="GP23" i="4"/>
  <c r="GQ23" i="4"/>
  <c r="GR23" i="4"/>
  <c r="GS23" i="4"/>
  <c r="GT23" i="4"/>
  <c r="GU23" i="4"/>
  <c r="GV23" i="4"/>
  <c r="GW23" i="4"/>
  <c r="GX23" i="4"/>
  <c r="GY23" i="4"/>
  <c r="GZ23" i="4"/>
  <c r="R15" i="11" s="1"/>
  <c r="HA23" i="4"/>
  <c r="HB23" i="4"/>
  <c r="HC23" i="4"/>
  <c r="HD23" i="4"/>
  <c r="HE23" i="4"/>
  <c r="HF23" i="4"/>
  <c r="HG23" i="4"/>
  <c r="HH23" i="4"/>
  <c r="HI23" i="4"/>
  <c r="HJ23" i="4"/>
  <c r="HK23" i="4"/>
  <c r="HL23" i="4"/>
  <c r="HM23" i="4"/>
  <c r="HN23" i="4"/>
  <c r="HO23" i="4"/>
  <c r="HP23" i="4"/>
  <c r="S15" i="11" s="1"/>
  <c r="HQ23" i="4"/>
  <c r="HR23" i="4"/>
  <c r="HS23" i="4"/>
  <c r="HT23" i="4"/>
  <c r="HU23" i="4"/>
  <c r="HV23" i="4"/>
  <c r="HW23" i="4"/>
  <c r="HX23" i="4"/>
  <c r="HY23" i="4"/>
  <c r="HZ23" i="4"/>
  <c r="IA23" i="4"/>
  <c r="IB23" i="4"/>
  <c r="IC23" i="4"/>
  <c r="ID23" i="4"/>
  <c r="IE23" i="4"/>
  <c r="IF23" i="4"/>
  <c r="U15" i="11" s="1"/>
  <c r="IG23" i="4"/>
  <c r="IH23" i="4"/>
  <c r="II23" i="4"/>
  <c r="IJ23" i="4"/>
  <c r="IK23" i="4"/>
  <c r="IL23" i="4"/>
  <c r="IM23" i="4"/>
  <c r="IN23" i="4"/>
  <c r="IO23" i="4"/>
  <c r="AY24" i="4"/>
  <c r="BA24" i="4"/>
  <c r="BD24" i="4" s="1"/>
  <c r="BG24" i="4" s="1"/>
  <c r="BJ24" i="4" s="1"/>
  <c r="BM24" i="4" s="1"/>
  <c r="BP24" i="4" s="1"/>
  <c r="BS24" i="4" s="1"/>
  <c r="BV24" i="4" s="1"/>
  <c r="BY24" i="4" s="1"/>
  <c r="CB24" i="4" s="1"/>
  <c r="CE24" i="4" s="1"/>
  <c r="CH24" i="4" s="1"/>
  <c r="CK24" i="4" s="1"/>
  <c r="CN24" i="4" s="1"/>
  <c r="CQ24" i="4" s="1"/>
  <c r="CT24" i="4" s="1"/>
  <c r="CW24" i="4" s="1"/>
  <c r="CZ24" i="4" s="1"/>
  <c r="DC24" i="4" s="1"/>
  <c r="DF24" i="4" s="1"/>
  <c r="DI24" i="4" s="1"/>
  <c r="DL24" i="4" s="1"/>
  <c r="DO24" i="4" s="1"/>
  <c r="DR24" i="4" s="1"/>
  <c r="DU24" i="4" s="1"/>
  <c r="DX24" i="4" s="1"/>
  <c r="EA24" i="4" s="1"/>
  <c r="ED24" i="4" s="1"/>
  <c r="EG24" i="4" s="1"/>
  <c r="EJ24" i="4" s="1"/>
  <c r="EM24" i="4" s="1"/>
  <c r="EP24" i="4" s="1"/>
  <c r="ES24" i="4" s="1"/>
  <c r="EV24" i="4" s="1"/>
  <c r="EY24" i="4" s="1"/>
  <c r="FB24" i="4" s="1"/>
  <c r="FE24" i="4" s="1"/>
  <c r="FH24" i="4" s="1"/>
  <c r="FK24" i="4" s="1"/>
  <c r="FN24" i="4" s="1"/>
  <c r="FQ24" i="4" s="1"/>
  <c r="FT24" i="4" s="1"/>
  <c r="FW24" i="4" s="1"/>
  <c r="FZ24" i="4" s="1"/>
  <c r="GC24" i="4" s="1"/>
  <c r="GF24" i="4" s="1"/>
  <c r="GI24" i="4" s="1"/>
  <c r="GL24" i="4" s="1"/>
  <c r="GO24" i="4" s="1"/>
  <c r="GR24" i="4" s="1"/>
  <c r="GU24" i="4" s="1"/>
  <c r="GX24" i="4" s="1"/>
  <c r="HA24" i="4" s="1"/>
  <c r="HD24" i="4" s="1"/>
  <c r="HG24" i="4" s="1"/>
  <c r="HJ24" i="4" s="1"/>
  <c r="HM24" i="4" s="1"/>
  <c r="HP24" i="4" s="1"/>
  <c r="HS24" i="4" s="1"/>
  <c r="HV24" i="4" s="1"/>
  <c r="HY24" i="4" s="1"/>
  <c r="IB24" i="4" s="1"/>
  <c r="IE24" i="4" s="1"/>
  <c r="IH24" i="4" s="1"/>
  <c r="IK24" i="4" s="1"/>
  <c r="BB24" i="4"/>
  <c r="BE24" i="4"/>
  <c r="BH24" i="4"/>
  <c r="BK24" i="4"/>
  <c r="BN24" i="4"/>
  <c r="D9" i="11"/>
  <c r="D5" i="44" s="1"/>
  <c r="D91" i="11"/>
  <c r="AO24" i="4"/>
  <c r="AP24" i="4"/>
  <c r="AS24" i="4" s="1"/>
  <c r="AR24" i="4"/>
  <c r="AU24" i="4"/>
  <c r="AX24" i="4" s="1"/>
  <c r="AK24" i="4"/>
  <c r="AN24" i="4" s="1"/>
  <c r="H10" i="57"/>
  <c r="D61" i="57"/>
  <c r="G3" i="57"/>
  <c r="F3" i="57"/>
  <c r="H15" i="57"/>
  <c r="S11" i="57"/>
  <c r="H12" i="57"/>
  <c r="E20" i="47"/>
  <c r="E9" i="47"/>
  <c r="F43" i="57"/>
  <c r="F50" i="57"/>
  <c r="E24" i="57"/>
  <c r="F128" i="57"/>
  <c r="E20" i="57"/>
  <c r="E19" i="57"/>
  <c r="D6" i="57"/>
  <c r="B19" i="1"/>
  <c r="G29" i="47"/>
  <c r="D6" i="52"/>
  <c r="B37" i="52"/>
  <c r="F5" i="52"/>
  <c r="C16" i="52"/>
  <c r="C17" i="52"/>
  <c r="D5" i="52"/>
  <c r="E5" i="52"/>
  <c r="D7" i="52"/>
  <c r="D8" i="52"/>
  <c r="E8" i="52"/>
  <c r="D9" i="52"/>
  <c r="E9" i="52"/>
  <c r="D10" i="52"/>
  <c r="E10" i="52"/>
  <c r="D11" i="52"/>
  <c r="E11" i="52" s="1"/>
  <c r="D4" i="52"/>
  <c r="L29" i="56"/>
  <c r="AL2" i="56"/>
  <c r="AN5" i="56"/>
  <c r="R5" i="56"/>
  <c r="S5" i="56"/>
  <c r="T5" i="56"/>
  <c r="U5" i="56"/>
  <c r="V5" i="56"/>
  <c r="W5" i="56"/>
  <c r="X5" i="56"/>
  <c r="Y5" i="56"/>
  <c r="Z5" i="56"/>
  <c r="AA5" i="56"/>
  <c r="AB5" i="56"/>
  <c r="AC5" i="56"/>
  <c r="AD5" i="56"/>
  <c r="AE5" i="56"/>
  <c r="AF5" i="56"/>
  <c r="AG5" i="56"/>
  <c r="AH5" i="56"/>
  <c r="AI5" i="56"/>
  <c r="AJ5" i="56"/>
  <c r="AK5" i="56"/>
  <c r="AL5" i="56"/>
  <c r="AM5" i="56"/>
  <c r="Q5" i="56"/>
  <c r="P5" i="56"/>
  <c r="F5" i="56"/>
  <c r="H5" i="56"/>
  <c r="E11" i="14"/>
  <c r="C6" i="1"/>
  <c r="C7" i="1"/>
  <c r="C8" i="1"/>
  <c r="C9" i="1"/>
  <c r="C10" i="1"/>
  <c r="C11" i="1"/>
  <c r="C12" i="1"/>
  <c r="C13" i="1"/>
  <c r="C14" i="1"/>
  <c r="C15" i="1"/>
  <c r="C16" i="1"/>
  <c r="C17" i="1"/>
  <c r="C5" i="1"/>
  <c r="AG4" i="56"/>
  <c r="S4" i="56"/>
  <c r="T4" i="56"/>
  <c r="U4" i="56"/>
  <c r="P2" i="56"/>
  <c r="F2" i="56"/>
  <c r="H2" i="56"/>
  <c r="F4" i="56"/>
  <c r="H4" i="56"/>
  <c r="I137" i="57"/>
  <c r="J137" i="57" s="1"/>
  <c r="I138" i="57"/>
  <c r="J138" i="57" s="1"/>
  <c r="I139" i="57"/>
  <c r="I140" i="57"/>
  <c r="J140" i="57" s="1"/>
  <c r="E4" i="52"/>
  <c r="L5" i="56"/>
  <c r="J5" i="56"/>
  <c r="Q2" i="56"/>
  <c r="R2" i="56"/>
  <c r="S2" i="56"/>
  <c r="T2" i="56"/>
  <c r="U2" i="56"/>
  <c r="V2" i="56"/>
  <c r="W2" i="56"/>
  <c r="X2" i="56"/>
  <c r="Y2" i="56"/>
  <c r="Z2" i="56"/>
  <c r="AA2" i="56"/>
  <c r="AB2" i="56"/>
  <c r="AC2" i="56"/>
  <c r="AD2" i="56"/>
  <c r="AE2" i="56"/>
  <c r="AF2" i="56"/>
  <c r="AG2" i="56"/>
  <c r="AH2" i="56"/>
  <c r="AI2" i="56"/>
  <c r="AJ2" i="56"/>
  <c r="AK2" i="56"/>
  <c r="AM2" i="56"/>
  <c r="L2" i="56"/>
  <c r="J2" i="56"/>
  <c r="L4" i="56"/>
  <c r="J4" i="56"/>
  <c r="D27" i="56"/>
  <c r="K5" i="52"/>
  <c r="AN2" i="56"/>
  <c r="E30" i="56"/>
  <c r="E31" i="56"/>
  <c r="H3" i="57"/>
  <c r="F2" i="2"/>
  <c r="B17" i="52"/>
  <c r="AH24" i="4"/>
  <c r="AH3" i="56"/>
  <c r="AI3" i="56"/>
  <c r="AJ3" i="56"/>
  <c r="AK3" i="56"/>
  <c r="AH4" i="56"/>
  <c r="AI4" i="56"/>
  <c r="AJ4" i="56"/>
  <c r="AK4" i="56"/>
  <c r="Q3" i="56"/>
  <c r="R3" i="56"/>
  <c r="S3" i="56"/>
  <c r="P7" i="56"/>
  <c r="AN3" i="56"/>
  <c r="AN4" i="56"/>
  <c r="Q7" i="56"/>
  <c r="S7" i="56"/>
  <c r="R7" i="56"/>
  <c r="T7" i="56"/>
  <c r="U7" i="56"/>
  <c r="W7" i="56"/>
  <c r="V7" i="56"/>
  <c r="X7" i="56"/>
  <c r="Y7" i="56"/>
  <c r="Z7" i="56"/>
  <c r="AB7" i="56"/>
  <c r="AA7" i="56"/>
  <c r="AC7" i="56"/>
  <c r="AD7" i="56"/>
  <c r="AE7" i="56"/>
  <c r="AF7" i="56"/>
  <c r="AG7" i="56"/>
  <c r="AH7" i="56"/>
  <c r="AI7" i="56"/>
  <c r="AJ7" i="56"/>
  <c r="AK7" i="56"/>
  <c r="AL7" i="56"/>
  <c r="AM7" i="56"/>
  <c r="AN7" i="56"/>
  <c r="E26" i="47"/>
  <c r="E12" i="47"/>
  <c r="E2" i="47"/>
  <c r="E17" i="47"/>
  <c r="E13" i="47"/>
  <c r="E25" i="47"/>
  <c r="E4" i="47"/>
  <c r="E5" i="47"/>
  <c r="E7" i="47"/>
  <c r="E8" i="47"/>
  <c r="E21" i="47"/>
  <c r="E10" i="47"/>
  <c r="E23" i="47"/>
  <c r="E14" i="47"/>
  <c r="E15" i="47"/>
  <c r="E16" i="47"/>
  <c r="E18" i="47"/>
  <c r="E19" i="47"/>
  <c r="E11" i="47"/>
  <c r="E24" i="47"/>
  <c r="E3" i="47"/>
  <c r="E6" i="47"/>
  <c r="E22" i="47"/>
  <c r="W177" i="57"/>
  <c r="W178" i="57"/>
  <c r="F173" i="57"/>
  <c r="F171" i="57"/>
  <c r="F169" i="57"/>
  <c r="H168" i="57"/>
  <c r="H169" i="57"/>
  <c r="H191" i="57" s="1"/>
  <c r="H192" i="57" s="1"/>
  <c r="H189" i="57"/>
  <c r="H190" i="57"/>
  <c r="F168" i="57"/>
  <c r="D164" i="57"/>
  <c r="F158" i="57"/>
  <c r="I158" i="57"/>
  <c r="J158" i="57"/>
  <c r="F157" i="57"/>
  <c r="I157" i="57"/>
  <c r="I156" i="57"/>
  <c r="I159" i="57"/>
  <c r="F151" i="57"/>
  <c r="I147" i="57"/>
  <c r="I145" i="57" s="1"/>
  <c r="J147" i="57"/>
  <c r="F146" i="57"/>
  <c r="I146" i="57"/>
  <c r="J146" i="57"/>
  <c r="I144" i="57"/>
  <c r="J144" i="57"/>
  <c r="F143" i="57"/>
  <c r="I143" i="57"/>
  <c r="J143" i="57"/>
  <c r="J139" i="57"/>
  <c r="F135" i="57"/>
  <c r="I135" i="57" s="1"/>
  <c r="I134" i="57" s="1"/>
  <c r="H132" i="57"/>
  <c r="F132" i="57"/>
  <c r="F131" i="57"/>
  <c r="I131" i="57" s="1"/>
  <c r="J131" i="57"/>
  <c r="F130" i="57"/>
  <c r="I130" i="57" s="1"/>
  <c r="J130" i="57"/>
  <c r="F129" i="57"/>
  <c r="I129" i="57" s="1"/>
  <c r="J129" i="57"/>
  <c r="I128" i="57"/>
  <c r="J128" i="57"/>
  <c r="F127" i="57"/>
  <c r="I127" i="57" s="1"/>
  <c r="J127" i="57"/>
  <c r="F126" i="57"/>
  <c r="I126" i="57" s="1"/>
  <c r="J126" i="57"/>
  <c r="F125" i="57"/>
  <c r="I125" i="57" s="1"/>
  <c r="J125" i="57"/>
  <c r="T124" i="57"/>
  <c r="S124" i="57"/>
  <c r="E124" i="57"/>
  <c r="F124" i="57" s="1"/>
  <c r="T123" i="57"/>
  <c r="S123" i="57"/>
  <c r="T122" i="57"/>
  <c r="S122" i="57"/>
  <c r="E122" i="57"/>
  <c r="F122" i="57"/>
  <c r="I122" i="57" s="1"/>
  <c r="J122" i="57"/>
  <c r="T121" i="57"/>
  <c r="S121" i="57"/>
  <c r="F121" i="57"/>
  <c r="I121" i="57" s="1"/>
  <c r="J121" i="57"/>
  <c r="Y120" i="57"/>
  <c r="W120" i="57"/>
  <c r="Z120" i="57"/>
  <c r="T120" i="57"/>
  <c r="S120" i="57"/>
  <c r="H120" i="57"/>
  <c r="F120" i="57"/>
  <c r="F119" i="57"/>
  <c r="I119" i="57" s="1"/>
  <c r="J119" i="57"/>
  <c r="F118" i="57"/>
  <c r="I118" i="57" s="1"/>
  <c r="J118" i="57"/>
  <c r="F117" i="57"/>
  <c r="I117" i="57" s="1"/>
  <c r="J117" i="57"/>
  <c r="P129" i="57"/>
  <c r="T116" i="57"/>
  <c r="S116" i="57"/>
  <c r="F116" i="57"/>
  <c r="I116" i="57" s="1"/>
  <c r="J116" i="57"/>
  <c r="T115" i="57"/>
  <c r="S115" i="57"/>
  <c r="F115" i="57"/>
  <c r="I115" i="57" s="1"/>
  <c r="J115" i="57" s="1"/>
  <c r="T114" i="57"/>
  <c r="S114" i="57"/>
  <c r="F114" i="57"/>
  <c r="I114" i="57" s="1"/>
  <c r="J114" i="57"/>
  <c r="T113" i="57"/>
  <c r="S113" i="57"/>
  <c r="F113" i="57"/>
  <c r="I113" i="57" s="1"/>
  <c r="J113" i="57"/>
  <c r="T112" i="57"/>
  <c r="S112" i="57"/>
  <c r="F112" i="57"/>
  <c r="I112" i="57" s="1"/>
  <c r="J112" i="57"/>
  <c r="T111" i="57"/>
  <c r="S111" i="57"/>
  <c r="F111" i="57"/>
  <c r="I111" i="57" s="1"/>
  <c r="J111" i="57" s="1"/>
  <c r="T110" i="57"/>
  <c r="S110" i="57"/>
  <c r="F110" i="57"/>
  <c r="I110" i="57" s="1"/>
  <c r="J110" i="57"/>
  <c r="T109" i="57"/>
  <c r="S109" i="57"/>
  <c r="F109" i="57"/>
  <c r="I109" i="57" s="1"/>
  <c r="J109" i="57"/>
  <c r="T108" i="57"/>
  <c r="S108" i="57"/>
  <c r="F108" i="57"/>
  <c r="I108" i="57" s="1"/>
  <c r="J108" i="57"/>
  <c r="T107" i="57"/>
  <c r="S107" i="57"/>
  <c r="F107" i="57"/>
  <c r="I107" i="57" s="1"/>
  <c r="J107" i="57"/>
  <c r="S106" i="57"/>
  <c r="F106" i="57"/>
  <c r="I106" i="57" s="1"/>
  <c r="J106" i="57"/>
  <c r="T105" i="57"/>
  <c r="S105" i="57"/>
  <c r="F105" i="57"/>
  <c r="I105" i="57" s="1"/>
  <c r="J105" i="57" s="1"/>
  <c r="T104" i="57"/>
  <c r="S104" i="57"/>
  <c r="F104" i="57"/>
  <c r="I104" i="57" s="1"/>
  <c r="J104" i="57"/>
  <c r="T103" i="57"/>
  <c r="S103" i="57"/>
  <c r="F103" i="57"/>
  <c r="I103" i="57" s="1"/>
  <c r="J103" i="57"/>
  <c r="T102" i="57"/>
  <c r="S102" i="57"/>
  <c r="F102" i="57"/>
  <c r="I102" i="57" s="1"/>
  <c r="J102" i="57" s="1"/>
  <c r="T101" i="57"/>
  <c r="S101" i="57"/>
  <c r="F101" i="57"/>
  <c r="I101" i="57" s="1"/>
  <c r="J101" i="57"/>
  <c r="T100" i="57"/>
  <c r="S100" i="57"/>
  <c r="F100" i="57"/>
  <c r="I100" i="57" s="1"/>
  <c r="J100" i="57"/>
  <c r="T99" i="57"/>
  <c r="S99" i="57"/>
  <c r="F99" i="57"/>
  <c r="I99" i="57" s="1"/>
  <c r="J99" i="57"/>
  <c r="T98" i="57"/>
  <c r="S98" i="57"/>
  <c r="F98" i="57"/>
  <c r="I98" i="57" s="1"/>
  <c r="J98" i="57"/>
  <c r="T97" i="57"/>
  <c r="S97" i="57"/>
  <c r="F97" i="57"/>
  <c r="I97" i="57" s="1"/>
  <c r="J97" i="57"/>
  <c r="T96" i="57"/>
  <c r="S96" i="57"/>
  <c r="F96" i="57"/>
  <c r="I96" i="57" s="1"/>
  <c r="J96" i="57"/>
  <c r="T95" i="57"/>
  <c r="S95" i="57"/>
  <c r="F95" i="57"/>
  <c r="I95" i="57" s="1"/>
  <c r="J95" i="57" s="1"/>
  <c r="T94" i="57"/>
  <c r="S94" i="57"/>
  <c r="F94" i="57"/>
  <c r="I94" i="57" s="1"/>
  <c r="J94" i="57" s="1"/>
  <c r="T93" i="57"/>
  <c r="S93" i="57"/>
  <c r="F93" i="57"/>
  <c r="I93" i="57" s="1"/>
  <c r="J93" i="57"/>
  <c r="T92" i="57"/>
  <c r="S92" i="57"/>
  <c r="H92" i="57"/>
  <c r="F92" i="57"/>
  <c r="T91" i="57"/>
  <c r="S91" i="57"/>
  <c r="H91" i="57"/>
  <c r="F91" i="57"/>
  <c r="T90" i="57"/>
  <c r="S90" i="57"/>
  <c r="H90" i="57"/>
  <c r="F90" i="57"/>
  <c r="T89" i="57"/>
  <c r="S89" i="57"/>
  <c r="F89" i="57"/>
  <c r="I89" i="57" s="1"/>
  <c r="J89" i="57"/>
  <c r="T88" i="57"/>
  <c r="S88" i="57"/>
  <c r="F88" i="57"/>
  <c r="I88" i="57" s="1"/>
  <c r="J88" i="57" s="1"/>
  <c r="T87" i="57"/>
  <c r="S87" i="57"/>
  <c r="T86" i="57"/>
  <c r="S86" i="57"/>
  <c r="E86" i="57"/>
  <c r="E87" i="57" s="1"/>
  <c r="F87" i="57" s="1"/>
  <c r="I87" i="57" s="1"/>
  <c r="J87" i="57" s="1"/>
  <c r="E123" i="57"/>
  <c r="F123" i="57"/>
  <c r="T85" i="57"/>
  <c r="S85" i="57"/>
  <c r="H85" i="57"/>
  <c r="T84" i="57"/>
  <c r="S84" i="57"/>
  <c r="H84" i="57"/>
  <c r="T83" i="57"/>
  <c r="S83" i="57"/>
  <c r="T82" i="57"/>
  <c r="S82" i="57"/>
  <c r="F82" i="57"/>
  <c r="I82" i="57" s="1"/>
  <c r="J82" i="57"/>
  <c r="T81" i="57"/>
  <c r="S81" i="57"/>
  <c r="F81" i="57"/>
  <c r="I81" i="57" s="1"/>
  <c r="J81" i="57"/>
  <c r="T80" i="57"/>
  <c r="S80" i="57"/>
  <c r="F80" i="57"/>
  <c r="I80" i="57" s="1"/>
  <c r="J80" i="57"/>
  <c r="T79" i="57"/>
  <c r="S79" i="57"/>
  <c r="F79" i="57"/>
  <c r="I79" i="57" s="1"/>
  <c r="J79" i="57" s="1"/>
  <c r="T78" i="57"/>
  <c r="S78" i="57"/>
  <c r="F78" i="57"/>
  <c r="I78" i="57" s="1"/>
  <c r="J78" i="57"/>
  <c r="T77" i="57"/>
  <c r="S77" i="57"/>
  <c r="F77" i="57"/>
  <c r="I77" i="57" s="1"/>
  <c r="J77" i="57"/>
  <c r="T76" i="57"/>
  <c r="S76" i="57"/>
  <c r="F76" i="57"/>
  <c r="I76" i="57" s="1"/>
  <c r="J76" i="57"/>
  <c r="T75" i="57"/>
  <c r="S75" i="57"/>
  <c r="F75" i="57"/>
  <c r="I75" i="57" s="1"/>
  <c r="J75" i="57" s="1"/>
  <c r="T74" i="57"/>
  <c r="S74" i="57"/>
  <c r="F74" i="57"/>
  <c r="I74" i="57" s="1"/>
  <c r="J74" i="57"/>
  <c r="T73" i="57"/>
  <c r="S73" i="57"/>
  <c r="F73" i="57"/>
  <c r="I73" i="57" s="1"/>
  <c r="J73" i="57"/>
  <c r="T72" i="57"/>
  <c r="S72" i="57"/>
  <c r="F72" i="57"/>
  <c r="I72" i="57" s="1"/>
  <c r="J72" i="57" s="1"/>
  <c r="T71" i="57"/>
  <c r="S71" i="57"/>
  <c r="H71" i="57"/>
  <c r="F71" i="57"/>
  <c r="T70" i="57"/>
  <c r="S70" i="57"/>
  <c r="F70" i="57"/>
  <c r="I70" i="57" s="1"/>
  <c r="J70" i="57" s="1"/>
  <c r="T69" i="57"/>
  <c r="S69" i="57"/>
  <c r="F69" i="57"/>
  <c r="I69" i="57" s="1"/>
  <c r="J69" i="57"/>
  <c r="T68" i="57"/>
  <c r="S68" i="57"/>
  <c r="T67" i="57"/>
  <c r="S67" i="57"/>
  <c r="F67" i="57"/>
  <c r="I67" i="57" s="1"/>
  <c r="J67" i="57"/>
  <c r="T66" i="57"/>
  <c r="S66" i="57"/>
  <c r="F66" i="57"/>
  <c r="I66" i="57" s="1"/>
  <c r="J66" i="57" s="1"/>
  <c r="T65" i="57"/>
  <c r="S65" i="57"/>
  <c r="F65" i="57"/>
  <c r="I65" i="57" s="1"/>
  <c r="J65" i="57"/>
  <c r="T64" i="57"/>
  <c r="T166" i="57" s="1"/>
  <c r="T167" i="57" s="1"/>
  <c r="T168" i="57" s="1"/>
  <c r="T169" i="57" s="1"/>
  <c r="S64" i="57"/>
  <c r="S166" i="57" s="1"/>
  <c r="S167" i="57" s="1"/>
  <c r="S168" i="57" s="1"/>
  <c r="S169" i="57" s="1"/>
  <c r="F64" i="57"/>
  <c r="T63" i="57"/>
  <c r="S63" i="57"/>
  <c r="F63" i="57"/>
  <c r="I63" i="57" s="1"/>
  <c r="J63" i="57"/>
  <c r="T62" i="57"/>
  <c r="S62" i="57"/>
  <c r="F62" i="57"/>
  <c r="T61" i="57"/>
  <c r="S61" i="57"/>
  <c r="F61" i="57"/>
  <c r="I61" i="57" s="1"/>
  <c r="J61" i="57" s="1"/>
  <c r="T60" i="57"/>
  <c r="S60" i="57"/>
  <c r="F60" i="57"/>
  <c r="I60" i="57" s="1"/>
  <c r="J60" i="57" s="1"/>
  <c r="T59" i="57"/>
  <c r="S59" i="57"/>
  <c r="F59" i="57"/>
  <c r="I59" i="57" s="1"/>
  <c r="J59" i="57"/>
  <c r="T58" i="57"/>
  <c r="S58" i="57"/>
  <c r="F58" i="57"/>
  <c r="I58" i="57" s="1"/>
  <c r="J58" i="57"/>
  <c r="T57" i="57"/>
  <c r="S57" i="57"/>
  <c r="E57" i="57"/>
  <c r="F57" i="57"/>
  <c r="T56" i="57"/>
  <c r="S56" i="57"/>
  <c r="E56" i="57"/>
  <c r="T55" i="57"/>
  <c r="S55" i="57"/>
  <c r="E55" i="57"/>
  <c r="T54" i="57"/>
  <c r="S54" i="57"/>
  <c r="T53" i="57"/>
  <c r="S53" i="57"/>
  <c r="F53" i="57"/>
  <c r="I53" i="57" s="1"/>
  <c r="J53" i="57" s="1"/>
  <c r="T52" i="57"/>
  <c r="S52" i="57"/>
  <c r="F52" i="57"/>
  <c r="I52" i="57" s="1"/>
  <c r="J52" i="57"/>
  <c r="T51" i="57"/>
  <c r="S51" i="57"/>
  <c r="F51" i="57"/>
  <c r="I51" i="57" s="1"/>
  <c r="J51" i="57"/>
  <c r="T50" i="57"/>
  <c r="S50" i="57"/>
  <c r="H50" i="57"/>
  <c r="T49" i="57"/>
  <c r="S49" i="57"/>
  <c r="F49" i="57"/>
  <c r="I49" i="57" s="1"/>
  <c r="J49" i="57"/>
  <c r="T48" i="57"/>
  <c r="S48" i="57"/>
  <c r="F48" i="57"/>
  <c r="I48" i="57" s="1"/>
  <c r="T47" i="57"/>
  <c r="S47" i="57"/>
  <c r="T46" i="57"/>
  <c r="S46" i="57"/>
  <c r="F46" i="57"/>
  <c r="I46" i="57" s="1"/>
  <c r="T45" i="57"/>
  <c r="S45" i="57"/>
  <c r="F45" i="57"/>
  <c r="T44" i="57"/>
  <c r="S44" i="57"/>
  <c r="F44" i="57"/>
  <c r="I44" i="57"/>
  <c r="T43" i="57"/>
  <c r="S43" i="57"/>
  <c r="I43" i="57"/>
  <c r="J43" i="57"/>
  <c r="T42" i="57"/>
  <c r="S42" i="57"/>
  <c r="F42" i="57"/>
  <c r="I42" i="57" s="1"/>
  <c r="J42" i="57"/>
  <c r="T41" i="57"/>
  <c r="S41" i="57"/>
  <c r="T40" i="57"/>
  <c r="S40" i="57"/>
  <c r="F40" i="57"/>
  <c r="I40" i="57"/>
  <c r="J40" i="57" s="1"/>
  <c r="T39" i="57"/>
  <c r="S39" i="57"/>
  <c r="I39" i="57"/>
  <c r="J39" i="57"/>
  <c r="T38" i="57"/>
  <c r="S38" i="57"/>
  <c r="F38" i="57"/>
  <c r="I38" i="57"/>
  <c r="J38" i="57" s="1"/>
  <c r="T37" i="57"/>
  <c r="S37" i="57"/>
  <c r="F37" i="57"/>
  <c r="I37" i="57" s="1"/>
  <c r="J37" i="57" s="1"/>
  <c r="T36" i="57"/>
  <c r="S36" i="57"/>
  <c r="F36" i="57"/>
  <c r="I36" i="57" s="1"/>
  <c r="J36" i="57" s="1"/>
  <c r="T35" i="57"/>
  <c r="S35" i="57"/>
  <c r="F35" i="57"/>
  <c r="I35" i="57"/>
  <c r="J35" i="57"/>
  <c r="T34" i="57"/>
  <c r="S34" i="57"/>
  <c r="F34" i="57"/>
  <c r="I34" i="57" s="1"/>
  <c r="T33" i="57"/>
  <c r="S33" i="57"/>
  <c r="F33" i="57"/>
  <c r="I33" i="57" s="1"/>
  <c r="J33" i="57" s="1"/>
  <c r="T32" i="57"/>
  <c r="S32" i="57"/>
  <c r="F32" i="57"/>
  <c r="I32" i="57"/>
  <c r="J32" i="57" s="1"/>
  <c r="F31" i="57"/>
  <c r="I31" i="57"/>
  <c r="J31" i="57"/>
  <c r="T30" i="57"/>
  <c r="S30" i="57"/>
  <c r="T29" i="57"/>
  <c r="S29" i="57"/>
  <c r="F29" i="57"/>
  <c r="I29" i="57"/>
  <c r="J29" i="57" s="1"/>
  <c r="T28" i="57"/>
  <c r="S28" i="57"/>
  <c r="F28" i="57"/>
  <c r="I28" i="57" s="1"/>
  <c r="T27" i="57"/>
  <c r="S27" i="57"/>
  <c r="F27" i="57"/>
  <c r="I27" i="57" s="1"/>
  <c r="T26" i="57"/>
  <c r="S26" i="57"/>
  <c r="F24" i="57"/>
  <c r="I24" i="57" s="1"/>
  <c r="J24" i="57" s="1"/>
  <c r="T23" i="57"/>
  <c r="S23" i="57"/>
  <c r="E23" i="57"/>
  <c r="T22" i="57"/>
  <c r="S22" i="57"/>
  <c r="E22" i="57"/>
  <c r="T21" i="57"/>
  <c r="S21" i="57"/>
  <c r="E21" i="57"/>
  <c r="X20" i="57"/>
  <c r="Y20" i="57"/>
  <c r="W20" i="57"/>
  <c r="Z20" i="57"/>
  <c r="T20" i="57"/>
  <c r="S20" i="57"/>
  <c r="Y19" i="57"/>
  <c r="W19" i="57"/>
  <c r="Z19" i="57"/>
  <c r="T19" i="57"/>
  <c r="S19" i="57"/>
  <c r="Y18" i="57"/>
  <c r="W18" i="57"/>
  <c r="Z18" i="57"/>
  <c r="T18" i="57"/>
  <c r="S18" i="57"/>
  <c r="E18" i="57"/>
  <c r="E25" i="57"/>
  <c r="F25" i="57"/>
  <c r="I25" i="57"/>
  <c r="J25" i="57"/>
  <c r="Y17" i="57"/>
  <c r="W17" i="57"/>
  <c r="Z17" i="57" s="1"/>
  <c r="T17" i="57"/>
  <c r="S17" i="57"/>
  <c r="E17" i="57"/>
  <c r="Y16" i="57"/>
  <c r="W16" i="57"/>
  <c r="Z16" i="57"/>
  <c r="T16" i="57"/>
  <c r="S16" i="57"/>
  <c r="F15" i="57"/>
  <c r="I15" i="57"/>
  <c r="J15" i="57"/>
  <c r="Y14" i="57"/>
  <c r="W14" i="57"/>
  <c r="Z14" i="57" s="1"/>
  <c r="R14" i="57"/>
  <c r="F14" i="57"/>
  <c r="I14" i="57"/>
  <c r="J14" i="57"/>
  <c r="Y13" i="57"/>
  <c r="W13" i="57"/>
  <c r="Z13" i="57"/>
  <c r="R13" i="57"/>
  <c r="S13" i="57"/>
  <c r="F13" i="57"/>
  <c r="R12" i="57"/>
  <c r="F12" i="57"/>
  <c r="I12" i="57"/>
  <c r="J12" i="57" s="1"/>
  <c r="Y11" i="57"/>
  <c r="W11" i="57"/>
  <c r="Z11" i="57"/>
  <c r="R11" i="57"/>
  <c r="F11" i="57"/>
  <c r="Y10" i="57"/>
  <c r="Y21" i="57" s="1"/>
  <c r="Y23" i="57" s="1"/>
  <c r="W10" i="57"/>
  <c r="Z10" i="57"/>
  <c r="R10" i="57"/>
  <c r="D5" i="57"/>
  <c r="K146" i="57" s="1"/>
  <c r="L146" i="57" s="1"/>
  <c r="D4" i="57"/>
  <c r="K135" i="57" s="1"/>
  <c r="L135" i="57" s="1"/>
  <c r="M135" i="57" s="1"/>
  <c r="M134" i="57" s="1"/>
  <c r="D3" i="57"/>
  <c r="K132" i="57" s="1"/>
  <c r="L132" i="57" s="1"/>
  <c r="M132" i="57" s="1"/>
  <c r="D2" i="57"/>
  <c r="K22" i="57" s="1"/>
  <c r="S1" i="57"/>
  <c r="D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" i="47"/>
  <c r="L9" i="4"/>
  <c r="AF69" i="21" s="1"/>
  <c r="AF48" i="21" s="1"/>
  <c r="M9" i="4"/>
  <c r="N9" i="4"/>
  <c r="O9" i="4"/>
  <c r="O72" i="21" s="1"/>
  <c r="P9" i="4"/>
  <c r="K9" i="4"/>
  <c r="J9" i="4"/>
  <c r="F9" i="4"/>
  <c r="G9" i="4"/>
  <c r="H9" i="4"/>
  <c r="I9" i="4"/>
  <c r="E9" i="4"/>
  <c r="F14" i="56"/>
  <c r="H14" i="56"/>
  <c r="J14" i="56"/>
  <c r="F15" i="56"/>
  <c r="H15" i="56"/>
  <c r="J15" i="56"/>
  <c r="F18" i="56"/>
  <c r="H18" i="56"/>
  <c r="J18" i="56"/>
  <c r="F19" i="56"/>
  <c r="H19" i="56"/>
  <c r="J19" i="56"/>
  <c r="F20" i="56"/>
  <c r="H20" i="56"/>
  <c r="F22" i="56"/>
  <c r="H22" i="56"/>
  <c r="J22" i="56"/>
  <c r="F23" i="56"/>
  <c r="H23" i="56"/>
  <c r="J23" i="56"/>
  <c r="I64" i="57"/>
  <c r="J64" i="57" s="1"/>
  <c r="I62" i="57"/>
  <c r="J62" i="57" s="1"/>
  <c r="I57" i="57"/>
  <c r="J57" i="57"/>
  <c r="I45" i="57"/>
  <c r="J45" i="57"/>
  <c r="K113" i="57"/>
  <c r="L113" i="57" s="1"/>
  <c r="M113" i="57" s="1"/>
  <c r="L19" i="56"/>
  <c r="J20" i="56"/>
  <c r="L20" i="56"/>
  <c r="L22" i="56"/>
  <c r="L14" i="56"/>
  <c r="L23" i="56"/>
  <c r="L18" i="56"/>
  <c r="L15" i="56"/>
  <c r="I13" i="57"/>
  <c r="J13" i="57"/>
  <c r="J44" i="57"/>
  <c r="J48" i="57"/>
  <c r="S12" i="57"/>
  <c r="J157" i="57"/>
  <c r="J156" i="57"/>
  <c r="J159" i="57"/>
  <c r="H193" i="57"/>
  <c r="J135" i="57"/>
  <c r="J134" i="57" s="1"/>
  <c r="J27" i="57"/>
  <c r="S10" i="57"/>
  <c r="F86" i="57"/>
  <c r="I86" i="57" s="1"/>
  <c r="J86" i="57"/>
  <c r="S14" i="57"/>
  <c r="Z21" i="57"/>
  <c r="Z23" i="57"/>
  <c r="F11" i="56"/>
  <c r="H11" i="56"/>
  <c r="F10" i="56"/>
  <c r="H10" i="56"/>
  <c r="F9" i="56"/>
  <c r="H9" i="56"/>
  <c r="F3" i="56"/>
  <c r="H3" i="56"/>
  <c r="L3" i="56"/>
  <c r="J3" i="56"/>
  <c r="L9" i="56"/>
  <c r="J9" i="56"/>
  <c r="J10" i="56"/>
  <c r="L10" i="56"/>
  <c r="L11" i="56"/>
  <c r="J11" i="56"/>
  <c r="AB149" i="57"/>
  <c r="AB150" i="57"/>
  <c r="L44" i="56"/>
  <c r="L45" i="56"/>
  <c r="D43" i="56"/>
  <c r="H42" i="56"/>
  <c r="D37" i="56"/>
  <c r="D33" i="56"/>
  <c r="F26" i="56"/>
  <c r="F27" i="56"/>
  <c r="D41" i="56"/>
  <c r="L26" i="56"/>
  <c r="L27" i="56"/>
  <c r="H26" i="56"/>
  <c r="H27" i="56"/>
  <c r="J26" i="56"/>
  <c r="J27" i="56"/>
  <c r="J29" i="56"/>
  <c r="J30" i="56"/>
  <c r="H37" i="56"/>
  <c r="H34" i="56"/>
  <c r="H35" i="56"/>
  <c r="H41" i="56"/>
  <c r="H36" i="56"/>
  <c r="C19" i="54"/>
  <c r="C14" i="54"/>
  <c r="B10" i="54"/>
  <c r="F13" i="52"/>
  <c r="E26" i="52"/>
  <c r="E27" i="52"/>
  <c r="E25" i="52"/>
  <c r="D10" i="2"/>
  <c r="B47" i="13"/>
  <c r="D10" i="54"/>
  <c r="C5" i="54"/>
  <c r="D22" i="2"/>
  <c r="D9" i="2" s="1"/>
  <c r="D14" i="54"/>
  <c r="E14" i="54"/>
  <c r="D18" i="54"/>
  <c r="E18" i="54"/>
  <c r="G17" i="54"/>
  <c r="B16" i="54"/>
  <c r="D16" i="54"/>
  <c r="E16" i="54"/>
  <c r="G16" i="54"/>
  <c r="E10" i="54"/>
  <c r="D11" i="54"/>
  <c r="E11" i="54"/>
  <c r="G11" i="54"/>
  <c r="F11" i="54"/>
  <c r="I11" i="54"/>
  <c r="I12" i="54"/>
  <c r="I13" i="54"/>
  <c r="D12" i="54"/>
  <c r="E12" i="54"/>
  <c r="G12" i="54"/>
  <c r="D13" i="54"/>
  <c r="B15" i="54"/>
  <c r="D15" i="54"/>
  <c r="E15" i="54"/>
  <c r="D17" i="54"/>
  <c r="D19" i="54"/>
  <c r="E19" i="54"/>
  <c r="D20" i="54"/>
  <c r="E20" i="54"/>
  <c r="D21" i="54"/>
  <c r="G21" i="54"/>
  <c r="G22" i="54"/>
  <c r="D23" i="54"/>
  <c r="E23" i="54"/>
  <c r="E3" i="54"/>
  <c r="I3" i="54"/>
  <c r="C6" i="54"/>
  <c r="E13" i="54"/>
  <c r="EY7" i="4"/>
  <c r="FK7" i="4"/>
  <c r="FW7" i="4"/>
  <c r="GI7" i="4"/>
  <c r="GU7" i="4"/>
  <c r="HG7" i="4"/>
  <c r="HS7" i="4"/>
  <c r="IE7" i="4"/>
  <c r="CQ7" i="4"/>
  <c r="DC7" i="4"/>
  <c r="DO7" i="4"/>
  <c r="EA7" i="4"/>
  <c r="EM7" i="4"/>
  <c r="CP7" i="4"/>
  <c r="DB7" i="4"/>
  <c r="DN7" i="4"/>
  <c r="DZ7" i="4"/>
  <c r="EL7" i="4"/>
  <c r="EX7" i="4"/>
  <c r="FJ7" i="4"/>
  <c r="FV7" i="4"/>
  <c r="GH7" i="4"/>
  <c r="GT7" i="4"/>
  <c r="HF7" i="4"/>
  <c r="HR7" i="4"/>
  <c r="ID7" i="4"/>
  <c r="CO7" i="4"/>
  <c r="DA7" i="4"/>
  <c r="DM7" i="4"/>
  <c r="DY7" i="4"/>
  <c r="EK7" i="4"/>
  <c r="EW7" i="4"/>
  <c r="FI7" i="4"/>
  <c r="FU7" i="4"/>
  <c r="GG7" i="4"/>
  <c r="GS7" i="4"/>
  <c r="HE7" i="4"/>
  <c r="HQ7" i="4"/>
  <c r="IC7" i="4"/>
  <c r="IO7" i="4"/>
  <c r="BX7" i="4"/>
  <c r="CJ7" i="4"/>
  <c r="CV7" i="4"/>
  <c r="DH7" i="4"/>
  <c r="DT7" i="4"/>
  <c r="EF7" i="4"/>
  <c r="ER7" i="4"/>
  <c r="FD7" i="4"/>
  <c r="FP7" i="4"/>
  <c r="GB7" i="4"/>
  <c r="GN7" i="4"/>
  <c r="GZ7" i="4"/>
  <c r="HL7" i="4"/>
  <c r="HX7" i="4"/>
  <c r="IJ7" i="4"/>
  <c r="BG7" i="4"/>
  <c r="BS7" i="4"/>
  <c r="CE7" i="4"/>
  <c r="BF7" i="4"/>
  <c r="BR7" i="4"/>
  <c r="CD7" i="4"/>
  <c r="BE7" i="4"/>
  <c r="BQ7" i="4"/>
  <c r="CC7" i="4"/>
  <c r="AT7" i="4"/>
  <c r="AS7" i="4"/>
  <c r="AN7" i="4"/>
  <c r="AZ7" i="4"/>
  <c r="BL7" i="4"/>
  <c r="AM7" i="4"/>
  <c r="AY7" i="4"/>
  <c r="BK7" i="4"/>
  <c r="BW7" i="4"/>
  <c r="CI7" i="4"/>
  <c r="CU7" i="4"/>
  <c r="DG7" i="4"/>
  <c r="DS7" i="4"/>
  <c r="EE7" i="4"/>
  <c r="EQ7" i="4"/>
  <c r="FC7" i="4"/>
  <c r="FO7" i="4"/>
  <c r="GA7" i="4"/>
  <c r="GM7" i="4"/>
  <c r="GY7" i="4"/>
  <c r="HK7" i="4"/>
  <c r="HW7" i="4"/>
  <c r="II7" i="4"/>
  <c r="AL7" i="4"/>
  <c r="AX7" i="4"/>
  <c r="BJ7" i="4"/>
  <c r="BV7" i="4"/>
  <c r="CH7" i="4"/>
  <c r="CT7" i="4"/>
  <c r="DF7" i="4"/>
  <c r="DR7" i="4"/>
  <c r="ED7" i="4"/>
  <c r="EP7" i="4"/>
  <c r="FB7" i="4"/>
  <c r="FN7" i="4"/>
  <c r="FZ7" i="4"/>
  <c r="GL7" i="4"/>
  <c r="GX7" i="4"/>
  <c r="HJ7" i="4"/>
  <c r="HV7" i="4"/>
  <c r="IH7" i="4"/>
  <c r="AH7" i="4"/>
  <c r="AG7" i="4"/>
  <c r="AF7" i="4"/>
  <c r="AR7" i="4"/>
  <c r="BD7" i="4"/>
  <c r="BP7" i="4"/>
  <c r="CB7" i="4"/>
  <c r="CN7" i="4"/>
  <c r="CZ7" i="4"/>
  <c r="DL7" i="4"/>
  <c r="DX7" i="4"/>
  <c r="EJ7" i="4"/>
  <c r="EV7" i="4"/>
  <c r="FH7" i="4"/>
  <c r="FT7" i="4"/>
  <c r="GF7" i="4"/>
  <c r="GR7" i="4"/>
  <c r="HD7" i="4"/>
  <c r="HP7" i="4"/>
  <c r="IB7" i="4"/>
  <c r="IN7" i="4"/>
  <c r="AE7" i="4"/>
  <c r="AQ7" i="4"/>
  <c r="BC7" i="4"/>
  <c r="BO7" i="4"/>
  <c r="CA7" i="4"/>
  <c r="CM7" i="4"/>
  <c r="CY7" i="4"/>
  <c r="DK7" i="4"/>
  <c r="DW7" i="4"/>
  <c r="EI7" i="4"/>
  <c r="EU7" i="4"/>
  <c r="FG7" i="4"/>
  <c r="FS7" i="4"/>
  <c r="GE7" i="4"/>
  <c r="GQ7" i="4"/>
  <c r="HC7" i="4"/>
  <c r="HO7" i="4"/>
  <c r="IA7" i="4"/>
  <c r="IM7" i="4"/>
  <c r="AD7" i="4"/>
  <c r="AP7" i="4"/>
  <c r="BB7" i="4"/>
  <c r="BN7" i="4"/>
  <c r="BZ7" i="4"/>
  <c r="CL7" i="4"/>
  <c r="CX7" i="4"/>
  <c r="DJ7" i="4"/>
  <c r="DV7" i="4"/>
  <c r="EH7" i="4"/>
  <c r="ET7" i="4"/>
  <c r="FF7" i="4"/>
  <c r="FR7" i="4"/>
  <c r="GD7" i="4"/>
  <c r="GP7" i="4"/>
  <c r="HB7" i="4"/>
  <c r="HN7" i="4"/>
  <c r="HZ7" i="4"/>
  <c r="IL7" i="4"/>
  <c r="AC7" i="4"/>
  <c r="AO7" i="4"/>
  <c r="BA7" i="4"/>
  <c r="BM7" i="4"/>
  <c r="BY7" i="4"/>
  <c r="CK7" i="4"/>
  <c r="CW7" i="4"/>
  <c r="DI7" i="4"/>
  <c r="DU7" i="4"/>
  <c r="EG7" i="4"/>
  <c r="ES7" i="4"/>
  <c r="FE7" i="4"/>
  <c r="FQ7" i="4"/>
  <c r="GC7" i="4"/>
  <c r="GO7" i="4"/>
  <c r="HA7" i="4"/>
  <c r="HM7" i="4"/>
  <c r="HY7" i="4"/>
  <c r="IK7" i="4"/>
  <c r="AB7" i="4"/>
  <c r="AA7" i="4"/>
  <c r="Z7" i="4"/>
  <c r="Y7" i="4"/>
  <c r="AK7" i="4"/>
  <c r="AW7" i="4"/>
  <c r="BI7" i="4"/>
  <c r="BU7" i="4"/>
  <c r="CG7" i="4"/>
  <c r="CS7" i="4"/>
  <c r="DE7" i="4"/>
  <c r="DQ7" i="4"/>
  <c r="EC7" i="4"/>
  <c r="EO7" i="4"/>
  <c r="FA7" i="4"/>
  <c r="FM7" i="4"/>
  <c r="FY7" i="4"/>
  <c r="GK7" i="4"/>
  <c r="GW7" i="4"/>
  <c r="HI7" i="4"/>
  <c r="HU7" i="4"/>
  <c r="IG7" i="4"/>
  <c r="X7" i="4"/>
  <c r="AJ7" i="4"/>
  <c r="AV7" i="4"/>
  <c r="BH7" i="4"/>
  <c r="BT7" i="4"/>
  <c r="CF7" i="4"/>
  <c r="CR7" i="4"/>
  <c r="DD7" i="4"/>
  <c r="DP7" i="4"/>
  <c r="EB7" i="4"/>
  <c r="EN7" i="4"/>
  <c r="EZ7" i="4"/>
  <c r="FL7" i="4"/>
  <c r="FX7" i="4"/>
  <c r="GJ7" i="4"/>
  <c r="GV7" i="4"/>
  <c r="HH7" i="4"/>
  <c r="HT7" i="4"/>
  <c r="IF7" i="4"/>
  <c r="W7" i="4"/>
  <c r="AI7" i="4"/>
  <c r="AU7" i="4"/>
  <c r="V7" i="4"/>
  <c r="I7" i="4"/>
  <c r="H7" i="4"/>
  <c r="G7" i="4"/>
  <c r="F7" i="4"/>
  <c r="E7" i="4"/>
  <c r="O27" i="20"/>
  <c r="D25" i="20"/>
  <c r="E25" i="20"/>
  <c r="F25" i="20"/>
  <c r="G25" i="20"/>
  <c r="H25" i="20"/>
  <c r="I25" i="20"/>
  <c r="J25" i="20"/>
  <c r="K25" i="20"/>
  <c r="L25" i="20"/>
  <c r="M25" i="20"/>
  <c r="N25" i="20"/>
  <c r="C25" i="20"/>
  <c r="C21" i="1"/>
  <c r="Q5" i="4"/>
  <c r="O7" i="1"/>
  <c r="P7" i="1"/>
  <c r="Q7" i="1"/>
  <c r="R7" i="1"/>
  <c r="S7" i="1"/>
  <c r="T7" i="1"/>
  <c r="U7" i="1"/>
  <c r="V7" i="1"/>
  <c r="W7" i="1"/>
  <c r="X7" i="1"/>
  <c r="Y7" i="1"/>
  <c r="D7" i="13"/>
  <c r="E7" i="13"/>
  <c r="F7" i="13"/>
  <c r="G7" i="13"/>
  <c r="H7" i="13"/>
  <c r="V9" i="4"/>
  <c r="Z7" i="1"/>
  <c r="U9" i="4"/>
  <c r="T9" i="4"/>
  <c r="S9" i="4"/>
  <c r="R9" i="4"/>
  <c r="Q9" i="4"/>
  <c r="O19" i="13"/>
  <c r="AA9" i="4"/>
  <c r="X9" i="4"/>
  <c r="AB9" i="4"/>
  <c r="Z9" i="4"/>
  <c r="E6" i="4"/>
  <c r="E5" i="4"/>
  <c r="II12" i="46"/>
  <c r="IJ12" i="46"/>
  <c r="IK12" i="46"/>
  <c r="IL12" i="46"/>
  <c r="IM12" i="46"/>
  <c r="II4" i="46"/>
  <c r="IJ4" i="46"/>
  <c r="IK4" i="46"/>
  <c r="IL4" i="46"/>
  <c r="IM4" i="46"/>
  <c r="II8" i="46"/>
  <c r="IJ8" i="46"/>
  <c r="IK8" i="46"/>
  <c r="IL8" i="46"/>
  <c r="IM8" i="46"/>
  <c r="H6" i="13"/>
  <c r="C6" i="13"/>
  <c r="D6" i="13"/>
  <c r="E6" i="13"/>
  <c r="F6" i="13"/>
  <c r="G6" i="13"/>
  <c r="J33" i="46"/>
  <c r="J38" i="46"/>
  <c r="I33" i="46"/>
  <c r="H33" i="46"/>
  <c r="G33" i="46"/>
  <c r="F33" i="46"/>
  <c r="E33" i="46"/>
  <c r="D33" i="46"/>
  <c r="C33" i="46"/>
  <c r="IH12" i="46"/>
  <c r="IG12" i="46"/>
  <c r="IF12" i="46"/>
  <c r="IE12" i="46"/>
  <c r="ID12" i="46"/>
  <c r="IC12" i="46"/>
  <c r="IB12" i="46"/>
  <c r="IA12" i="46"/>
  <c r="HZ12" i="46"/>
  <c r="HY12" i="46"/>
  <c r="HX12" i="46"/>
  <c r="HW12" i="46"/>
  <c r="HV12" i="46"/>
  <c r="HU12" i="46"/>
  <c r="HT12" i="46"/>
  <c r="HS12" i="46"/>
  <c r="HR12" i="46"/>
  <c r="HQ12" i="46"/>
  <c r="HP12" i="46"/>
  <c r="HO12" i="46"/>
  <c r="HN12" i="46"/>
  <c r="HM12" i="46"/>
  <c r="HL12" i="46"/>
  <c r="HK12" i="46"/>
  <c r="HJ12" i="46"/>
  <c r="HI12" i="46"/>
  <c r="HH12" i="46"/>
  <c r="HG12" i="46"/>
  <c r="HF12" i="46"/>
  <c r="HE12" i="46"/>
  <c r="HD12" i="46"/>
  <c r="HC12" i="46"/>
  <c r="HB12" i="46"/>
  <c r="HA12" i="46"/>
  <c r="GZ12" i="46"/>
  <c r="GY12" i="46"/>
  <c r="GX12" i="46"/>
  <c r="GW12" i="46"/>
  <c r="GV12" i="46"/>
  <c r="GU12" i="46"/>
  <c r="GT12" i="46"/>
  <c r="GS12" i="46"/>
  <c r="GR12" i="46"/>
  <c r="GQ12" i="46"/>
  <c r="GP12" i="46"/>
  <c r="GO12" i="46"/>
  <c r="GN12" i="46"/>
  <c r="GM12" i="46"/>
  <c r="GL12" i="46"/>
  <c r="GK12" i="46"/>
  <c r="GJ12" i="46"/>
  <c r="GI12" i="46"/>
  <c r="GH12" i="46"/>
  <c r="GG12" i="46"/>
  <c r="GF12" i="46"/>
  <c r="GE12" i="46"/>
  <c r="GD12" i="46"/>
  <c r="GC12" i="46"/>
  <c r="GB12" i="46"/>
  <c r="GA12" i="46"/>
  <c r="FZ12" i="46"/>
  <c r="FY12" i="46"/>
  <c r="FX12" i="46"/>
  <c r="FW12" i="46"/>
  <c r="FV12" i="46"/>
  <c r="FU12" i="46"/>
  <c r="FT12" i="46"/>
  <c r="FS12" i="46"/>
  <c r="FR12" i="46"/>
  <c r="FQ12" i="46"/>
  <c r="FP12" i="46"/>
  <c r="FO12" i="46"/>
  <c r="FN12" i="46"/>
  <c r="FM12" i="46"/>
  <c r="FL12" i="46"/>
  <c r="FK12" i="46"/>
  <c r="FJ12" i="46"/>
  <c r="FI12" i="46"/>
  <c r="FH12" i="46"/>
  <c r="FG12" i="46"/>
  <c r="FF12" i="46"/>
  <c r="FE12" i="46"/>
  <c r="FD12" i="46"/>
  <c r="FC12" i="46"/>
  <c r="FB12" i="46"/>
  <c r="FA12" i="46"/>
  <c r="EZ12" i="46"/>
  <c r="EY12" i="46"/>
  <c r="EX12" i="46"/>
  <c r="EW12" i="46"/>
  <c r="EV12" i="46"/>
  <c r="EU12" i="46"/>
  <c r="ET12" i="46"/>
  <c r="ES12" i="46"/>
  <c r="ER12" i="46"/>
  <c r="EQ12" i="46"/>
  <c r="EP12" i="46"/>
  <c r="EO12" i="46"/>
  <c r="EN12" i="46"/>
  <c r="EM12" i="46"/>
  <c r="EL12" i="46"/>
  <c r="EK12" i="46"/>
  <c r="EJ12" i="46"/>
  <c r="EI12" i="46"/>
  <c r="EH12" i="46"/>
  <c r="EG12" i="46"/>
  <c r="EF12" i="46"/>
  <c r="EE12" i="46"/>
  <c r="ED12" i="46"/>
  <c r="EC12" i="46"/>
  <c r="EB12" i="46"/>
  <c r="EA12" i="46"/>
  <c r="DZ12" i="46"/>
  <c r="DY12" i="46"/>
  <c r="DX12" i="46"/>
  <c r="DW12" i="46"/>
  <c r="DV12" i="46"/>
  <c r="DU12" i="46"/>
  <c r="DT12" i="46"/>
  <c r="DS12" i="46"/>
  <c r="DR12" i="46"/>
  <c r="DQ12" i="46"/>
  <c r="DP12" i="46"/>
  <c r="DO12" i="46"/>
  <c r="DN12" i="46"/>
  <c r="DM12" i="46"/>
  <c r="DL12" i="46"/>
  <c r="DK12" i="46"/>
  <c r="DJ12" i="46"/>
  <c r="DI12" i="46"/>
  <c r="DH12" i="46"/>
  <c r="DG12" i="46"/>
  <c r="DF12" i="46"/>
  <c r="DE12" i="46"/>
  <c r="DD12" i="46"/>
  <c r="DC12" i="46"/>
  <c r="DB12" i="46"/>
  <c r="DA12" i="46"/>
  <c r="CZ12" i="46"/>
  <c r="CY12" i="46"/>
  <c r="CX12" i="46"/>
  <c r="CW12" i="46"/>
  <c r="CV12" i="46"/>
  <c r="CU12" i="46"/>
  <c r="CT12" i="46"/>
  <c r="CS12" i="46"/>
  <c r="CR12" i="46"/>
  <c r="CQ12" i="46"/>
  <c r="CP12" i="46"/>
  <c r="CO12" i="46"/>
  <c r="CN12" i="46"/>
  <c r="CM12" i="46"/>
  <c r="CL12" i="46"/>
  <c r="CK12" i="46"/>
  <c r="CJ12" i="46"/>
  <c r="CI12" i="46"/>
  <c r="CH12" i="46"/>
  <c r="CG12" i="46"/>
  <c r="CF12" i="46"/>
  <c r="CE12" i="46"/>
  <c r="CD12" i="46"/>
  <c r="CC12" i="46"/>
  <c r="CB12" i="46"/>
  <c r="CA12" i="46"/>
  <c r="BZ12" i="46"/>
  <c r="BY12" i="46"/>
  <c r="BX12" i="46"/>
  <c r="BW12" i="46"/>
  <c r="BV12" i="46"/>
  <c r="BU12" i="46"/>
  <c r="BT12" i="46"/>
  <c r="BS12" i="46"/>
  <c r="BR12" i="46"/>
  <c r="BQ12" i="46"/>
  <c r="BP12" i="46"/>
  <c r="BO12" i="46"/>
  <c r="BN12" i="46"/>
  <c r="BM12" i="46"/>
  <c r="BL12" i="46"/>
  <c r="BK12" i="46"/>
  <c r="BJ12" i="46"/>
  <c r="BI12" i="46"/>
  <c r="BH12" i="46"/>
  <c r="BG12" i="46"/>
  <c r="BF12" i="46"/>
  <c r="BE12" i="46"/>
  <c r="BD12" i="46"/>
  <c r="BC12" i="46"/>
  <c r="BB12" i="46"/>
  <c r="BA12" i="46"/>
  <c r="AZ12" i="46"/>
  <c r="AY12" i="46"/>
  <c r="AX12" i="46"/>
  <c r="AW12" i="46"/>
  <c r="AV12" i="46"/>
  <c r="AU12" i="46"/>
  <c r="AT12" i="46"/>
  <c r="AS12" i="46"/>
  <c r="AR12" i="46"/>
  <c r="AQ12" i="46"/>
  <c r="AP12" i="46"/>
  <c r="AO12" i="46"/>
  <c r="AN12" i="46"/>
  <c r="AM12" i="46"/>
  <c r="AL12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C12" i="46"/>
  <c r="S8" i="46"/>
  <c r="R8" i="46"/>
  <c r="Q8" i="46"/>
  <c r="P8" i="46"/>
  <c r="O8" i="46"/>
  <c r="N8" i="46"/>
  <c r="M8" i="46"/>
  <c r="L8" i="46"/>
  <c r="K8" i="46"/>
  <c r="J8" i="46"/>
  <c r="I8" i="46"/>
  <c r="H8" i="46"/>
  <c r="G8" i="46"/>
  <c r="F8" i="46"/>
  <c r="E8" i="46"/>
  <c r="D8" i="46"/>
  <c r="C8" i="46"/>
  <c r="H7" i="46"/>
  <c r="G7" i="46"/>
  <c r="F7" i="46"/>
  <c r="E7" i="46"/>
  <c r="D7" i="46"/>
  <c r="C7" i="46"/>
  <c r="H6" i="46"/>
  <c r="G6" i="46"/>
  <c r="F6" i="46"/>
  <c r="E6" i="46"/>
  <c r="D6" i="46"/>
  <c r="C6" i="46"/>
  <c r="H5" i="46"/>
  <c r="I18" i="46"/>
  <c r="G5" i="46"/>
  <c r="F5" i="46"/>
  <c r="E5" i="46"/>
  <c r="F18" i="46"/>
  <c r="D5" i="46"/>
  <c r="E18" i="46"/>
  <c r="C5" i="46"/>
  <c r="D17" i="46"/>
  <c r="IH4" i="46"/>
  <c r="IG4" i="46"/>
  <c r="IF4" i="46"/>
  <c r="IE4" i="46"/>
  <c r="ID4" i="46"/>
  <c r="IC4" i="46"/>
  <c r="IB4" i="46"/>
  <c r="IA4" i="46"/>
  <c r="HZ4" i="46"/>
  <c r="HY4" i="46"/>
  <c r="HX4" i="46"/>
  <c r="HW4" i="46"/>
  <c r="HV4" i="46"/>
  <c r="HU4" i="46"/>
  <c r="HT4" i="46"/>
  <c r="HS4" i="46"/>
  <c r="HR4" i="46"/>
  <c r="HQ4" i="46"/>
  <c r="HP4" i="46"/>
  <c r="HO4" i="46"/>
  <c r="HN4" i="46"/>
  <c r="HM4" i="46"/>
  <c r="HL4" i="46"/>
  <c r="HK4" i="46"/>
  <c r="HJ4" i="46"/>
  <c r="HI4" i="46"/>
  <c r="HH4" i="46"/>
  <c r="HG4" i="46"/>
  <c r="HF4" i="46"/>
  <c r="HE4" i="46"/>
  <c r="HD4" i="46"/>
  <c r="HC4" i="46"/>
  <c r="HB4" i="46"/>
  <c r="HA4" i="46"/>
  <c r="GZ4" i="46"/>
  <c r="GY4" i="46"/>
  <c r="GX4" i="46"/>
  <c r="GW4" i="46"/>
  <c r="GV4" i="46"/>
  <c r="GU4" i="46"/>
  <c r="GT4" i="46"/>
  <c r="GS4" i="46"/>
  <c r="GR4" i="46"/>
  <c r="GQ4" i="46"/>
  <c r="GP4" i="46"/>
  <c r="GO4" i="46"/>
  <c r="GN4" i="46"/>
  <c r="GM4" i="46"/>
  <c r="GL4" i="46"/>
  <c r="GK4" i="46"/>
  <c r="GJ4" i="46"/>
  <c r="GI4" i="46"/>
  <c r="GH4" i="46"/>
  <c r="GG4" i="46"/>
  <c r="GF4" i="46"/>
  <c r="GE4" i="46"/>
  <c r="GD4" i="46"/>
  <c r="GC4" i="46"/>
  <c r="GB4" i="46"/>
  <c r="GA4" i="46"/>
  <c r="FZ4" i="46"/>
  <c r="FY4" i="46"/>
  <c r="FX4" i="46"/>
  <c r="FW4" i="46"/>
  <c r="FV4" i="46"/>
  <c r="FU4" i="46"/>
  <c r="FT4" i="46"/>
  <c r="FS4" i="46"/>
  <c r="FR4" i="46"/>
  <c r="FQ4" i="46"/>
  <c r="FP4" i="46"/>
  <c r="FO4" i="46"/>
  <c r="FN4" i="46"/>
  <c r="FM4" i="46"/>
  <c r="FL4" i="46"/>
  <c r="FK4" i="46"/>
  <c r="FJ4" i="46"/>
  <c r="FI4" i="46"/>
  <c r="FH4" i="46"/>
  <c r="FG4" i="46"/>
  <c r="FF4" i="46"/>
  <c r="FE4" i="46"/>
  <c r="FD4" i="46"/>
  <c r="FC4" i="46"/>
  <c r="FB4" i="46"/>
  <c r="FA4" i="46"/>
  <c r="EZ4" i="46"/>
  <c r="EY4" i="46"/>
  <c r="EX4" i="46"/>
  <c r="EW4" i="46"/>
  <c r="EV4" i="46"/>
  <c r="EU4" i="46"/>
  <c r="ET4" i="46"/>
  <c r="ES4" i="46"/>
  <c r="ER4" i="46"/>
  <c r="EQ4" i="46"/>
  <c r="EP4" i="46"/>
  <c r="EO4" i="46"/>
  <c r="EN4" i="46"/>
  <c r="EM4" i="46"/>
  <c r="EL4" i="46"/>
  <c r="EK4" i="46"/>
  <c r="EJ4" i="46"/>
  <c r="EI4" i="46"/>
  <c r="EH4" i="46"/>
  <c r="EG4" i="46"/>
  <c r="EF4" i="46"/>
  <c r="EE4" i="46"/>
  <c r="ED4" i="46"/>
  <c r="EC4" i="46"/>
  <c r="EB4" i="46"/>
  <c r="EA4" i="46"/>
  <c r="DZ4" i="46"/>
  <c r="DY4" i="46"/>
  <c r="DX4" i="46"/>
  <c r="DW4" i="46"/>
  <c r="DV4" i="46"/>
  <c r="DU4" i="46"/>
  <c r="DT4" i="46"/>
  <c r="DS4" i="46"/>
  <c r="DR4" i="46"/>
  <c r="DQ4" i="46"/>
  <c r="DP4" i="46"/>
  <c r="DO4" i="46"/>
  <c r="DN4" i="46"/>
  <c r="DM4" i="46"/>
  <c r="DL4" i="46"/>
  <c r="DK4" i="46"/>
  <c r="DJ4" i="46"/>
  <c r="DI4" i="46"/>
  <c r="DH4" i="46"/>
  <c r="DG4" i="46"/>
  <c r="DF4" i="46"/>
  <c r="DE4" i="46"/>
  <c r="DD4" i="46"/>
  <c r="DC4" i="46"/>
  <c r="DB4" i="46"/>
  <c r="DA4" i="46"/>
  <c r="CZ4" i="46"/>
  <c r="CY4" i="46"/>
  <c r="CX4" i="46"/>
  <c r="CW4" i="46"/>
  <c r="CV4" i="46"/>
  <c r="CU4" i="46"/>
  <c r="CT4" i="46"/>
  <c r="CS4" i="46"/>
  <c r="CR4" i="46"/>
  <c r="CQ4" i="46"/>
  <c r="CP4" i="46"/>
  <c r="CO4" i="46"/>
  <c r="CN4" i="46"/>
  <c r="CM4" i="46"/>
  <c r="CL4" i="46"/>
  <c r="CK4" i="46"/>
  <c r="CJ4" i="46"/>
  <c r="CI4" i="46"/>
  <c r="CH4" i="46"/>
  <c r="CG4" i="46"/>
  <c r="CF4" i="46"/>
  <c r="CE4" i="46"/>
  <c r="CD4" i="46"/>
  <c r="CC4" i="46"/>
  <c r="CB4" i="46"/>
  <c r="CA4" i="46"/>
  <c r="BZ4" i="46"/>
  <c r="BY4" i="46"/>
  <c r="BX4" i="46"/>
  <c r="BW4" i="46"/>
  <c r="BV4" i="46"/>
  <c r="BU4" i="46"/>
  <c r="BT4" i="46"/>
  <c r="BS4" i="46"/>
  <c r="BR4" i="46"/>
  <c r="BQ4" i="46"/>
  <c r="BP4" i="46"/>
  <c r="BO4" i="46"/>
  <c r="BN4" i="46"/>
  <c r="BM4" i="46"/>
  <c r="BL4" i="46"/>
  <c r="BK4" i="46"/>
  <c r="BJ4" i="46"/>
  <c r="BI4" i="46"/>
  <c r="BH4" i="46"/>
  <c r="BG4" i="46"/>
  <c r="BF4" i="46"/>
  <c r="BE4" i="46"/>
  <c r="BD4" i="46"/>
  <c r="BC4" i="46"/>
  <c r="BB4" i="46"/>
  <c r="BA4" i="46"/>
  <c r="AZ4" i="46"/>
  <c r="AY4" i="46"/>
  <c r="AX4" i="46"/>
  <c r="AW4" i="46"/>
  <c r="AV4" i="46"/>
  <c r="AU4" i="46"/>
  <c r="AT4" i="46"/>
  <c r="AS4" i="46"/>
  <c r="AR4" i="46"/>
  <c r="AQ4" i="46"/>
  <c r="AP4" i="46"/>
  <c r="AO4" i="46"/>
  <c r="AN4" i="46"/>
  <c r="AM4" i="46"/>
  <c r="AL4" i="46"/>
  <c r="AK4" i="46"/>
  <c r="AJ4" i="46"/>
  <c r="AI4" i="46"/>
  <c r="AH4" i="46"/>
  <c r="AG4" i="46"/>
  <c r="AF4" i="46"/>
  <c r="AE4" i="46"/>
  <c r="AD4" i="46"/>
  <c r="AC4" i="46"/>
  <c r="AB4" i="46"/>
  <c r="AA4" i="46"/>
  <c r="Z4" i="46"/>
  <c r="Y4" i="46"/>
  <c r="X4" i="46"/>
  <c r="W4" i="46"/>
  <c r="V4" i="46"/>
  <c r="U4" i="46"/>
  <c r="T4" i="46"/>
  <c r="S4" i="46"/>
  <c r="R4" i="46"/>
  <c r="Q4" i="46"/>
  <c r="P4" i="46"/>
  <c r="O4" i="46"/>
  <c r="N4" i="46"/>
  <c r="M4" i="46"/>
  <c r="L4" i="46"/>
  <c r="K4" i="46"/>
  <c r="J4" i="46"/>
  <c r="I4" i="46"/>
  <c r="H4" i="46"/>
  <c r="G4" i="46"/>
  <c r="F4" i="46"/>
  <c r="E4" i="46"/>
  <c r="D4" i="46"/>
  <c r="C4" i="46"/>
  <c r="E17" i="46"/>
  <c r="E19" i="46"/>
  <c r="E38" i="46"/>
  <c r="I19" i="46"/>
  <c r="I38" i="46"/>
  <c r="F17" i="46"/>
  <c r="G17" i="46"/>
  <c r="G18" i="46"/>
  <c r="H17" i="46"/>
  <c r="H18" i="46"/>
  <c r="F19" i="46"/>
  <c r="F38" i="46"/>
  <c r="D18" i="46"/>
  <c r="D19" i="46"/>
  <c r="C38" i="46"/>
  <c r="C36" i="46"/>
  <c r="H19" i="46"/>
  <c r="H38" i="46"/>
  <c r="G19" i="46"/>
  <c r="G38" i="46"/>
  <c r="D38" i="46"/>
  <c r="D39" i="46"/>
  <c r="E39" i="46"/>
  <c r="F39" i="46"/>
  <c r="C39" i="46"/>
  <c r="C22" i="46"/>
  <c r="G39" i="46"/>
  <c r="H39" i="46"/>
  <c r="I39" i="46"/>
  <c r="J39" i="46"/>
  <c r="C42" i="46"/>
  <c r="C43" i="46" s="1"/>
  <c r="I5" i="46"/>
  <c r="D34" i="2"/>
  <c r="AG9" i="4"/>
  <c r="AF9" i="4"/>
  <c r="AN9" i="4"/>
  <c r="AL16" i="46" s="1"/>
  <c r="AL17" i="46" s="1"/>
  <c r="AL9" i="4"/>
  <c r="AX9" i="4" s="1"/>
  <c r="AS9" i="4"/>
  <c r="AE16" i="46"/>
  <c r="XFD1048576" i="45" a="1"/>
  <c r="XFD1048575" i="45" a="1"/>
  <c r="XFD1048574" i="45" a="1"/>
  <c r="XFD1048573" i="45" a="1"/>
  <c r="XFD1048572" i="45" a="1"/>
  <c r="XFD1048571" i="45" a="1"/>
  <c r="XFD1048570" i="45" a="1"/>
  <c r="XFD1048569" i="45" a="1"/>
  <c r="XFD1048568" i="45" a="1"/>
  <c r="XFD1048567" i="45" a="1"/>
  <c r="XFD1048566" i="45" a="1"/>
  <c r="XFD1048565" i="45" a="1"/>
  <c r="XFD1048564" i="45" a="1"/>
  <c r="XFD1048563" i="45" a="1"/>
  <c r="XFD1048562" i="45" a="1"/>
  <c r="XFD1048561" i="45" a="1"/>
  <c r="XFD1048560" i="45" a="1"/>
  <c r="XFD1048559" i="45" a="1"/>
  <c r="XFD1048558" i="45" a="1"/>
  <c r="XFD1048557" i="45" a="1"/>
  <c r="XFD1048556" i="45" a="1"/>
  <c r="XFD1048555" i="45" a="1"/>
  <c r="XFD1048554" i="45" a="1"/>
  <c r="XFD1048553" i="45" a="1"/>
  <c r="XFD1048552" i="45" a="1"/>
  <c r="XFD1048551" i="45" a="1"/>
  <c r="D55" i="45"/>
  <c r="E54" i="45"/>
  <c r="C40" i="45"/>
  <c r="E36" i="45"/>
  <c r="C35" i="45"/>
  <c r="B31" i="45"/>
  <c r="H12" i="45"/>
  <c r="G12" i="45"/>
  <c r="I8" i="45"/>
  <c r="H8" i="45"/>
  <c r="D54" i="45"/>
  <c r="D56" i="45"/>
  <c r="G8" i="45"/>
  <c r="F8" i="45"/>
  <c r="F12" i="45"/>
  <c r="E8" i="45"/>
  <c r="E12" i="45"/>
  <c r="D8" i="45"/>
  <c r="D12" i="45"/>
  <c r="C8" i="45"/>
  <c r="C12" i="45"/>
  <c r="B8" i="45"/>
  <c r="B12" i="45"/>
  <c r="B13" i="45"/>
  <c r="IM2" i="45"/>
  <c r="IL2" i="45"/>
  <c r="IK2" i="45"/>
  <c r="IJ2" i="45"/>
  <c r="II2" i="45"/>
  <c r="IH2" i="45"/>
  <c r="IG2" i="45"/>
  <c r="IF2" i="45"/>
  <c r="IE2" i="45"/>
  <c r="ID2" i="45"/>
  <c r="IC2" i="45"/>
  <c r="IB2" i="45"/>
  <c r="IA2" i="45"/>
  <c r="HZ2" i="45"/>
  <c r="HY2" i="45"/>
  <c r="HX2" i="45"/>
  <c r="HW2" i="45"/>
  <c r="HV2" i="45"/>
  <c r="HU2" i="45"/>
  <c r="HT2" i="45"/>
  <c r="HS2" i="45"/>
  <c r="HR2" i="45"/>
  <c r="HQ2" i="45"/>
  <c r="HP2" i="45"/>
  <c r="HO2" i="45"/>
  <c r="HN2" i="45"/>
  <c r="HM2" i="45"/>
  <c r="HL2" i="45"/>
  <c r="HK2" i="45"/>
  <c r="HJ2" i="45"/>
  <c r="HI2" i="45"/>
  <c r="HH2" i="45"/>
  <c r="HG2" i="45"/>
  <c r="HF2" i="45"/>
  <c r="HE2" i="45"/>
  <c r="HD2" i="45"/>
  <c r="HC2" i="45"/>
  <c r="HB2" i="45"/>
  <c r="HA2" i="45"/>
  <c r="GZ2" i="45"/>
  <c r="GY2" i="45"/>
  <c r="GX2" i="45"/>
  <c r="GW2" i="45"/>
  <c r="GV2" i="45"/>
  <c r="GU2" i="45"/>
  <c r="GT2" i="45"/>
  <c r="GS2" i="45"/>
  <c r="GR2" i="45"/>
  <c r="GQ2" i="45"/>
  <c r="GP2" i="45"/>
  <c r="GO2" i="45"/>
  <c r="GN2" i="45"/>
  <c r="GM2" i="45"/>
  <c r="GL2" i="45"/>
  <c r="GK2" i="45"/>
  <c r="GJ2" i="45"/>
  <c r="GI2" i="45"/>
  <c r="GH2" i="45"/>
  <c r="GG2" i="45"/>
  <c r="GF2" i="45"/>
  <c r="GE2" i="45"/>
  <c r="GD2" i="45"/>
  <c r="GC2" i="45"/>
  <c r="GB2" i="45"/>
  <c r="GA2" i="45"/>
  <c r="FZ2" i="45"/>
  <c r="FY2" i="45"/>
  <c r="FX2" i="45"/>
  <c r="FW2" i="45"/>
  <c r="FV2" i="45"/>
  <c r="FU2" i="45"/>
  <c r="FT2" i="45"/>
  <c r="FS2" i="45"/>
  <c r="FR2" i="45"/>
  <c r="FQ2" i="45"/>
  <c r="FP2" i="45"/>
  <c r="FO2" i="45"/>
  <c r="FN2" i="45"/>
  <c r="FM2" i="45"/>
  <c r="FL2" i="45"/>
  <c r="FK2" i="45"/>
  <c r="FJ2" i="45"/>
  <c r="FI2" i="45"/>
  <c r="FH2" i="45"/>
  <c r="FG2" i="45"/>
  <c r="FF2" i="45"/>
  <c r="FE2" i="45"/>
  <c r="FD2" i="45"/>
  <c r="FC2" i="45"/>
  <c r="FB2" i="45"/>
  <c r="FA2" i="45"/>
  <c r="EZ2" i="45"/>
  <c r="EY2" i="45"/>
  <c r="EX2" i="45"/>
  <c r="EW2" i="45"/>
  <c r="EV2" i="45"/>
  <c r="EU2" i="45"/>
  <c r="ET2" i="45"/>
  <c r="ES2" i="45"/>
  <c r="ER2" i="45"/>
  <c r="EQ2" i="45"/>
  <c r="EP2" i="45"/>
  <c r="EO2" i="45"/>
  <c r="EN2" i="45"/>
  <c r="EM2" i="45"/>
  <c r="EL2" i="45"/>
  <c r="EK2" i="45"/>
  <c r="EJ2" i="45"/>
  <c r="EI2" i="45"/>
  <c r="EH2" i="45"/>
  <c r="EG2" i="45"/>
  <c r="EF2" i="45"/>
  <c r="EE2" i="45"/>
  <c r="ED2" i="45"/>
  <c r="EC2" i="45"/>
  <c r="EB2" i="45"/>
  <c r="EA2" i="45"/>
  <c r="DZ2" i="45"/>
  <c r="DY2" i="45"/>
  <c r="DX2" i="45"/>
  <c r="DW2" i="45"/>
  <c r="DV2" i="45"/>
  <c r="DU2" i="45"/>
  <c r="DT2" i="45"/>
  <c r="DS2" i="45"/>
  <c r="DR2" i="45"/>
  <c r="DQ2" i="45"/>
  <c r="DP2" i="45"/>
  <c r="DO2" i="45"/>
  <c r="DN2" i="45"/>
  <c r="DM2" i="45"/>
  <c r="DL2" i="45"/>
  <c r="DK2" i="45"/>
  <c r="DJ2" i="45"/>
  <c r="DI2" i="45"/>
  <c r="DH2" i="45"/>
  <c r="DG2" i="45"/>
  <c r="DF2" i="45"/>
  <c r="DE2" i="45"/>
  <c r="DD2" i="45"/>
  <c r="DC2" i="45"/>
  <c r="DB2" i="45"/>
  <c r="DA2" i="45"/>
  <c r="CZ2" i="45"/>
  <c r="CY2" i="45"/>
  <c r="CX2" i="45"/>
  <c r="CW2" i="45"/>
  <c r="CV2" i="45"/>
  <c r="CU2" i="45"/>
  <c r="CT2" i="45"/>
  <c r="CS2" i="45"/>
  <c r="CR2" i="45"/>
  <c r="CQ2" i="45"/>
  <c r="CP2" i="45"/>
  <c r="CO2" i="45"/>
  <c r="CN2" i="45"/>
  <c r="CM2" i="45"/>
  <c r="CL2" i="45"/>
  <c r="CK2" i="45"/>
  <c r="CJ2" i="45"/>
  <c r="CI2" i="45"/>
  <c r="CH2" i="45"/>
  <c r="CG2" i="45"/>
  <c r="CF2" i="45"/>
  <c r="CE2" i="45"/>
  <c r="CD2" i="45"/>
  <c r="CC2" i="45"/>
  <c r="CB2" i="45"/>
  <c r="CA2" i="45"/>
  <c r="BZ2" i="45"/>
  <c r="BY2" i="45"/>
  <c r="BX2" i="45"/>
  <c r="BW2" i="45"/>
  <c r="BV2" i="45"/>
  <c r="BU2" i="45"/>
  <c r="BT2" i="45"/>
  <c r="BS2" i="45"/>
  <c r="BR2" i="45"/>
  <c r="BQ2" i="45"/>
  <c r="BP2" i="45"/>
  <c r="BO2" i="45"/>
  <c r="BN2" i="45"/>
  <c r="BM2" i="45"/>
  <c r="BL2" i="45"/>
  <c r="BK2" i="45"/>
  <c r="BJ2" i="45"/>
  <c r="BI2" i="45"/>
  <c r="BH2" i="45"/>
  <c r="BG2" i="45"/>
  <c r="BF2" i="45"/>
  <c r="BE2" i="45"/>
  <c r="BD2" i="45"/>
  <c r="BC2" i="45"/>
  <c r="BB2" i="45"/>
  <c r="BA2" i="45"/>
  <c r="AZ2" i="45"/>
  <c r="AY2" i="45"/>
  <c r="AX2" i="45"/>
  <c r="AW2" i="45"/>
  <c r="AV2" i="45"/>
  <c r="AU2" i="45"/>
  <c r="AT2" i="45"/>
  <c r="AS2" i="45"/>
  <c r="AR2" i="45"/>
  <c r="AQ2" i="45"/>
  <c r="AP2" i="45"/>
  <c r="AO2" i="45"/>
  <c r="AN2" i="45"/>
  <c r="AM2" i="45"/>
  <c r="AL2" i="45"/>
  <c r="AK2" i="45"/>
  <c r="AJ2" i="45"/>
  <c r="AI2" i="45"/>
  <c r="AH2" i="45"/>
  <c r="AG2" i="45"/>
  <c r="AF2" i="45"/>
  <c r="AE2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2" i="45"/>
  <c r="B2" i="45"/>
  <c r="C13" i="45"/>
  <c r="D13" i="45"/>
  <c r="E13" i="45"/>
  <c r="F13" i="45"/>
  <c r="G13" i="45"/>
  <c r="H13" i="45"/>
  <c r="C16" i="45"/>
  <c r="C49" i="45" s="1"/>
  <c r="C17" i="45"/>
  <c r="C50" i="45" s="1"/>
  <c r="GH10" i="34"/>
  <c r="GI10" i="34"/>
  <c r="GJ10" i="34"/>
  <c r="GK10" i="34"/>
  <c r="GL10" i="34"/>
  <c r="GM10" i="34"/>
  <c r="GN10" i="34"/>
  <c r="GO10" i="34"/>
  <c r="GP10" i="34"/>
  <c r="GQ10" i="34"/>
  <c r="GR10" i="34"/>
  <c r="GS10" i="34"/>
  <c r="GT10" i="34"/>
  <c r="GU10" i="34"/>
  <c r="GV10" i="34"/>
  <c r="GW10" i="34"/>
  <c r="GX10" i="34"/>
  <c r="GY10" i="34"/>
  <c r="GZ10" i="34"/>
  <c r="HA10" i="34"/>
  <c r="HB10" i="34"/>
  <c r="HC10" i="34"/>
  <c r="HD10" i="34"/>
  <c r="HE10" i="34"/>
  <c r="HF10" i="34"/>
  <c r="HG10" i="34"/>
  <c r="HH10" i="34"/>
  <c r="HI10" i="34"/>
  <c r="HJ10" i="34"/>
  <c r="HK10" i="34"/>
  <c r="HL10" i="34"/>
  <c r="HM10" i="34"/>
  <c r="HN10" i="34"/>
  <c r="HO10" i="34"/>
  <c r="HP10" i="34"/>
  <c r="HQ10" i="34"/>
  <c r="HR10" i="34"/>
  <c r="HS10" i="34"/>
  <c r="HT10" i="34"/>
  <c r="HU10" i="34"/>
  <c r="HV10" i="34"/>
  <c r="HW10" i="34"/>
  <c r="HX10" i="34"/>
  <c r="HY10" i="34"/>
  <c r="HZ10" i="34"/>
  <c r="IA10" i="34"/>
  <c r="IB10" i="34"/>
  <c r="IC10" i="34"/>
  <c r="ID10" i="34"/>
  <c r="IE10" i="34"/>
  <c r="IF10" i="34"/>
  <c r="IG10" i="34"/>
  <c r="IH10" i="34"/>
  <c r="II10" i="34"/>
  <c r="IJ10" i="34"/>
  <c r="IK10" i="34"/>
  <c r="IL10" i="34"/>
  <c r="IM10" i="34"/>
  <c r="DZ10" i="33"/>
  <c r="EA10" i="33"/>
  <c r="EB10" i="33"/>
  <c r="EC10" i="33"/>
  <c r="ED10" i="33"/>
  <c r="EE10" i="33"/>
  <c r="EF10" i="33"/>
  <c r="EG10" i="33"/>
  <c r="EH10" i="33"/>
  <c r="EI10" i="33"/>
  <c r="EJ10" i="33"/>
  <c r="EK10" i="33"/>
  <c r="EL10" i="33"/>
  <c r="EM10" i="33"/>
  <c r="EN10" i="33"/>
  <c r="EO10" i="33"/>
  <c r="EP10" i="33"/>
  <c r="EQ10" i="33"/>
  <c r="ER10" i="33"/>
  <c r="ES10" i="33"/>
  <c r="ET10" i="33"/>
  <c r="EU10" i="33"/>
  <c r="EV10" i="33"/>
  <c r="EW10" i="33"/>
  <c r="EX10" i="33"/>
  <c r="EY10" i="33"/>
  <c r="EZ10" i="33"/>
  <c r="FA10" i="33"/>
  <c r="FB10" i="33"/>
  <c r="FC10" i="33"/>
  <c r="FD10" i="33"/>
  <c r="FE10" i="33"/>
  <c r="FF10" i="33"/>
  <c r="FG10" i="33"/>
  <c r="FH10" i="33"/>
  <c r="FI10" i="33"/>
  <c r="FJ10" i="33"/>
  <c r="FK10" i="33"/>
  <c r="FL10" i="33"/>
  <c r="FM10" i="33"/>
  <c r="FN10" i="33"/>
  <c r="FO10" i="33"/>
  <c r="FP10" i="33"/>
  <c r="FQ10" i="33"/>
  <c r="FR10" i="33"/>
  <c r="FS10" i="33"/>
  <c r="FT10" i="33"/>
  <c r="FU10" i="33"/>
  <c r="FV10" i="33"/>
  <c r="FW10" i="33"/>
  <c r="FX10" i="33"/>
  <c r="FY10" i="33"/>
  <c r="FZ10" i="33"/>
  <c r="GA10" i="33"/>
  <c r="GB10" i="33"/>
  <c r="GC10" i="33"/>
  <c r="GD10" i="33"/>
  <c r="GE10" i="33"/>
  <c r="GF10" i="33"/>
  <c r="GG10" i="33"/>
  <c r="GH10" i="33"/>
  <c r="GI10" i="33"/>
  <c r="GJ10" i="33"/>
  <c r="GK10" i="33"/>
  <c r="GL10" i="33"/>
  <c r="GM10" i="33"/>
  <c r="GN10" i="33"/>
  <c r="GO10" i="33"/>
  <c r="GP10" i="33"/>
  <c r="GQ10" i="33"/>
  <c r="GR10" i="33"/>
  <c r="GS10" i="33"/>
  <c r="GT10" i="33"/>
  <c r="GU10" i="33"/>
  <c r="GV10" i="33"/>
  <c r="GW10" i="33"/>
  <c r="GX10" i="33"/>
  <c r="GY10" i="33"/>
  <c r="GZ10" i="33"/>
  <c r="HA10" i="33"/>
  <c r="HB10" i="33"/>
  <c r="HC10" i="33"/>
  <c r="HD10" i="33"/>
  <c r="HE10" i="33"/>
  <c r="HF10" i="33"/>
  <c r="HG10" i="33"/>
  <c r="HH10" i="33"/>
  <c r="HI10" i="33"/>
  <c r="HJ10" i="33"/>
  <c r="HK10" i="33"/>
  <c r="HL10" i="33"/>
  <c r="HM10" i="33"/>
  <c r="HN10" i="33"/>
  <c r="HO10" i="33"/>
  <c r="HP10" i="33"/>
  <c r="HQ10" i="33"/>
  <c r="HR10" i="33"/>
  <c r="HS10" i="33"/>
  <c r="HT10" i="33"/>
  <c r="HU10" i="33"/>
  <c r="HV10" i="33"/>
  <c r="HW10" i="33"/>
  <c r="HX10" i="33"/>
  <c r="HY10" i="33"/>
  <c r="HZ10" i="33"/>
  <c r="IA10" i="33"/>
  <c r="IB10" i="33"/>
  <c r="IC10" i="33"/>
  <c r="ID10" i="33"/>
  <c r="IE10" i="33"/>
  <c r="IF10" i="33"/>
  <c r="IG10" i="33"/>
  <c r="IH10" i="33"/>
  <c r="II10" i="33"/>
  <c r="IJ10" i="33"/>
  <c r="IK10" i="33"/>
  <c r="IL10" i="33"/>
  <c r="IM10" i="33"/>
  <c r="BR10" i="27"/>
  <c r="BS10" i="27"/>
  <c r="BT10" i="27"/>
  <c r="BU10" i="27"/>
  <c r="BV10" i="27"/>
  <c r="BW10" i="27"/>
  <c r="BX10" i="27"/>
  <c r="BY10" i="27"/>
  <c r="BZ10" i="27"/>
  <c r="CA10" i="27"/>
  <c r="CB10" i="27"/>
  <c r="CC10" i="27"/>
  <c r="CD10" i="27"/>
  <c r="HM5" i="10"/>
  <c r="HN5" i="10"/>
  <c r="HO5" i="10"/>
  <c r="HP5" i="10"/>
  <c r="HQ5" i="10"/>
  <c r="HR5" i="10"/>
  <c r="HS5" i="10"/>
  <c r="HT5" i="10"/>
  <c r="HU5" i="10"/>
  <c r="HV5" i="10"/>
  <c r="HW5" i="10"/>
  <c r="HX5" i="10"/>
  <c r="HY5" i="10"/>
  <c r="HZ5" i="10"/>
  <c r="IA5" i="10"/>
  <c r="IB5" i="10"/>
  <c r="IC5" i="10"/>
  <c r="ID5" i="10"/>
  <c r="IE5" i="10"/>
  <c r="IF5" i="10"/>
  <c r="IG5" i="10"/>
  <c r="IH5" i="10"/>
  <c r="II5" i="10"/>
  <c r="IJ5" i="10"/>
  <c r="IK5" i="10"/>
  <c r="IL5" i="10"/>
  <c r="IM5" i="10"/>
  <c r="IN5" i="10"/>
  <c r="IO5" i="10"/>
  <c r="IP5" i="10"/>
  <c r="IQ5" i="10"/>
  <c r="IR5" i="10"/>
  <c r="IS5" i="10"/>
  <c r="IT5" i="10"/>
  <c r="IU5" i="10"/>
  <c r="IV5" i="10"/>
  <c r="IW5" i="10"/>
  <c r="IX5" i="10"/>
  <c r="IY5" i="10"/>
  <c r="IZ5" i="10"/>
  <c r="JA5" i="10"/>
  <c r="JB5" i="10"/>
  <c r="JC5" i="10"/>
  <c r="HH5" i="10"/>
  <c r="HI5" i="10"/>
  <c r="HJ5" i="10"/>
  <c r="HK5" i="10"/>
  <c r="HL5" i="10"/>
  <c r="R112" i="11"/>
  <c r="S112" i="11"/>
  <c r="T112" i="11"/>
  <c r="U112" i="11"/>
  <c r="Q76" i="11"/>
  <c r="R76" i="11"/>
  <c r="S76" i="11"/>
  <c r="T76" i="11"/>
  <c r="U76" i="11"/>
  <c r="M76" i="11"/>
  <c r="N76" i="11"/>
  <c r="O76" i="11"/>
  <c r="P76" i="11"/>
  <c r="II2" i="34"/>
  <c r="IJ2" i="34"/>
  <c r="IK2" i="34"/>
  <c r="IL2" i="34"/>
  <c r="IM2" i="34"/>
  <c r="GI47" i="4"/>
  <c r="GJ47" i="4"/>
  <c r="GK47" i="4"/>
  <c r="GL47" i="4"/>
  <c r="GM47" i="4"/>
  <c r="GN47" i="4"/>
  <c r="GO47" i="4"/>
  <c r="GP47" i="4"/>
  <c r="GQ47" i="4"/>
  <c r="GR47" i="4"/>
  <c r="GS47" i="4"/>
  <c r="GT47" i="4"/>
  <c r="GU47" i="4"/>
  <c r="GV47" i="4"/>
  <c r="GW47" i="4"/>
  <c r="GX47" i="4"/>
  <c r="GI48" i="4"/>
  <c r="GJ48" i="4"/>
  <c r="GK48" i="4"/>
  <c r="GL48" i="4"/>
  <c r="GM48" i="4"/>
  <c r="GN48" i="4"/>
  <c r="GO48" i="4"/>
  <c r="GP48" i="4"/>
  <c r="GQ48" i="4"/>
  <c r="GR48" i="4"/>
  <c r="GS48" i="4"/>
  <c r="GT48" i="4"/>
  <c r="GU48" i="4"/>
  <c r="GV48" i="4"/>
  <c r="GW48" i="4"/>
  <c r="GX48" i="4"/>
  <c r="GI49" i="4"/>
  <c r="GJ49" i="4"/>
  <c r="GK49" i="4"/>
  <c r="GL49" i="4"/>
  <c r="GM49" i="4"/>
  <c r="GN49" i="4"/>
  <c r="GO49" i="4"/>
  <c r="GP49" i="4"/>
  <c r="GQ49" i="4"/>
  <c r="GR49" i="4"/>
  <c r="GS49" i="4"/>
  <c r="GT49" i="4"/>
  <c r="GU49" i="4"/>
  <c r="GV49" i="4"/>
  <c r="GW49" i="4"/>
  <c r="GX49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EQ44" i="4"/>
  <c r="ER44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EQ45" i="4"/>
  <c r="ER45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IO18" i="4"/>
  <c r="IN18" i="4"/>
  <c r="IM18" i="4"/>
  <c r="IL18" i="4"/>
  <c r="IK18" i="4"/>
  <c r="IJ18" i="4"/>
  <c r="II18" i="4"/>
  <c r="IH18" i="4"/>
  <c r="IG18" i="4"/>
  <c r="IF18" i="4"/>
  <c r="IE18" i="4"/>
  <c r="ID18" i="4"/>
  <c r="IC18" i="4"/>
  <c r="IB18" i="4"/>
  <c r="IA18" i="4"/>
  <c r="HZ18" i="4"/>
  <c r="HY18" i="4"/>
  <c r="HX18" i="4"/>
  <c r="HW18" i="4"/>
  <c r="HV18" i="4"/>
  <c r="HU18" i="4"/>
  <c r="HT18" i="4"/>
  <c r="HS18" i="4"/>
  <c r="HR18" i="4"/>
  <c r="HQ18" i="4"/>
  <c r="HP18" i="4"/>
  <c r="HO18" i="4"/>
  <c r="HN18" i="4"/>
  <c r="HM18" i="4"/>
  <c r="HL18" i="4"/>
  <c r="HK18" i="4"/>
  <c r="HJ18" i="4"/>
  <c r="HI18" i="4"/>
  <c r="HH18" i="4"/>
  <c r="HG18" i="4"/>
  <c r="HF18" i="4"/>
  <c r="HE18" i="4"/>
  <c r="HD18" i="4"/>
  <c r="HC18" i="4"/>
  <c r="HB18" i="4"/>
  <c r="HA18" i="4"/>
  <c r="GZ18" i="4"/>
  <c r="GY18" i="4"/>
  <c r="GX18" i="4"/>
  <c r="GW18" i="4"/>
  <c r="GV18" i="4"/>
  <c r="GU18" i="4"/>
  <c r="GT18" i="4"/>
  <c r="GS18" i="4"/>
  <c r="GR18" i="4"/>
  <c r="GQ18" i="4"/>
  <c r="GP18" i="4"/>
  <c r="GO18" i="4"/>
  <c r="GN18" i="4"/>
  <c r="GM18" i="4"/>
  <c r="GL18" i="4"/>
  <c r="GK18" i="4"/>
  <c r="GJ18" i="4"/>
  <c r="GI18" i="4"/>
  <c r="GH18" i="4"/>
  <c r="GG18" i="4"/>
  <c r="GF18" i="4"/>
  <c r="GE18" i="4"/>
  <c r="GD18" i="4"/>
  <c r="GC18" i="4"/>
  <c r="GB18" i="4"/>
  <c r="GA18" i="4"/>
  <c r="FZ18" i="4"/>
  <c r="FY18" i="4"/>
  <c r="FX18" i="4"/>
  <c r="FW18" i="4"/>
  <c r="FV18" i="4"/>
  <c r="FU18" i="4"/>
  <c r="FT18" i="4"/>
  <c r="FS18" i="4"/>
  <c r="FR18" i="4"/>
  <c r="FQ18" i="4"/>
  <c r="FP18" i="4"/>
  <c r="FO18" i="4"/>
  <c r="FN18" i="4"/>
  <c r="FM18" i="4"/>
  <c r="FL18" i="4"/>
  <c r="FK18" i="4"/>
  <c r="FJ18" i="4"/>
  <c r="FI18" i="4"/>
  <c r="FH18" i="4"/>
  <c r="FG18" i="4"/>
  <c r="FF18" i="4"/>
  <c r="FE18" i="4"/>
  <c r="FD18" i="4"/>
  <c r="FC18" i="4"/>
  <c r="FB18" i="4"/>
  <c r="FA18" i="4"/>
  <c r="EZ18" i="4"/>
  <c r="EY18" i="4"/>
  <c r="EX18" i="4"/>
  <c r="EW18" i="4"/>
  <c r="EV18" i="4"/>
  <c r="EU18" i="4"/>
  <c r="ET18" i="4"/>
  <c r="ES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Q68" i="11"/>
  <c r="N68" i="11"/>
  <c r="M68" i="11"/>
  <c r="U104" i="11"/>
  <c r="F91" i="11"/>
  <c r="B91" i="11"/>
  <c r="K22" i="11"/>
  <c r="L22" i="11"/>
  <c r="M22" i="11"/>
  <c r="N22" i="11"/>
  <c r="S97" i="11"/>
  <c r="T97" i="11"/>
  <c r="U97" i="11"/>
  <c r="R61" i="11"/>
  <c r="R104" i="11"/>
  <c r="S61" i="11"/>
  <c r="S104" i="11"/>
  <c r="T61" i="11"/>
  <c r="T104" i="11"/>
  <c r="U61" i="11"/>
  <c r="P68" i="11"/>
  <c r="O68" i="11"/>
  <c r="M61" i="11"/>
  <c r="N61" i="11"/>
  <c r="O61" i="11"/>
  <c r="P61" i="11"/>
  <c r="R97" i="11"/>
  <c r="Q61" i="11"/>
  <c r="C91" i="11"/>
  <c r="S68" i="11"/>
  <c r="T15" i="11"/>
  <c r="R68" i="11"/>
  <c r="U68" i="11"/>
  <c r="T68" i="11"/>
  <c r="B9" i="11"/>
  <c r="B5" i="44" s="1"/>
  <c r="C55" i="11"/>
  <c r="D55" i="11"/>
  <c r="B55" i="11"/>
  <c r="F9" i="11"/>
  <c r="F5" i="44" s="1"/>
  <c r="F55" i="11"/>
  <c r="C9" i="11"/>
  <c r="C5" i="44" s="1"/>
  <c r="H56" i="4"/>
  <c r="II2" i="27"/>
  <c r="IJ2" i="27"/>
  <c r="IK2" i="27"/>
  <c r="IL2" i="27"/>
  <c r="IM2" i="27"/>
  <c r="II2" i="33"/>
  <c r="IJ2" i="33"/>
  <c r="IK2" i="33"/>
  <c r="IL2" i="33"/>
  <c r="IM2" i="33"/>
  <c r="IO46" i="4"/>
  <c r="IN46" i="4"/>
  <c r="IM46" i="4"/>
  <c r="IL46" i="4"/>
  <c r="IK46" i="4"/>
  <c r="IJ46" i="4"/>
  <c r="II46" i="4"/>
  <c r="IH46" i="4"/>
  <c r="IG46" i="4"/>
  <c r="IF46" i="4"/>
  <c r="IE46" i="4"/>
  <c r="ID46" i="4"/>
  <c r="IC46" i="4"/>
  <c r="IB46" i="4"/>
  <c r="IA46" i="4"/>
  <c r="HZ46" i="4"/>
  <c r="HY46" i="4"/>
  <c r="HX46" i="4"/>
  <c r="HW46" i="4"/>
  <c r="HV46" i="4"/>
  <c r="HU46" i="4"/>
  <c r="HT46" i="4"/>
  <c r="HS46" i="4"/>
  <c r="HR46" i="4"/>
  <c r="HQ46" i="4"/>
  <c r="HP46" i="4"/>
  <c r="HO46" i="4"/>
  <c r="HN46" i="4"/>
  <c r="HM46" i="4"/>
  <c r="HL46" i="4"/>
  <c r="HK46" i="4"/>
  <c r="HJ46" i="4"/>
  <c r="HI46" i="4"/>
  <c r="HH46" i="4"/>
  <c r="HG46" i="4"/>
  <c r="HF46" i="4"/>
  <c r="HE46" i="4"/>
  <c r="HD46" i="4"/>
  <c r="HC46" i="4"/>
  <c r="HB46" i="4"/>
  <c r="HA46" i="4"/>
  <c r="GZ46" i="4"/>
  <c r="GY46" i="4"/>
  <c r="GX46" i="4"/>
  <c r="GW46" i="4"/>
  <c r="GV46" i="4"/>
  <c r="GU46" i="4"/>
  <c r="GT46" i="4"/>
  <c r="GS46" i="4"/>
  <c r="GR46" i="4"/>
  <c r="GQ46" i="4"/>
  <c r="GP46" i="4"/>
  <c r="GO46" i="4"/>
  <c r="GN46" i="4"/>
  <c r="GM46" i="4"/>
  <c r="GL46" i="4"/>
  <c r="GK46" i="4"/>
  <c r="GJ46" i="4"/>
  <c r="GI46" i="4"/>
  <c r="IO42" i="4"/>
  <c r="IN42" i="4"/>
  <c r="IM42" i="4"/>
  <c r="IL42" i="4"/>
  <c r="IK42" i="4"/>
  <c r="IJ42" i="4"/>
  <c r="II42" i="4"/>
  <c r="IH42" i="4"/>
  <c r="IG42" i="4"/>
  <c r="IF42" i="4"/>
  <c r="IE42" i="4"/>
  <c r="ID42" i="4"/>
  <c r="IC42" i="4"/>
  <c r="IB42" i="4"/>
  <c r="IA42" i="4"/>
  <c r="HZ42" i="4"/>
  <c r="HY42" i="4"/>
  <c r="HX42" i="4"/>
  <c r="HW42" i="4"/>
  <c r="HV42" i="4"/>
  <c r="HU42" i="4"/>
  <c r="HT42" i="4"/>
  <c r="HS42" i="4"/>
  <c r="HR42" i="4"/>
  <c r="HQ42" i="4"/>
  <c r="HP42" i="4"/>
  <c r="HO42" i="4"/>
  <c r="HN42" i="4"/>
  <c r="HM42" i="4"/>
  <c r="HL42" i="4"/>
  <c r="HK42" i="4"/>
  <c r="HJ42" i="4"/>
  <c r="HI42" i="4"/>
  <c r="HH42" i="4"/>
  <c r="HG42" i="4"/>
  <c r="HF42" i="4"/>
  <c r="HE42" i="4"/>
  <c r="HD42" i="4"/>
  <c r="HC42" i="4"/>
  <c r="HB42" i="4"/>
  <c r="HA42" i="4"/>
  <c r="GZ42" i="4"/>
  <c r="GY42" i="4"/>
  <c r="GX42" i="4"/>
  <c r="GW42" i="4"/>
  <c r="GV42" i="4"/>
  <c r="GU42" i="4"/>
  <c r="GT42" i="4"/>
  <c r="GS42" i="4"/>
  <c r="GR42" i="4"/>
  <c r="GQ42" i="4"/>
  <c r="GP42" i="4"/>
  <c r="GO42" i="4"/>
  <c r="GN42" i="4"/>
  <c r="GM42" i="4"/>
  <c r="GL42" i="4"/>
  <c r="GK42" i="4"/>
  <c r="GJ42" i="4"/>
  <c r="GI42" i="4"/>
  <c r="GH42" i="4"/>
  <c r="GG42" i="4"/>
  <c r="GF42" i="4"/>
  <c r="GE42" i="4"/>
  <c r="GD42" i="4"/>
  <c r="GC42" i="4"/>
  <c r="GB42" i="4"/>
  <c r="GA42" i="4"/>
  <c r="FZ42" i="4"/>
  <c r="FY42" i="4"/>
  <c r="FX42" i="4"/>
  <c r="FW42" i="4"/>
  <c r="FV42" i="4"/>
  <c r="FU42" i="4"/>
  <c r="FT42" i="4"/>
  <c r="FS42" i="4"/>
  <c r="FR42" i="4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D42" i="4"/>
  <c r="FC42" i="4"/>
  <c r="FB42" i="4"/>
  <c r="FA42" i="4"/>
  <c r="EZ42" i="4"/>
  <c r="EY42" i="4"/>
  <c r="EX42" i="4"/>
  <c r="EW42" i="4"/>
  <c r="EV42" i="4"/>
  <c r="EU42" i="4"/>
  <c r="ET42" i="4"/>
  <c r="ES42" i="4"/>
  <c r="ER42" i="4"/>
  <c r="EQ42" i="4"/>
  <c r="EP42" i="4"/>
  <c r="EO42" i="4"/>
  <c r="EN42" i="4"/>
  <c r="EM42" i="4"/>
  <c r="EL42" i="4"/>
  <c r="EK42" i="4"/>
  <c r="EJ42" i="4"/>
  <c r="EI42" i="4"/>
  <c r="EH42" i="4"/>
  <c r="EG42" i="4"/>
  <c r="EF42" i="4"/>
  <c r="EE42" i="4"/>
  <c r="ED42" i="4"/>
  <c r="EC42" i="4"/>
  <c r="EB42" i="4"/>
  <c r="EA42" i="4"/>
  <c r="C8" i="7"/>
  <c r="D8" i="7"/>
  <c r="E8" i="7"/>
  <c r="F8" i="7"/>
  <c r="G8" i="7"/>
  <c r="H8" i="7"/>
  <c r="I8" i="7"/>
  <c r="J8" i="7"/>
  <c r="K8" i="7"/>
  <c r="L8" i="7"/>
  <c r="M8" i="7"/>
  <c r="N8" i="7"/>
  <c r="H5" i="13"/>
  <c r="HU4" i="13"/>
  <c r="HV4" i="13"/>
  <c r="HW4" i="13"/>
  <c r="HX4" i="13"/>
  <c r="HY4" i="13"/>
  <c r="HZ4" i="13"/>
  <c r="IA4" i="13"/>
  <c r="IB4" i="13"/>
  <c r="IC4" i="13"/>
  <c r="ID4" i="13"/>
  <c r="IE4" i="13"/>
  <c r="IF4" i="13"/>
  <c r="IG4" i="13"/>
  <c r="IH4" i="13"/>
  <c r="II4" i="13"/>
  <c r="IJ4" i="13"/>
  <c r="IK4" i="13"/>
  <c r="IL4" i="13"/>
  <c r="IM4" i="13"/>
  <c r="HU13" i="13"/>
  <c r="HV13" i="13"/>
  <c r="HW13" i="13"/>
  <c r="HX13" i="13"/>
  <c r="HY13" i="13"/>
  <c r="HZ13" i="13"/>
  <c r="IA13" i="13"/>
  <c r="IB13" i="13"/>
  <c r="IC13" i="13"/>
  <c r="ID13" i="13"/>
  <c r="IE13" i="13"/>
  <c r="IF13" i="13"/>
  <c r="IG13" i="13"/>
  <c r="IH13" i="13"/>
  <c r="II13" i="13"/>
  <c r="IJ13" i="13"/>
  <c r="IK13" i="13"/>
  <c r="IL13" i="13"/>
  <c r="IM13" i="13"/>
  <c r="HU17" i="13"/>
  <c r="HV17" i="13"/>
  <c r="HW17" i="13"/>
  <c r="HX17" i="13"/>
  <c r="HY17" i="13"/>
  <c r="HZ17" i="13"/>
  <c r="IA17" i="13"/>
  <c r="IB17" i="13"/>
  <c r="IC17" i="13"/>
  <c r="ID17" i="13"/>
  <c r="IE17" i="13"/>
  <c r="IF17" i="13"/>
  <c r="IG17" i="13"/>
  <c r="IH17" i="13"/>
  <c r="II17" i="13"/>
  <c r="IJ17" i="13"/>
  <c r="IK17" i="13"/>
  <c r="IL17" i="13"/>
  <c r="IM17" i="13"/>
  <c r="HU27" i="13"/>
  <c r="HV27" i="13"/>
  <c r="HW27" i="13"/>
  <c r="HX27" i="13"/>
  <c r="HY27" i="13"/>
  <c r="HZ27" i="13"/>
  <c r="IA27" i="13"/>
  <c r="IB27" i="13"/>
  <c r="IC27" i="13"/>
  <c r="ID27" i="13"/>
  <c r="IE27" i="13"/>
  <c r="IF27" i="13"/>
  <c r="IG27" i="13"/>
  <c r="IH27" i="13"/>
  <c r="II27" i="13"/>
  <c r="IJ27" i="13"/>
  <c r="IK27" i="13"/>
  <c r="IL27" i="13"/>
  <c r="IM27" i="13"/>
  <c r="HA4" i="13"/>
  <c r="HB4" i="13"/>
  <c r="HC4" i="13"/>
  <c r="HD4" i="13"/>
  <c r="HE4" i="13"/>
  <c r="HF4" i="13"/>
  <c r="HG4" i="13"/>
  <c r="HH4" i="13"/>
  <c r="HI4" i="13"/>
  <c r="HJ4" i="13"/>
  <c r="HK4" i="13"/>
  <c r="HL4" i="13"/>
  <c r="HM4" i="13"/>
  <c r="HN4" i="13"/>
  <c r="HO4" i="13"/>
  <c r="HP4" i="13"/>
  <c r="HQ4" i="13"/>
  <c r="HR4" i="13"/>
  <c r="HS4" i="13"/>
  <c r="HT4" i="13"/>
  <c r="HA13" i="13"/>
  <c r="HB13" i="13"/>
  <c r="HC13" i="13"/>
  <c r="HD13" i="13"/>
  <c r="HE13" i="13"/>
  <c r="HF13" i="13"/>
  <c r="HG13" i="13"/>
  <c r="HH13" i="13"/>
  <c r="HI13" i="13"/>
  <c r="HJ13" i="13"/>
  <c r="HK13" i="13"/>
  <c r="HL13" i="13"/>
  <c r="HM13" i="13"/>
  <c r="HN13" i="13"/>
  <c r="HO13" i="13"/>
  <c r="HP13" i="13"/>
  <c r="HQ13" i="13"/>
  <c r="HR13" i="13"/>
  <c r="HS13" i="13"/>
  <c r="HT13" i="13"/>
  <c r="HA17" i="13"/>
  <c r="HB17" i="13"/>
  <c r="HC17" i="13"/>
  <c r="HD17" i="13"/>
  <c r="HE17" i="13"/>
  <c r="HF17" i="13"/>
  <c r="HG17" i="13"/>
  <c r="HH17" i="13"/>
  <c r="HI17" i="13"/>
  <c r="HJ17" i="13"/>
  <c r="HK17" i="13"/>
  <c r="HL17" i="13"/>
  <c r="HM17" i="13"/>
  <c r="HN17" i="13"/>
  <c r="HO17" i="13"/>
  <c r="HP17" i="13"/>
  <c r="HQ17" i="13"/>
  <c r="HR17" i="13"/>
  <c r="HS17" i="13"/>
  <c r="HT17" i="13"/>
  <c r="HA27" i="13"/>
  <c r="HB27" i="13"/>
  <c r="HC27" i="13"/>
  <c r="HD27" i="13"/>
  <c r="HE27" i="13"/>
  <c r="HF27" i="13"/>
  <c r="HG27" i="13"/>
  <c r="HH27" i="13"/>
  <c r="HI27" i="13"/>
  <c r="HJ27" i="13"/>
  <c r="HK27" i="13"/>
  <c r="HL27" i="13"/>
  <c r="HM27" i="13"/>
  <c r="HN27" i="13"/>
  <c r="HO27" i="13"/>
  <c r="HP27" i="13"/>
  <c r="HQ27" i="13"/>
  <c r="HR27" i="13"/>
  <c r="HS27" i="13"/>
  <c r="HT27" i="13"/>
  <c r="GK4" i="13"/>
  <c r="GL4" i="13"/>
  <c r="GM4" i="13"/>
  <c r="GN4" i="13"/>
  <c r="GO4" i="13"/>
  <c r="GP4" i="13"/>
  <c r="GQ4" i="13"/>
  <c r="GR4" i="13"/>
  <c r="GS4" i="13"/>
  <c r="GT4" i="13"/>
  <c r="GU4" i="13"/>
  <c r="GV4" i="13"/>
  <c r="GW4" i="13"/>
  <c r="GX4" i="13"/>
  <c r="GY4" i="13"/>
  <c r="GZ4" i="13"/>
  <c r="GK13" i="13"/>
  <c r="GL13" i="13"/>
  <c r="GM13" i="13"/>
  <c r="GN13" i="13"/>
  <c r="GO13" i="13"/>
  <c r="GP13" i="13"/>
  <c r="GQ13" i="13"/>
  <c r="GR13" i="13"/>
  <c r="GS13" i="13"/>
  <c r="GT13" i="13"/>
  <c r="GU13" i="13"/>
  <c r="GV13" i="13"/>
  <c r="GW13" i="13"/>
  <c r="GX13" i="13"/>
  <c r="GY13" i="13"/>
  <c r="GZ13" i="13"/>
  <c r="GK17" i="13"/>
  <c r="GL17" i="13"/>
  <c r="GM17" i="13"/>
  <c r="GN17" i="13"/>
  <c r="GO17" i="13"/>
  <c r="GP17" i="13"/>
  <c r="GQ17" i="13"/>
  <c r="GR17" i="13"/>
  <c r="GS17" i="13"/>
  <c r="GT17" i="13"/>
  <c r="GU17" i="13"/>
  <c r="GV17" i="13"/>
  <c r="GW17" i="13"/>
  <c r="GX17" i="13"/>
  <c r="GY17" i="13"/>
  <c r="GZ1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FT4" i="13"/>
  <c r="FU4" i="13"/>
  <c r="FV4" i="13"/>
  <c r="FW4" i="13"/>
  <c r="FX4" i="13"/>
  <c r="FY4" i="13"/>
  <c r="FZ4" i="13"/>
  <c r="GA4" i="13"/>
  <c r="GB4" i="13"/>
  <c r="GC4" i="13"/>
  <c r="GD4" i="13"/>
  <c r="GE4" i="13"/>
  <c r="GF4" i="13"/>
  <c r="GG4" i="13"/>
  <c r="GH4" i="13"/>
  <c r="GI4" i="13"/>
  <c r="GJ4" i="13"/>
  <c r="FT13" i="13"/>
  <c r="FU13" i="13"/>
  <c r="FV13" i="13"/>
  <c r="FW13" i="13"/>
  <c r="FX13" i="13"/>
  <c r="FY13" i="13"/>
  <c r="FZ13" i="13"/>
  <c r="GA13" i="13"/>
  <c r="GB13" i="13"/>
  <c r="GC13" i="13"/>
  <c r="GD13" i="13"/>
  <c r="GE13" i="13"/>
  <c r="GF13" i="13"/>
  <c r="GG13" i="13"/>
  <c r="GH13" i="13"/>
  <c r="GI13" i="13"/>
  <c r="GJ13" i="13"/>
  <c r="FT17" i="13"/>
  <c r="FU17" i="13"/>
  <c r="FV17" i="13"/>
  <c r="FW17" i="13"/>
  <c r="FX17" i="13"/>
  <c r="FY17" i="13"/>
  <c r="FZ17" i="13"/>
  <c r="GA17" i="13"/>
  <c r="GB17" i="13"/>
  <c r="GC17" i="13"/>
  <c r="GD17" i="13"/>
  <c r="GE17" i="13"/>
  <c r="GF17" i="13"/>
  <c r="GG17" i="13"/>
  <c r="GH17" i="13"/>
  <c r="GI17" i="13"/>
  <c r="GJ1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FS4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FS13" i="13"/>
  <c r="FB17" i="13"/>
  <c r="FC17" i="13"/>
  <c r="FD17" i="13"/>
  <c r="FE17" i="13"/>
  <c r="FF17" i="13"/>
  <c r="FG17" i="13"/>
  <c r="FH17" i="13"/>
  <c r="FI17" i="13"/>
  <c r="FJ17" i="13"/>
  <c r="FK17" i="13"/>
  <c r="FL17" i="13"/>
  <c r="FM17" i="13"/>
  <c r="FN17" i="13"/>
  <c r="FO17" i="13"/>
  <c r="FP17" i="13"/>
  <c r="FQ17" i="13"/>
  <c r="FR17" i="13"/>
  <c r="FS1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DS4" i="13"/>
  <c r="DT4" i="13"/>
  <c r="DU4" i="13"/>
  <c r="DV4" i="13"/>
  <c r="DW4" i="13"/>
  <c r="DX4" i="13"/>
  <c r="DY4" i="13"/>
  <c r="DZ4" i="13"/>
  <c r="EA4" i="13"/>
  <c r="EB4" i="13"/>
  <c r="EC4" i="13"/>
  <c r="ED4" i="13"/>
  <c r="EE4" i="13"/>
  <c r="EF4" i="13"/>
  <c r="EG4" i="13"/>
  <c r="EH4" i="13"/>
  <c r="EI4" i="13"/>
  <c r="EJ4" i="13"/>
  <c r="EK4" i="13"/>
  <c r="EL4" i="13"/>
  <c r="EM4" i="13"/>
  <c r="EN4" i="13"/>
  <c r="EO4" i="13"/>
  <c r="EP4" i="13"/>
  <c r="EQ4" i="13"/>
  <c r="ER4" i="13"/>
  <c r="ES4" i="13"/>
  <c r="ET4" i="13"/>
  <c r="EU4" i="13"/>
  <c r="EV4" i="13"/>
  <c r="EW4" i="13"/>
  <c r="EX4" i="13"/>
  <c r="EY4" i="13"/>
  <c r="EZ4" i="13"/>
  <c r="FA4" i="13"/>
  <c r="DS13" i="13"/>
  <c r="DT13" i="13"/>
  <c r="DU13" i="13"/>
  <c r="DV13" i="13"/>
  <c r="DW13" i="13"/>
  <c r="DX13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EK13" i="13"/>
  <c r="EL13" i="13"/>
  <c r="EM13" i="13"/>
  <c r="EN13" i="13"/>
  <c r="EO13" i="13"/>
  <c r="EP13" i="13"/>
  <c r="EQ13" i="13"/>
  <c r="ER13" i="13"/>
  <c r="ES13" i="13"/>
  <c r="ET13" i="13"/>
  <c r="EU13" i="13"/>
  <c r="EV13" i="13"/>
  <c r="EW13" i="13"/>
  <c r="EX13" i="13"/>
  <c r="EY13" i="13"/>
  <c r="EZ13" i="13"/>
  <c r="FA13" i="13"/>
  <c r="DS17" i="13"/>
  <c r="DT17" i="13"/>
  <c r="DU17" i="13"/>
  <c r="DV17" i="13"/>
  <c r="DW17" i="13"/>
  <c r="DX17" i="13"/>
  <c r="DY17" i="13"/>
  <c r="DZ17" i="13"/>
  <c r="EA17" i="13"/>
  <c r="EB17" i="13"/>
  <c r="EC17" i="13"/>
  <c r="ED17" i="13"/>
  <c r="EE17" i="13"/>
  <c r="EF17" i="13"/>
  <c r="EG17" i="13"/>
  <c r="EH17" i="13"/>
  <c r="EI17" i="13"/>
  <c r="EJ17" i="13"/>
  <c r="EK17" i="13"/>
  <c r="EL17" i="13"/>
  <c r="EM17" i="13"/>
  <c r="EN17" i="13"/>
  <c r="EO17" i="13"/>
  <c r="EP17" i="13"/>
  <c r="EQ17" i="13"/>
  <c r="ER17" i="13"/>
  <c r="ES17" i="13"/>
  <c r="ET17" i="13"/>
  <c r="EU17" i="13"/>
  <c r="EV17" i="13"/>
  <c r="EW17" i="13"/>
  <c r="EX17" i="13"/>
  <c r="EY17" i="13"/>
  <c r="EZ17" i="13"/>
  <c r="FA1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F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IL2" i="4"/>
  <c r="IM2" i="4"/>
  <c r="IN2" i="4"/>
  <c r="IO2" i="4"/>
  <c r="IL51" i="4"/>
  <c r="IM51" i="4"/>
  <c r="IN51" i="4"/>
  <c r="IO51" i="4"/>
  <c r="IL54" i="4"/>
  <c r="IM54" i="4"/>
  <c r="IN54" i="4"/>
  <c r="IO54" i="4"/>
  <c r="IL55" i="4"/>
  <c r="IM55" i="4"/>
  <c r="IN55" i="4"/>
  <c r="IO55" i="4"/>
  <c r="IM56" i="4"/>
  <c r="IM89" i="4"/>
  <c r="IL84" i="4"/>
  <c r="IM84" i="4"/>
  <c r="IN84" i="4"/>
  <c r="IO84" i="4"/>
  <c r="IL86" i="4"/>
  <c r="IM86" i="4"/>
  <c r="IN86" i="4"/>
  <c r="IO86" i="4"/>
  <c r="IL87" i="4"/>
  <c r="IM87" i="4"/>
  <c r="IN87" i="4"/>
  <c r="IO87" i="4"/>
  <c r="IL88" i="4"/>
  <c r="IM88" i="4"/>
  <c r="IN88" i="4"/>
  <c r="IO88" i="4"/>
  <c r="IL89" i="4"/>
  <c r="IN89" i="4"/>
  <c r="IO89" i="4"/>
  <c r="IL90" i="4"/>
  <c r="IM90" i="4"/>
  <c r="IN90" i="4"/>
  <c r="IO90" i="4"/>
  <c r="IK2" i="4"/>
  <c r="IK51" i="4"/>
  <c r="IK54" i="4"/>
  <c r="IK55" i="4"/>
  <c r="IK84" i="4"/>
  <c r="IK86" i="4"/>
  <c r="IK87" i="4"/>
  <c r="IK88" i="4"/>
  <c r="IK89" i="4"/>
  <c r="IK90" i="4"/>
  <c r="AV7" i="10"/>
  <c r="T5" i="46"/>
  <c r="BH7" i="10"/>
  <c r="AF5" i="46"/>
  <c r="C146" i="2"/>
  <c r="BT7" i="10"/>
  <c r="BD5" i="46"/>
  <c r="AR5" i="46"/>
  <c r="C122" i="2"/>
  <c r="B60" i="2"/>
  <c r="H11" i="2"/>
  <c r="F30" i="1"/>
  <c r="D30" i="1"/>
  <c r="C30" i="1"/>
  <c r="E30" i="1"/>
  <c r="G30" i="1"/>
  <c r="H29" i="1"/>
  <c r="H28" i="1"/>
  <c r="H30" i="1"/>
  <c r="H27" i="1"/>
  <c r="K5" i="46"/>
  <c r="J5" i="46"/>
  <c r="V52" i="14"/>
  <c r="W52" i="14"/>
  <c r="T52" i="14"/>
  <c r="U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D52" i="14"/>
  <c r="C52" i="14"/>
  <c r="O3" i="10"/>
  <c r="N3" i="10"/>
  <c r="M3" i="10"/>
  <c r="L3" i="10"/>
  <c r="H6" i="7"/>
  <c r="XFD1048576" i="34" a="1"/>
  <c r="XFD1048575" i="34" a="1"/>
  <c r="XFD1048574" i="34" a="1"/>
  <c r="XFD1048573" i="34" a="1"/>
  <c r="XFD1048572" i="34" a="1"/>
  <c r="XFD1048571" i="34" a="1"/>
  <c r="XFD1048570" i="34" a="1"/>
  <c r="XFD1048569" i="34" a="1"/>
  <c r="XFD1048568" i="34" a="1"/>
  <c r="XFD1048567" i="34" a="1"/>
  <c r="XFD1048566" i="34" a="1"/>
  <c r="XFD1048565" i="34" a="1"/>
  <c r="XFD1048564" i="34" a="1"/>
  <c r="XFD1048563" i="34" a="1"/>
  <c r="XFD1048562" i="34" a="1"/>
  <c r="XFD1048561" i="34" a="1"/>
  <c r="XFD1048560" i="34" a="1"/>
  <c r="XFD1048559" i="34" a="1"/>
  <c r="XFD1048558" i="34" a="1"/>
  <c r="XFD1048557" i="34" a="1"/>
  <c r="XFD1048556" i="34" a="1"/>
  <c r="XFD1048555" i="34" a="1"/>
  <c r="XFD1048554" i="34" a="1"/>
  <c r="XFD1048553" i="34" a="1"/>
  <c r="XFD1048552" i="34" a="1"/>
  <c r="XFD1048551" i="34" a="1"/>
  <c r="C40" i="34"/>
  <c r="E36" i="34"/>
  <c r="C8" i="34"/>
  <c r="B8" i="34"/>
  <c r="IH2" i="34"/>
  <c r="IG2" i="34"/>
  <c r="IF2" i="34"/>
  <c r="IE2" i="34"/>
  <c r="ID2" i="34"/>
  <c r="IC2" i="34"/>
  <c r="IB2" i="34"/>
  <c r="IA2" i="34"/>
  <c r="HZ2" i="34"/>
  <c r="HY2" i="34"/>
  <c r="HX2" i="34"/>
  <c r="HW2" i="34"/>
  <c r="HV2" i="34"/>
  <c r="HU2" i="34"/>
  <c r="HT2" i="34"/>
  <c r="HS2" i="34"/>
  <c r="HR2" i="34"/>
  <c r="HQ2" i="34"/>
  <c r="HP2" i="34"/>
  <c r="HO2" i="34"/>
  <c r="HN2" i="34"/>
  <c r="HM2" i="34"/>
  <c r="HL2" i="34"/>
  <c r="HK2" i="34"/>
  <c r="HJ2" i="34"/>
  <c r="HI2" i="34"/>
  <c r="HH2" i="34"/>
  <c r="HG2" i="34"/>
  <c r="HF2" i="34"/>
  <c r="HE2" i="34"/>
  <c r="HD2" i="34"/>
  <c r="HC2" i="34"/>
  <c r="HB2" i="34"/>
  <c r="HA2" i="34"/>
  <c r="GZ2" i="34"/>
  <c r="GY2" i="34"/>
  <c r="GX2" i="34"/>
  <c r="GW2" i="34"/>
  <c r="GV2" i="34"/>
  <c r="GU2" i="34"/>
  <c r="GT2" i="34"/>
  <c r="GS2" i="34"/>
  <c r="GR2" i="34"/>
  <c r="GQ2" i="34"/>
  <c r="GP2" i="34"/>
  <c r="GO2" i="34"/>
  <c r="GN2" i="34"/>
  <c r="GM2" i="34"/>
  <c r="GL2" i="34"/>
  <c r="GK2" i="34"/>
  <c r="GJ2" i="34"/>
  <c r="GI2" i="34"/>
  <c r="GH2" i="34"/>
  <c r="GG2" i="34"/>
  <c r="GF2" i="34"/>
  <c r="GE2" i="34"/>
  <c r="GD2" i="34"/>
  <c r="GC2" i="34"/>
  <c r="GB2" i="34"/>
  <c r="GA2" i="34"/>
  <c r="FZ2" i="34"/>
  <c r="FY2" i="34"/>
  <c r="FX2" i="34"/>
  <c r="FW2" i="34"/>
  <c r="FV2" i="34"/>
  <c r="FU2" i="34"/>
  <c r="FT2" i="34"/>
  <c r="FS2" i="34"/>
  <c r="FR2" i="34"/>
  <c r="FQ2" i="34"/>
  <c r="FP2" i="34"/>
  <c r="FO2" i="34"/>
  <c r="FN2" i="34"/>
  <c r="FM2" i="34"/>
  <c r="FL2" i="34"/>
  <c r="FK2" i="34"/>
  <c r="FJ2" i="34"/>
  <c r="FI2" i="34"/>
  <c r="FH2" i="34"/>
  <c r="FG2" i="34"/>
  <c r="FF2" i="34"/>
  <c r="FE2" i="34"/>
  <c r="FD2" i="34"/>
  <c r="FC2" i="34"/>
  <c r="FB2" i="34"/>
  <c r="FA2" i="34"/>
  <c r="EZ2" i="34"/>
  <c r="EY2" i="34"/>
  <c r="EX2" i="34"/>
  <c r="EW2" i="34"/>
  <c r="EV2" i="34"/>
  <c r="EU2" i="34"/>
  <c r="ET2" i="34"/>
  <c r="ES2" i="34"/>
  <c r="ER2" i="34"/>
  <c r="EQ2" i="34"/>
  <c r="EP2" i="34"/>
  <c r="EO2" i="34"/>
  <c r="EN2" i="34"/>
  <c r="EM2" i="34"/>
  <c r="EL2" i="34"/>
  <c r="EK2" i="34"/>
  <c r="EJ2" i="34"/>
  <c r="EI2" i="34"/>
  <c r="EH2" i="34"/>
  <c r="EG2" i="34"/>
  <c r="EF2" i="34"/>
  <c r="EE2" i="34"/>
  <c r="ED2" i="34"/>
  <c r="EC2" i="34"/>
  <c r="EB2" i="34"/>
  <c r="EA2" i="34"/>
  <c r="DZ2" i="34"/>
  <c r="DY2" i="34"/>
  <c r="DX2" i="34"/>
  <c r="DW2" i="34"/>
  <c r="DV2" i="34"/>
  <c r="DU2" i="34"/>
  <c r="DT2" i="34"/>
  <c r="DS2" i="34"/>
  <c r="DR2" i="34"/>
  <c r="DQ2" i="34"/>
  <c r="DP2" i="34"/>
  <c r="DO2" i="34"/>
  <c r="DN2" i="34"/>
  <c r="DM2" i="34"/>
  <c r="DL2" i="34"/>
  <c r="DK2" i="34"/>
  <c r="DJ2" i="34"/>
  <c r="DI2" i="34"/>
  <c r="DH2" i="34"/>
  <c r="DG2" i="34"/>
  <c r="DF2" i="34"/>
  <c r="DE2" i="34"/>
  <c r="DD2" i="34"/>
  <c r="DC2" i="34"/>
  <c r="DB2" i="34"/>
  <c r="DA2" i="34"/>
  <c r="CZ2" i="34"/>
  <c r="CY2" i="34"/>
  <c r="CX2" i="34"/>
  <c r="CW2" i="34"/>
  <c r="CV2" i="34"/>
  <c r="CU2" i="34"/>
  <c r="CT2" i="34"/>
  <c r="CS2" i="34"/>
  <c r="CR2" i="34"/>
  <c r="CQ2" i="34"/>
  <c r="CP2" i="34"/>
  <c r="CO2" i="34"/>
  <c r="CN2" i="34"/>
  <c r="CM2" i="34"/>
  <c r="CL2" i="34"/>
  <c r="CK2" i="34"/>
  <c r="CJ2" i="34"/>
  <c r="CI2" i="34"/>
  <c r="CH2" i="34"/>
  <c r="CG2" i="34"/>
  <c r="CF2" i="34"/>
  <c r="CE2" i="34"/>
  <c r="CD2" i="34"/>
  <c r="CC2" i="34"/>
  <c r="CB2" i="34"/>
  <c r="CA2" i="34"/>
  <c r="BZ2" i="34"/>
  <c r="BY2" i="34"/>
  <c r="BX2" i="34"/>
  <c r="BW2" i="34"/>
  <c r="BV2" i="34"/>
  <c r="BU2" i="34"/>
  <c r="BT2" i="34"/>
  <c r="BS2" i="34"/>
  <c r="BR2" i="34"/>
  <c r="BQ2" i="34"/>
  <c r="BP2" i="34"/>
  <c r="BO2" i="34"/>
  <c r="BN2" i="34"/>
  <c r="BM2" i="34"/>
  <c r="BL2" i="34"/>
  <c r="BK2" i="34"/>
  <c r="BJ2" i="34"/>
  <c r="BI2" i="34"/>
  <c r="BH2" i="34"/>
  <c r="BG2" i="34"/>
  <c r="BF2" i="34"/>
  <c r="BE2" i="34"/>
  <c r="BD2" i="34"/>
  <c r="BC2" i="34"/>
  <c r="BB2" i="34"/>
  <c r="BA2" i="34"/>
  <c r="AZ2" i="34"/>
  <c r="AY2" i="34"/>
  <c r="AX2" i="34"/>
  <c r="AW2" i="34"/>
  <c r="AV2" i="34"/>
  <c r="AU2" i="34"/>
  <c r="AT2" i="34"/>
  <c r="AS2" i="34"/>
  <c r="AR2" i="34"/>
  <c r="AQ2" i="34"/>
  <c r="AP2" i="34"/>
  <c r="AO2" i="34"/>
  <c r="AN2" i="34"/>
  <c r="AM2" i="34"/>
  <c r="AL2" i="34"/>
  <c r="AK2" i="34"/>
  <c r="AJ2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B2" i="34"/>
  <c r="XFD1048576" i="33" a="1"/>
  <c r="XFD1048575" i="33" a="1"/>
  <c r="XFD1048574" i="33" a="1"/>
  <c r="XFD1048573" i="33" a="1"/>
  <c r="XFD1048572" i="33" a="1"/>
  <c r="XFD1048571" i="33" a="1"/>
  <c r="XFD1048570" i="33" a="1"/>
  <c r="XFD1048569" i="33" a="1"/>
  <c r="XFD1048568" i="33" a="1"/>
  <c r="XFD1048567" i="33" a="1"/>
  <c r="XFD1048566" i="33" a="1"/>
  <c r="XFD1048565" i="33" a="1"/>
  <c r="XFD1048564" i="33" a="1"/>
  <c r="XFD1048563" i="33" a="1"/>
  <c r="XFD1048562" i="33" a="1"/>
  <c r="XFD1048561" i="33" a="1"/>
  <c r="XFD1048560" i="33" a="1"/>
  <c r="XFD1048559" i="33" a="1"/>
  <c r="XFD1048558" i="33" a="1"/>
  <c r="XFD1048557" i="33" a="1"/>
  <c r="XFD1048556" i="33" a="1"/>
  <c r="XFD1048555" i="33" a="1"/>
  <c r="XFD1048554" i="33" a="1"/>
  <c r="XFD1048553" i="33" a="1"/>
  <c r="XFD1048552" i="33" a="1"/>
  <c r="XFD1048551" i="33" a="1"/>
  <c r="C40" i="33"/>
  <c r="E36" i="33"/>
  <c r="C8" i="33"/>
  <c r="B8" i="33"/>
  <c r="IH2" i="33"/>
  <c r="IG2" i="33"/>
  <c r="IF2" i="33"/>
  <c r="IE2" i="33"/>
  <c r="ID2" i="33"/>
  <c r="IC2" i="33"/>
  <c r="IB2" i="33"/>
  <c r="IA2" i="33"/>
  <c r="HZ2" i="33"/>
  <c r="HY2" i="33"/>
  <c r="HX2" i="33"/>
  <c r="HW2" i="33"/>
  <c r="HV2" i="33"/>
  <c r="HU2" i="33"/>
  <c r="HT2" i="33"/>
  <c r="HS2" i="33"/>
  <c r="HR2" i="33"/>
  <c r="HQ2" i="33"/>
  <c r="HP2" i="33"/>
  <c r="HO2" i="33"/>
  <c r="HN2" i="33"/>
  <c r="HM2" i="33"/>
  <c r="HL2" i="33"/>
  <c r="HK2" i="33"/>
  <c r="HJ2" i="33"/>
  <c r="HI2" i="33"/>
  <c r="HH2" i="33"/>
  <c r="HG2" i="33"/>
  <c r="HF2" i="33"/>
  <c r="HE2" i="33"/>
  <c r="HD2" i="33"/>
  <c r="HC2" i="33"/>
  <c r="HB2" i="33"/>
  <c r="HA2" i="33"/>
  <c r="GZ2" i="33"/>
  <c r="GY2" i="33"/>
  <c r="GX2" i="33"/>
  <c r="GW2" i="33"/>
  <c r="GV2" i="33"/>
  <c r="GU2" i="33"/>
  <c r="GT2" i="33"/>
  <c r="GS2" i="33"/>
  <c r="GR2" i="33"/>
  <c r="GQ2" i="33"/>
  <c r="GP2" i="33"/>
  <c r="GO2" i="33"/>
  <c r="GN2" i="33"/>
  <c r="GM2" i="33"/>
  <c r="GL2" i="33"/>
  <c r="GK2" i="33"/>
  <c r="GJ2" i="33"/>
  <c r="GI2" i="33"/>
  <c r="GH2" i="33"/>
  <c r="GG2" i="33"/>
  <c r="GF2" i="33"/>
  <c r="GE2" i="33"/>
  <c r="GD2" i="33"/>
  <c r="GC2" i="33"/>
  <c r="GB2" i="33"/>
  <c r="GA2" i="33"/>
  <c r="FZ2" i="33"/>
  <c r="FY2" i="33"/>
  <c r="FX2" i="33"/>
  <c r="FW2" i="33"/>
  <c r="FV2" i="33"/>
  <c r="FU2" i="33"/>
  <c r="FT2" i="33"/>
  <c r="FS2" i="33"/>
  <c r="FR2" i="33"/>
  <c r="FQ2" i="33"/>
  <c r="FP2" i="33"/>
  <c r="FO2" i="33"/>
  <c r="FN2" i="33"/>
  <c r="FM2" i="33"/>
  <c r="FL2" i="33"/>
  <c r="FK2" i="33"/>
  <c r="FJ2" i="33"/>
  <c r="FI2" i="33"/>
  <c r="FH2" i="33"/>
  <c r="FG2" i="33"/>
  <c r="FF2" i="33"/>
  <c r="FE2" i="33"/>
  <c r="FD2" i="33"/>
  <c r="FC2" i="33"/>
  <c r="FB2" i="33"/>
  <c r="FA2" i="33"/>
  <c r="EZ2" i="33"/>
  <c r="EY2" i="33"/>
  <c r="EX2" i="33"/>
  <c r="EW2" i="33"/>
  <c r="EV2" i="33"/>
  <c r="EU2" i="33"/>
  <c r="ET2" i="33"/>
  <c r="ES2" i="33"/>
  <c r="ER2" i="33"/>
  <c r="EQ2" i="33"/>
  <c r="EP2" i="33"/>
  <c r="EO2" i="33"/>
  <c r="EN2" i="33"/>
  <c r="EM2" i="33"/>
  <c r="EL2" i="33"/>
  <c r="EK2" i="33"/>
  <c r="EJ2" i="33"/>
  <c r="EI2" i="33"/>
  <c r="EH2" i="33"/>
  <c r="EG2" i="33"/>
  <c r="EF2" i="33"/>
  <c r="EE2" i="33"/>
  <c r="ED2" i="33"/>
  <c r="EC2" i="33"/>
  <c r="EB2" i="33"/>
  <c r="EA2" i="33"/>
  <c r="DZ2" i="33"/>
  <c r="DY2" i="33"/>
  <c r="DX2" i="33"/>
  <c r="DW2" i="33"/>
  <c r="DV2" i="33"/>
  <c r="DU2" i="33"/>
  <c r="DT2" i="33"/>
  <c r="DS2" i="33"/>
  <c r="DR2" i="33"/>
  <c r="DQ2" i="33"/>
  <c r="DP2" i="33"/>
  <c r="DO2" i="33"/>
  <c r="DN2" i="33"/>
  <c r="DM2" i="33"/>
  <c r="DL2" i="33"/>
  <c r="DK2" i="33"/>
  <c r="DJ2" i="33"/>
  <c r="DI2" i="33"/>
  <c r="DH2" i="33"/>
  <c r="DG2" i="33"/>
  <c r="DF2" i="33"/>
  <c r="DE2" i="33"/>
  <c r="DD2" i="33"/>
  <c r="DC2" i="33"/>
  <c r="DB2" i="33"/>
  <c r="DA2" i="33"/>
  <c r="CZ2" i="33"/>
  <c r="CY2" i="33"/>
  <c r="CX2" i="33"/>
  <c r="CW2" i="33"/>
  <c r="CV2" i="33"/>
  <c r="CU2" i="33"/>
  <c r="CT2" i="33"/>
  <c r="CS2" i="33"/>
  <c r="CR2" i="33"/>
  <c r="CQ2" i="33"/>
  <c r="CP2" i="33"/>
  <c r="CO2" i="33"/>
  <c r="CN2" i="33"/>
  <c r="CM2" i="33"/>
  <c r="CL2" i="33"/>
  <c r="CK2" i="33"/>
  <c r="CJ2" i="33"/>
  <c r="CI2" i="33"/>
  <c r="CH2" i="33"/>
  <c r="CG2" i="33"/>
  <c r="CF2" i="33"/>
  <c r="CE2" i="33"/>
  <c r="CD2" i="33"/>
  <c r="CC2" i="33"/>
  <c r="CB2" i="33"/>
  <c r="CA2" i="33"/>
  <c r="BZ2" i="33"/>
  <c r="BY2" i="33"/>
  <c r="BX2" i="33"/>
  <c r="BW2" i="33"/>
  <c r="BV2" i="33"/>
  <c r="BU2" i="33"/>
  <c r="BT2" i="33"/>
  <c r="BS2" i="33"/>
  <c r="BR2" i="33"/>
  <c r="BQ2" i="33"/>
  <c r="BP2" i="33"/>
  <c r="BO2" i="33"/>
  <c r="BN2" i="33"/>
  <c r="BM2" i="33"/>
  <c r="BL2" i="33"/>
  <c r="BK2" i="33"/>
  <c r="BJ2" i="33"/>
  <c r="BI2" i="33"/>
  <c r="BH2" i="33"/>
  <c r="BG2" i="33"/>
  <c r="BF2" i="33"/>
  <c r="BE2" i="33"/>
  <c r="BD2" i="33"/>
  <c r="BC2" i="33"/>
  <c r="BB2" i="33"/>
  <c r="BA2" i="33"/>
  <c r="AZ2" i="33"/>
  <c r="AY2" i="33"/>
  <c r="AX2" i="33"/>
  <c r="AW2" i="33"/>
  <c r="AV2" i="33"/>
  <c r="AU2" i="33"/>
  <c r="AT2" i="33"/>
  <c r="AS2" i="33"/>
  <c r="AR2" i="33"/>
  <c r="AQ2" i="33"/>
  <c r="AP2" i="33"/>
  <c r="AO2" i="33"/>
  <c r="AN2" i="33"/>
  <c r="AM2" i="33"/>
  <c r="AL2" i="33"/>
  <c r="AK2" i="33"/>
  <c r="AJ2" i="33"/>
  <c r="AI2" i="33"/>
  <c r="AH2" i="33"/>
  <c r="AG2" i="33"/>
  <c r="AF2" i="33"/>
  <c r="AE2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B17" i="4"/>
  <c r="D7" i="32"/>
  <c r="H6" i="32" s="1"/>
  <c r="D7" i="31"/>
  <c r="H7" i="31" s="1"/>
  <c r="D7" i="30"/>
  <c r="D12" i="14"/>
  <c r="C12" i="14"/>
  <c r="D27" i="2"/>
  <c r="C137" i="2"/>
  <c r="B73" i="22"/>
  <c r="B72" i="22"/>
  <c r="C70" i="22"/>
  <c r="B70" i="22"/>
  <c r="C69" i="22"/>
  <c r="B69" i="22"/>
  <c r="XFD1048576" i="27" a="1"/>
  <c r="XFD1048575" i="27" a="1"/>
  <c r="XFD1048574" i="27" a="1"/>
  <c r="XFD1048573" i="27" a="1"/>
  <c r="XFD1048572" i="27" a="1"/>
  <c r="XFD1048571" i="27" a="1"/>
  <c r="XFD1048570" i="27" a="1"/>
  <c r="XFD1048569" i="27" a="1"/>
  <c r="XFD1048568" i="27" a="1"/>
  <c r="XFD1048567" i="27" a="1"/>
  <c r="XFD1048566" i="27" a="1"/>
  <c r="XFD1048565" i="27" a="1"/>
  <c r="XFD1048564" i="27" a="1"/>
  <c r="XFD1048563" i="27" a="1"/>
  <c r="XFD1048562" i="27" a="1"/>
  <c r="XFD1048561" i="27" a="1"/>
  <c r="XFD1048560" i="27" a="1"/>
  <c r="XFD1048559" i="27" a="1"/>
  <c r="XFD1048558" i="27" a="1"/>
  <c r="XFD1048557" i="27" a="1"/>
  <c r="XFD1048556" i="27" a="1"/>
  <c r="XFD1048555" i="27" a="1"/>
  <c r="XFD1048554" i="27" a="1"/>
  <c r="XFD1048553" i="27" a="1"/>
  <c r="XFD1048552" i="27" a="1"/>
  <c r="XFD1048551" i="27" a="1"/>
  <c r="C40" i="27"/>
  <c r="E36" i="27"/>
  <c r="C8" i="27"/>
  <c r="B8" i="27"/>
  <c r="IH2" i="27"/>
  <c r="IG2" i="27"/>
  <c r="IF2" i="27"/>
  <c r="IE2" i="27"/>
  <c r="ID2" i="27"/>
  <c r="IC2" i="27"/>
  <c r="IB2" i="27"/>
  <c r="IA2" i="27"/>
  <c r="HZ2" i="27"/>
  <c r="HY2" i="27"/>
  <c r="HX2" i="27"/>
  <c r="HW2" i="27"/>
  <c r="HV2" i="27"/>
  <c r="HU2" i="27"/>
  <c r="HT2" i="27"/>
  <c r="HS2" i="27"/>
  <c r="HR2" i="27"/>
  <c r="HQ2" i="27"/>
  <c r="HP2" i="27"/>
  <c r="HO2" i="27"/>
  <c r="HN2" i="27"/>
  <c r="HM2" i="27"/>
  <c r="HL2" i="27"/>
  <c r="HK2" i="27"/>
  <c r="HJ2" i="27"/>
  <c r="HI2" i="27"/>
  <c r="HH2" i="27"/>
  <c r="HG2" i="27"/>
  <c r="HF2" i="27"/>
  <c r="HE2" i="27"/>
  <c r="HD2" i="27"/>
  <c r="HC2" i="27"/>
  <c r="HB2" i="27"/>
  <c r="HA2" i="27"/>
  <c r="GZ2" i="27"/>
  <c r="GY2" i="27"/>
  <c r="GX2" i="27"/>
  <c r="GW2" i="27"/>
  <c r="GV2" i="27"/>
  <c r="GU2" i="27"/>
  <c r="GT2" i="27"/>
  <c r="GS2" i="27"/>
  <c r="GR2" i="27"/>
  <c r="GQ2" i="27"/>
  <c r="GP2" i="27"/>
  <c r="GO2" i="27"/>
  <c r="GN2" i="27"/>
  <c r="GM2" i="27"/>
  <c r="GL2" i="27"/>
  <c r="GK2" i="27"/>
  <c r="GJ2" i="27"/>
  <c r="GI2" i="27"/>
  <c r="GH2" i="27"/>
  <c r="GG2" i="27"/>
  <c r="GF2" i="27"/>
  <c r="GE2" i="27"/>
  <c r="GD2" i="27"/>
  <c r="GC2" i="27"/>
  <c r="GB2" i="27"/>
  <c r="GA2" i="27"/>
  <c r="FZ2" i="27"/>
  <c r="FY2" i="27"/>
  <c r="FX2" i="27"/>
  <c r="FW2" i="27"/>
  <c r="FV2" i="27"/>
  <c r="FU2" i="27"/>
  <c r="FT2" i="27"/>
  <c r="FS2" i="27"/>
  <c r="FR2" i="27"/>
  <c r="FQ2" i="27"/>
  <c r="FP2" i="27"/>
  <c r="FO2" i="27"/>
  <c r="FN2" i="27"/>
  <c r="FM2" i="27"/>
  <c r="FL2" i="27"/>
  <c r="FK2" i="27"/>
  <c r="FJ2" i="27"/>
  <c r="FI2" i="27"/>
  <c r="FH2" i="27"/>
  <c r="FG2" i="27"/>
  <c r="FF2" i="27"/>
  <c r="FE2" i="27"/>
  <c r="FD2" i="27"/>
  <c r="FC2" i="27"/>
  <c r="FB2" i="27"/>
  <c r="FA2" i="27"/>
  <c r="EZ2" i="27"/>
  <c r="EY2" i="27"/>
  <c r="EX2" i="27"/>
  <c r="EW2" i="27"/>
  <c r="EV2" i="27"/>
  <c r="EU2" i="27"/>
  <c r="ET2" i="27"/>
  <c r="ES2" i="27"/>
  <c r="ER2" i="27"/>
  <c r="EQ2" i="27"/>
  <c r="EP2" i="27"/>
  <c r="EO2" i="27"/>
  <c r="EN2" i="27"/>
  <c r="EM2" i="27"/>
  <c r="EL2" i="27"/>
  <c r="EK2" i="27"/>
  <c r="EJ2" i="27"/>
  <c r="EI2" i="27"/>
  <c r="EH2" i="27"/>
  <c r="EG2" i="27"/>
  <c r="EF2" i="27"/>
  <c r="EE2" i="27"/>
  <c r="ED2" i="27"/>
  <c r="EC2" i="27"/>
  <c r="EB2" i="27"/>
  <c r="EA2" i="27"/>
  <c r="DZ2" i="27"/>
  <c r="DY2" i="27"/>
  <c r="DX2" i="27"/>
  <c r="DW2" i="27"/>
  <c r="DV2" i="27"/>
  <c r="DU2" i="27"/>
  <c r="DT2" i="27"/>
  <c r="DS2" i="27"/>
  <c r="DR2" i="27"/>
  <c r="DQ2" i="27"/>
  <c r="DP2" i="27"/>
  <c r="DO2" i="27"/>
  <c r="DN2" i="27"/>
  <c r="DM2" i="27"/>
  <c r="DL2" i="27"/>
  <c r="DK2" i="27"/>
  <c r="DJ2" i="27"/>
  <c r="DI2" i="27"/>
  <c r="DH2" i="27"/>
  <c r="DG2" i="27"/>
  <c r="DF2" i="27"/>
  <c r="DE2" i="27"/>
  <c r="DD2" i="27"/>
  <c r="DC2" i="27"/>
  <c r="DB2" i="27"/>
  <c r="DA2" i="27"/>
  <c r="CZ2" i="27"/>
  <c r="CY2" i="27"/>
  <c r="CX2" i="27"/>
  <c r="CW2" i="27"/>
  <c r="CV2" i="27"/>
  <c r="CU2" i="27"/>
  <c r="CT2" i="27"/>
  <c r="CS2" i="27"/>
  <c r="CR2" i="27"/>
  <c r="CQ2" i="27"/>
  <c r="CP2" i="27"/>
  <c r="CO2" i="27"/>
  <c r="CN2" i="27"/>
  <c r="CM2" i="27"/>
  <c r="CL2" i="27"/>
  <c r="CK2" i="27"/>
  <c r="CJ2" i="27"/>
  <c r="CI2" i="27"/>
  <c r="CH2" i="27"/>
  <c r="CG2" i="27"/>
  <c r="CF2" i="27"/>
  <c r="CE2" i="27"/>
  <c r="CD2" i="27"/>
  <c r="CC2" i="27"/>
  <c r="CB2" i="27"/>
  <c r="CA2" i="27"/>
  <c r="BZ2" i="27"/>
  <c r="BY2" i="27"/>
  <c r="BX2" i="27"/>
  <c r="BW2" i="27"/>
  <c r="BV2" i="27"/>
  <c r="BU2" i="27"/>
  <c r="BT2" i="27"/>
  <c r="BS2" i="27"/>
  <c r="BR2" i="27"/>
  <c r="BQ2" i="27"/>
  <c r="BP2" i="27"/>
  <c r="BO2" i="27"/>
  <c r="BN2" i="27"/>
  <c r="BM2" i="27"/>
  <c r="BL2" i="27"/>
  <c r="BK2" i="27"/>
  <c r="BJ2" i="27"/>
  <c r="BI2" i="27"/>
  <c r="BH2" i="27"/>
  <c r="BG2" i="27"/>
  <c r="BF2" i="27"/>
  <c r="BE2" i="27"/>
  <c r="BD2" i="27"/>
  <c r="BC2" i="27"/>
  <c r="BB2" i="27"/>
  <c r="BA2" i="27"/>
  <c r="AZ2" i="27"/>
  <c r="AY2" i="27"/>
  <c r="AX2" i="27"/>
  <c r="AW2" i="27"/>
  <c r="AV2" i="27"/>
  <c r="AU2" i="27"/>
  <c r="AT2" i="27"/>
  <c r="AS2" i="27"/>
  <c r="AR2" i="27"/>
  <c r="AQ2" i="27"/>
  <c r="AP2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B28" i="22"/>
  <c r="D84" i="2"/>
  <c r="C151" i="2"/>
  <c r="C150" i="2"/>
  <c r="C152" i="2"/>
  <c r="D83" i="2"/>
  <c r="D76" i="2"/>
  <c r="D70" i="2"/>
  <c r="B64" i="2"/>
  <c r="D68" i="2"/>
  <c r="C113" i="2"/>
  <c r="D72" i="2"/>
  <c r="AD38" i="13"/>
  <c r="C31" i="13"/>
  <c r="C32" i="13" s="1"/>
  <c r="B5" i="13"/>
  <c r="F157" i="4"/>
  <c r="E157" i="4"/>
  <c r="IM153" i="4"/>
  <c r="IN153" i="4"/>
  <c r="IO153" i="4"/>
  <c r="II153" i="4"/>
  <c r="IJ153" i="4"/>
  <c r="IK153" i="4"/>
  <c r="IL153" i="4"/>
  <c r="HY153" i="4"/>
  <c r="HZ153" i="4"/>
  <c r="IA153" i="4"/>
  <c r="IB153" i="4"/>
  <c r="IC153" i="4"/>
  <c r="ID153" i="4"/>
  <c r="IE153" i="4"/>
  <c r="IF153" i="4"/>
  <c r="IG153" i="4"/>
  <c r="IH153" i="4"/>
  <c r="HQ153" i="4"/>
  <c r="HR153" i="4"/>
  <c r="HS153" i="4"/>
  <c r="HT153" i="4"/>
  <c r="HU153" i="4"/>
  <c r="HV153" i="4"/>
  <c r="HW153" i="4"/>
  <c r="HX153" i="4"/>
  <c r="HI153" i="4"/>
  <c r="HJ153" i="4"/>
  <c r="HK153" i="4"/>
  <c r="HL153" i="4"/>
  <c r="HM153" i="4"/>
  <c r="HN153" i="4"/>
  <c r="HO153" i="4"/>
  <c r="HP153" i="4"/>
  <c r="HA153" i="4"/>
  <c r="HB153" i="4"/>
  <c r="HC153" i="4"/>
  <c r="HD153" i="4"/>
  <c r="HE153" i="4"/>
  <c r="HF153" i="4"/>
  <c r="HG153" i="4"/>
  <c r="HH153" i="4"/>
  <c r="FS153" i="4"/>
  <c r="FT153" i="4"/>
  <c r="FU153" i="4"/>
  <c r="FV153" i="4"/>
  <c r="FW153" i="4"/>
  <c r="FX153" i="4"/>
  <c r="FY153" i="4"/>
  <c r="FZ153" i="4"/>
  <c r="GA153" i="4"/>
  <c r="GB153" i="4"/>
  <c r="GC153" i="4"/>
  <c r="GD153" i="4"/>
  <c r="GE153" i="4"/>
  <c r="GF153" i="4"/>
  <c r="GG153" i="4"/>
  <c r="GH153" i="4"/>
  <c r="GI153" i="4"/>
  <c r="GJ153" i="4"/>
  <c r="GK153" i="4"/>
  <c r="GL153" i="4"/>
  <c r="GM153" i="4"/>
  <c r="GN153" i="4"/>
  <c r="GO153" i="4"/>
  <c r="GP153" i="4"/>
  <c r="GQ153" i="4"/>
  <c r="GR153" i="4"/>
  <c r="GS153" i="4"/>
  <c r="GT153" i="4"/>
  <c r="GU153" i="4"/>
  <c r="GV153" i="4"/>
  <c r="GW153" i="4"/>
  <c r="GX153" i="4"/>
  <c r="GY153" i="4"/>
  <c r="GZ153" i="4"/>
  <c r="EY153" i="4"/>
  <c r="EZ153" i="4"/>
  <c r="FA153" i="4"/>
  <c r="FB153" i="4"/>
  <c r="FC153" i="4"/>
  <c r="FD153" i="4"/>
  <c r="FE153" i="4"/>
  <c r="FF153" i="4"/>
  <c r="FG153" i="4"/>
  <c r="FH153" i="4"/>
  <c r="FI153" i="4"/>
  <c r="FJ153" i="4"/>
  <c r="FK153" i="4"/>
  <c r="FL153" i="4"/>
  <c r="FM153" i="4"/>
  <c r="FN153" i="4"/>
  <c r="FO153" i="4"/>
  <c r="FP153" i="4"/>
  <c r="FQ153" i="4"/>
  <c r="FR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EQ153" i="4"/>
  <c r="ER153" i="4"/>
  <c r="ES153" i="4"/>
  <c r="ET153" i="4"/>
  <c r="EU153" i="4"/>
  <c r="EV153" i="4"/>
  <c r="EW153" i="4"/>
  <c r="EX153" i="4"/>
  <c r="DU153" i="4"/>
  <c r="DV153" i="4"/>
  <c r="DW153" i="4"/>
  <c r="DX153" i="4"/>
  <c r="DY153" i="4"/>
  <c r="DZ153" i="4"/>
  <c r="IJ110" i="4"/>
  <c r="II110" i="4"/>
  <c r="IH110" i="4"/>
  <c r="IG110" i="4"/>
  <c r="IF110" i="4"/>
  <c r="IE110" i="4"/>
  <c r="ID110" i="4"/>
  <c r="IC110" i="4"/>
  <c r="IB110" i="4"/>
  <c r="IA110" i="4"/>
  <c r="HZ110" i="4"/>
  <c r="HY110" i="4"/>
  <c r="HX110" i="4"/>
  <c r="HW110" i="4"/>
  <c r="HV110" i="4"/>
  <c r="HU110" i="4"/>
  <c r="HT110" i="4"/>
  <c r="HS110" i="4"/>
  <c r="HR110" i="4"/>
  <c r="HQ110" i="4"/>
  <c r="HP110" i="4"/>
  <c r="HO110" i="4"/>
  <c r="HN110" i="4"/>
  <c r="HM110" i="4"/>
  <c r="HL110" i="4"/>
  <c r="HK110" i="4"/>
  <c r="HJ110" i="4"/>
  <c r="HI110" i="4"/>
  <c r="HH110" i="4"/>
  <c r="HG110" i="4"/>
  <c r="HF110" i="4"/>
  <c r="HE110" i="4"/>
  <c r="HD110" i="4"/>
  <c r="HC110" i="4"/>
  <c r="HB110" i="4"/>
  <c r="HA110" i="4"/>
  <c r="GZ110" i="4"/>
  <c r="GY110" i="4"/>
  <c r="GX110" i="4"/>
  <c r="GW110" i="4"/>
  <c r="GV110" i="4"/>
  <c r="GU110" i="4"/>
  <c r="GT110" i="4"/>
  <c r="GS110" i="4"/>
  <c r="GR110" i="4"/>
  <c r="GQ110" i="4"/>
  <c r="GP110" i="4"/>
  <c r="GO110" i="4"/>
  <c r="GN110" i="4"/>
  <c r="GM110" i="4"/>
  <c r="GL110" i="4"/>
  <c r="GK110" i="4"/>
  <c r="GJ110" i="4"/>
  <c r="GI110" i="4"/>
  <c r="GH110" i="4"/>
  <c r="GG110" i="4"/>
  <c r="GF110" i="4"/>
  <c r="GE110" i="4"/>
  <c r="GD110" i="4"/>
  <c r="GC110" i="4"/>
  <c r="GB110" i="4"/>
  <c r="GA110" i="4"/>
  <c r="FZ110" i="4"/>
  <c r="FY110" i="4"/>
  <c r="FX110" i="4"/>
  <c r="FW110" i="4"/>
  <c r="FV110" i="4"/>
  <c r="FU110" i="4"/>
  <c r="FT110" i="4"/>
  <c r="FS110" i="4"/>
  <c r="FR110" i="4"/>
  <c r="FQ110" i="4"/>
  <c r="FP110" i="4"/>
  <c r="FO110" i="4"/>
  <c r="FN110" i="4"/>
  <c r="FM110" i="4"/>
  <c r="FL110" i="4"/>
  <c r="FK110" i="4"/>
  <c r="FJ110" i="4"/>
  <c r="FI110" i="4"/>
  <c r="FH110" i="4"/>
  <c r="FG110" i="4"/>
  <c r="FF110" i="4"/>
  <c r="FE110" i="4"/>
  <c r="FD110" i="4"/>
  <c r="FC110" i="4"/>
  <c r="FB110" i="4"/>
  <c r="FA110" i="4"/>
  <c r="EZ110" i="4"/>
  <c r="EY110" i="4"/>
  <c r="EX110" i="4"/>
  <c r="EW110" i="4"/>
  <c r="EV110" i="4"/>
  <c r="EU110" i="4"/>
  <c r="ET110" i="4"/>
  <c r="ES110" i="4"/>
  <c r="ER110" i="4"/>
  <c r="EQ110" i="4"/>
  <c r="EP110" i="4"/>
  <c r="EO110" i="4"/>
  <c r="EN110" i="4"/>
  <c r="EM110" i="4"/>
  <c r="EL110" i="4"/>
  <c r="EK110" i="4"/>
  <c r="EJ110" i="4"/>
  <c r="EI110" i="4"/>
  <c r="EH110" i="4"/>
  <c r="EG110" i="4"/>
  <c r="EF110" i="4"/>
  <c r="EE110" i="4"/>
  <c r="ED110" i="4"/>
  <c r="EC110" i="4"/>
  <c r="EB110" i="4"/>
  <c r="EA110" i="4"/>
  <c r="DZ110" i="4"/>
  <c r="DY110" i="4"/>
  <c r="DX110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IJ109" i="4"/>
  <c r="II109" i="4"/>
  <c r="IH109" i="4"/>
  <c r="IG109" i="4"/>
  <c r="IF109" i="4"/>
  <c r="IE109" i="4"/>
  <c r="ID109" i="4"/>
  <c r="IC109" i="4"/>
  <c r="IB109" i="4"/>
  <c r="IA109" i="4"/>
  <c r="HZ109" i="4"/>
  <c r="HY109" i="4"/>
  <c r="HX109" i="4"/>
  <c r="HW109" i="4"/>
  <c r="HV109" i="4"/>
  <c r="HU109" i="4"/>
  <c r="HT109" i="4"/>
  <c r="HS109" i="4"/>
  <c r="HR109" i="4"/>
  <c r="HQ109" i="4"/>
  <c r="HP109" i="4"/>
  <c r="HO109" i="4"/>
  <c r="HN109" i="4"/>
  <c r="HM109" i="4"/>
  <c r="HL109" i="4"/>
  <c r="HK109" i="4"/>
  <c r="HJ109" i="4"/>
  <c r="HI109" i="4"/>
  <c r="HH109" i="4"/>
  <c r="HG109" i="4"/>
  <c r="HF109" i="4"/>
  <c r="HE109" i="4"/>
  <c r="HD109" i="4"/>
  <c r="HC109" i="4"/>
  <c r="HB109" i="4"/>
  <c r="HA109" i="4"/>
  <c r="GZ109" i="4"/>
  <c r="GY109" i="4"/>
  <c r="GX109" i="4"/>
  <c r="GW109" i="4"/>
  <c r="GV109" i="4"/>
  <c r="GU109" i="4"/>
  <c r="GT109" i="4"/>
  <c r="GS109" i="4"/>
  <c r="GR109" i="4"/>
  <c r="GQ109" i="4"/>
  <c r="GP109" i="4"/>
  <c r="GO109" i="4"/>
  <c r="GN109" i="4"/>
  <c r="GM109" i="4"/>
  <c r="GL109" i="4"/>
  <c r="GK109" i="4"/>
  <c r="GJ109" i="4"/>
  <c r="GI109" i="4"/>
  <c r="GH109" i="4"/>
  <c r="GG109" i="4"/>
  <c r="GF109" i="4"/>
  <c r="GE109" i="4"/>
  <c r="GD109" i="4"/>
  <c r="GC109" i="4"/>
  <c r="GB109" i="4"/>
  <c r="GA109" i="4"/>
  <c r="FZ109" i="4"/>
  <c r="FY109" i="4"/>
  <c r="FX109" i="4"/>
  <c r="FW109" i="4"/>
  <c r="FV109" i="4"/>
  <c r="FU109" i="4"/>
  <c r="FT109" i="4"/>
  <c r="FS109" i="4"/>
  <c r="FR109" i="4"/>
  <c r="FQ109" i="4"/>
  <c r="FP109" i="4"/>
  <c r="FO109" i="4"/>
  <c r="FN109" i="4"/>
  <c r="FM109" i="4"/>
  <c r="FL109" i="4"/>
  <c r="FK109" i="4"/>
  <c r="FJ109" i="4"/>
  <c r="FI109" i="4"/>
  <c r="FH109" i="4"/>
  <c r="FG109" i="4"/>
  <c r="FF109" i="4"/>
  <c r="FE109" i="4"/>
  <c r="FD109" i="4"/>
  <c r="FC109" i="4"/>
  <c r="FB109" i="4"/>
  <c r="FA109" i="4"/>
  <c r="EZ109" i="4"/>
  <c r="EY109" i="4"/>
  <c r="EX109" i="4"/>
  <c r="EW109" i="4"/>
  <c r="EV109" i="4"/>
  <c r="EU109" i="4"/>
  <c r="ET109" i="4"/>
  <c r="ES109" i="4"/>
  <c r="ER109" i="4"/>
  <c r="EQ109" i="4"/>
  <c r="EP109" i="4"/>
  <c r="EO109" i="4"/>
  <c r="EN109" i="4"/>
  <c r="EM109" i="4"/>
  <c r="EL109" i="4"/>
  <c r="EK109" i="4"/>
  <c r="EJ109" i="4"/>
  <c r="EI109" i="4"/>
  <c r="EH109" i="4"/>
  <c r="EG109" i="4"/>
  <c r="EF109" i="4"/>
  <c r="EE109" i="4"/>
  <c r="ED109" i="4"/>
  <c r="EC109" i="4"/>
  <c r="EB109" i="4"/>
  <c r="EA109" i="4"/>
  <c r="DZ109" i="4"/>
  <c r="DY109" i="4"/>
  <c r="DX109" i="4"/>
  <c r="DW109" i="4"/>
  <c r="DV109" i="4"/>
  <c r="DU109" i="4"/>
  <c r="DT109" i="4"/>
  <c r="DS109" i="4"/>
  <c r="DR109" i="4"/>
  <c r="DQ109" i="4"/>
  <c r="DP109" i="4"/>
  <c r="DO109" i="4"/>
  <c r="DN109" i="4"/>
  <c r="DM109" i="4"/>
  <c r="DL109" i="4"/>
  <c r="DK109" i="4"/>
  <c r="DJ109" i="4"/>
  <c r="DI109" i="4"/>
  <c r="DH109" i="4"/>
  <c r="DG109" i="4"/>
  <c r="DF109" i="4"/>
  <c r="DE109" i="4"/>
  <c r="DD109" i="4"/>
  <c r="DC109" i="4"/>
  <c r="DB109" i="4"/>
  <c r="DA109" i="4"/>
  <c r="CZ109" i="4"/>
  <c r="CY109" i="4"/>
  <c r="CX109" i="4"/>
  <c r="CW109" i="4"/>
  <c r="CV109" i="4"/>
  <c r="CU109" i="4"/>
  <c r="CT109" i="4"/>
  <c r="CS109" i="4"/>
  <c r="CR109" i="4"/>
  <c r="CQ109" i="4"/>
  <c r="CP109" i="4"/>
  <c r="CO109" i="4"/>
  <c r="CN109" i="4"/>
  <c r="CM109" i="4"/>
  <c r="CL109" i="4"/>
  <c r="CK109" i="4"/>
  <c r="E89" i="4"/>
  <c r="E111" i="4"/>
  <c r="IJ88" i="4"/>
  <c r="II88" i="4"/>
  <c r="IH88" i="4"/>
  <c r="IG88" i="4"/>
  <c r="IF88" i="4"/>
  <c r="IE88" i="4"/>
  <c r="ID88" i="4"/>
  <c r="IC88" i="4"/>
  <c r="IB88" i="4"/>
  <c r="IA88" i="4"/>
  <c r="HZ88" i="4"/>
  <c r="HY88" i="4"/>
  <c r="HX88" i="4"/>
  <c r="HW88" i="4"/>
  <c r="HV88" i="4"/>
  <c r="HU88" i="4"/>
  <c r="HT88" i="4"/>
  <c r="HS88" i="4"/>
  <c r="HR88" i="4"/>
  <c r="HQ88" i="4"/>
  <c r="HP88" i="4"/>
  <c r="HO88" i="4"/>
  <c r="HN88" i="4"/>
  <c r="HM88" i="4"/>
  <c r="HL88" i="4"/>
  <c r="HK88" i="4"/>
  <c r="HJ88" i="4"/>
  <c r="HI88" i="4"/>
  <c r="HH88" i="4"/>
  <c r="HG88" i="4"/>
  <c r="HF88" i="4"/>
  <c r="HE88" i="4"/>
  <c r="HD88" i="4"/>
  <c r="HC88" i="4"/>
  <c r="HB88" i="4"/>
  <c r="HA88" i="4"/>
  <c r="GZ88" i="4"/>
  <c r="GY88" i="4"/>
  <c r="GX88" i="4"/>
  <c r="GW88" i="4"/>
  <c r="GV88" i="4"/>
  <c r="GU88" i="4"/>
  <c r="GT88" i="4"/>
  <c r="GS88" i="4"/>
  <c r="GR88" i="4"/>
  <c r="GQ88" i="4"/>
  <c r="GP88" i="4"/>
  <c r="GO88" i="4"/>
  <c r="GN88" i="4"/>
  <c r="GM88" i="4"/>
  <c r="GL88" i="4"/>
  <c r="GK88" i="4"/>
  <c r="GJ88" i="4"/>
  <c r="GI88" i="4"/>
  <c r="GH88" i="4"/>
  <c r="GG88" i="4"/>
  <c r="GF88" i="4"/>
  <c r="GE88" i="4"/>
  <c r="GD88" i="4"/>
  <c r="GC88" i="4"/>
  <c r="GB88" i="4"/>
  <c r="GA88" i="4"/>
  <c r="FZ88" i="4"/>
  <c r="FY88" i="4"/>
  <c r="FX88" i="4"/>
  <c r="FW88" i="4"/>
  <c r="FV88" i="4"/>
  <c r="FU88" i="4"/>
  <c r="FT88" i="4"/>
  <c r="FS88" i="4"/>
  <c r="FR88" i="4"/>
  <c r="FQ88" i="4"/>
  <c r="FP88" i="4"/>
  <c r="FO88" i="4"/>
  <c r="FN88" i="4"/>
  <c r="FM88" i="4"/>
  <c r="FL88" i="4"/>
  <c r="FK88" i="4"/>
  <c r="FJ88" i="4"/>
  <c r="FI88" i="4"/>
  <c r="FH88" i="4"/>
  <c r="FG88" i="4"/>
  <c r="FF88" i="4"/>
  <c r="FE88" i="4"/>
  <c r="FD88" i="4"/>
  <c r="FC88" i="4"/>
  <c r="FB88" i="4"/>
  <c r="FA88" i="4"/>
  <c r="EZ88" i="4"/>
  <c r="EY88" i="4"/>
  <c r="EX88" i="4"/>
  <c r="EW88" i="4"/>
  <c r="EV88" i="4"/>
  <c r="EU88" i="4"/>
  <c r="ET88" i="4"/>
  <c r="ES88" i="4"/>
  <c r="ER88" i="4"/>
  <c r="EQ88" i="4"/>
  <c r="EP88" i="4"/>
  <c r="EO88" i="4"/>
  <c r="EN88" i="4"/>
  <c r="EM88" i="4"/>
  <c r="EL88" i="4"/>
  <c r="EK88" i="4"/>
  <c r="EJ88" i="4"/>
  <c r="EI88" i="4"/>
  <c r="EH88" i="4"/>
  <c r="EG88" i="4"/>
  <c r="EF88" i="4"/>
  <c r="EE88" i="4"/>
  <c r="ED88" i="4"/>
  <c r="EC88" i="4"/>
  <c r="EB88" i="4"/>
  <c r="EA88" i="4"/>
  <c r="DZ88" i="4"/>
  <c r="DY88" i="4"/>
  <c r="DX88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CW88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IJ87" i="4"/>
  <c r="II87" i="4"/>
  <c r="IH87" i="4"/>
  <c r="IG87" i="4"/>
  <c r="IF87" i="4"/>
  <c r="IE87" i="4"/>
  <c r="ID87" i="4"/>
  <c r="IC87" i="4"/>
  <c r="IB87" i="4"/>
  <c r="IA87" i="4"/>
  <c r="HZ87" i="4"/>
  <c r="HY87" i="4"/>
  <c r="HX87" i="4"/>
  <c r="HW87" i="4"/>
  <c r="HV87" i="4"/>
  <c r="HU87" i="4"/>
  <c r="HT87" i="4"/>
  <c r="HS87" i="4"/>
  <c r="HR87" i="4"/>
  <c r="HQ87" i="4"/>
  <c r="HP87" i="4"/>
  <c r="HO87" i="4"/>
  <c r="HN87" i="4"/>
  <c r="HM87" i="4"/>
  <c r="HL87" i="4"/>
  <c r="HK87" i="4"/>
  <c r="HJ87" i="4"/>
  <c r="HI87" i="4"/>
  <c r="HH87" i="4"/>
  <c r="HG87" i="4"/>
  <c r="HF87" i="4"/>
  <c r="HE87" i="4"/>
  <c r="HD87" i="4"/>
  <c r="HC87" i="4"/>
  <c r="HB87" i="4"/>
  <c r="HA87" i="4"/>
  <c r="GZ87" i="4"/>
  <c r="GY87" i="4"/>
  <c r="GX87" i="4"/>
  <c r="GW87" i="4"/>
  <c r="GV87" i="4"/>
  <c r="GU87" i="4"/>
  <c r="GT87" i="4"/>
  <c r="GS87" i="4"/>
  <c r="GR87" i="4"/>
  <c r="GQ87" i="4"/>
  <c r="GP87" i="4"/>
  <c r="GO87" i="4"/>
  <c r="GN87" i="4"/>
  <c r="GM87" i="4"/>
  <c r="GL87" i="4"/>
  <c r="GK87" i="4"/>
  <c r="GJ87" i="4"/>
  <c r="GI87" i="4"/>
  <c r="GH87" i="4"/>
  <c r="GG87" i="4"/>
  <c r="GF87" i="4"/>
  <c r="GE87" i="4"/>
  <c r="GD87" i="4"/>
  <c r="GC87" i="4"/>
  <c r="GB87" i="4"/>
  <c r="GA87" i="4"/>
  <c r="FZ87" i="4"/>
  <c r="FY87" i="4"/>
  <c r="FX87" i="4"/>
  <c r="FW87" i="4"/>
  <c r="FV87" i="4"/>
  <c r="FU87" i="4"/>
  <c r="FT87" i="4"/>
  <c r="FS87" i="4"/>
  <c r="FR87" i="4"/>
  <c r="FQ87" i="4"/>
  <c r="FP87" i="4"/>
  <c r="FO87" i="4"/>
  <c r="FN87" i="4"/>
  <c r="FM87" i="4"/>
  <c r="FL87" i="4"/>
  <c r="FK87" i="4"/>
  <c r="FJ87" i="4"/>
  <c r="FI87" i="4"/>
  <c r="FH87" i="4"/>
  <c r="FG87" i="4"/>
  <c r="FF87" i="4"/>
  <c r="FE87" i="4"/>
  <c r="FD87" i="4"/>
  <c r="FC87" i="4"/>
  <c r="FB87" i="4"/>
  <c r="FA87" i="4"/>
  <c r="EZ87" i="4"/>
  <c r="EY87" i="4"/>
  <c r="EX87" i="4"/>
  <c r="EW87" i="4"/>
  <c r="EV87" i="4"/>
  <c r="EU87" i="4"/>
  <c r="ET87" i="4"/>
  <c r="ES87" i="4"/>
  <c r="ER87" i="4"/>
  <c r="EQ87" i="4"/>
  <c r="EP87" i="4"/>
  <c r="EO87" i="4"/>
  <c r="EN87" i="4"/>
  <c r="EM87" i="4"/>
  <c r="EL87" i="4"/>
  <c r="EK87" i="4"/>
  <c r="EJ87" i="4"/>
  <c r="EI87" i="4"/>
  <c r="EH87" i="4"/>
  <c r="EG87" i="4"/>
  <c r="EF87" i="4"/>
  <c r="EE87" i="4"/>
  <c r="ED87" i="4"/>
  <c r="EC87" i="4"/>
  <c r="EB87" i="4"/>
  <c r="EA87" i="4"/>
  <c r="DZ87" i="4"/>
  <c r="DY87" i="4"/>
  <c r="DX87" i="4"/>
  <c r="DW87" i="4"/>
  <c r="DV87" i="4"/>
  <c r="DU87" i="4"/>
  <c r="DT87" i="4"/>
  <c r="DS87" i="4"/>
  <c r="DR87" i="4"/>
  <c r="DQ87" i="4"/>
  <c r="DP87" i="4"/>
  <c r="DO87" i="4"/>
  <c r="DN87" i="4"/>
  <c r="DM87" i="4"/>
  <c r="DL87" i="4"/>
  <c r="DK87" i="4"/>
  <c r="DJ87" i="4"/>
  <c r="DI87" i="4"/>
  <c r="DH87" i="4"/>
  <c r="DG87" i="4"/>
  <c r="DF87" i="4"/>
  <c r="DE87" i="4"/>
  <c r="DD87" i="4"/>
  <c r="DC87" i="4"/>
  <c r="DB87" i="4"/>
  <c r="DA87" i="4"/>
  <c r="CZ87" i="4"/>
  <c r="CY87" i="4"/>
  <c r="CX87" i="4"/>
  <c r="CW87" i="4"/>
  <c r="CV87" i="4"/>
  <c r="CU87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IJ55" i="4"/>
  <c r="II55" i="4"/>
  <c r="IH55" i="4"/>
  <c r="IG55" i="4"/>
  <c r="IF55" i="4"/>
  <c r="IE55" i="4"/>
  <c r="ID55" i="4"/>
  <c r="IC55" i="4"/>
  <c r="IB55" i="4"/>
  <c r="IA55" i="4"/>
  <c r="HZ55" i="4"/>
  <c r="HY55" i="4"/>
  <c r="HX55" i="4"/>
  <c r="HW55" i="4"/>
  <c r="HV55" i="4"/>
  <c r="HU55" i="4"/>
  <c r="HT55" i="4"/>
  <c r="HS55" i="4"/>
  <c r="HR55" i="4"/>
  <c r="HQ55" i="4"/>
  <c r="HP55" i="4"/>
  <c r="HO55" i="4"/>
  <c r="HN55" i="4"/>
  <c r="HM55" i="4"/>
  <c r="HL55" i="4"/>
  <c r="HK55" i="4"/>
  <c r="HJ55" i="4"/>
  <c r="HI55" i="4"/>
  <c r="HH55" i="4"/>
  <c r="HG55" i="4"/>
  <c r="HF55" i="4"/>
  <c r="HE55" i="4"/>
  <c r="HD55" i="4"/>
  <c r="HC55" i="4"/>
  <c r="HB55" i="4"/>
  <c r="HA55" i="4"/>
  <c r="GZ55" i="4"/>
  <c r="GY55" i="4"/>
  <c r="GX55" i="4"/>
  <c r="GW55" i="4"/>
  <c r="GV55" i="4"/>
  <c r="GU55" i="4"/>
  <c r="GT55" i="4"/>
  <c r="GS55" i="4"/>
  <c r="GR55" i="4"/>
  <c r="GQ55" i="4"/>
  <c r="GP55" i="4"/>
  <c r="GO55" i="4"/>
  <c r="GN55" i="4"/>
  <c r="GM55" i="4"/>
  <c r="GL55" i="4"/>
  <c r="GK55" i="4"/>
  <c r="GJ55" i="4"/>
  <c r="GI55" i="4"/>
  <c r="GH55" i="4"/>
  <c r="GG55" i="4"/>
  <c r="GF55" i="4"/>
  <c r="GE55" i="4"/>
  <c r="GD55" i="4"/>
  <c r="GC55" i="4"/>
  <c r="GB55" i="4"/>
  <c r="GA55" i="4"/>
  <c r="FZ55" i="4"/>
  <c r="FY55" i="4"/>
  <c r="FX55" i="4"/>
  <c r="FW55" i="4"/>
  <c r="FV55" i="4"/>
  <c r="FU55" i="4"/>
  <c r="FT55" i="4"/>
  <c r="FS55" i="4"/>
  <c r="FR55" i="4"/>
  <c r="FQ55" i="4"/>
  <c r="FP55" i="4"/>
  <c r="FO55" i="4"/>
  <c r="FN55" i="4"/>
  <c r="FM55" i="4"/>
  <c r="FL55" i="4"/>
  <c r="FK55" i="4"/>
  <c r="FJ55" i="4"/>
  <c r="FI55" i="4"/>
  <c r="FH55" i="4"/>
  <c r="FG55" i="4"/>
  <c r="FF55" i="4"/>
  <c r="FE55" i="4"/>
  <c r="FD55" i="4"/>
  <c r="FC55" i="4"/>
  <c r="FB55" i="4"/>
  <c r="FA55" i="4"/>
  <c r="EZ55" i="4"/>
  <c r="EY55" i="4"/>
  <c r="EX55" i="4"/>
  <c r="EW55" i="4"/>
  <c r="EV55" i="4"/>
  <c r="EU55" i="4"/>
  <c r="ET55" i="4"/>
  <c r="ES55" i="4"/>
  <c r="ER55" i="4"/>
  <c r="EQ55" i="4"/>
  <c r="EP55" i="4"/>
  <c r="EO55" i="4"/>
  <c r="EN55" i="4"/>
  <c r="EM55" i="4"/>
  <c r="EL55" i="4"/>
  <c r="EK55" i="4"/>
  <c r="EJ55" i="4"/>
  <c r="EI55" i="4"/>
  <c r="EH55" i="4"/>
  <c r="EG55" i="4"/>
  <c r="EF55" i="4"/>
  <c r="EE55" i="4"/>
  <c r="ED55" i="4"/>
  <c r="EC55" i="4"/>
  <c r="EB55" i="4"/>
  <c r="EA55" i="4"/>
  <c r="DZ55" i="4"/>
  <c r="DY55" i="4"/>
  <c r="DX55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IJ54" i="4"/>
  <c r="II54" i="4"/>
  <c r="IH54" i="4"/>
  <c r="IG54" i="4"/>
  <c r="IF54" i="4"/>
  <c r="IE54" i="4"/>
  <c r="ID54" i="4"/>
  <c r="IC54" i="4"/>
  <c r="IB54" i="4"/>
  <c r="IA54" i="4"/>
  <c r="HZ54" i="4"/>
  <c r="HY54" i="4"/>
  <c r="HX54" i="4"/>
  <c r="HW54" i="4"/>
  <c r="HV54" i="4"/>
  <c r="HU54" i="4"/>
  <c r="HT54" i="4"/>
  <c r="HS54" i="4"/>
  <c r="HR54" i="4"/>
  <c r="HQ54" i="4"/>
  <c r="HP54" i="4"/>
  <c r="HO54" i="4"/>
  <c r="HN54" i="4"/>
  <c r="HM54" i="4"/>
  <c r="HL54" i="4"/>
  <c r="HK54" i="4"/>
  <c r="HJ54" i="4"/>
  <c r="HI54" i="4"/>
  <c r="HH54" i="4"/>
  <c r="HG54" i="4"/>
  <c r="HF54" i="4"/>
  <c r="HE54" i="4"/>
  <c r="HD54" i="4"/>
  <c r="HC54" i="4"/>
  <c r="HB54" i="4"/>
  <c r="HA54" i="4"/>
  <c r="GZ54" i="4"/>
  <c r="GY54" i="4"/>
  <c r="GX54" i="4"/>
  <c r="GW54" i="4"/>
  <c r="GV54" i="4"/>
  <c r="GU54" i="4"/>
  <c r="GT54" i="4"/>
  <c r="GS54" i="4"/>
  <c r="GR54" i="4"/>
  <c r="GQ54" i="4"/>
  <c r="GP54" i="4"/>
  <c r="GO54" i="4"/>
  <c r="GN54" i="4"/>
  <c r="GM54" i="4"/>
  <c r="GL54" i="4"/>
  <c r="GK54" i="4"/>
  <c r="GJ54" i="4"/>
  <c r="GI54" i="4"/>
  <c r="GH54" i="4"/>
  <c r="GG54" i="4"/>
  <c r="GF54" i="4"/>
  <c r="GE54" i="4"/>
  <c r="GD54" i="4"/>
  <c r="GC54" i="4"/>
  <c r="GB54" i="4"/>
  <c r="GA54" i="4"/>
  <c r="FZ54" i="4"/>
  <c r="FY54" i="4"/>
  <c r="FX54" i="4"/>
  <c r="FW54" i="4"/>
  <c r="FV54" i="4"/>
  <c r="FU54" i="4"/>
  <c r="FT54" i="4"/>
  <c r="FS54" i="4"/>
  <c r="FR54" i="4"/>
  <c r="FQ54" i="4"/>
  <c r="FP54" i="4"/>
  <c r="FO54" i="4"/>
  <c r="FN54" i="4"/>
  <c r="FM54" i="4"/>
  <c r="FL54" i="4"/>
  <c r="FK54" i="4"/>
  <c r="FJ54" i="4"/>
  <c r="FI54" i="4"/>
  <c r="FH54" i="4"/>
  <c r="FG54" i="4"/>
  <c r="FF54" i="4"/>
  <c r="FE54" i="4"/>
  <c r="FD54" i="4"/>
  <c r="FC54" i="4"/>
  <c r="FB54" i="4"/>
  <c r="FA54" i="4"/>
  <c r="EZ54" i="4"/>
  <c r="EY54" i="4"/>
  <c r="EX54" i="4"/>
  <c r="EW54" i="4"/>
  <c r="EV54" i="4"/>
  <c r="EU54" i="4"/>
  <c r="ET54" i="4"/>
  <c r="ES54" i="4"/>
  <c r="ER54" i="4"/>
  <c r="EQ54" i="4"/>
  <c r="EP54" i="4"/>
  <c r="EO54" i="4"/>
  <c r="EN54" i="4"/>
  <c r="EM54" i="4"/>
  <c r="EL54" i="4"/>
  <c r="EK54" i="4"/>
  <c r="EJ54" i="4"/>
  <c r="EI54" i="4"/>
  <c r="EH54" i="4"/>
  <c r="EG54" i="4"/>
  <c r="EF54" i="4"/>
  <c r="EE54" i="4"/>
  <c r="ED54" i="4"/>
  <c r="EC54" i="4"/>
  <c r="EB54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IJ106" i="4"/>
  <c r="II106" i="4"/>
  <c r="IH106" i="4"/>
  <c r="IG106" i="4"/>
  <c r="IF106" i="4"/>
  <c r="IE106" i="4"/>
  <c r="ID106" i="4"/>
  <c r="IC106" i="4"/>
  <c r="IB106" i="4"/>
  <c r="IA106" i="4"/>
  <c r="HZ106" i="4"/>
  <c r="HY106" i="4"/>
  <c r="HX106" i="4"/>
  <c r="HW106" i="4"/>
  <c r="HV106" i="4"/>
  <c r="HU106" i="4"/>
  <c r="HT106" i="4"/>
  <c r="HS106" i="4"/>
  <c r="HR106" i="4"/>
  <c r="HQ106" i="4"/>
  <c r="HP106" i="4"/>
  <c r="HO106" i="4"/>
  <c r="HN106" i="4"/>
  <c r="HM106" i="4"/>
  <c r="HL106" i="4"/>
  <c r="HK106" i="4"/>
  <c r="HJ106" i="4"/>
  <c r="HI106" i="4"/>
  <c r="HH106" i="4"/>
  <c r="HG106" i="4"/>
  <c r="HF106" i="4"/>
  <c r="HE106" i="4"/>
  <c r="HD106" i="4"/>
  <c r="HC106" i="4"/>
  <c r="HB106" i="4"/>
  <c r="HA106" i="4"/>
  <c r="GZ106" i="4"/>
  <c r="GY106" i="4"/>
  <c r="GX106" i="4"/>
  <c r="GW106" i="4"/>
  <c r="GV106" i="4"/>
  <c r="GU106" i="4"/>
  <c r="GT106" i="4"/>
  <c r="GS106" i="4"/>
  <c r="GR106" i="4"/>
  <c r="GQ106" i="4"/>
  <c r="GP106" i="4"/>
  <c r="GO106" i="4"/>
  <c r="GN106" i="4"/>
  <c r="GM106" i="4"/>
  <c r="GL106" i="4"/>
  <c r="GK106" i="4"/>
  <c r="GJ106" i="4"/>
  <c r="GI106" i="4"/>
  <c r="GH106" i="4"/>
  <c r="GG106" i="4"/>
  <c r="GF106" i="4"/>
  <c r="GE106" i="4"/>
  <c r="GD106" i="4"/>
  <c r="GC106" i="4"/>
  <c r="GB106" i="4"/>
  <c r="GA106" i="4"/>
  <c r="FZ106" i="4"/>
  <c r="FY106" i="4"/>
  <c r="FX106" i="4"/>
  <c r="FW106" i="4"/>
  <c r="FV106" i="4"/>
  <c r="FU106" i="4"/>
  <c r="FT106" i="4"/>
  <c r="FS106" i="4"/>
  <c r="FR106" i="4"/>
  <c r="FQ106" i="4"/>
  <c r="FP106" i="4"/>
  <c r="FO106" i="4"/>
  <c r="FN106" i="4"/>
  <c r="FM106" i="4"/>
  <c r="FL106" i="4"/>
  <c r="FK106" i="4"/>
  <c r="FJ106" i="4"/>
  <c r="FI106" i="4"/>
  <c r="FH106" i="4"/>
  <c r="FG106" i="4"/>
  <c r="FF106" i="4"/>
  <c r="FE106" i="4"/>
  <c r="FD106" i="4"/>
  <c r="FC106" i="4"/>
  <c r="FB106" i="4"/>
  <c r="FA106" i="4"/>
  <c r="EZ106" i="4"/>
  <c r="EY106" i="4"/>
  <c r="EX106" i="4"/>
  <c r="EW106" i="4"/>
  <c r="EV106" i="4"/>
  <c r="EU106" i="4"/>
  <c r="ET106" i="4"/>
  <c r="ES106" i="4"/>
  <c r="ER106" i="4"/>
  <c r="EQ106" i="4"/>
  <c r="EP106" i="4"/>
  <c r="EO106" i="4"/>
  <c r="EN106" i="4"/>
  <c r="EM106" i="4"/>
  <c r="EL106" i="4"/>
  <c r="EK106" i="4"/>
  <c r="EJ106" i="4"/>
  <c r="EI106" i="4"/>
  <c r="EH106" i="4"/>
  <c r="EG106" i="4"/>
  <c r="EF106" i="4"/>
  <c r="EE106" i="4"/>
  <c r="ED106" i="4"/>
  <c r="EC106" i="4"/>
  <c r="EB106" i="4"/>
  <c r="EA106" i="4"/>
  <c r="DZ106" i="4"/>
  <c r="DY106" i="4"/>
  <c r="DX106" i="4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K106" i="4"/>
  <c r="DJ106" i="4"/>
  <c r="DI106" i="4"/>
  <c r="DH106" i="4"/>
  <c r="DG106" i="4"/>
  <c r="DF106" i="4"/>
  <c r="DE106" i="4"/>
  <c r="DD106" i="4"/>
  <c r="DC106" i="4"/>
  <c r="DB106" i="4"/>
  <c r="DA106" i="4"/>
  <c r="CZ106" i="4"/>
  <c r="CY106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IJ84" i="4"/>
  <c r="II84" i="4"/>
  <c r="IH84" i="4"/>
  <c r="IG84" i="4"/>
  <c r="IF84" i="4"/>
  <c r="IE84" i="4"/>
  <c r="ID84" i="4"/>
  <c r="IC84" i="4"/>
  <c r="IB84" i="4"/>
  <c r="IA84" i="4"/>
  <c r="HZ84" i="4"/>
  <c r="HY84" i="4"/>
  <c r="HX84" i="4"/>
  <c r="HW84" i="4"/>
  <c r="HV84" i="4"/>
  <c r="HU84" i="4"/>
  <c r="HT84" i="4"/>
  <c r="HS84" i="4"/>
  <c r="HR84" i="4"/>
  <c r="HQ84" i="4"/>
  <c r="HP84" i="4"/>
  <c r="HO84" i="4"/>
  <c r="HN84" i="4"/>
  <c r="HM84" i="4"/>
  <c r="HL84" i="4"/>
  <c r="HK84" i="4"/>
  <c r="HJ84" i="4"/>
  <c r="HI84" i="4"/>
  <c r="HH84" i="4"/>
  <c r="HG84" i="4"/>
  <c r="HF84" i="4"/>
  <c r="HE84" i="4"/>
  <c r="HD84" i="4"/>
  <c r="HC84" i="4"/>
  <c r="HB84" i="4"/>
  <c r="HA84" i="4"/>
  <c r="GZ84" i="4"/>
  <c r="GY84" i="4"/>
  <c r="GX84" i="4"/>
  <c r="GW84" i="4"/>
  <c r="GV84" i="4"/>
  <c r="GU84" i="4"/>
  <c r="GT84" i="4"/>
  <c r="GS84" i="4"/>
  <c r="GR84" i="4"/>
  <c r="GQ84" i="4"/>
  <c r="GP84" i="4"/>
  <c r="GO84" i="4"/>
  <c r="GN84" i="4"/>
  <c r="GM84" i="4"/>
  <c r="GL84" i="4"/>
  <c r="GK84" i="4"/>
  <c r="GJ84" i="4"/>
  <c r="GI84" i="4"/>
  <c r="GH84" i="4"/>
  <c r="GG84" i="4"/>
  <c r="GF84" i="4"/>
  <c r="GE84" i="4"/>
  <c r="GD84" i="4"/>
  <c r="GC84" i="4"/>
  <c r="GB84" i="4"/>
  <c r="GA84" i="4"/>
  <c r="FZ84" i="4"/>
  <c r="FY84" i="4"/>
  <c r="FX84" i="4"/>
  <c r="FW84" i="4"/>
  <c r="FV84" i="4"/>
  <c r="FU84" i="4"/>
  <c r="FT84" i="4"/>
  <c r="FS84" i="4"/>
  <c r="FR84" i="4"/>
  <c r="FQ84" i="4"/>
  <c r="FP84" i="4"/>
  <c r="FO84" i="4"/>
  <c r="FN84" i="4"/>
  <c r="FM84" i="4"/>
  <c r="FL84" i="4"/>
  <c r="FK84" i="4"/>
  <c r="FJ84" i="4"/>
  <c r="FI84" i="4"/>
  <c r="FH84" i="4"/>
  <c r="FG84" i="4"/>
  <c r="FF84" i="4"/>
  <c r="FE84" i="4"/>
  <c r="FD84" i="4"/>
  <c r="FC84" i="4"/>
  <c r="FB84" i="4"/>
  <c r="FA84" i="4"/>
  <c r="EZ84" i="4"/>
  <c r="EY84" i="4"/>
  <c r="EX84" i="4"/>
  <c r="EW84" i="4"/>
  <c r="EV84" i="4"/>
  <c r="EU84" i="4"/>
  <c r="ET84" i="4"/>
  <c r="ES84" i="4"/>
  <c r="ER84" i="4"/>
  <c r="EQ84" i="4"/>
  <c r="EP84" i="4"/>
  <c r="EO84" i="4"/>
  <c r="EN84" i="4"/>
  <c r="EM84" i="4"/>
  <c r="EL84" i="4"/>
  <c r="EK84" i="4"/>
  <c r="EJ84" i="4"/>
  <c r="EI84" i="4"/>
  <c r="EH84" i="4"/>
  <c r="EG84" i="4"/>
  <c r="EF84" i="4"/>
  <c r="EE84" i="4"/>
  <c r="ED84" i="4"/>
  <c r="EC84" i="4"/>
  <c r="EB84" i="4"/>
  <c r="EA84" i="4"/>
  <c r="DZ84" i="4"/>
  <c r="DY84" i="4"/>
  <c r="DX84" i="4"/>
  <c r="DW84" i="4"/>
  <c r="DV84" i="4"/>
  <c r="DU84" i="4"/>
  <c r="DT84" i="4"/>
  <c r="DS84" i="4"/>
  <c r="DR84" i="4"/>
  <c r="DQ84" i="4"/>
  <c r="DP84" i="4"/>
  <c r="DO84" i="4"/>
  <c r="DN84" i="4"/>
  <c r="DM84" i="4"/>
  <c r="DL84" i="4"/>
  <c r="DK84" i="4"/>
  <c r="DJ84" i="4"/>
  <c r="DI84" i="4"/>
  <c r="DH84" i="4"/>
  <c r="DG84" i="4"/>
  <c r="DF84" i="4"/>
  <c r="DE84" i="4"/>
  <c r="DD84" i="4"/>
  <c r="DC84" i="4"/>
  <c r="DB84" i="4"/>
  <c r="DA84" i="4"/>
  <c r="CZ84" i="4"/>
  <c r="CY84" i="4"/>
  <c r="CX84" i="4"/>
  <c r="CW84" i="4"/>
  <c r="CV84" i="4"/>
  <c r="CU84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IJ51" i="4"/>
  <c r="II51" i="4"/>
  <c r="IH51" i="4"/>
  <c r="IG51" i="4"/>
  <c r="IF51" i="4"/>
  <c r="IE51" i="4"/>
  <c r="ID51" i="4"/>
  <c r="IC51" i="4"/>
  <c r="IB51" i="4"/>
  <c r="IA51" i="4"/>
  <c r="HZ51" i="4"/>
  <c r="HY51" i="4"/>
  <c r="HX51" i="4"/>
  <c r="HW51" i="4"/>
  <c r="HV51" i="4"/>
  <c r="HU51" i="4"/>
  <c r="HT51" i="4"/>
  <c r="HS51" i="4"/>
  <c r="HR51" i="4"/>
  <c r="HQ51" i="4"/>
  <c r="HP51" i="4"/>
  <c r="HO51" i="4"/>
  <c r="HN51" i="4"/>
  <c r="HM51" i="4"/>
  <c r="HL51" i="4"/>
  <c r="HK51" i="4"/>
  <c r="HJ51" i="4"/>
  <c r="HI51" i="4"/>
  <c r="HH51" i="4"/>
  <c r="HG51" i="4"/>
  <c r="HF51" i="4"/>
  <c r="HE51" i="4"/>
  <c r="HD51" i="4"/>
  <c r="HC51" i="4"/>
  <c r="HB51" i="4"/>
  <c r="HA51" i="4"/>
  <c r="GZ51" i="4"/>
  <c r="GY51" i="4"/>
  <c r="GX51" i="4"/>
  <c r="GW51" i="4"/>
  <c r="GV51" i="4"/>
  <c r="GU51" i="4"/>
  <c r="GT51" i="4"/>
  <c r="GS51" i="4"/>
  <c r="GR51" i="4"/>
  <c r="GQ51" i="4"/>
  <c r="GP51" i="4"/>
  <c r="GO51" i="4"/>
  <c r="GN51" i="4"/>
  <c r="GM51" i="4"/>
  <c r="GL51" i="4"/>
  <c r="GK51" i="4"/>
  <c r="GJ51" i="4"/>
  <c r="GI51" i="4"/>
  <c r="GH51" i="4"/>
  <c r="GG51" i="4"/>
  <c r="GF51" i="4"/>
  <c r="GE51" i="4"/>
  <c r="GD51" i="4"/>
  <c r="GC51" i="4"/>
  <c r="GB51" i="4"/>
  <c r="GA51" i="4"/>
  <c r="FZ51" i="4"/>
  <c r="FY51" i="4"/>
  <c r="FX51" i="4"/>
  <c r="FW51" i="4"/>
  <c r="FV51" i="4"/>
  <c r="FU51" i="4"/>
  <c r="FT51" i="4"/>
  <c r="FS51" i="4"/>
  <c r="FR51" i="4"/>
  <c r="FQ51" i="4"/>
  <c r="FP51" i="4"/>
  <c r="FO51" i="4"/>
  <c r="FN51" i="4"/>
  <c r="FM51" i="4"/>
  <c r="FL51" i="4"/>
  <c r="FK51" i="4"/>
  <c r="FJ51" i="4"/>
  <c r="FI51" i="4"/>
  <c r="FH51" i="4"/>
  <c r="FG51" i="4"/>
  <c r="FF51" i="4"/>
  <c r="FE51" i="4"/>
  <c r="FD51" i="4"/>
  <c r="FC51" i="4"/>
  <c r="FB51" i="4"/>
  <c r="FA51" i="4"/>
  <c r="EZ51" i="4"/>
  <c r="EY51" i="4"/>
  <c r="EX51" i="4"/>
  <c r="EW51" i="4"/>
  <c r="EV51" i="4"/>
  <c r="EU51" i="4"/>
  <c r="ET51" i="4"/>
  <c r="ES51" i="4"/>
  <c r="ER51" i="4"/>
  <c r="EQ51" i="4"/>
  <c r="EP51" i="4"/>
  <c r="EO51" i="4"/>
  <c r="EN51" i="4"/>
  <c r="EM51" i="4"/>
  <c r="EL51" i="4"/>
  <c r="EK51" i="4"/>
  <c r="EJ51" i="4"/>
  <c r="EI51" i="4"/>
  <c r="EH51" i="4"/>
  <c r="EG51" i="4"/>
  <c r="EF51" i="4"/>
  <c r="EE51" i="4"/>
  <c r="ED51" i="4"/>
  <c r="EC51" i="4"/>
  <c r="EB51" i="4"/>
  <c r="EA51" i="4"/>
  <c r="DZ51" i="4"/>
  <c r="DY51" i="4"/>
  <c r="DX51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C38" i="26"/>
  <c r="C39" i="26"/>
  <c r="C33" i="26"/>
  <c r="IH12" i="26"/>
  <c r="IG12" i="26"/>
  <c r="IF12" i="26"/>
  <c r="IE12" i="26"/>
  <c r="ID12" i="26"/>
  <c r="IC12" i="26"/>
  <c r="IB12" i="26"/>
  <c r="IA12" i="26"/>
  <c r="HZ12" i="26"/>
  <c r="HY12" i="26"/>
  <c r="HX12" i="26"/>
  <c r="HW12" i="26"/>
  <c r="HV12" i="26"/>
  <c r="HU12" i="26"/>
  <c r="HT12" i="26"/>
  <c r="HS12" i="26"/>
  <c r="HR12" i="26"/>
  <c r="HQ12" i="26"/>
  <c r="HP12" i="26"/>
  <c r="HO12" i="26"/>
  <c r="HN12" i="26"/>
  <c r="HM12" i="26"/>
  <c r="HL12" i="26"/>
  <c r="HK12" i="26"/>
  <c r="HJ12" i="26"/>
  <c r="HI12" i="26"/>
  <c r="HH12" i="26"/>
  <c r="HG12" i="26"/>
  <c r="HF12" i="26"/>
  <c r="HE12" i="26"/>
  <c r="HD12" i="26"/>
  <c r="HC12" i="26"/>
  <c r="HB12" i="26"/>
  <c r="HA12" i="26"/>
  <c r="GZ12" i="26"/>
  <c r="GY12" i="26"/>
  <c r="GX12" i="26"/>
  <c r="GW12" i="26"/>
  <c r="GV12" i="26"/>
  <c r="GU12" i="26"/>
  <c r="GT12" i="26"/>
  <c r="GS12" i="26"/>
  <c r="GR12" i="26"/>
  <c r="GQ12" i="26"/>
  <c r="GP12" i="26"/>
  <c r="GO12" i="26"/>
  <c r="GN12" i="26"/>
  <c r="GM12" i="26"/>
  <c r="GL12" i="26"/>
  <c r="GK12" i="26"/>
  <c r="GJ12" i="26"/>
  <c r="GI12" i="26"/>
  <c r="GH12" i="26"/>
  <c r="GG12" i="26"/>
  <c r="GF12" i="26"/>
  <c r="GE12" i="26"/>
  <c r="GD12" i="26"/>
  <c r="GC12" i="26"/>
  <c r="GB12" i="26"/>
  <c r="GA12" i="26"/>
  <c r="FZ12" i="26"/>
  <c r="FY12" i="26"/>
  <c r="FX12" i="26"/>
  <c r="FW12" i="26"/>
  <c r="FV12" i="26"/>
  <c r="FU12" i="26"/>
  <c r="FT12" i="26"/>
  <c r="FS12" i="26"/>
  <c r="FR12" i="26"/>
  <c r="FQ12" i="26"/>
  <c r="FP12" i="26"/>
  <c r="FO12" i="26"/>
  <c r="FN12" i="26"/>
  <c r="FM12" i="26"/>
  <c r="FL12" i="26"/>
  <c r="FK12" i="26"/>
  <c r="FJ12" i="26"/>
  <c r="FI12" i="26"/>
  <c r="FH12" i="26"/>
  <c r="FG12" i="26"/>
  <c r="FF12" i="26"/>
  <c r="FE12" i="26"/>
  <c r="FD12" i="26"/>
  <c r="FC12" i="26"/>
  <c r="FB12" i="26"/>
  <c r="FA12" i="26"/>
  <c r="EZ12" i="26"/>
  <c r="EY12" i="26"/>
  <c r="EX12" i="26"/>
  <c r="EW12" i="26"/>
  <c r="EV12" i="26"/>
  <c r="EU12" i="26"/>
  <c r="ET12" i="26"/>
  <c r="ES12" i="26"/>
  <c r="ER12" i="26"/>
  <c r="EQ12" i="26"/>
  <c r="EP12" i="26"/>
  <c r="EO12" i="26"/>
  <c r="EN12" i="26"/>
  <c r="EM12" i="26"/>
  <c r="EL12" i="26"/>
  <c r="EK12" i="26"/>
  <c r="EJ12" i="26"/>
  <c r="EI12" i="26"/>
  <c r="EH12" i="26"/>
  <c r="EG12" i="26"/>
  <c r="EF12" i="26"/>
  <c r="EE12" i="26"/>
  <c r="ED12" i="26"/>
  <c r="EC12" i="26"/>
  <c r="EB12" i="26"/>
  <c r="EA12" i="26"/>
  <c r="DZ12" i="26"/>
  <c r="DY12" i="26"/>
  <c r="DX12" i="26"/>
  <c r="DW12" i="26"/>
  <c r="DV12" i="26"/>
  <c r="DU12" i="26"/>
  <c r="DT12" i="26"/>
  <c r="DS12" i="26"/>
  <c r="DR12" i="26"/>
  <c r="DQ12" i="26"/>
  <c r="DP12" i="26"/>
  <c r="DO12" i="26"/>
  <c r="DN12" i="26"/>
  <c r="DM12" i="26"/>
  <c r="DL12" i="26"/>
  <c r="DK12" i="26"/>
  <c r="DJ12" i="26"/>
  <c r="DI12" i="26"/>
  <c r="DH12" i="26"/>
  <c r="DG12" i="26"/>
  <c r="DF12" i="26"/>
  <c r="DE12" i="26"/>
  <c r="DD12" i="26"/>
  <c r="DC12" i="26"/>
  <c r="DB12" i="26"/>
  <c r="DA12" i="26"/>
  <c r="CZ12" i="26"/>
  <c r="CY12" i="26"/>
  <c r="CX12" i="26"/>
  <c r="CW12" i="26"/>
  <c r="CV12" i="26"/>
  <c r="CU12" i="26"/>
  <c r="CT12" i="26"/>
  <c r="CS12" i="26"/>
  <c r="CR12" i="26"/>
  <c r="CQ12" i="26"/>
  <c r="CP12" i="26"/>
  <c r="CO12" i="26"/>
  <c r="CN12" i="26"/>
  <c r="CM12" i="26"/>
  <c r="CL12" i="26"/>
  <c r="CK12" i="26"/>
  <c r="CJ12" i="26"/>
  <c r="CI12" i="26"/>
  <c r="CH12" i="26"/>
  <c r="CG12" i="26"/>
  <c r="CF12" i="26"/>
  <c r="CE12" i="26"/>
  <c r="CD12" i="26"/>
  <c r="CC12" i="26"/>
  <c r="CB12" i="26"/>
  <c r="CA12" i="26"/>
  <c r="BZ12" i="26"/>
  <c r="BY12" i="26"/>
  <c r="BX12" i="26"/>
  <c r="BW12" i="26"/>
  <c r="BV12" i="26"/>
  <c r="BU12" i="26"/>
  <c r="BT12" i="26"/>
  <c r="BS12" i="26"/>
  <c r="BR12" i="26"/>
  <c r="BQ12" i="26"/>
  <c r="BP12" i="26"/>
  <c r="BO12" i="26"/>
  <c r="BN12" i="26"/>
  <c r="BM12" i="26"/>
  <c r="BL12" i="26"/>
  <c r="BK12" i="26"/>
  <c r="BJ12" i="26"/>
  <c r="BI12" i="26"/>
  <c r="BH12" i="26"/>
  <c r="BG12" i="26"/>
  <c r="BF12" i="26"/>
  <c r="BE12" i="26"/>
  <c r="BD12" i="26"/>
  <c r="BC12" i="26"/>
  <c r="BB12" i="26"/>
  <c r="BA12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M12" i="26"/>
  <c r="AL12" i="26"/>
  <c r="AK12" i="26"/>
  <c r="AJ12" i="26"/>
  <c r="AI12" i="26"/>
  <c r="AH12" i="26"/>
  <c r="AG12" i="26"/>
  <c r="AF12" i="26"/>
  <c r="AE12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H5" i="26"/>
  <c r="IH4" i="26"/>
  <c r="IG4" i="26"/>
  <c r="IF4" i="26"/>
  <c r="IE4" i="26"/>
  <c r="ID4" i="26"/>
  <c r="IC4" i="26"/>
  <c r="IB4" i="26"/>
  <c r="IA4" i="26"/>
  <c r="HZ4" i="26"/>
  <c r="HY4" i="26"/>
  <c r="HX4" i="26"/>
  <c r="HW4" i="26"/>
  <c r="HV4" i="26"/>
  <c r="HU4" i="26"/>
  <c r="HT4" i="26"/>
  <c r="HS4" i="26"/>
  <c r="HR4" i="26"/>
  <c r="HQ4" i="26"/>
  <c r="HP4" i="26"/>
  <c r="HO4" i="26"/>
  <c r="HN4" i="26"/>
  <c r="HM4" i="26"/>
  <c r="HL4" i="26"/>
  <c r="HK4" i="26"/>
  <c r="HJ4" i="26"/>
  <c r="HI4" i="26"/>
  <c r="HH4" i="26"/>
  <c r="HG4" i="26"/>
  <c r="HF4" i="26"/>
  <c r="HE4" i="26"/>
  <c r="HD4" i="26"/>
  <c r="HC4" i="26"/>
  <c r="HB4" i="26"/>
  <c r="HA4" i="26"/>
  <c r="GZ4" i="26"/>
  <c r="GY4" i="26"/>
  <c r="GX4" i="26"/>
  <c r="GW4" i="26"/>
  <c r="GV4" i="26"/>
  <c r="GU4" i="26"/>
  <c r="GT4" i="26"/>
  <c r="GS4" i="26"/>
  <c r="GR4" i="26"/>
  <c r="GQ4" i="26"/>
  <c r="GP4" i="26"/>
  <c r="GO4" i="26"/>
  <c r="GN4" i="26"/>
  <c r="GM4" i="26"/>
  <c r="GL4" i="26"/>
  <c r="GK4" i="26"/>
  <c r="GJ4" i="26"/>
  <c r="GI4" i="26"/>
  <c r="GH4" i="26"/>
  <c r="GG4" i="26"/>
  <c r="GF4" i="26"/>
  <c r="GE4" i="26"/>
  <c r="GD4" i="26"/>
  <c r="GC4" i="26"/>
  <c r="GB4" i="26"/>
  <c r="GA4" i="26"/>
  <c r="FZ4" i="26"/>
  <c r="FY4" i="26"/>
  <c r="FX4" i="26"/>
  <c r="FW4" i="26"/>
  <c r="FV4" i="26"/>
  <c r="FU4" i="26"/>
  <c r="FT4" i="26"/>
  <c r="FS4" i="26"/>
  <c r="FR4" i="26"/>
  <c r="FQ4" i="26"/>
  <c r="FP4" i="26"/>
  <c r="FO4" i="26"/>
  <c r="FN4" i="26"/>
  <c r="FM4" i="26"/>
  <c r="FL4" i="26"/>
  <c r="FK4" i="26"/>
  <c r="FJ4" i="26"/>
  <c r="FI4" i="26"/>
  <c r="FH4" i="26"/>
  <c r="FG4" i="26"/>
  <c r="FF4" i="26"/>
  <c r="FE4" i="26"/>
  <c r="FD4" i="26"/>
  <c r="FC4" i="26"/>
  <c r="FB4" i="26"/>
  <c r="FA4" i="26"/>
  <c r="EZ4" i="26"/>
  <c r="EY4" i="26"/>
  <c r="EX4" i="26"/>
  <c r="EW4" i="26"/>
  <c r="EV4" i="26"/>
  <c r="EU4" i="26"/>
  <c r="ET4" i="26"/>
  <c r="ES4" i="26"/>
  <c r="ER4" i="26"/>
  <c r="EQ4" i="26"/>
  <c r="EP4" i="26"/>
  <c r="EO4" i="26"/>
  <c r="EN4" i="26"/>
  <c r="EM4" i="26"/>
  <c r="EL4" i="26"/>
  <c r="EK4" i="26"/>
  <c r="EJ4" i="26"/>
  <c r="EI4" i="26"/>
  <c r="EH4" i="26"/>
  <c r="EG4" i="26"/>
  <c r="EF4" i="26"/>
  <c r="EE4" i="26"/>
  <c r="ED4" i="26"/>
  <c r="EC4" i="26"/>
  <c r="EB4" i="26"/>
  <c r="EA4" i="26"/>
  <c r="DZ4" i="26"/>
  <c r="DY4" i="26"/>
  <c r="DX4" i="26"/>
  <c r="DW4" i="26"/>
  <c r="DV4" i="26"/>
  <c r="DU4" i="26"/>
  <c r="DT4" i="26"/>
  <c r="DS4" i="26"/>
  <c r="DR4" i="26"/>
  <c r="DQ4" i="26"/>
  <c r="DP4" i="26"/>
  <c r="DO4" i="26"/>
  <c r="DN4" i="26"/>
  <c r="DM4" i="26"/>
  <c r="DL4" i="26"/>
  <c r="DK4" i="26"/>
  <c r="DJ4" i="26"/>
  <c r="DI4" i="26"/>
  <c r="DH4" i="26"/>
  <c r="DG4" i="26"/>
  <c r="DF4" i="26"/>
  <c r="DE4" i="26"/>
  <c r="DD4" i="26"/>
  <c r="DC4" i="26"/>
  <c r="DB4" i="26"/>
  <c r="DA4" i="26"/>
  <c r="CZ4" i="26"/>
  <c r="CY4" i="26"/>
  <c r="CX4" i="26"/>
  <c r="CW4" i="26"/>
  <c r="CV4" i="26"/>
  <c r="CU4" i="26"/>
  <c r="CT4" i="26"/>
  <c r="CS4" i="26"/>
  <c r="CR4" i="26"/>
  <c r="CQ4" i="26"/>
  <c r="CP4" i="26"/>
  <c r="CO4" i="26"/>
  <c r="CN4" i="26"/>
  <c r="CM4" i="26"/>
  <c r="CL4" i="26"/>
  <c r="CK4" i="26"/>
  <c r="CJ4" i="26"/>
  <c r="CI4" i="26"/>
  <c r="CH4" i="26"/>
  <c r="CG4" i="26"/>
  <c r="CF4" i="26"/>
  <c r="CE4" i="26"/>
  <c r="CD4" i="26"/>
  <c r="CC4" i="26"/>
  <c r="CB4" i="26"/>
  <c r="CA4" i="26"/>
  <c r="BZ4" i="26"/>
  <c r="BY4" i="26"/>
  <c r="BX4" i="26"/>
  <c r="BW4" i="26"/>
  <c r="BV4" i="26"/>
  <c r="BU4" i="26"/>
  <c r="BT4" i="26"/>
  <c r="BS4" i="26"/>
  <c r="BR4" i="26"/>
  <c r="BQ4" i="26"/>
  <c r="BP4" i="26"/>
  <c r="BO4" i="26"/>
  <c r="BN4" i="26"/>
  <c r="BM4" i="26"/>
  <c r="BL4" i="26"/>
  <c r="BK4" i="26"/>
  <c r="BJ4" i="26"/>
  <c r="BI4" i="26"/>
  <c r="BH4" i="26"/>
  <c r="BG4" i="26"/>
  <c r="BF4" i="26"/>
  <c r="BE4" i="26"/>
  <c r="BD4" i="26"/>
  <c r="BC4" i="26"/>
  <c r="BB4" i="26"/>
  <c r="BA4" i="26"/>
  <c r="AZ4" i="26"/>
  <c r="AY4" i="26"/>
  <c r="AX4" i="26"/>
  <c r="AW4" i="26"/>
  <c r="AV4" i="26"/>
  <c r="AU4" i="26"/>
  <c r="AT4" i="26"/>
  <c r="AS4" i="26"/>
  <c r="AR4" i="26"/>
  <c r="AQ4" i="26"/>
  <c r="AP4" i="26"/>
  <c r="AO4" i="26"/>
  <c r="AN4" i="26"/>
  <c r="AM4" i="26"/>
  <c r="AL4" i="26"/>
  <c r="AK4" i="26"/>
  <c r="AJ4" i="26"/>
  <c r="AI4" i="26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FQ90" i="4"/>
  <c r="C39" i="25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EQ108" i="4"/>
  <c r="ER108" i="4"/>
  <c r="ES108" i="4"/>
  <c r="ET108" i="4"/>
  <c r="EU108" i="4"/>
  <c r="EV108" i="4"/>
  <c r="EW108" i="4"/>
  <c r="EX108" i="4"/>
  <c r="EY108" i="4"/>
  <c r="EZ108" i="4"/>
  <c r="FA108" i="4"/>
  <c r="FB108" i="4"/>
  <c r="FC108" i="4"/>
  <c r="FD108" i="4"/>
  <c r="FE108" i="4"/>
  <c r="FF108" i="4"/>
  <c r="FG108" i="4"/>
  <c r="FH108" i="4"/>
  <c r="FI108" i="4"/>
  <c r="FJ108" i="4"/>
  <c r="FK108" i="4"/>
  <c r="FL108" i="4"/>
  <c r="FM108" i="4"/>
  <c r="FN108" i="4"/>
  <c r="FO108" i="4"/>
  <c r="FP108" i="4"/>
  <c r="FQ108" i="4"/>
  <c r="FR108" i="4"/>
  <c r="FS108" i="4"/>
  <c r="FT108" i="4"/>
  <c r="FU108" i="4"/>
  <c r="FV108" i="4"/>
  <c r="FW108" i="4"/>
  <c r="FX108" i="4"/>
  <c r="FY108" i="4"/>
  <c r="FZ108" i="4"/>
  <c r="GA108" i="4"/>
  <c r="GB108" i="4"/>
  <c r="GC108" i="4"/>
  <c r="GD108" i="4"/>
  <c r="GE108" i="4"/>
  <c r="GF108" i="4"/>
  <c r="GG108" i="4"/>
  <c r="GH108" i="4"/>
  <c r="GI108" i="4"/>
  <c r="GJ108" i="4"/>
  <c r="GK108" i="4"/>
  <c r="GL108" i="4"/>
  <c r="GM108" i="4"/>
  <c r="GN108" i="4"/>
  <c r="GO108" i="4"/>
  <c r="GP108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I108" i="4"/>
  <c r="HJ108" i="4"/>
  <c r="HK108" i="4"/>
  <c r="HL108" i="4"/>
  <c r="HM108" i="4"/>
  <c r="HN108" i="4"/>
  <c r="HO108" i="4"/>
  <c r="HP108" i="4"/>
  <c r="HQ108" i="4"/>
  <c r="HR108" i="4"/>
  <c r="HS108" i="4"/>
  <c r="HT108" i="4"/>
  <c r="HU108" i="4"/>
  <c r="HV108" i="4"/>
  <c r="HW108" i="4"/>
  <c r="HX108" i="4"/>
  <c r="HY108" i="4"/>
  <c r="HZ108" i="4"/>
  <c r="IA108" i="4"/>
  <c r="IB108" i="4"/>
  <c r="IC108" i="4"/>
  <c r="ID108" i="4"/>
  <c r="IE108" i="4"/>
  <c r="IF108" i="4"/>
  <c r="IG108" i="4"/>
  <c r="IH108" i="4"/>
  <c r="II108" i="4"/>
  <c r="IJ108" i="4"/>
  <c r="B51" i="22"/>
  <c r="B95" i="22"/>
  <c r="B48" i="22"/>
  <c r="B92" i="22"/>
  <c r="B47" i="22"/>
  <c r="B91" i="22"/>
  <c r="C48" i="22"/>
  <c r="C92" i="22"/>
  <c r="C47" i="22"/>
  <c r="C91" i="22"/>
  <c r="XFD1048575" i="25" a="1"/>
  <c r="XFD1048574" i="25" a="1"/>
  <c r="XFD1048573" i="25" a="1"/>
  <c r="XFD1048572" i="25" a="1"/>
  <c r="XFD1048571" i="25" a="1"/>
  <c r="XFD1048570" i="25" a="1"/>
  <c r="XFD1048569" i="25" a="1"/>
  <c r="XFD1048568" i="25" a="1"/>
  <c r="XFD1048567" i="25" a="1"/>
  <c r="XFD1048566" i="25" a="1"/>
  <c r="XFD1048565" i="25" a="1"/>
  <c r="XFD1048564" i="25" a="1"/>
  <c r="XFD1048563" i="25" a="1"/>
  <c r="XFD1048562" i="25" a="1"/>
  <c r="XFD1048561" i="25" a="1"/>
  <c r="XFD1048560" i="25" a="1"/>
  <c r="XFD1048559" i="25" a="1"/>
  <c r="XFD1048558" i="25" a="1"/>
  <c r="XFD1048557" i="25" a="1"/>
  <c r="XFD1048556" i="25" a="1"/>
  <c r="XFD1048555" i="25" a="1"/>
  <c r="XFD1048554" i="25" a="1"/>
  <c r="XFD1048553" i="25" a="1"/>
  <c r="XFD1048552" i="25" a="1"/>
  <c r="XFD1048551" i="25" a="1"/>
  <c r="XFD1048550" i="25" a="1"/>
  <c r="E35" i="25"/>
  <c r="C8" i="25"/>
  <c r="B8" i="25"/>
  <c r="IH2" i="25"/>
  <c r="IG2" i="25"/>
  <c r="IF2" i="25"/>
  <c r="IE2" i="25"/>
  <c r="ID2" i="25"/>
  <c r="IC2" i="25"/>
  <c r="IB2" i="25"/>
  <c r="IA2" i="25"/>
  <c r="HZ2" i="25"/>
  <c r="HY2" i="25"/>
  <c r="HX2" i="25"/>
  <c r="HW2" i="25"/>
  <c r="HV2" i="25"/>
  <c r="HU2" i="25"/>
  <c r="HT2" i="25"/>
  <c r="HS2" i="25"/>
  <c r="HR2" i="25"/>
  <c r="HQ2" i="25"/>
  <c r="HP2" i="25"/>
  <c r="HO2" i="25"/>
  <c r="HN2" i="25"/>
  <c r="HM2" i="25"/>
  <c r="HL2" i="25"/>
  <c r="HK2" i="25"/>
  <c r="HJ2" i="25"/>
  <c r="HI2" i="25"/>
  <c r="HH2" i="25"/>
  <c r="HG2" i="25"/>
  <c r="HF2" i="25"/>
  <c r="HE2" i="25"/>
  <c r="HD2" i="25"/>
  <c r="HC2" i="25"/>
  <c r="HB2" i="25"/>
  <c r="HA2" i="25"/>
  <c r="GZ2" i="25"/>
  <c r="GY2" i="25"/>
  <c r="GX2" i="25"/>
  <c r="GW2" i="25"/>
  <c r="GV2" i="25"/>
  <c r="GU2" i="25"/>
  <c r="GT2" i="25"/>
  <c r="GS2" i="25"/>
  <c r="GR2" i="25"/>
  <c r="GQ2" i="25"/>
  <c r="GP2" i="25"/>
  <c r="GO2" i="25"/>
  <c r="GN2" i="25"/>
  <c r="GM2" i="25"/>
  <c r="GL2" i="25"/>
  <c r="GK2" i="25"/>
  <c r="GJ2" i="25"/>
  <c r="GI2" i="25"/>
  <c r="GH2" i="25"/>
  <c r="GG2" i="25"/>
  <c r="GF2" i="25"/>
  <c r="GE2" i="25"/>
  <c r="GD2" i="25"/>
  <c r="GC2" i="25"/>
  <c r="GB2" i="25"/>
  <c r="GA2" i="25"/>
  <c r="FZ2" i="25"/>
  <c r="FY2" i="25"/>
  <c r="FX2" i="25"/>
  <c r="FW2" i="25"/>
  <c r="FV2" i="25"/>
  <c r="FU2" i="25"/>
  <c r="FT2" i="25"/>
  <c r="FS2" i="25"/>
  <c r="FR2" i="25"/>
  <c r="FQ2" i="25"/>
  <c r="FP2" i="25"/>
  <c r="FO2" i="25"/>
  <c r="FN2" i="25"/>
  <c r="FM2" i="25"/>
  <c r="FL2" i="25"/>
  <c r="FK2" i="25"/>
  <c r="FJ2" i="25"/>
  <c r="FI2" i="25"/>
  <c r="FH2" i="25"/>
  <c r="FG2" i="25"/>
  <c r="FF2" i="25"/>
  <c r="FE2" i="25"/>
  <c r="FD2" i="25"/>
  <c r="FC2" i="25"/>
  <c r="FB2" i="25"/>
  <c r="FA2" i="25"/>
  <c r="EZ2" i="25"/>
  <c r="EY2" i="25"/>
  <c r="EX2" i="25"/>
  <c r="EW2" i="25"/>
  <c r="EV2" i="25"/>
  <c r="EU2" i="25"/>
  <c r="ET2" i="25"/>
  <c r="ES2" i="25"/>
  <c r="ER2" i="25"/>
  <c r="EQ2" i="25"/>
  <c r="EP2" i="25"/>
  <c r="EO2" i="25"/>
  <c r="EN2" i="25"/>
  <c r="EM2" i="25"/>
  <c r="EL2" i="25"/>
  <c r="EK2" i="25"/>
  <c r="EJ2" i="25"/>
  <c r="EI2" i="25"/>
  <c r="EH2" i="25"/>
  <c r="EG2" i="25"/>
  <c r="EF2" i="25"/>
  <c r="EE2" i="25"/>
  <c r="ED2" i="25"/>
  <c r="EC2" i="25"/>
  <c r="EB2" i="25"/>
  <c r="EA2" i="25"/>
  <c r="DZ2" i="25"/>
  <c r="DY2" i="25"/>
  <c r="DX2" i="25"/>
  <c r="DW2" i="25"/>
  <c r="DV2" i="25"/>
  <c r="DU2" i="25"/>
  <c r="DT2" i="25"/>
  <c r="DS2" i="25"/>
  <c r="DR2" i="25"/>
  <c r="DQ2" i="25"/>
  <c r="DP2" i="25"/>
  <c r="DO2" i="25"/>
  <c r="DN2" i="25"/>
  <c r="DM2" i="25"/>
  <c r="DL2" i="25"/>
  <c r="DK2" i="25"/>
  <c r="DJ2" i="25"/>
  <c r="DI2" i="25"/>
  <c r="DH2" i="25"/>
  <c r="DG2" i="25"/>
  <c r="DF2" i="25"/>
  <c r="DE2" i="25"/>
  <c r="DD2" i="25"/>
  <c r="DC2" i="25"/>
  <c r="DB2" i="25"/>
  <c r="DA2" i="25"/>
  <c r="CZ2" i="25"/>
  <c r="CY2" i="25"/>
  <c r="CX2" i="25"/>
  <c r="CW2" i="25"/>
  <c r="CV2" i="25"/>
  <c r="CU2" i="25"/>
  <c r="CT2" i="25"/>
  <c r="CS2" i="25"/>
  <c r="CR2" i="25"/>
  <c r="CQ2" i="25"/>
  <c r="CP2" i="25"/>
  <c r="CO2" i="25"/>
  <c r="CN2" i="25"/>
  <c r="CM2" i="25"/>
  <c r="CL2" i="25"/>
  <c r="CK2" i="25"/>
  <c r="CJ2" i="25"/>
  <c r="CI2" i="25"/>
  <c r="CH2" i="25"/>
  <c r="CG2" i="25"/>
  <c r="CF2" i="25"/>
  <c r="CE2" i="25"/>
  <c r="CD2" i="25"/>
  <c r="CC2" i="25"/>
  <c r="CB2" i="25"/>
  <c r="CA2" i="25"/>
  <c r="BZ2" i="25"/>
  <c r="BY2" i="25"/>
  <c r="BX2" i="25"/>
  <c r="BW2" i="25"/>
  <c r="BV2" i="25"/>
  <c r="BU2" i="25"/>
  <c r="BT2" i="25"/>
  <c r="BS2" i="25"/>
  <c r="BR2" i="25"/>
  <c r="BQ2" i="25"/>
  <c r="BP2" i="25"/>
  <c r="BO2" i="25"/>
  <c r="BN2" i="25"/>
  <c r="BM2" i="25"/>
  <c r="BL2" i="25"/>
  <c r="BK2" i="25"/>
  <c r="BJ2" i="25"/>
  <c r="BI2" i="25"/>
  <c r="BH2" i="25"/>
  <c r="BG2" i="25"/>
  <c r="BF2" i="25"/>
  <c r="BE2" i="25"/>
  <c r="BD2" i="25"/>
  <c r="BC2" i="25"/>
  <c r="BB2" i="25"/>
  <c r="BA2" i="25"/>
  <c r="AZ2" i="25"/>
  <c r="AY2" i="25"/>
  <c r="AX2" i="25"/>
  <c r="AW2" i="25"/>
  <c r="AV2" i="25"/>
  <c r="AU2" i="25"/>
  <c r="AT2" i="25"/>
  <c r="AS2" i="25"/>
  <c r="AR2" i="25"/>
  <c r="AQ2" i="25"/>
  <c r="AP2" i="25"/>
  <c r="AO2" i="25"/>
  <c r="AN2" i="25"/>
  <c r="AM2" i="25"/>
  <c r="AL2" i="25"/>
  <c r="AK2" i="25"/>
  <c r="AJ2" i="25"/>
  <c r="AI2" i="25"/>
  <c r="AH2" i="25"/>
  <c r="AG2" i="25"/>
  <c r="AF2" i="25"/>
  <c r="AE2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B94" i="22"/>
  <c r="JE65" i="10"/>
  <c r="JD65" i="10"/>
  <c r="JC65" i="10"/>
  <c r="JB65" i="10"/>
  <c r="JA65" i="10"/>
  <c r="IZ65" i="10"/>
  <c r="IY65" i="10"/>
  <c r="IX65" i="10"/>
  <c r="IW65" i="10"/>
  <c r="IV65" i="10"/>
  <c r="IU65" i="10"/>
  <c r="IT65" i="10"/>
  <c r="IS65" i="10"/>
  <c r="IR65" i="10"/>
  <c r="IQ65" i="10"/>
  <c r="IP65" i="10"/>
  <c r="IO65" i="10"/>
  <c r="IN65" i="10"/>
  <c r="IM65" i="10"/>
  <c r="IL65" i="10"/>
  <c r="IK65" i="10"/>
  <c r="IJ65" i="10"/>
  <c r="II65" i="10"/>
  <c r="IH65" i="10"/>
  <c r="IG65" i="10"/>
  <c r="IF65" i="10"/>
  <c r="IE65" i="10"/>
  <c r="ID65" i="10"/>
  <c r="IC65" i="10"/>
  <c r="IB65" i="10"/>
  <c r="IA65" i="10"/>
  <c r="HZ65" i="10"/>
  <c r="HY65" i="10"/>
  <c r="HX65" i="10"/>
  <c r="HW65" i="10"/>
  <c r="HV65" i="10"/>
  <c r="HU65" i="10"/>
  <c r="HT65" i="10"/>
  <c r="HS65" i="10"/>
  <c r="HR65" i="10"/>
  <c r="HQ65" i="10"/>
  <c r="HP65" i="10"/>
  <c r="HO65" i="10"/>
  <c r="HN65" i="10"/>
  <c r="HM65" i="10"/>
  <c r="HL65" i="10"/>
  <c r="HK65" i="10"/>
  <c r="HJ65" i="10"/>
  <c r="HI65" i="10"/>
  <c r="HH65" i="10"/>
  <c r="HG65" i="10"/>
  <c r="HF65" i="10"/>
  <c r="HE65" i="10"/>
  <c r="HD65" i="10"/>
  <c r="HC65" i="10"/>
  <c r="HB65" i="10"/>
  <c r="HA65" i="10"/>
  <c r="GZ65" i="10"/>
  <c r="GY65" i="10"/>
  <c r="GX65" i="10"/>
  <c r="GW65" i="10"/>
  <c r="GV65" i="10"/>
  <c r="GU65" i="10"/>
  <c r="GT65" i="10"/>
  <c r="GS65" i="10"/>
  <c r="GR65" i="10"/>
  <c r="GQ65" i="10"/>
  <c r="GP65" i="10"/>
  <c r="GO65" i="10"/>
  <c r="GN65" i="10"/>
  <c r="GM65" i="10"/>
  <c r="GL65" i="10"/>
  <c r="GK65" i="10"/>
  <c r="GJ65" i="10"/>
  <c r="GI65" i="10"/>
  <c r="GH65" i="10"/>
  <c r="GG65" i="10"/>
  <c r="GF65" i="10"/>
  <c r="GE65" i="10"/>
  <c r="GD65" i="10"/>
  <c r="GC65" i="10"/>
  <c r="GB65" i="10"/>
  <c r="GA65" i="10"/>
  <c r="FZ65" i="10"/>
  <c r="FY65" i="10"/>
  <c r="FX65" i="10"/>
  <c r="FW65" i="10"/>
  <c r="FV65" i="10"/>
  <c r="FU65" i="10"/>
  <c r="FT65" i="10"/>
  <c r="FS65" i="10"/>
  <c r="FR65" i="10"/>
  <c r="FQ65" i="10"/>
  <c r="FP65" i="10"/>
  <c r="FO65" i="10"/>
  <c r="FN65" i="10"/>
  <c r="FM65" i="10"/>
  <c r="FL65" i="10"/>
  <c r="FK65" i="10"/>
  <c r="FJ65" i="10"/>
  <c r="FI65" i="10"/>
  <c r="FH65" i="10"/>
  <c r="FG65" i="10"/>
  <c r="FF65" i="10"/>
  <c r="FE65" i="10"/>
  <c r="FD65" i="10"/>
  <c r="FC65" i="10"/>
  <c r="FB65" i="10"/>
  <c r="FA65" i="10"/>
  <c r="EZ65" i="10"/>
  <c r="EY65" i="10"/>
  <c r="EX65" i="10"/>
  <c r="EW65" i="10"/>
  <c r="EV65" i="10"/>
  <c r="EU65" i="10"/>
  <c r="ET65" i="10"/>
  <c r="ES65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HJ45" i="10"/>
  <c r="HK45" i="10"/>
  <c r="HL45" i="10"/>
  <c r="HM45" i="10"/>
  <c r="HN45" i="10"/>
  <c r="HO45" i="10"/>
  <c r="HP45" i="10"/>
  <c r="HQ45" i="10"/>
  <c r="HR45" i="10"/>
  <c r="HS45" i="10"/>
  <c r="HT45" i="10"/>
  <c r="HU45" i="10"/>
  <c r="HV45" i="10"/>
  <c r="HW45" i="10"/>
  <c r="HX45" i="10"/>
  <c r="HY45" i="10"/>
  <c r="HZ45" i="10"/>
  <c r="IA45" i="10"/>
  <c r="IB45" i="10"/>
  <c r="IC45" i="10"/>
  <c r="ID45" i="10"/>
  <c r="IE45" i="10"/>
  <c r="IF45" i="10"/>
  <c r="IG45" i="10"/>
  <c r="IH45" i="10"/>
  <c r="II45" i="10"/>
  <c r="IJ45" i="10"/>
  <c r="IK45" i="10"/>
  <c r="IL45" i="10"/>
  <c r="IM45" i="10"/>
  <c r="IN45" i="10"/>
  <c r="IO45" i="10"/>
  <c r="IP45" i="10"/>
  <c r="IQ45" i="10"/>
  <c r="IR45" i="10"/>
  <c r="IS45" i="10"/>
  <c r="IT45" i="10"/>
  <c r="IU45" i="10"/>
  <c r="IV45" i="10"/>
  <c r="IW45" i="10"/>
  <c r="IX45" i="10"/>
  <c r="IY45" i="10"/>
  <c r="IZ45" i="10"/>
  <c r="JA45" i="10"/>
  <c r="JB45" i="10"/>
  <c r="JC45" i="10"/>
  <c r="JD45" i="10"/>
  <c r="JE45" i="10"/>
  <c r="C39" i="24"/>
  <c r="F89" i="4"/>
  <c r="F111" i="4"/>
  <c r="G89" i="4"/>
  <c r="G111" i="4"/>
  <c r="I89" i="4"/>
  <c r="I111" i="4"/>
  <c r="J89" i="4"/>
  <c r="J111" i="4"/>
  <c r="L89" i="4"/>
  <c r="L111" i="4"/>
  <c r="M89" i="4"/>
  <c r="M111" i="4"/>
  <c r="O89" i="4"/>
  <c r="O111" i="4"/>
  <c r="P89" i="4"/>
  <c r="P111" i="4"/>
  <c r="R89" i="4"/>
  <c r="R111" i="4"/>
  <c r="S89" i="4"/>
  <c r="S111" i="4"/>
  <c r="U89" i="4"/>
  <c r="U111" i="4"/>
  <c r="V89" i="4"/>
  <c r="V111" i="4"/>
  <c r="X89" i="4"/>
  <c r="X111" i="4"/>
  <c r="Y89" i="4"/>
  <c r="Y111" i="4"/>
  <c r="AA89" i="4"/>
  <c r="AA111" i="4"/>
  <c r="AB89" i="4"/>
  <c r="AB111" i="4"/>
  <c r="AD89" i="4"/>
  <c r="AD111" i="4"/>
  <c r="AE89" i="4"/>
  <c r="AE111" i="4"/>
  <c r="AG89" i="4"/>
  <c r="AG111" i="4"/>
  <c r="AH89" i="4"/>
  <c r="AH111" i="4"/>
  <c r="AJ89" i="4"/>
  <c r="AJ111" i="4"/>
  <c r="AK89" i="4"/>
  <c r="AK111" i="4"/>
  <c r="AM89" i="4"/>
  <c r="AM111" i="4"/>
  <c r="AN89" i="4"/>
  <c r="AN111" i="4"/>
  <c r="AP89" i="4"/>
  <c r="AP111" i="4"/>
  <c r="AQ89" i="4"/>
  <c r="AQ111" i="4"/>
  <c r="AS89" i="4"/>
  <c r="AS111" i="4"/>
  <c r="AT89" i="4"/>
  <c r="AT111" i="4"/>
  <c r="AV89" i="4"/>
  <c r="AV111" i="4"/>
  <c r="AW89" i="4"/>
  <c r="AW111" i="4"/>
  <c r="AY89" i="4"/>
  <c r="AY111" i="4"/>
  <c r="AZ89" i="4"/>
  <c r="AZ111" i="4"/>
  <c r="BB89" i="4"/>
  <c r="BB111" i="4"/>
  <c r="BC89" i="4"/>
  <c r="BC111" i="4"/>
  <c r="BE89" i="4"/>
  <c r="BE111" i="4"/>
  <c r="BF89" i="4"/>
  <c r="BF111" i="4"/>
  <c r="BH89" i="4"/>
  <c r="BH111" i="4"/>
  <c r="BI89" i="4"/>
  <c r="BI111" i="4"/>
  <c r="BK89" i="4"/>
  <c r="BK111" i="4"/>
  <c r="BL89" i="4"/>
  <c r="BL111" i="4"/>
  <c r="BN89" i="4"/>
  <c r="BN111" i="4"/>
  <c r="BO89" i="4"/>
  <c r="BO111" i="4"/>
  <c r="BQ89" i="4"/>
  <c r="BQ111" i="4"/>
  <c r="BR89" i="4"/>
  <c r="BR111" i="4"/>
  <c r="BT89" i="4"/>
  <c r="BT111" i="4"/>
  <c r="BU89" i="4"/>
  <c r="BU111" i="4"/>
  <c r="BW89" i="4"/>
  <c r="BW111" i="4"/>
  <c r="BX89" i="4"/>
  <c r="BX111" i="4"/>
  <c r="BZ89" i="4"/>
  <c r="BZ111" i="4"/>
  <c r="CA89" i="4"/>
  <c r="CA111" i="4"/>
  <c r="CC89" i="4"/>
  <c r="CC111" i="4"/>
  <c r="CD89" i="4"/>
  <c r="CD111" i="4"/>
  <c r="CF89" i="4"/>
  <c r="CF111" i="4"/>
  <c r="CG89" i="4"/>
  <c r="CG111" i="4"/>
  <c r="CI89" i="4"/>
  <c r="CI111" i="4"/>
  <c r="CJ89" i="4"/>
  <c r="CJ111" i="4"/>
  <c r="CL89" i="4"/>
  <c r="CL111" i="4"/>
  <c r="CM89" i="4"/>
  <c r="CM111" i="4"/>
  <c r="CO89" i="4"/>
  <c r="CO111" i="4"/>
  <c r="CP89" i="4"/>
  <c r="CP111" i="4"/>
  <c r="CR89" i="4"/>
  <c r="CR111" i="4"/>
  <c r="CS89" i="4"/>
  <c r="CS111" i="4"/>
  <c r="CU89" i="4"/>
  <c r="CU111" i="4"/>
  <c r="CV89" i="4"/>
  <c r="CV111" i="4"/>
  <c r="CX89" i="4"/>
  <c r="CX111" i="4"/>
  <c r="CY89" i="4"/>
  <c r="CY111" i="4"/>
  <c r="DA89" i="4"/>
  <c r="DA111" i="4"/>
  <c r="DB89" i="4"/>
  <c r="DB111" i="4"/>
  <c r="DD89" i="4"/>
  <c r="DD111" i="4"/>
  <c r="DE89" i="4"/>
  <c r="DE111" i="4"/>
  <c r="DG89" i="4"/>
  <c r="DG111" i="4"/>
  <c r="DH89" i="4"/>
  <c r="DH111" i="4"/>
  <c r="DJ89" i="4"/>
  <c r="DJ111" i="4"/>
  <c r="DK89" i="4"/>
  <c r="DK111" i="4"/>
  <c r="DM89" i="4"/>
  <c r="DM111" i="4"/>
  <c r="DN89" i="4"/>
  <c r="DN111" i="4"/>
  <c r="DP89" i="4"/>
  <c r="DP111" i="4"/>
  <c r="DQ89" i="4"/>
  <c r="DQ111" i="4"/>
  <c r="DS89" i="4"/>
  <c r="DS111" i="4"/>
  <c r="DT89" i="4"/>
  <c r="DT111" i="4"/>
  <c r="DV89" i="4"/>
  <c r="DV111" i="4"/>
  <c r="DW89" i="4"/>
  <c r="DW111" i="4"/>
  <c r="DY89" i="4"/>
  <c r="DY111" i="4"/>
  <c r="DZ89" i="4"/>
  <c r="DZ111" i="4"/>
  <c r="EB89" i="4"/>
  <c r="EB111" i="4"/>
  <c r="EC89" i="4"/>
  <c r="EC111" i="4"/>
  <c r="EE89" i="4"/>
  <c r="EE111" i="4"/>
  <c r="EF89" i="4"/>
  <c r="EF111" i="4"/>
  <c r="EH89" i="4"/>
  <c r="EH111" i="4"/>
  <c r="EI89" i="4"/>
  <c r="EI111" i="4"/>
  <c r="EK89" i="4"/>
  <c r="EK111" i="4"/>
  <c r="EL89" i="4"/>
  <c r="EL111" i="4"/>
  <c r="EN89" i="4"/>
  <c r="EN111" i="4"/>
  <c r="EO89" i="4"/>
  <c r="EO111" i="4"/>
  <c r="EQ89" i="4"/>
  <c r="EQ111" i="4"/>
  <c r="ER89" i="4"/>
  <c r="ER111" i="4"/>
  <c r="ET89" i="4"/>
  <c r="ET111" i="4"/>
  <c r="EU89" i="4"/>
  <c r="EU111" i="4"/>
  <c r="EW89" i="4"/>
  <c r="EW111" i="4"/>
  <c r="EX89" i="4"/>
  <c r="EX111" i="4"/>
  <c r="EZ89" i="4"/>
  <c r="EZ111" i="4"/>
  <c r="FA89" i="4"/>
  <c r="FA111" i="4"/>
  <c r="FC89" i="4"/>
  <c r="FC111" i="4"/>
  <c r="FD89" i="4"/>
  <c r="FD111" i="4"/>
  <c r="FF89" i="4"/>
  <c r="FF111" i="4"/>
  <c r="FG89" i="4"/>
  <c r="FG111" i="4"/>
  <c r="FI89" i="4"/>
  <c r="FI111" i="4"/>
  <c r="FJ89" i="4"/>
  <c r="FJ111" i="4"/>
  <c r="FL89" i="4"/>
  <c r="FL111" i="4"/>
  <c r="FM89" i="4"/>
  <c r="FM111" i="4"/>
  <c r="FO89" i="4"/>
  <c r="FO111" i="4"/>
  <c r="FP89" i="4"/>
  <c r="FP111" i="4"/>
  <c r="FR89" i="4"/>
  <c r="FR111" i="4"/>
  <c r="FS89" i="4"/>
  <c r="FS111" i="4"/>
  <c r="FU89" i="4"/>
  <c r="FU111" i="4"/>
  <c r="FV89" i="4"/>
  <c r="FV111" i="4"/>
  <c r="FX89" i="4"/>
  <c r="FX111" i="4"/>
  <c r="FY89" i="4"/>
  <c r="FY111" i="4"/>
  <c r="GA89" i="4"/>
  <c r="GA111" i="4"/>
  <c r="GB89" i="4"/>
  <c r="GB111" i="4"/>
  <c r="GD89" i="4"/>
  <c r="GD111" i="4"/>
  <c r="GE89" i="4"/>
  <c r="GE111" i="4"/>
  <c r="GG89" i="4"/>
  <c r="GG111" i="4"/>
  <c r="GH89" i="4"/>
  <c r="GH111" i="4"/>
  <c r="GJ89" i="4"/>
  <c r="GJ111" i="4"/>
  <c r="GK89" i="4"/>
  <c r="GK111" i="4"/>
  <c r="GM89" i="4"/>
  <c r="GM111" i="4"/>
  <c r="GN89" i="4"/>
  <c r="GN111" i="4"/>
  <c r="GP89" i="4"/>
  <c r="GP111" i="4"/>
  <c r="GQ89" i="4"/>
  <c r="GQ111" i="4"/>
  <c r="GS89" i="4"/>
  <c r="GS111" i="4"/>
  <c r="GT89" i="4"/>
  <c r="GT111" i="4"/>
  <c r="GV89" i="4"/>
  <c r="GV111" i="4"/>
  <c r="GW89" i="4"/>
  <c r="GW111" i="4"/>
  <c r="GY89" i="4"/>
  <c r="GY111" i="4"/>
  <c r="GZ89" i="4"/>
  <c r="GZ111" i="4"/>
  <c r="HB89" i="4"/>
  <c r="HB111" i="4"/>
  <c r="HC89" i="4"/>
  <c r="HC111" i="4"/>
  <c r="HE89" i="4"/>
  <c r="HE111" i="4"/>
  <c r="HF89" i="4"/>
  <c r="HF111" i="4"/>
  <c r="HH89" i="4"/>
  <c r="HH111" i="4"/>
  <c r="HI89" i="4"/>
  <c r="HI111" i="4"/>
  <c r="HK89" i="4"/>
  <c r="HK111" i="4"/>
  <c r="HL89" i="4"/>
  <c r="HL111" i="4"/>
  <c r="HN89" i="4"/>
  <c r="HN111" i="4"/>
  <c r="HO89" i="4"/>
  <c r="HO111" i="4"/>
  <c r="HQ89" i="4"/>
  <c r="HQ111" i="4"/>
  <c r="HR89" i="4"/>
  <c r="HR111" i="4"/>
  <c r="HT89" i="4"/>
  <c r="HT111" i="4"/>
  <c r="HU89" i="4"/>
  <c r="HU111" i="4"/>
  <c r="HW89" i="4"/>
  <c r="HW111" i="4"/>
  <c r="HX89" i="4"/>
  <c r="HX111" i="4"/>
  <c r="HZ89" i="4"/>
  <c r="HZ111" i="4"/>
  <c r="IA89" i="4"/>
  <c r="IA111" i="4"/>
  <c r="IC89" i="4"/>
  <c r="IC111" i="4"/>
  <c r="ID89" i="4"/>
  <c r="ID111" i="4"/>
  <c r="IF89" i="4"/>
  <c r="IF111" i="4"/>
  <c r="IG89" i="4"/>
  <c r="IG111" i="4"/>
  <c r="II89" i="4"/>
  <c r="II111" i="4"/>
  <c r="IJ89" i="4"/>
  <c r="IJ111" i="4"/>
  <c r="F90" i="4"/>
  <c r="F112" i="4"/>
  <c r="G90" i="4"/>
  <c r="G112" i="4"/>
  <c r="H90" i="4"/>
  <c r="H112" i="4"/>
  <c r="I90" i="4"/>
  <c r="I112" i="4"/>
  <c r="J90" i="4"/>
  <c r="J112" i="4"/>
  <c r="K90" i="4"/>
  <c r="K112" i="4"/>
  <c r="L90" i="4"/>
  <c r="L112" i="4"/>
  <c r="M90" i="4"/>
  <c r="M112" i="4"/>
  <c r="N90" i="4"/>
  <c r="N112" i="4"/>
  <c r="O90" i="4"/>
  <c r="O112" i="4"/>
  <c r="P90" i="4"/>
  <c r="P112" i="4"/>
  <c r="Q90" i="4"/>
  <c r="Q112" i="4"/>
  <c r="R90" i="4"/>
  <c r="R112" i="4"/>
  <c r="S90" i="4"/>
  <c r="S112" i="4"/>
  <c r="T90" i="4"/>
  <c r="T112" i="4"/>
  <c r="U90" i="4"/>
  <c r="U112" i="4"/>
  <c r="V90" i="4"/>
  <c r="V112" i="4"/>
  <c r="W90" i="4"/>
  <c r="W112" i="4"/>
  <c r="X90" i="4"/>
  <c r="X112" i="4"/>
  <c r="Y90" i="4"/>
  <c r="Y112" i="4"/>
  <c r="Z90" i="4"/>
  <c r="Z112" i="4"/>
  <c r="AA90" i="4"/>
  <c r="AA112" i="4"/>
  <c r="AB90" i="4"/>
  <c r="AB112" i="4"/>
  <c r="AC90" i="4"/>
  <c r="AC112" i="4"/>
  <c r="AD90" i="4"/>
  <c r="AD112" i="4"/>
  <c r="AE90" i="4"/>
  <c r="AE112" i="4"/>
  <c r="AF90" i="4"/>
  <c r="AF112" i="4"/>
  <c r="AG90" i="4"/>
  <c r="AG112" i="4"/>
  <c r="AH90" i="4"/>
  <c r="AH112" i="4"/>
  <c r="AI90" i="4"/>
  <c r="AI112" i="4"/>
  <c r="AJ90" i="4"/>
  <c r="AJ112" i="4"/>
  <c r="AK90" i="4"/>
  <c r="AK112" i="4"/>
  <c r="AL90" i="4"/>
  <c r="AL112" i="4"/>
  <c r="AM90" i="4"/>
  <c r="AM112" i="4"/>
  <c r="AN90" i="4"/>
  <c r="AN112" i="4"/>
  <c r="AO90" i="4"/>
  <c r="AO112" i="4"/>
  <c r="AP90" i="4"/>
  <c r="AP112" i="4"/>
  <c r="AQ90" i="4"/>
  <c r="AQ112" i="4"/>
  <c r="AR90" i="4"/>
  <c r="AR112" i="4"/>
  <c r="AS90" i="4"/>
  <c r="AS112" i="4"/>
  <c r="AT90" i="4"/>
  <c r="AT112" i="4"/>
  <c r="AU90" i="4"/>
  <c r="AU112" i="4"/>
  <c r="AV90" i="4"/>
  <c r="AV112" i="4"/>
  <c r="AW90" i="4"/>
  <c r="AW112" i="4"/>
  <c r="AX90" i="4"/>
  <c r="AX112" i="4"/>
  <c r="AY90" i="4"/>
  <c r="AY112" i="4"/>
  <c r="AZ90" i="4"/>
  <c r="AZ112" i="4"/>
  <c r="FR90" i="4"/>
  <c r="FS90" i="4"/>
  <c r="FT90" i="4"/>
  <c r="FU90" i="4"/>
  <c r="FV90" i="4"/>
  <c r="FW90" i="4"/>
  <c r="FX90" i="4"/>
  <c r="FY90" i="4"/>
  <c r="FZ90" i="4"/>
  <c r="GA90" i="4"/>
  <c r="GB90" i="4"/>
  <c r="GC90" i="4"/>
  <c r="GD90" i="4"/>
  <c r="GE90" i="4"/>
  <c r="GF90" i="4"/>
  <c r="GG90" i="4"/>
  <c r="GH90" i="4"/>
  <c r="GH112" i="4"/>
  <c r="GI90" i="4"/>
  <c r="GI112" i="4"/>
  <c r="GJ90" i="4"/>
  <c r="GJ112" i="4"/>
  <c r="GK90" i="4"/>
  <c r="GK112" i="4"/>
  <c r="GL90" i="4"/>
  <c r="GL112" i="4"/>
  <c r="GM90" i="4"/>
  <c r="GM112" i="4"/>
  <c r="GN90" i="4"/>
  <c r="GN112" i="4"/>
  <c r="GO90" i="4"/>
  <c r="GO112" i="4"/>
  <c r="GP90" i="4"/>
  <c r="GP112" i="4"/>
  <c r="GQ90" i="4"/>
  <c r="GQ112" i="4"/>
  <c r="GR90" i="4"/>
  <c r="GR112" i="4"/>
  <c r="GS90" i="4"/>
  <c r="GS112" i="4"/>
  <c r="GT90" i="4"/>
  <c r="GT112" i="4"/>
  <c r="GU90" i="4"/>
  <c r="GU112" i="4"/>
  <c r="GV90" i="4"/>
  <c r="GV112" i="4"/>
  <c r="GW90" i="4"/>
  <c r="GW112" i="4"/>
  <c r="GX90" i="4"/>
  <c r="GX112" i="4"/>
  <c r="GY90" i="4"/>
  <c r="GY112" i="4"/>
  <c r="GZ90" i="4"/>
  <c r="GZ112" i="4"/>
  <c r="HA90" i="4"/>
  <c r="HA112" i="4"/>
  <c r="HB90" i="4"/>
  <c r="HB112" i="4"/>
  <c r="HC90" i="4"/>
  <c r="HC112" i="4"/>
  <c r="HD90" i="4"/>
  <c r="HD112" i="4"/>
  <c r="HE90" i="4"/>
  <c r="HE112" i="4"/>
  <c r="HF90" i="4"/>
  <c r="HF112" i="4"/>
  <c r="HG90" i="4"/>
  <c r="HG112" i="4"/>
  <c r="HH90" i="4"/>
  <c r="HH112" i="4"/>
  <c r="HI90" i="4"/>
  <c r="HI112" i="4"/>
  <c r="HJ90" i="4"/>
  <c r="HJ112" i="4"/>
  <c r="HK90" i="4"/>
  <c r="HK112" i="4"/>
  <c r="HL90" i="4"/>
  <c r="HL112" i="4"/>
  <c r="HM90" i="4"/>
  <c r="HM112" i="4"/>
  <c r="HN90" i="4"/>
  <c r="HN112" i="4"/>
  <c r="HO90" i="4"/>
  <c r="HO112" i="4"/>
  <c r="HP90" i="4"/>
  <c r="HP112" i="4"/>
  <c r="HQ90" i="4"/>
  <c r="HQ112" i="4"/>
  <c r="HR90" i="4"/>
  <c r="HR112" i="4"/>
  <c r="HS90" i="4"/>
  <c r="HS112" i="4"/>
  <c r="HT90" i="4"/>
  <c r="HT112" i="4"/>
  <c r="HU90" i="4"/>
  <c r="HU112" i="4"/>
  <c r="HV90" i="4"/>
  <c r="HV112" i="4"/>
  <c r="HW90" i="4"/>
  <c r="HW112" i="4"/>
  <c r="HX90" i="4"/>
  <c r="HX112" i="4"/>
  <c r="HY90" i="4"/>
  <c r="HY112" i="4"/>
  <c r="HZ90" i="4"/>
  <c r="HZ112" i="4"/>
  <c r="IA90" i="4"/>
  <c r="IA112" i="4"/>
  <c r="IB90" i="4"/>
  <c r="IB112" i="4"/>
  <c r="IC90" i="4"/>
  <c r="IC112" i="4"/>
  <c r="ID90" i="4"/>
  <c r="ID112" i="4"/>
  <c r="IE90" i="4"/>
  <c r="IE112" i="4"/>
  <c r="IF90" i="4"/>
  <c r="IF112" i="4"/>
  <c r="IG90" i="4"/>
  <c r="IG112" i="4"/>
  <c r="IH90" i="4"/>
  <c r="IH112" i="4"/>
  <c r="II90" i="4"/>
  <c r="II112" i="4"/>
  <c r="IJ90" i="4"/>
  <c r="IJ112" i="4"/>
  <c r="E90" i="4"/>
  <c r="E112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EQ86" i="4"/>
  <c r="ER86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FK86" i="4"/>
  <c r="FL86" i="4"/>
  <c r="FM86" i="4"/>
  <c r="FN86" i="4"/>
  <c r="FO86" i="4"/>
  <c r="FP86" i="4"/>
  <c r="FQ86" i="4"/>
  <c r="FR86" i="4"/>
  <c r="FS86" i="4"/>
  <c r="FT86" i="4"/>
  <c r="FU86" i="4"/>
  <c r="FV86" i="4"/>
  <c r="FW86" i="4"/>
  <c r="FX86" i="4"/>
  <c r="FY86" i="4"/>
  <c r="FZ86" i="4"/>
  <c r="GA86" i="4"/>
  <c r="GB86" i="4"/>
  <c r="GC86" i="4"/>
  <c r="GD86" i="4"/>
  <c r="GE86" i="4"/>
  <c r="GF86" i="4"/>
  <c r="GG86" i="4"/>
  <c r="GH86" i="4"/>
  <c r="GI86" i="4"/>
  <c r="GJ86" i="4"/>
  <c r="GK86" i="4"/>
  <c r="GL86" i="4"/>
  <c r="GM86" i="4"/>
  <c r="GN86" i="4"/>
  <c r="GO86" i="4"/>
  <c r="GP86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I86" i="4"/>
  <c r="HJ86" i="4"/>
  <c r="HK86" i="4"/>
  <c r="HL86" i="4"/>
  <c r="HM86" i="4"/>
  <c r="HN86" i="4"/>
  <c r="HO86" i="4"/>
  <c r="HP86" i="4"/>
  <c r="HQ86" i="4"/>
  <c r="HR86" i="4"/>
  <c r="HS86" i="4"/>
  <c r="HT86" i="4"/>
  <c r="HU86" i="4"/>
  <c r="HV86" i="4"/>
  <c r="HW86" i="4"/>
  <c r="HX86" i="4"/>
  <c r="HY86" i="4"/>
  <c r="HZ86" i="4"/>
  <c r="IA86" i="4"/>
  <c r="IB86" i="4"/>
  <c r="IC86" i="4"/>
  <c r="ID86" i="4"/>
  <c r="IE86" i="4"/>
  <c r="IF86" i="4"/>
  <c r="IG86" i="4"/>
  <c r="IH86" i="4"/>
  <c r="II86" i="4"/>
  <c r="IJ86" i="4"/>
  <c r="B50" i="22"/>
  <c r="XFD1048575" i="24" a="1"/>
  <c r="XFD1048574" i="24" a="1"/>
  <c r="XFD1048573" i="24" a="1"/>
  <c r="XFD1048572" i="24" a="1"/>
  <c r="XFD1048571" i="24" a="1"/>
  <c r="XFD1048570" i="24" a="1"/>
  <c r="XFD1048569" i="24" a="1"/>
  <c r="XFD1048568" i="24" a="1"/>
  <c r="XFD1048567" i="24" a="1"/>
  <c r="XFD1048566" i="24" a="1"/>
  <c r="XFD1048565" i="24" a="1"/>
  <c r="XFD1048564" i="24" a="1"/>
  <c r="XFD1048563" i="24" a="1"/>
  <c r="XFD1048562" i="24" a="1"/>
  <c r="XFD1048561" i="24" a="1"/>
  <c r="XFD1048560" i="24" a="1"/>
  <c r="XFD1048559" i="24" a="1"/>
  <c r="XFD1048558" i="24" a="1"/>
  <c r="XFD1048557" i="24" a="1"/>
  <c r="XFD1048556" i="24" a="1"/>
  <c r="XFD1048555" i="24" a="1"/>
  <c r="XFD1048554" i="24" a="1"/>
  <c r="XFD1048553" i="24" a="1"/>
  <c r="XFD1048552" i="24" a="1"/>
  <c r="XFD1048551" i="24" a="1"/>
  <c r="XFD1048550" i="24" a="1"/>
  <c r="E35" i="24"/>
  <c r="C8" i="24"/>
  <c r="B8" i="24"/>
  <c r="IH2" i="24"/>
  <c r="IG2" i="24"/>
  <c r="IF2" i="24"/>
  <c r="IE2" i="24"/>
  <c r="ID2" i="24"/>
  <c r="IC2" i="24"/>
  <c r="IB2" i="24"/>
  <c r="IA2" i="24"/>
  <c r="HZ2" i="24"/>
  <c r="HY2" i="24"/>
  <c r="HX2" i="24"/>
  <c r="HW2" i="24"/>
  <c r="HV2" i="24"/>
  <c r="HU2" i="24"/>
  <c r="HT2" i="24"/>
  <c r="HS2" i="24"/>
  <c r="HR2" i="24"/>
  <c r="HQ2" i="24"/>
  <c r="HP2" i="24"/>
  <c r="HO2" i="24"/>
  <c r="HN2" i="24"/>
  <c r="HM2" i="24"/>
  <c r="HL2" i="24"/>
  <c r="HK2" i="24"/>
  <c r="HJ2" i="24"/>
  <c r="HI2" i="24"/>
  <c r="HH2" i="24"/>
  <c r="HG2" i="24"/>
  <c r="HF2" i="24"/>
  <c r="HE2" i="24"/>
  <c r="HD2" i="24"/>
  <c r="HC2" i="24"/>
  <c r="HB2" i="24"/>
  <c r="HA2" i="24"/>
  <c r="GZ2" i="24"/>
  <c r="GY2" i="24"/>
  <c r="GX2" i="24"/>
  <c r="GW2" i="24"/>
  <c r="GV2" i="24"/>
  <c r="GU2" i="24"/>
  <c r="GT2" i="24"/>
  <c r="GS2" i="24"/>
  <c r="GR2" i="24"/>
  <c r="GQ2" i="24"/>
  <c r="GP2" i="24"/>
  <c r="GO2" i="24"/>
  <c r="GN2" i="24"/>
  <c r="GM2" i="24"/>
  <c r="GL2" i="24"/>
  <c r="GK2" i="24"/>
  <c r="GJ2" i="24"/>
  <c r="GI2" i="24"/>
  <c r="GH2" i="24"/>
  <c r="GG2" i="24"/>
  <c r="GF2" i="24"/>
  <c r="GE2" i="24"/>
  <c r="GD2" i="24"/>
  <c r="GC2" i="24"/>
  <c r="GB2" i="24"/>
  <c r="GA2" i="24"/>
  <c r="FZ2" i="24"/>
  <c r="FY2" i="24"/>
  <c r="FX2" i="24"/>
  <c r="FW2" i="24"/>
  <c r="FV2" i="24"/>
  <c r="FU2" i="24"/>
  <c r="FT2" i="24"/>
  <c r="FS2" i="24"/>
  <c r="FR2" i="24"/>
  <c r="FQ2" i="24"/>
  <c r="FP2" i="24"/>
  <c r="FO2" i="24"/>
  <c r="FN2" i="24"/>
  <c r="FM2" i="24"/>
  <c r="FL2" i="24"/>
  <c r="FK2" i="24"/>
  <c r="FJ2" i="24"/>
  <c r="FI2" i="24"/>
  <c r="FH2" i="24"/>
  <c r="FG2" i="24"/>
  <c r="FF2" i="24"/>
  <c r="FE2" i="24"/>
  <c r="FD2" i="24"/>
  <c r="FC2" i="24"/>
  <c r="FB2" i="24"/>
  <c r="FA2" i="24"/>
  <c r="EZ2" i="24"/>
  <c r="EY2" i="24"/>
  <c r="EX2" i="24"/>
  <c r="EW2" i="24"/>
  <c r="EV2" i="24"/>
  <c r="EU2" i="24"/>
  <c r="ET2" i="24"/>
  <c r="ES2" i="24"/>
  <c r="ER2" i="24"/>
  <c r="EQ2" i="24"/>
  <c r="EP2" i="24"/>
  <c r="EO2" i="24"/>
  <c r="EN2" i="24"/>
  <c r="EM2" i="24"/>
  <c r="EL2" i="24"/>
  <c r="EK2" i="24"/>
  <c r="EJ2" i="24"/>
  <c r="EI2" i="24"/>
  <c r="EH2" i="24"/>
  <c r="EG2" i="24"/>
  <c r="EF2" i="24"/>
  <c r="EE2" i="24"/>
  <c r="ED2" i="24"/>
  <c r="EC2" i="24"/>
  <c r="EB2" i="24"/>
  <c r="EA2" i="24"/>
  <c r="DZ2" i="24"/>
  <c r="DY2" i="24"/>
  <c r="DX2" i="24"/>
  <c r="DW2" i="24"/>
  <c r="DV2" i="24"/>
  <c r="DU2" i="24"/>
  <c r="DT2" i="24"/>
  <c r="DS2" i="24"/>
  <c r="DR2" i="24"/>
  <c r="DQ2" i="24"/>
  <c r="DP2" i="24"/>
  <c r="DO2" i="24"/>
  <c r="DN2" i="24"/>
  <c r="DM2" i="24"/>
  <c r="DL2" i="24"/>
  <c r="DK2" i="24"/>
  <c r="DJ2" i="24"/>
  <c r="DI2" i="24"/>
  <c r="DH2" i="24"/>
  <c r="DG2" i="24"/>
  <c r="DF2" i="24"/>
  <c r="DE2" i="24"/>
  <c r="DD2" i="24"/>
  <c r="DC2" i="24"/>
  <c r="DB2" i="24"/>
  <c r="DA2" i="24"/>
  <c r="CZ2" i="24"/>
  <c r="CY2" i="24"/>
  <c r="CX2" i="24"/>
  <c r="CW2" i="24"/>
  <c r="CV2" i="24"/>
  <c r="CU2" i="24"/>
  <c r="CT2" i="24"/>
  <c r="CS2" i="24"/>
  <c r="CR2" i="24"/>
  <c r="CQ2" i="24"/>
  <c r="CP2" i="24"/>
  <c r="CO2" i="24"/>
  <c r="CN2" i="24"/>
  <c r="CM2" i="24"/>
  <c r="CL2" i="24"/>
  <c r="CK2" i="24"/>
  <c r="CJ2" i="24"/>
  <c r="CI2" i="24"/>
  <c r="CH2" i="24"/>
  <c r="CG2" i="24"/>
  <c r="CF2" i="24"/>
  <c r="CE2" i="24"/>
  <c r="CD2" i="24"/>
  <c r="CC2" i="24"/>
  <c r="CB2" i="24"/>
  <c r="CA2" i="24"/>
  <c r="BZ2" i="24"/>
  <c r="BY2" i="24"/>
  <c r="BX2" i="24"/>
  <c r="BW2" i="24"/>
  <c r="BV2" i="24"/>
  <c r="BU2" i="24"/>
  <c r="BT2" i="24"/>
  <c r="BS2" i="24"/>
  <c r="BR2" i="24"/>
  <c r="BQ2" i="24"/>
  <c r="BP2" i="24"/>
  <c r="BO2" i="24"/>
  <c r="BN2" i="24"/>
  <c r="BM2" i="24"/>
  <c r="BL2" i="24"/>
  <c r="BK2" i="24"/>
  <c r="BJ2" i="24"/>
  <c r="BI2" i="24"/>
  <c r="BH2" i="24"/>
  <c r="BG2" i="24"/>
  <c r="BF2" i="24"/>
  <c r="BE2" i="24"/>
  <c r="BD2" i="24"/>
  <c r="BC2" i="24"/>
  <c r="BB2" i="24"/>
  <c r="BA2" i="24"/>
  <c r="AZ2" i="24"/>
  <c r="AY2" i="24"/>
  <c r="AX2" i="24"/>
  <c r="AW2" i="24"/>
  <c r="AV2" i="24"/>
  <c r="AU2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R50" i="10"/>
  <c r="R70" i="10"/>
  <c r="Q50" i="10"/>
  <c r="Q70" i="10"/>
  <c r="P50" i="10"/>
  <c r="P70" i="10"/>
  <c r="O50" i="10"/>
  <c r="O70" i="10"/>
  <c r="N50" i="10"/>
  <c r="N70" i="10"/>
  <c r="M50" i="10"/>
  <c r="M70" i="10"/>
  <c r="L50" i="10"/>
  <c r="L70" i="10"/>
  <c r="K50" i="10"/>
  <c r="K70" i="10"/>
  <c r="J50" i="10"/>
  <c r="J70" i="10"/>
  <c r="I50" i="10"/>
  <c r="I70" i="10"/>
  <c r="H50" i="10"/>
  <c r="H70" i="10"/>
  <c r="G50" i="10"/>
  <c r="G70" i="10"/>
  <c r="F50" i="10"/>
  <c r="F70" i="10"/>
  <c r="E50" i="10"/>
  <c r="E70" i="10"/>
  <c r="D50" i="10"/>
  <c r="D70" i="10"/>
  <c r="C50" i="10"/>
  <c r="C70" i="10"/>
  <c r="B50" i="10"/>
  <c r="B70" i="10"/>
  <c r="R48" i="10"/>
  <c r="R68" i="10"/>
  <c r="Q48" i="10"/>
  <c r="Q68" i="10"/>
  <c r="P48" i="10"/>
  <c r="P68" i="10"/>
  <c r="O48" i="10"/>
  <c r="O68" i="10"/>
  <c r="N48" i="10"/>
  <c r="N68" i="10"/>
  <c r="M48" i="10"/>
  <c r="M68" i="10"/>
  <c r="L48" i="10"/>
  <c r="L68" i="10"/>
  <c r="K48" i="10"/>
  <c r="K68" i="10"/>
  <c r="J48" i="10"/>
  <c r="J68" i="10"/>
  <c r="I48" i="10"/>
  <c r="I68" i="10"/>
  <c r="H48" i="10"/>
  <c r="H68" i="10"/>
  <c r="G48" i="10"/>
  <c r="G68" i="10"/>
  <c r="F48" i="10"/>
  <c r="F68" i="10"/>
  <c r="E48" i="10"/>
  <c r="E68" i="10"/>
  <c r="D48" i="10"/>
  <c r="D68" i="10"/>
  <c r="C48" i="10"/>
  <c r="C68" i="10"/>
  <c r="R47" i="10"/>
  <c r="R67" i="10"/>
  <c r="Q47" i="10"/>
  <c r="Q67" i="10"/>
  <c r="P47" i="10"/>
  <c r="P67" i="10"/>
  <c r="O47" i="10"/>
  <c r="O67" i="10"/>
  <c r="N47" i="10"/>
  <c r="N67" i="10"/>
  <c r="M47" i="10"/>
  <c r="M67" i="10"/>
  <c r="L47" i="10"/>
  <c r="L67" i="10"/>
  <c r="K47" i="10"/>
  <c r="K67" i="10"/>
  <c r="J47" i="10"/>
  <c r="J67" i="10"/>
  <c r="I47" i="10"/>
  <c r="I67" i="10"/>
  <c r="H47" i="10"/>
  <c r="H67" i="10"/>
  <c r="G47" i="10"/>
  <c r="G67" i="10"/>
  <c r="F47" i="10"/>
  <c r="F67" i="10"/>
  <c r="E47" i="10"/>
  <c r="E67" i="10"/>
  <c r="D47" i="10"/>
  <c r="D67" i="10"/>
  <c r="C47" i="10"/>
  <c r="C67" i="10"/>
  <c r="B48" i="10"/>
  <c r="B68" i="10"/>
  <c r="B47" i="10"/>
  <c r="B67" i="10"/>
  <c r="HI45" i="10"/>
  <c r="HH45" i="10"/>
  <c r="HG45" i="10"/>
  <c r="HF45" i="10"/>
  <c r="HE45" i="10"/>
  <c r="HD45" i="10"/>
  <c r="HC45" i="10"/>
  <c r="HB45" i="10"/>
  <c r="HA45" i="10"/>
  <c r="GZ45" i="10"/>
  <c r="GY45" i="10"/>
  <c r="GX45" i="10"/>
  <c r="GW45" i="10"/>
  <c r="GV45" i="10"/>
  <c r="GU45" i="10"/>
  <c r="GT45" i="10"/>
  <c r="GS45" i="10"/>
  <c r="GR45" i="10"/>
  <c r="GQ45" i="10"/>
  <c r="GP45" i="10"/>
  <c r="GO45" i="10"/>
  <c r="GN45" i="10"/>
  <c r="GM45" i="10"/>
  <c r="GL45" i="10"/>
  <c r="GK45" i="10"/>
  <c r="GJ45" i="10"/>
  <c r="GI45" i="10"/>
  <c r="GH45" i="10"/>
  <c r="GG45" i="10"/>
  <c r="GF45" i="10"/>
  <c r="GE45" i="10"/>
  <c r="GD45" i="10"/>
  <c r="GC45" i="10"/>
  <c r="GB45" i="10"/>
  <c r="GA45" i="10"/>
  <c r="FZ45" i="10"/>
  <c r="FY45" i="10"/>
  <c r="FX45" i="10"/>
  <c r="FW45" i="10"/>
  <c r="FV45" i="10"/>
  <c r="FU45" i="10"/>
  <c r="FT45" i="10"/>
  <c r="FS45" i="10"/>
  <c r="FR45" i="10"/>
  <c r="FQ45" i="10"/>
  <c r="FP45" i="10"/>
  <c r="FO45" i="10"/>
  <c r="FN45" i="10"/>
  <c r="FM45" i="10"/>
  <c r="FL45" i="10"/>
  <c r="FK45" i="10"/>
  <c r="FJ45" i="10"/>
  <c r="FI45" i="10"/>
  <c r="FH45" i="10"/>
  <c r="FG45" i="10"/>
  <c r="FF45" i="10"/>
  <c r="FE45" i="10"/>
  <c r="FD45" i="10"/>
  <c r="FC45" i="10"/>
  <c r="FB45" i="10"/>
  <c r="FA45" i="10"/>
  <c r="EZ45" i="10"/>
  <c r="EY45" i="10"/>
  <c r="EX45" i="10"/>
  <c r="EW45" i="10"/>
  <c r="EV45" i="10"/>
  <c r="EU45" i="10"/>
  <c r="ET45" i="10"/>
  <c r="ES45" i="10"/>
  <c r="ER45" i="10"/>
  <c r="EQ45" i="10"/>
  <c r="EP45" i="10"/>
  <c r="EO45" i="10"/>
  <c r="EN45" i="10"/>
  <c r="EM45" i="10"/>
  <c r="EL45" i="10"/>
  <c r="EK45" i="10"/>
  <c r="EJ45" i="10"/>
  <c r="EI45" i="10"/>
  <c r="EH45" i="10"/>
  <c r="EG45" i="10"/>
  <c r="EF45" i="10"/>
  <c r="EE45" i="10"/>
  <c r="ED45" i="10"/>
  <c r="EC45" i="10"/>
  <c r="EB45" i="10"/>
  <c r="EA45" i="10"/>
  <c r="DZ45" i="10"/>
  <c r="DY45" i="10"/>
  <c r="DX45" i="10"/>
  <c r="DW45" i="10"/>
  <c r="DV45" i="10"/>
  <c r="DU45" i="10"/>
  <c r="DT45" i="10"/>
  <c r="DS45" i="10"/>
  <c r="DR45" i="10"/>
  <c r="DQ45" i="10"/>
  <c r="DP45" i="10"/>
  <c r="DO45" i="10"/>
  <c r="DN45" i="10"/>
  <c r="DM45" i="10"/>
  <c r="DL45" i="10"/>
  <c r="DK45" i="10"/>
  <c r="DJ45" i="10"/>
  <c r="DI45" i="10"/>
  <c r="DH45" i="10"/>
  <c r="DG45" i="10"/>
  <c r="DF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C24" i="10"/>
  <c r="C39" i="8"/>
  <c r="E35" i="8"/>
  <c r="C8" i="8"/>
  <c r="C33" i="23"/>
  <c r="C38" i="23"/>
  <c r="C39" i="23"/>
  <c r="IH12" i="23"/>
  <c r="IG12" i="23"/>
  <c r="IF12" i="23"/>
  <c r="IE12" i="23"/>
  <c r="ID12" i="23"/>
  <c r="IC12" i="23"/>
  <c r="IB12" i="23"/>
  <c r="IA12" i="23"/>
  <c r="HZ12" i="23"/>
  <c r="HY12" i="23"/>
  <c r="HX12" i="23"/>
  <c r="HW12" i="23"/>
  <c r="HV12" i="23"/>
  <c r="HU12" i="23"/>
  <c r="HT12" i="23"/>
  <c r="HS12" i="23"/>
  <c r="HR12" i="23"/>
  <c r="HQ12" i="23"/>
  <c r="HP12" i="23"/>
  <c r="HO12" i="23"/>
  <c r="HN12" i="23"/>
  <c r="HM12" i="23"/>
  <c r="HL12" i="23"/>
  <c r="HK12" i="23"/>
  <c r="HJ12" i="23"/>
  <c r="HI12" i="23"/>
  <c r="HH12" i="23"/>
  <c r="HG12" i="23"/>
  <c r="HF12" i="23"/>
  <c r="HE12" i="23"/>
  <c r="HD12" i="23"/>
  <c r="HC12" i="23"/>
  <c r="HB12" i="23"/>
  <c r="HA12" i="23"/>
  <c r="GZ12" i="23"/>
  <c r="GY12" i="23"/>
  <c r="GX12" i="23"/>
  <c r="GW12" i="23"/>
  <c r="GV12" i="23"/>
  <c r="GU12" i="23"/>
  <c r="GT12" i="23"/>
  <c r="GS12" i="23"/>
  <c r="GR12" i="23"/>
  <c r="GQ12" i="23"/>
  <c r="GP12" i="23"/>
  <c r="GO12" i="23"/>
  <c r="GN12" i="23"/>
  <c r="GM12" i="23"/>
  <c r="GL12" i="23"/>
  <c r="GK12" i="23"/>
  <c r="GJ12" i="23"/>
  <c r="GI12" i="23"/>
  <c r="GH12" i="23"/>
  <c r="GG12" i="23"/>
  <c r="GF12" i="23"/>
  <c r="GE12" i="23"/>
  <c r="GD12" i="23"/>
  <c r="GC12" i="23"/>
  <c r="GB12" i="23"/>
  <c r="GA12" i="23"/>
  <c r="FZ12" i="23"/>
  <c r="FY12" i="23"/>
  <c r="FX12" i="23"/>
  <c r="FW12" i="23"/>
  <c r="FV12" i="23"/>
  <c r="FU12" i="23"/>
  <c r="FT12" i="23"/>
  <c r="FS12" i="23"/>
  <c r="FR12" i="23"/>
  <c r="FQ12" i="23"/>
  <c r="FP12" i="23"/>
  <c r="FO12" i="23"/>
  <c r="FN12" i="23"/>
  <c r="FM12" i="23"/>
  <c r="FL12" i="23"/>
  <c r="FK12" i="23"/>
  <c r="FJ12" i="23"/>
  <c r="FI12" i="23"/>
  <c r="FH12" i="23"/>
  <c r="FG12" i="23"/>
  <c r="FF12" i="23"/>
  <c r="FE12" i="23"/>
  <c r="FD12" i="23"/>
  <c r="FC12" i="23"/>
  <c r="FB12" i="23"/>
  <c r="FA12" i="23"/>
  <c r="EZ12" i="23"/>
  <c r="EY12" i="23"/>
  <c r="EX12" i="23"/>
  <c r="EW12" i="23"/>
  <c r="EV12" i="23"/>
  <c r="EU12" i="23"/>
  <c r="ET12" i="23"/>
  <c r="ES12" i="23"/>
  <c r="ER12" i="23"/>
  <c r="EQ12" i="23"/>
  <c r="EP12" i="23"/>
  <c r="EO12" i="23"/>
  <c r="EN12" i="23"/>
  <c r="EM12" i="23"/>
  <c r="EL12" i="23"/>
  <c r="EK12" i="23"/>
  <c r="EJ12" i="23"/>
  <c r="EI12" i="23"/>
  <c r="EH12" i="23"/>
  <c r="EG12" i="23"/>
  <c r="EF12" i="23"/>
  <c r="EE12" i="23"/>
  <c r="ED12" i="23"/>
  <c r="EC12" i="23"/>
  <c r="EB12" i="23"/>
  <c r="EA12" i="23"/>
  <c r="DZ12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L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X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J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V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H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IH4" i="23"/>
  <c r="IG4" i="23"/>
  <c r="IF4" i="23"/>
  <c r="IE4" i="23"/>
  <c r="ID4" i="23"/>
  <c r="IC4" i="23"/>
  <c r="IB4" i="23"/>
  <c r="IA4" i="23"/>
  <c r="HZ4" i="23"/>
  <c r="HY4" i="23"/>
  <c r="HX4" i="23"/>
  <c r="HW4" i="23"/>
  <c r="HV4" i="23"/>
  <c r="HU4" i="23"/>
  <c r="HT4" i="23"/>
  <c r="HS4" i="23"/>
  <c r="HR4" i="23"/>
  <c r="HQ4" i="23"/>
  <c r="HP4" i="23"/>
  <c r="HO4" i="23"/>
  <c r="HN4" i="23"/>
  <c r="HM4" i="23"/>
  <c r="HL4" i="23"/>
  <c r="HK4" i="23"/>
  <c r="HJ4" i="23"/>
  <c r="HI4" i="23"/>
  <c r="HH4" i="23"/>
  <c r="HG4" i="23"/>
  <c r="HF4" i="23"/>
  <c r="HE4" i="23"/>
  <c r="HD4" i="23"/>
  <c r="HC4" i="23"/>
  <c r="HB4" i="23"/>
  <c r="HA4" i="23"/>
  <c r="GZ4" i="23"/>
  <c r="GY4" i="23"/>
  <c r="GX4" i="23"/>
  <c r="GW4" i="23"/>
  <c r="GV4" i="23"/>
  <c r="GU4" i="23"/>
  <c r="GT4" i="23"/>
  <c r="GS4" i="23"/>
  <c r="GR4" i="23"/>
  <c r="GQ4" i="23"/>
  <c r="GP4" i="23"/>
  <c r="GO4" i="23"/>
  <c r="GN4" i="23"/>
  <c r="GM4" i="23"/>
  <c r="GL4" i="23"/>
  <c r="GK4" i="23"/>
  <c r="GJ4" i="23"/>
  <c r="GI4" i="23"/>
  <c r="GH4" i="23"/>
  <c r="GG4" i="23"/>
  <c r="GF4" i="23"/>
  <c r="GE4" i="23"/>
  <c r="GD4" i="23"/>
  <c r="GC4" i="23"/>
  <c r="GB4" i="23"/>
  <c r="GA4" i="23"/>
  <c r="FZ4" i="23"/>
  <c r="FY4" i="23"/>
  <c r="FX4" i="23"/>
  <c r="FW4" i="23"/>
  <c r="FV4" i="23"/>
  <c r="FU4" i="23"/>
  <c r="FT4" i="23"/>
  <c r="FS4" i="23"/>
  <c r="FR4" i="23"/>
  <c r="FQ4" i="23"/>
  <c r="FP4" i="23"/>
  <c r="FO4" i="23"/>
  <c r="FN4" i="23"/>
  <c r="FM4" i="23"/>
  <c r="FL4" i="23"/>
  <c r="FK4" i="23"/>
  <c r="FJ4" i="23"/>
  <c r="FI4" i="23"/>
  <c r="FH4" i="23"/>
  <c r="FG4" i="23"/>
  <c r="FF4" i="23"/>
  <c r="FE4" i="23"/>
  <c r="FD4" i="23"/>
  <c r="FC4" i="23"/>
  <c r="FB4" i="23"/>
  <c r="FA4" i="23"/>
  <c r="EZ4" i="23"/>
  <c r="EY4" i="23"/>
  <c r="EX4" i="23"/>
  <c r="EW4" i="23"/>
  <c r="EV4" i="23"/>
  <c r="EU4" i="23"/>
  <c r="ET4" i="23"/>
  <c r="ES4" i="23"/>
  <c r="ER4" i="23"/>
  <c r="EQ4" i="23"/>
  <c r="EP4" i="23"/>
  <c r="EO4" i="23"/>
  <c r="EN4" i="23"/>
  <c r="EM4" i="23"/>
  <c r="EL4" i="23"/>
  <c r="EK4" i="23"/>
  <c r="EJ4" i="23"/>
  <c r="EI4" i="23"/>
  <c r="EH4" i="23"/>
  <c r="EG4" i="23"/>
  <c r="EF4" i="23"/>
  <c r="EE4" i="23"/>
  <c r="ED4" i="23"/>
  <c r="EC4" i="23"/>
  <c r="EB4" i="23"/>
  <c r="EA4" i="23"/>
  <c r="DZ4" i="23"/>
  <c r="DY4" i="23"/>
  <c r="DX4" i="23"/>
  <c r="DW4" i="23"/>
  <c r="DV4" i="23"/>
  <c r="DU4" i="23"/>
  <c r="DT4" i="23"/>
  <c r="DS4" i="23"/>
  <c r="DR4" i="23"/>
  <c r="DQ4" i="23"/>
  <c r="DP4" i="23"/>
  <c r="DO4" i="23"/>
  <c r="DN4" i="23"/>
  <c r="DM4" i="23"/>
  <c r="DL4" i="23"/>
  <c r="DK4" i="23"/>
  <c r="DJ4" i="23"/>
  <c r="DI4" i="23"/>
  <c r="DH4" i="23"/>
  <c r="DG4" i="23"/>
  <c r="DF4" i="23"/>
  <c r="DE4" i="23"/>
  <c r="DD4" i="23"/>
  <c r="DC4" i="23"/>
  <c r="DB4" i="23"/>
  <c r="DA4" i="23"/>
  <c r="CZ4" i="23"/>
  <c r="CY4" i="23"/>
  <c r="CX4" i="23"/>
  <c r="CW4" i="23"/>
  <c r="CV4" i="23"/>
  <c r="CU4" i="23"/>
  <c r="CT4" i="23"/>
  <c r="CS4" i="23"/>
  <c r="CR4" i="23"/>
  <c r="CQ4" i="23"/>
  <c r="CP4" i="23"/>
  <c r="CO4" i="23"/>
  <c r="CN4" i="23"/>
  <c r="CM4" i="23"/>
  <c r="CL4" i="23"/>
  <c r="CK4" i="23"/>
  <c r="CJ4" i="23"/>
  <c r="CI4" i="23"/>
  <c r="CH4" i="23"/>
  <c r="CG4" i="23"/>
  <c r="CF4" i="23"/>
  <c r="CE4" i="23"/>
  <c r="CD4" i="23"/>
  <c r="CC4" i="23"/>
  <c r="CB4" i="23"/>
  <c r="CA4" i="23"/>
  <c r="BZ4" i="23"/>
  <c r="BY4" i="23"/>
  <c r="BX4" i="23"/>
  <c r="BW4" i="23"/>
  <c r="BV4" i="23"/>
  <c r="BU4" i="23"/>
  <c r="BT4" i="23"/>
  <c r="BS4" i="23"/>
  <c r="BR4" i="23"/>
  <c r="BQ4" i="23"/>
  <c r="BP4" i="23"/>
  <c r="BO4" i="23"/>
  <c r="BN4" i="23"/>
  <c r="BM4" i="23"/>
  <c r="BL4" i="23"/>
  <c r="BK4" i="23"/>
  <c r="BJ4" i="23"/>
  <c r="BI4" i="23"/>
  <c r="BH4" i="23"/>
  <c r="BG4" i="23"/>
  <c r="BF4" i="23"/>
  <c r="BE4" i="23"/>
  <c r="BD4" i="23"/>
  <c r="BC4" i="23"/>
  <c r="BB4" i="23"/>
  <c r="BA4" i="23"/>
  <c r="AZ4" i="23"/>
  <c r="AY4" i="23"/>
  <c r="AX4" i="23"/>
  <c r="AW4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B6" i="22"/>
  <c r="K6" i="4"/>
  <c r="L6" i="4"/>
  <c r="M6" i="4"/>
  <c r="N6" i="4"/>
  <c r="O6" i="4"/>
  <c r="P6" i="4"/>
  <c r="J6" i="4"/>
  <c r="F6" i="4"/>
  <c r="G6" i="4"/>
  <c r="H6" i="4"/>
  <c r="I6" i="4"/>
  <c r="D78" i="2"/>
  <c r="C147" i="2"/>
  <c r="C135" i="2"/>
  <c r="C133" i="2"/>
  <c r="C140" i="2"/>
  <c r="B42" i="13"/>
  <c r="C33" i="13"/>
  <c r="C34" i="13" s="1"/>
  <c r="B75" i="10"/>
  <c r="B74" i="10"/>
  <c r="Y125" i="4"/>
  <c r="V125" i="4"/>
  <c r="M125" i="4"/>
  <c r="N125" i="4"/>
  <c r="P125" i="4"/>
  <c r="P124" i="4"/>
  <c r="Q124" i="4"/>
  <c r="S124" i="4"/>
  <c r="Q125" i="4"/>
  <c r="R125" i="4"/>
  <c r="X125" i="4"/>
  <c r="R124" i="4"/>
  <c r="U124" i="4"/>
  <c r="S125" i="4"/>
  <c r="W125" i="4"/>
  <c r="W124" i="4"/>
  <c r="X124" i="4"/>
  <c r="M124" i="4"/>
  <c r="T125" i="4"/>
  <c r="T124" i="4"/>
  <c r="V124" i="4"/>
  <c r="N124" i="4"/>
  <c r="U125" i="4"/>
  <c r="Y124" i="4"/>
  <c r="O125" i="4"/>
  <c r="O124" i="4"/>
  <c r="B77" i="10"/>
  <c r="C138" i="2"/>
  <c r="C141" i="2"/>
  <c r="V103" i="4"/>
  <c r="L103" i="4"/>
  <c r="N102" i="4"/>
  <c r="P102" i="4"/>
  <c r="P103" i="4"/>
  <c r="Q102" i="4"/>
  <c r="Q103" i="4"/>
  <c r="R102" i="4"/>
  <c r="R103" i="4"/>
  <c r="S102" i="4"/>
  <c r="S103" i="4"/>
  <c r="T102" i="4"/>
  <c r="T103" i="4"/>
  <c r="L102" i="4"/>
  <c r="M103" i="4"/>
  <c r="N103" i="4"/>
  <c r="O103" i="4"/>
  <c r="U102" i="4"/>
  <c r="U103" i="4"/>
  <c r="V102" i="4"/>
  <c r="W102" i="4"/>
  <c r="W103" i="4"/>
  <c r="X102" i="4"/>
  <c r="X103" i="4"/>
  <c r="Y102" i="4"/>
  <c r="Y103" i="4"/>
  <c r="M102" i="4"/>
  <c r="O102" i="4"/>
  <c r="V81" i="4"/>
  <c r="J81" i="4"/>
  <c r="K81" i="4"/>
  <c r="L81" i="4"/>
  <c r="P81" i="4"/>
  <c r="W81" i="4"/>
  <c r="Y81" i="4"/>
  <c r="M81" i="4"/>
  <c r="N81" i="4"/>
  <c r="O81" i="4"/>
  <c r="Q81" i="4"/>
  <c r="R81" i="4"/>
  <c r="S81" i="4"/>
  <c r="T81" i="4"/>
  <c r="U81" i="4"/>
  <c r="X81" i="4"/>
  <c r="V122" i="4"/>
  <c r="P120" i="4"/>
  <c r="Q120" i="4"/>
  <c r="R120" i="4"/>
  <c r="U122" i="4"/>
  <c r="H122" i="4"/>
  <c r="X120" i="4"/>
  <c r="G122" i="4"/>
  <c r="W120" i="4"/>
  <c r="V120" i="4"/>
  <c r="U120" i="4"/>
  <c r="E122" i="4"/>
  <c r="X122" i="4"/>
  <c r="T120" i="4"/>
  <c r="W122" i="4"/>
  <c r="S120" i="4"/>
  <c r="O120" i="4"/>
  <c r="Y120" i="4"/>
  <c r="N120" i="4"/>
  <c r="M120" i="4"/>
  <c r="Y122" i="4"/>
  <c r="F122" i="4"/>
  <c r="P98" i="4"/>
  <c r="O98" i="4"/>
  <c r="N98" i="4"/>
  <c r="M98" i="4"/>
  <c r="L98" i="4"/>
  <c r="F100" i="4"/>
  <c r="G100" i="4"/>
  <c r="H100" i="4"/>
  <c r="Q98" i="4"/>
  <c r="E100" i="4"/>
  <c r="R98" i="4"/>
  <c r="S98" i="4"/>
  <c r="T98" i="4"/>
  <c r="T100" i="4"/>
  <c r="U98" i="4"/>
  <c r="U100" i="4"/>
  <c r="V98" i="4"/>
  <c r="V100" i="4"/>
  <c r="W98" i="4"/>
  <c r="W100" i="4"/>
  <c r="X98" i="4"/>
  <c r="X100" i="4"/>
  <c r="Y98" i="4"/>
  <c r="Y100" i="4"/>
  <c r="E78" i="4"/>
  <c r="V76" i="4"/>
  <c r="U76" i="4"/>
  <c r="T76" i="4"/>
  <c r="S76" i="4"/>
  <c r="R76" i="4"/>
  <c r="Q76" i="4"/>
  <c r="V78" i="4"/>
  <c r="U78" i="4"/>
  <c r="J80" i="4"/>
  <c r="T78" i="4"/>
  <c r="K80" i="4"/>
  <c r="L80" i="4"/>
  <c r="W76" i="4"/>
  <c r="W78" i="4"/>
  <c r="Y76" i="4"/>
  <c r="Y78" i="4"/>
  <c r="W80" i="4"/>
  <c r="F78" i="4"/>
  <c r="G78" i="4"/>
  <c r="U80" i="4"/>
  <c r="H78" i="4"/>
  <c r="S80" i="4"/>
  <c r="J76" i="4"/>
  <c r="K76" i="4"/>
  <c r="Q80" i="4"/>
  <c r="L76" i="4"/>
  <c r="P80" i="4"/>
  <c r="M76" i="4"/>
  <c r="N76" i="4"/>
  <c r="N80" i="4"/>
  <c r="O76" i="4"/>
  <c r="M80" i="4"/>
  <c r="P76" i="4"/>
  <c r="Y80" i="4"/>
  <c r="X76" i="4"/>
  <c r="X78" i="4"/>
  <c r="X80" i="4"/>
  <c r="V80" i="4"/>
  <c r="T80" i="4"/>
  <c r="R80" i="4"/>
  <c r="O80" i="4"/>
  <c r="B55" i="10"/>
  <c r="B54" i="10"/>
  <c r="B57" i="10"/>
  <c r="C148" i="2"/>
  <c r="R6" i="4"/>
  <c r="AD6" i="4"/>
  <c r="AP6" i="4"/>
  <c r="BB6" i="4"/>
  <c r="BN6" i="4"/>
  <c r="BZ6" i="4"/>
  <c r="CL6" i="4"/>
  <c r="CX6" i="4"/>
  <c r="DJ6" i="4"/>
  <c r="DV6" i="4"/>
  <c r="EH6" i="4"/>
  <c r="ET6" i="4"/>
  <c r="FF6" i="4"/>
  <c r="FR6" i="4"/>
  <c r="GD6" i="4"/>
  <c r="GP6" i="4"/>
  <c r="HB6" i="4"/>
  <c r="HN6" i="4"/>
  <c r="HZ6" i="4"/>
  <c r="IL6" i="4"/>
  <c r="S6" i="4"/>
  <c r="AE6" i="4"/>
  <c r="AQ6" i="4"/>
  <c r="BC6" i="4"/>
  <c r="BO6" i="4"/>
  <c r="CA6" i="4"/>
  <c r="CM6" i="4"/>
  <c r="CY6" i="4"/>
  <c r="DK6" i="4"/>
  <c r="DW6" i="4"/>
  <c r="EI6" i="4"/>
  <c r="EU6" i="4"/>
  <c r="FG6" i="4"/>
  <c r="FS6" i="4"/>
  <c r="GE6" i="4"/>
  <c r="GQ6" i="4"/>
  <c r="HC6" i="4"/>
  <c r="HO6" i="4"/>
  <c r="IA6" i="4"/>
  <c r="IM6" i="4"/>
  <c r="T6" i="4"/>
  <c r="AF6" i="4"/>
  <c r="AR6" i="4"/>
  <c r="BD6" i="4"/>
  <c r="BP6" i="4"/>
  <c r="CB6" i="4"/>
  <c r="CN6" i="4"/>
  <c r="CZ6" i="4"/>
  <c r="DL6" i="4"/>
  <c r="DX6" i="4"/>
  <c r="EJ6" i="4"/>
  <c r="EV6" i="4"/>
  <c r="FH6" i="4"/>
  <c r="FT6" i="4"/>
  <c r="GF6" i="4"/>
  <c r="GR6" i="4"/>
  <c r="HD6" i="4"/>
  <c r="HP6" i="4"/>
  <c r="IB6" i="4"/>
  <c r="IN6" i="4"/>
  <c r="U6" i="4"/>
  <c r="AG6" i="4"/>
  <c r="AS6" i="4"/>
  <c r="BE6" i="4"/>
  <c r="BQ6" i="4"/>
  <c r="CC6" i="4"/>
  <c r="CO6" i="4"/>
  <c r="DA6" i="4"/>
  <c r="DM6" i="4"/>
  <c r="DY6" i="4"/>
  <c r="EK6" i="4"/>
  <c r="EW6" i="4"/>
  <c r="FI6" i="4"/>
  <c r="FU6" i="4"/>
  <c r="GG6" i="4"/>
  <c r="GS6" i="4"/>
  <c r="HE6" i="4"/>
  <c r="HQ6" i="4"/>
  <c r="IC6" i="4"/>
  <c r="IO6" i="4"/>
  <c r="V6" i="4"/>
  <c r="AH6" i="4"/>
  <c r="AT6" i="4"/>
  <c r="BF6" i="4"/>
  <c r="BR6" i="4"/>
  <c r="CD6" i="4"/>
  <c r="CP6" i="4"/>
  <c r="DB6" i="4"/>
  <c r="DN6" i="4"/>
  <c r="DZ6" i="4"/>
  <c r="EL6" i="4"/>
  <c r="EX6" i="4"/>
  <c r="FJ6" i="4"/>
  <c r="FV6" i="4"/>
  <c r="GH6" i="4"/>
  <c r="GT6" i="4"/>
  <c r="HF6" i="4"/>
  <c r="HR6" i="4"/>
  <c r="ID6" i="4"/>
  <c r="W6" i="4"/>
  <c r="AI6" i="4"/>
  <c r="AU6" i="4"/>
  <c r="BG6" i="4"/>
  <c r="BS6" i="4"/>
  <c r="CE6" i="4"/>
  <c r="CQ6" i="4"/>
  <c r="DC6" i="4"/>
  <c r="DO6" i="4"/>
  <c r="EA6" i="4"/>
  <c r="EM6" i="4"/>
  <c r="EY6" i="4"/>
  <c r="FK6" i="4"/>
  <c r="FW6" i="4"/>
  <c r="GI6" i="4"/>
  <c r="GU6" i="4"/>
  <c r="HG6" i="4"/>
  <c r="HS6" i="4"/>
  <c r="IE6" i="4"/>
  <c r="X6" i="4"/>
  <c r="AJ6" i="4"/>
  <c r="AV6" i="4"/>
  <c r="BH6" i="4"/>
  <c r="BT6" i="4"/>
  <c r="CF6" i="4"/>
  <c r="CR6" i="4"/>
  <c r="DD6" i="4"/>
  <c r="DP6" i="4"/>
  <c r="EB6" i="4"/>
  <c r="EN6" i="4"/>
  <c r="EZ6" i="4"/>
  <c r="FL6" i="4"/>
  <c r="FX6" i="4"/>
  <c r="GJ6" i="4"/>
  <c r="GV6" i="4"/>
  <c r="HH6" i="4"/>
  <c r="HT6" i="4"/>
  <c r="IF6" i="4"/>
  <c r="Y6" i="4"/>
  <c r="AK6" i="4"/>
  <c r="AW6" i="4"/>
  <c r="BI6" i="4"/>
  <c r="BU6" i="4"/>
  <c r="CG6" i="4"/>
  <c r="CS6" i="4"/>
  <c r="DE6" i="4"/>
  <c r="DQ6" i="4"/>
  <c r="EC6" i="4"/>
  <c r="EO6" i="4"/>
  <c r="FA6" i="4"/>
  <c r="FM6" i="4"/>
  <c r="FY6" i="4"/>
  <c r="GK6" i="4"/>
  <c r="GW6" i="4"/>
  <c r="HI6" i="4"/>
  <c r="HU6" i="4"/>
  <c r="IG6" i="4"/>
  <c r="Z6" i="4"/>
  <c r="AL6" i="4"/>
  <c r="AX6" i="4"/>
  <c r="BJ6" i="4"/>
  <c r="BV6" i="4"/>
  <c r="CH6" i="4"/>
  <c r="CT6" i="4"/>
  <c r="DF6" i="4"/>
  <c r="DR6" i="4"/>
  <c r="ED6" i="4"/>
  <c r="EP6" i="4"/>
  <c r="FB6" i="4"/>
  <c r="FN6" i="4"/>
  <c r="FZ6" i="4"/>
  <c r="GL6" i="4"/>
  <c r="GX6" i="4"/>
  <c r="HJ6" i="4"/>
  <c r="HV6" i="4"/>
  <c r="IH6" i="4"/>
  <c r="AA6" i="4"/>
  <c r="AM6" i="4"/>
  <c r="AY6" i="4"/>
  <c r="BK6" i="4"/>
  <c r="BW6" i="4"/>
  <c r="CI6" i="4"/>
  <c r="CU6" i="4"/>
  <c r="DG6" i="4"/>
  <c r="DS6" i="4"/>
  <c r="EE6" i="4"/>
  <c r="EQ6" i="4"/>
  <c r="FC6" i="4"/>
  <c r="FO6" i="4"/>
  <c r="GA6" i="4"/>
  <c r="GM6" i="4"/>
  <c r="GY6" i="4"/>
  <c r="HK6" i="4"/>
  <c r="HW6" i="4"/>
  <c r="II6" i="4"/>
  <c r="AB6" i="4"/>
  <c r="AN6" i="4"/>
  <c r="AZ6" i="4"/>
  <c r="BL6" i="4"/>
  <c r="BX6" i="4"/>
  <c r="CJ6" i="4"/>
  <c r="CV6" i="4"/>
  <c r="DH6" i="4"/>
  <c r="DT6" i="4"/>
  <c r="EF6" i="4"/>
  <c r="ER6" i="4"/>
  <c r="FD6" i="4"/>
  <c r="FP6" i="4"/>
  <c r="GB6" i="4"/>
  <c r="GN6" i="4"/>
  <c r="GZ6" i="4"/>
  <c r="HL6" i="4"/>
  <c r="HX6" i="4"/>
  <c r="IJ6" i="4"/>
  <c r="Q6" i="4"/>
  <c r="AC6" i="4"/>
  <c r="AO6" i="4"/>
  <c r="BA6" i="4"/>
  <c r="BM6" i="4"/>
  <c r="BY6" i="4"/>
  <c r="CK6" i="4"/>
  <c r="CW6" i="4"/>
  <c r="DI6" i="4"/>
  <c r="DU6" i="4"/>
  <c r="EG6" i="4"/>
  <c r="ES6" i="4"/>
  <c r="FE6" i="4"/>
  <c r="FQ6" i="4"/>
  <c r="GC6" i="4"/>
  <c r="GO6" i="4"/>
  <c r="HA6" i="4"/>
  <c r="HM6" i="4"/>
  <c r="HY6" i="4"/>
  <c r="IK6" i="4"/>
  <c r="J44" i="1"/>
  <c r="C158" i="2"/>
  <c r="C154" i="2"/>
  <c r="C155" i="2"/>
  <c r="C159" i="2"/>
  <c r="M16" i="23"/>
  <c r="M16" i="26"/>
  <c r="N16" i="23"/>
  <c r="N16" i="26"/>
  <c r="D7" i="14"/>
  <c r="D8" i="14"/>
  <c r="H7" i="14"/>
  <c r="H8" i="14"/>
  <c r="G7" i="14"/>
  <c r="G8" i="14"/>
  <c r="F7" i="14"/>
  <c r="F8" i="14"/>
  <c r="E7" i="14"/>
  <c r="E8" i="14"/>
  <c r="C160" i="2"/>
  <c r="C162" i="2"/>
  <c r="DS12" i="7"/>
  <c r="DT12" i="7"/>
  <c r="DU12" i="7"/>
  <c r="DV12" i="7"/>
  <c r="DW12" i="7"/>
  <c r="DX12" i="7"/>
  <c r="DY12" i="7"/>
  <c r="DZ12" i="7"/>
  <c r="EA12" i="7"/>
  <c r="EB12" i="7"/>
  <c r="EC12" i="7"/>
  <c r="ED12" i="7"/>
  <c r="EE12" i="7"/>
  <c r="EF12" i="7"/>
  <c r="EG12" i="7"/>
  <c r="EH12" i="7"/>
  <c r="EI12" i="7"/>
  <c r="EJ12" i="7"/>
  <c r="EK12" i="7"/>
  <c r="EL12" i="7"/>
  <c r="EM12" i="7"/>
  <c r="EN12" i="7"/>
  <c r="EO12" i="7"/>
  <c r="EP12" i="7"/>
  <c r="EQ12" i="7"/>
  <c r="ER12" i="7"/>
  <c r="ES12" i="7"/>
  <c r="ET12" i="7"/>
  <c r="EU12" i="7"/>
  <c r="EV12" i="7"/>
  <c r="EW12" i="7"/>
  <c r="EX12" i="7"/>
  <c r="EY12" i="7"/>
  <c r="EZ12" i="7"/>
  <c r="FA12" i="7"/>
  <c r="FB12" i="7"/>
  <c r="FC12" i="7"/>
  <c r="FD12" i="7"/>
  <c r="FE12" i="7"/>
  <c r="FF12" i="7"/>
  <c r="FG12" i="7"/>
  <c r="FH12" i="7"/>
  <c r="FI12" i="7"/>
  <c r="FJ12" i="7"/>
  <c r="FK12" i="7"/>
  <c r="FL12" i="7"/>
  <c r="FM12" i="7"/>
  <c r="FN12" i="7"/>
  <c r="FO12" i="7"/>
  <c r="FP12" i="7"/>
  <c r="FQ12" i="7"/>
  <c r="FR12" i="7"/>
  <c r="FS12" i="7"/>
  <c r="FT12" i="7"/>
  <c r="FU12" i="7"/>
  <c r="FV12" i="7"/>
  <c r="FW12" i="7"/>
  <c r="FX12" i="7"/>
  <c r="FY12" i="7"/>
  <c r="FZ12" i="7"/>
  <c r="GA12" i="7"/>
  <c r="GB12" i="7"/>
  <c r="GC12" i="7"/>
  <c r="GD12" i="7"/>
  <c r="GE12" i="7"/>
  <c r="GF12" i="7"/>
  <c r="GG12" i="7"/>
  <c r="GH12" i="7"/>
  <c r="GI12" i="7"/>
  <c r="GJ12" i="7"/>
  <c r="GK12" i="7"/>
  <c r="GL12" i="7"/>
  <c r="GM12" i="7"/>
  <c r="GN12" i="7"/>
  <c r="GO12" i="7"/>
  <c r="GP12" i="7"/>
  <c r="GQ12" i="7"/>
  <c r="GR12" i="7"/>
  <c r="GS12" i="7"/>
  <c r="GT12" i="7"/>
  <c r="GU12" i="7"/>
  <c r="GV12" i="7"/>
  <c r="GW12" i="7"/>
  <c r="GX12" i="7"/>
  <c r="GY12" i="7"/>
  <c r="GZ12" i="7"/>
  <c r="HA12" i="7"/>
  <c r="HB12" i="7"/>
  <c r="HC12" i="7"/>
  <c r="HD12" i="7"/>
  <c r="HE12" i="7"/>
  <c r="HF12" i="7"/>
  <c r="HG12" i="7"/>
  <c r="HH12" i="7"/>
  <c r="HI12" i="7"/>
  <c r="HJ12" i="7"/>
  <c r="HK12" i="7"/>
  <c r="HL12" i="7"/>
  <c r="HM12" i="7"/>
  <c r="HN12" i="7"/>
  <c r="HO12" i="7"/>
  <c r="HP12" i="7"/>
  <c r="HQ12" i="7"/>
  <c r="HR12" i="7"/>
  <c r="HS12" i="7"/>
  <c r="HT12" i="7"/>
  <c r="HU12" i="7"/>
  <c r="HV12" i="7"/>
  <c r="HW12" i="7"/>
  <c r="HX12" i="7"/>
  <c r="HY12" i="7"/>
  <c r="HZ12" i="7"/>
  <c r="IA12" i="7"/>
  <c r="IB12" i="7"/>
  <c r="IC12" i="7"/>
  <c r="ID12" i="7"/>
  <c r="IE12" i="7"/>
  <c r="IF12" i="7"/>
  <c r="IG12" i="7"/>
  <c r="IH12" i="7"/>
  <c r="IH4" i="7"/>
  <c r="HJ4" i="7"/>
  <c r="HK4" i="7"/>
  <c r="HL4" i="7"/>
  <c r="HM4" i="7"/>
  <c r="HN4" i="7"/>
  <c r="HO4" i="7"/>
  <c r="HP4" i="7"/>
  <c r="HQ4" i="7"/>
  <c r="HR4" i="7"/>
  <c r="HS4" i="7"/>
  <c r="HT4" i="7"/>
  <c r="HU4" i="7"/>
  <c r="HV4" i="7"/>
  <c r="HW4" i="7"/>
  <c r="HX4" i="7"/>
  <c r="HY4" i="7"/>
  <c r="HZ4" i="7"/>
  <c r="IA4" i="7"/>
  <c r="IB4" i="7"/>
  <c r="IC4" i="7"/>
  <c r="ID4" i="7"/>
  <c r="IE4" i="7"/>
  <c r="IF4" i="7"/>
  <c r="IG4" i="7"/>
  <c r="GT4" i="7"/>
  <c r="GU4" i="7"/>
  <c r="GV4" i="7"/>
  <c r="GW4" i="7"/>
  <c r="GX4" i="7"/>
  <c r="GY4" i="7"/>
  <c r="GZ4" i="7"/>
  <c r="HA4" i="7"/>
  <c r="HB4" i="7"/>
  <c r="HC4" i="7"/>
  <c r="HD4" i="7"/>
  <c r="HE4" i="7"/>
  <c r="HF4" i="7"/>
  <c r="HG4" i="7"/>
  <c r="HH4" i="7"/>
  <c r="HI4" i="7"/>
  <c r="FJ4" i="7"/>
  <c r="FK4" i="7"/>
  <c r="FL4" i="7"/>
  <c r="FM4" i="7"/>
  <c r="FN4" i="7"/>
  <c r="FO4" i="7"/>
  <c r="FP4" i="7"/>
  <c r="FQ4" i="7"/>
  <c r="FR4" i="7"/>
  <c r="FS4" i="7"/>
  <c r="FT4" i="7"/>
  <c r="FU4" i="7"/>
  <c r="FV4" i="7"/>
  <c r="FW4" i="7"/>
  <c r="FX4" i="7"/>
  <c r="FY4" i="7"/>
  <c r="FZ4" i="7"/>
  <c r="GA4" i="7"/>
  <c r="GB4" i="7"/>
  <c r="GC4" i="7"/>
  <c r="GD4" i="7"/>
  <c r="GE4" i="7"/>
  <c r="GF4" i="7"/>
  <c r="GG4" i="7"/>
  <c r="GH4" i="7"/>
  <c r="GI4" i="7"/>
  <c r="GJ4" i="7"/>
  <c r="GK4" i="7"/>
  <c r="GL4" i="7"/>
  <c r="GM4" i="7"/>
  <c r="GN4" i="7"/>
  <c r="GO4" i="7"/>
  <c r="GP4" i="7"/>
  <c r="GQ4" i="7"/>
  <c r="GR4" i="7"/>
  <c r="GS4" i="7"/>
  <c r="FB4" i="7"/>
  <c r="FC4" i="7"/>
  <c r="FD4" i="7"/>
  <c r="FE4" i="7"/>
  <c r="FF4" i="7"/>
  <c r="FG4" i="7"/>
  <c r="FH4" i="7"/>
  <c r="FI4" i="7"/>
  <c r="EB4" i="7"/>
  <c r="EC4" i="7"/>
  <c r="ED4" i="7"/>
  <c r="EE4" i="7"/>
  <c r="EF4" i="7"/>
  <c r="EG4" i="7"/>
  <c r="EH4" i="7"/>
  <c r="EI4" i="7"/>
  <c r="EJ4" i="7"/>
  <c r="EK4" i="7"/>
  <c r="EL4" i="7"/>
  <c r="EM4" i="7"/>
  <c r="EN4" i="7"/>
  <c r="EO4" i="7"/>
  <c r="EP4" i="7"/>
  <c r="EQ4" i="7"/>
  <c r="ER4" i="7"/>
  <c r="ES4" i="7"/>
  <c r="ET4" i="7"/>
  <c r="EU4" i="7"/>
  <c r="EV4" i="7"/>
  <c r="EW4" i="7"/>
  <c r="EX4" i="7"/>
  <c r="EY4" i="7"/>
  <c r="EZ4" i="7"/>
  <c r="FA4" i="7"/>
  <c r="DU4" i="7"/>
  <c r="DV4" i="7"/>
  <c r="DW4" i="7"/>
  <c r="DX4" i="7"/>
  <c r="DY4" i="7"/>
  <c r="DZ4" i="7"/>
  <c r="EA4" i="7"/>
  <c r="DS4" i="7"/>
  <c r="DT4" i="7"/>
  <c r="F3" i="20"/>
  <c r="XFD1048550" i="8" a="1"/>
  <c r="XFD1048551" i="8" a="1"/>
  <c r="XFD1048552" i="8" a="1"/>
  <c r="XFD1048553" i="8" a="1"/>
  <c r="XFD1048554" i="8" a="1"/>
  <c r="XFD1048555" i="8" a="1"/>
  <c r="XFD1048556" i="8" a="1"/>
  <c r="XFD1048557" i="8" a="1"/>
  <c r="XFD1048558" i="8" a="1"/>
  <c r="XFD1048559" i="8" a="1"/>
  <c r="XFD1048560" i="8" a="1"/>
  <c r="XFD1048561" i="8" a="1"/>
  <c r="XFD1048562" i="8" a="1"/>
  <c r="XFD1048563" i="8" a="1"/>
  <c r="XFD1048564" i="8" a="1"/>
  <c r="XFD1048565" i="8" a="1"/>
  <c r="XFD1048566" i="8" a="1"/>
  <c r="XFD1048567" i="8" a="1"/>
  <c r="XFD1048568" i="8" a="1"/>
  <c r="XFD1048569" i="8" a="1"/>
  <c r="XFD1048570" i="8" a="1"/>
  <c r="XFD1048571" i="8" a="1"/>
  <c r="XFD1048572" i="8" a="1"/>
  <c r="XFD1048573" i="8" a="1"/>
  <c r="XFD1048574" i="8" a="1"/>
  <c r="XFD1048575" i="8" a="1"/>
  <c r="C69" i="21"/>
  <c r="B69" i="21"/>
  <c r="S36" i="21"/>
  <c r="R36" i="21"/>
  <c r="R35" i="21"/>
  <c r="R38" i="21"/>
  <c r="Q31" i="21"/>
  <c r="R40" i="21"/>
  <c r="Q35" i="21"/>
  <c r="Q38" i="21"/>
  <c r="C30" i="21"/>
  <c r="O16" i="23"/>
  <c r="P18" i="23" s="1"/>
  <c r="Q36" i="21"/>
  <c r="Q40" i="21"/>
  <c r="IE133" i="4"/>
  <c r="IF133" i="4"/>
  <c r="IG133" i="4"/>
  <c r="IH133" i="4"/>
  <c r="II133" i="4"/>
  <c r="IJ133" i="4"/>
  <c r="IF136" i="4"/>
  <c r="IG136" i="4"/>
  <c r="II136" i="4"/>
  <c r="IJ136" i="4"/>
  <c r="IE137" i="4"/>
  <c r="IF137" i="4"/>
  <c r="IG137" i="4"/>
  <c r="IH137" i="4"/>
  <c r="II137" i="4"/>
  <c r="IJ137" i="4"/>
  <c r="IC133" i="4"/>
  <c r="ID133" i="4"/>
  <c r="IC136" i="4"/>
  <c r="ID136" i="4"/>
  <c r="IC137" i="4"/>
  <c r="ID137" i="4"/>
  <c r="IA133" i="4"/>
  <c r="IB133" i="4"/>
  <c r="IA136" i="4"/>
  <c r="IA137" i="4"/>
  <c r="IB137" i="4"/>
  <c r="HX133" i="4"/>
  <c r="HY133" i="4"/>
  <c r="HZ133" i="4"/>
  <c r="HX136" i="4"/>
  <c r="HZ136" i="4"/>
  <c r="HX137" i="4"/>
  <c r="HY137" i="4"/>
  <c r="HZ137" i="4"/>
  <c r="HO133" i="4"/>
  <c r="HP133" i="4"/>
  <c r="HQ133" i="4"/>
  <c r="HR133" i="4"/>
  <c r="HS133" i="4"/>
  <c r="HT133" i="4"/>
  <c r="HU133" i="4"/>
  <c r="HV133" i="4"/>
  <c r="HW133" i="4"/>
  <c r="HO136" i="4"/>
  <c r="HQ136" i="4"/>
  <c r="HR136" i="4"/>
  <c r="HT136" i="4"/>
  <c r="HU136" i="4"/>
  <c r="HW136" i="4"/>
  <c r="HO137" i="4"/>
  <c r="HP137" i="4"/>
  <c r="HQ137" i="4"/>
  <c r="HR137" i="4"/>
  <c r="HS137" i="4"/>
  <c r="HT137" i="4"/>
  <c r="HU137" i="4"/>
  <c r="HV137" i="4"/>
  <c r="HW137" i="4"/>
  <c r="HC133" i="4"/>
  <c r="HD133" i="4"/>
  <c r="HE133" i="4"/>
  <c r="HF133" i="4"/>
  <c r="HG133" i="4"/>
  <c r="HH133" i="4"/>
  <c r="HI133" i="4"/>
  <c r="HJ133" i="4"/>
  <c r="HK133" i="4"/>
  <c r="HL133" i="4"/>
  <c r="HM133" i="4"/>
  <c r="HN133" i="4"/>
  <c r="HC136" i="4"/>
  <c r="HE136" i="4"/>
  <c r="HF136" i="4"/>
  <c r="HH136" i="4"/>
  <c r="HI136" i="4"/>
  <c r="HK136" i="4"/>
  <c r="HL136" i="4"/>
  <c r="HN136" i="4"/>
  <c r="HC137" i="4"/>
  <c r="HD137" i="4"/>
  <c r="HE137" i="4"/>
  <c r="HF137" i="4"/>
  <c r="HG137" i="4"/>
  <c r="HH137" i="4"/>
  <c r="HI137" i="4"/>
  <c r="HJ137" i="4"/>
  <c r="HK137" i="4"/>
  <c r="HL137" i="4"/>
  <c r="HM137" i="4"/>
  <c r="HN137" i="4"/>
  <c r="GL133" i="4"/>
  <c r="GM133" i="4"/>
  <c r="GN133" i="4"/>
  <c r="GO133" i="4"/>
  <c r="GP133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GM136" i="4"/>
  <c r="GN136" i="4"/>
  <c r="GP136" i="4"/>
  <c r="GQ136" i="4"/>
  <c r="GS136" i="4"/>
  <c r="GT136" i="4"/>
  <c r="GV136" i="4"/>
  <c r="GW136" i="4"/>
  <c r="GY136" i="4"/>
  <c r="GZ136" i="4"/>
  <c r="HB136" i="4"/>
  <c r="GL137" i="4"/>
  <c r="GM137" i="4"/>
  <c r="GN137" i="4"/>
  <c r="GO137" i="4"/>
  <c r="GP137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FI133" i="4"/>
  <c r="FJ133" i="4"/>
  <c r="FK133" i="4"/>
  <c r="FL133" i="4"/>
  <c r="FM133" i="4"/>
  <c r="FN133" i="4"/>
  <c r="FO133" i="4"/>
  <c r="FP133" i="4"/>
  <c r="FQ133" i="4"/>
  <c r="FR133" i="4"/>
  <c r="FS133" i="4"/>
  <c r="FT133" i="4"/>
  <c r="FU133" i="4"/>
  <c r="FV133" i="4"/>
  <c r="FW133" i="4"/>
  <c r="FX133" i="4"/>
  <c r="FY133" i="4"/>
  <c r="FZ133" i="4"/>
  <c r="GA133" i="4"/>
  <c r="GB133" i="4"/>
  <c r="GC133" i="4"/>
  <c r="GD133" i="4"/>
  <c r="GE133" i="4"/>
  <c r="GF133" i="4"/>
  <c r="GG133" i="4"/>
  <c r="GH133" i="4"/>
  <c r="GI133" i="4"/>
  <c r="GJ133" i="4"/>
  <c r="GK133" i="4"/>
  <c r="FI136" i="4"/>
  <c r="FJ136" i="4"/>
  <c r="FL136" i="4"/>
  <c r="FM136" i="4"/>
  <c r="FO136" i="4"/>
  <c r="FP136" i="4"/>
  <c r="FR136" i="4"/>
  <c r="FS136" i="4"/>
  <c r="FU136" i="4"/>
  <c r="FV136" i="4"/>
  <c r="FX136" i="4"/>
  <c r="FY136" i="4"/>
  <c r="GA136" i="4"/>
  <c r="GB136" i="4"/>
  <c r="GD136" i="4"/>
  <c r="GE136" i="4"/>
  <c r="GG136" i="4"/>
  <c r="GH136" i="4"/>
  <c r="GJ136" i="4"/>
  <c r="GK136" i="4"/>
  <c r="FQ137" i="4"/>
  <c r="FR137" i="4"/>
  <c r="FS137" i="4"/>
  <c r="FT137" i="4"/>
  <c r="FU137" i="4"/>
  <c r="FV137" i="4"/>
  <c r="FW137" i="4"/>
  <c r="FX137" i="4"/>
  <c r="FY137" i="4"/>
  <c r="FZ137" i="4"/>
  <c r="GA137" i="4"/>
  <c r="GB137" i="4"/>
  <c r="GC137" i="4"/>
  <c r="GD137" i="4"/>
  <c r="GE137" i="4"/>
  <c r="GF137" i="4"/>
  <c r="GG137" i="4"/>
  <c r="GH137" i="4"/>
  <c r="GI137" i="4"/>
  <c r="GJ137" i="4"/>
  <c r="GK137" i="4"/>
  <c r="EI133" i="4"/>
  <c r="EJ133" i="4"/>
  <c r="EK133" i="4"/>
  <c r="EL133" i="4"/>
  <c r="EM133" i="4"/>
  <c r="EN133" i="4"/>
  <c r="EO133" i="4"/>
  <c r="EP133" i="4"/>
  <c r="EQ133" i="4"/>
  <c r="ER133" i="4"/>
  <c r="ES133" i="4"/>
  <c r="ET133" i="4"/>
  <c r="EU133" i="4"/>
  <c r="EV133" i="4"/>
  <c r="EW133" i="4"/>
  <c r="EX133" i="4"/>
  <c r="EY133" i="4"/>
  <c r="EZ133" i="4"/>
  <c r="FA133" i="4"/>
  <c r="FB133" i="4"/>
  <c r="FC133" i="4"/>
  <c r="FD133" i="4"/>
  <c r="FE133" i="4"/>
  <c r="FF133" i="4"/>
  <c r="FG133" i="4"/>
  <c r="FH133" i="4"/>
  <c r="EI136" i="4"/>
  <c r="EK136" i="4"/>
  <c r="EL136" i="4"/>
  <c r="EN136" i="4"/>
  <c r="EO136" i="4"/>
  <c r="EQ136" i="4"/>
  <c r="ER136" i="4"/>
  <c r="ET136" i="4"/>
  <c r="EU136" i="4"/>
  <c r="EW136" i="4"/>
  <c r="EX136" i="4"/>
  <c r="EZ136" i="4"/>
  <c r="FA136" i="4"/>
  <c r="FC136" i="4"/>
  <c r="FD136" i="4"/>
  <c r="FF136" i="4"/>
  <c r="FG136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DV136" i="4"/>
  <c r="DW136" i="4"/>
  <c r="DY136" i="4"/>
  <c r="DZ136" i="4"/>
  <c r="EB136" i="4"/>
  <c r="EC136" i="4"/>
  <c r="EE136" i="4"/>
  <c r="EF136" i="4"/>
  <c r="EH136" i="4"/>
  <c r="DS2" i="8"/>
  <c r="DT2" i="8"/>
  <c r="DU2" i="8"/>
  <c r="DV2" i="8"/>
  <c r="DW2" i="8"/>
  <c r="DX2" i="8"/>
  <c r="DY2" i="8"/>
  <c r="DZ2" i="8"/>
  <c r="EA2" i="8"/>
  <c r="EB2" i="8"/>
  <c r="EC2" i="8"/>
  <c r="ED2" i="8"/>
  <c r="EE2" i="8"/>
  <c r="EF2" i="8"/>
  <c r="EG2" i="8"/>
  <c r="EH2" i="8"/>
  <c r="EI2" i="8"/>
  <c r="EJ2" i="8"/>
  <c r="EK2" i="8"/>
  <c r="EL2" i="8"/>
  <c r="EM2" i="8"/>
  <c r="EN2" i="8"/>
  <c r="EO2" i="8"/>
  <c r="EP2" i="8"/>
  <c r="EQ2" i="8"/>
  <c r="ER2" i="8"/>
  <c r="ES2" i="8"/>
  <c r="ET2" i="8"/>
  <c r="EU2" i="8"/>
  <c r="EV2" i="8"/>
  <c r="EW2" i="8"/>
  <c r="EX2" i="8"/>
  <c r="EY2" i="8"/>
  <c r="EZ2" i="8"/>
  <c r="FA2" i="8"/>
  <c r="FB2" i="8"/>
  <c r="FC2" i="8"/>
  <c r="FD2" i="8"/>
  <c r="FE2" i="8"/>
  <c r="FF2" i="8"/>
  <c r="FG2" i="8"/>
  <c r="FH2" i="8"/>
  <c r="FI2" i="8"/>
  <c r="FJ2" i="8"/>
  <c r="FK2" i="8"/>
  <c r="FL2" i="8"/>
  <c r="FM2" i="8"/>
  <c r="FN2" i="8"/>
  <c r="FO2" i="8"/>
  <c r="FP2" i="8"/>
  <c r="FQ2" i="8"/>
  <c r="FR2" i="8"/>
  <c r="FS2" i="8"/>
  <c r="FT2" i="8"/>
  <c r="FU2" i="8"/>
  <c r="FV2" i="8"/>
  <c r="FW2" i="8"/>
  <c r="FX2" i="8"/>
  <c r="FY2" i="8"/>
  <c r="FZ2" i="8"/>
  <c r="GA2" i="8"/>
  <c r="GB2" i="8"/>
  <c r="GC2" i="8"/>
  <c r="GD2" i="8"/>
  <c r="GE2" i="8"/>
  <c r="GF2" i="8"/>
  <c r="GG2" i="8"/>
  <c r="GH2" i="8"/>
  <c r="GI2" i="8"/>
  <c r="GJ2" i="8"/>
  <c r="GK2" i="8"/>
  <c r="GL2" i="8"/>
  <c r="GM2" i="8"/>
  <c r="GN2" i="8"/>
  <c r="GO2" i="8"/>
  <c r="GP2" i="8"/>
  <c r="GQ2" i="8"/>
  <c r="GR2" i="8"/>
  <c r="GS2" i="8"/>
  <c r="GT2" i="8"/>
  <c r="GU2" i="8"/>
  <c r="GV2" i="8"/>
  <c r="GW2" i="8"/>
  <c r="GX2" i="8"/>
  <c r="GY2" i="8"/>
  <c r="GZ2" i="8"/>
  <c r="HA2" i="8"/>
  <c r="HB2" i="8"/>
  <c r="HC2" i="8"/>
  <c r="HD2" i="8"/>
  <c r="HE2" i="8"/>
  <c r="HF2" i="8"/>
  <c r="HG2" i="8"/>
  <c r="HH2" i="8"/>
  <c r="HI2" i="8"/>
  <c r="HJ2" i="8"/>
  <c r="HK2" i="8"/>
  <c r="HL2" i="8"/>
  <c r="HM2" i="8"/>
  <c r="HN2" i="8"/>
  <c r="HO2" i="8"/>
  <c r="HP2" i="8"/>
  <c r="HQ2" i="8"/>
  <c r="HR2" i="8"/>
  <c r="HS2" i="8"/>
  <c r="HT2" i="8"/>
  <c r="HU2" i="8"/>
  <c r="HV2" i="8"/>
  <c r="HW2" i="8"/>
  <c r="HX2" i="8"/>
  <c r="HY2" i="8"/>
  <c r="HZ2" i="8"/>
  <c r="IA2" i="8"/>
  <c r="IB2" i="8"/>
  <c r="IC2" i="8"/>
  <c r="ID2" i="8"/>
  <c r="IE2" i="8"/>
  <c r="IF2" i="8"/>
  <c r="IG2" i="8"/>
  <c r="IH2" i="8"/>
  <c r="C38" i="13"/>
  <c r="C37" i="13"/>
  <c r="H6" i="26"/>
  <c r="J5" i="26"/>
  <c r="I5" i="26"/>
  <c r="S47" i="10"/>
  <c r="S67" i="10"/>
  <c r="T47" i="10"/>
  <c r="T67" i="10"/>
  <c r="C29" i="10"/>
  <c r="C30" i="10"/>
  <c r="D30" i="10"/>
  <c r="C28" i="10"/>
  <c r="T48" i="10"/>
  <c r="T68" i="10"/>
  <c r="S48" i="10"/>
  <c r="S68" i="10"/>
  <c r="D28" i="10"/>
  <c r="AB47" i="10"/>
  <c r="AB67" i="10"/>
  <c r="J5" i="23"/>
  <c r="Z48" i="10"/>
  <c r="Z68" i="10"/>
  <c r="H6" i="23"/>
  <c r="D29" i="10"/>
  <c r="H5" i="23"/>
  <c r="Z47" i="10"/>
  <c r="Z67" i="10"/>
  <c r="AA47" i="10"/>
  <c r="AA67" i="10"/>
  <c r="I5" i="23"/>
  <c r="E30" i="10"/>
  <c r="AF50" i="10"/>
  <c r="AF70" i="10"/>
  <c r="HY5" i="4"/>
  <c r="HM5" i="4"/>
  <c r="HA5" i="4"/>
  <c r="GO5" i="4"/>
  <c r="GC5" i="4"/>
  <c r="FQ5" i="4"/>
  <c r="FE5" i="4"/>
  <c r="ES5" i="4"/>
  <c r="EG5" i="4"/>
  <c r="DU5" i="4"/>
  <c r="DI5" i="4"/>
  <c r="CW5" i="4"/>
  <c r="CK5" i="4"/>
  <c r="BY5" i="4"/>
  <c r="BM5" i="4"/>
  <c r="BA5" i="4"/>
  <c r="AO5" i="4"/>
  <c r="AC5" i="4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EB2" i="4"/>
  <c r="EC2" i="4"/>
  <c r="ED2" i="4"/>
  <c r="EE2" i="4"/>
  <c r="EF2" i="4"/>
  <c r="EG2" i="4"/>
  <c r="EH2" i="4"/>
  <c r="EI2" i="4"/>
  <c r="EJ2" i="4"/>
  <c r="EK2" i="4"/>
  <c r="EL2" i="4"/>
  <c r="EM2" i="4"/>
  <c r="EN2" i="4"/>
  <c r="EO2" i="4"/>
  <c r="EP2" i="4"/>
  <c r="EQ2" i="4"/>
  <c r="ER2" i="4"/>
  <c r="ES2" i="4"/>
  <c r="ET2" i="4"/>
  <c r="EU2" i="4"/>
  <c r="EV2" i="4"/>
  <c r="EW2" i="4"/>
  <c r="EX2" i="4"/>
  <c r="EY2" i="4"/>
  <c r="EZ2" i="4"/>
  <c r="FA2" i="4"/>
  <c r="FB2" i="4"/>
  <c r="FC2" i="4"/>
  <c r="FD2" i="4"/>
  <c r="FE2" i="4"/>
  <c r="FF2" i="4"/>
  <c r="FG2" i="4"/>
  <c r="FH2" i="4"/>
  <c r="FI2" i="4"/>
  <c r="FJ2" i="4"/>
  <c r="FK2" i="4"/>
  <c r="FL2" i="4"/>
  <c r="FM2" i="4"/>
  <c r="FN2" i="4"/>
  <c r="FO2" i="4"/>
  <c r="FP2" i="4"/>
  <c r="FQ2" i="4"/>
  <c r="FR2" i="4"/>
  <c r="FS2" i="4"/>
  <c r="FT2" i="4"/>
  <c r="FU2" i="4"/>
  <c r="FV2" i="4"/>
  <c r="FW2" i="4"/>
  <c r="FX2" i="4"/>
  <c r="FY2" i="4"/>
  <c r="FZ2" i="4"/>
  <c r="GA2" i="4"/>
  <c r="GB2" i="4"/>
  <c r="GC2" i="4"/>
  <c r="GD2" i="4"/>
  <c r="GE2" i="4"/>
  <c r="GF2" i="4"/>
  <c r="GG2" i="4"/>
  <c r="GH2" i="4"/>
  <c r="GI2" i="4"/>
  <c r="GJ2" i="4"/>
  <c r="GK2" i="4"/>
  <c r="GL2" i="4"/>
  <c r="GM2" i="4"/>
  <c r="GN2" i="4"/>
  <c r="GO2" i="4"/>
  <c r="GP2" i="4"/>
  <c r="GQ2" i="4"/>
  <c r="GR2" i="4"/>
  <c r="GS2" i="4"/>
  <c r="GT2" i="4"/>
  <c r="GU2" i="4"/>
  <c r="GV2" i="4"/>
  <c r="GW2" i="4"/>
  <c r="GX2" i="4"/>
  <c r="GY2" i="4"/>
  <c r="GZ2" i="4"/>
  <c r="HA2" i="4"/>
  <c r="HB2" i="4"/>
  <c r="HC2" i="4"/>
  <c r="HD2" i="4"/>
  <c r="HE2" i="4"/>
  <c r="HF2" i="4"/>
  <c r="HG2" i="4"/>
  <c r="HH2" i="4"/>
  <c r="HI2" i="4"/>
  <c r="HJ2" i="4"/>
  <c r="HK2" i="4"/>
  <c r="HL2" i="4"/>
  <c r="HM2" i="4"/>
  <c r="HN2" i="4"/>
  <c r="HO2" i="4"/>
  <c r="HP2" i="4"/>
  <c r="HQ2" i="4"/>
  <c r="HR2" i="4"/>
  <c r="HS2" i="4"/>
  <c r="HT2" i="4"/>
  <c r="HU2" i="4"/>
  <c r="HV2" i="4"/>
  <c r="HW2" i="4"/>
  <c r="HX2" i="4"/>
  <c r="HY2" i="4"/>
  <c r="HZ2" i="4"/>
  <c r="IA2" i="4"/>
  <c r="IB2" i="4"/>
  <c r="IC2" i="4"/>
  <c r="ID2" i="4"/>
  <c r="IE2" i="4"/>
  <c r="IF2" i="4"/>
  <c r="IG2" i="4"/>
  <c r="IH2" i="4"/>
  <c r="II2" i="4"/>
  <c r="IJ2" i="4"/>
  <c r="DX2" i="4"/>
  <c r="DY2" i="4"/>
  <c r="DZ2" i="4"/>
  <c r="EA2" i="4"/>
  <c r="DV2" i="4"/>
  <c r="DW2" i="4"/>
  <c r="DU2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E136" i="4"/>
  <c r="F136" i="4"/>
  <c r="G136" i="4"/>
  <c r="I136" i="4"/>
  <c r="J136" i="4"/>
  <c r="L136" i="4"/>
  <c r="M136" i="4"/>
  <c r="O136" i="4"/>
  <c r="P136" i="4"/>
  <c r="R136" i="4"/>
  <c r="S136" i="4"/>
  <c r="U136" i="4"/>
  <c r="V136" i="4"/>
  <c r="X136" i="4"/>
  <c r="Y136" i="4"/>
  <c r="AA136" i="4"/>
  <c r="AB136" i="4"/>
  <c r="AD136" i="4"/>
  <c r="AE136" i="4"/>
  <c r="AG136" i="4"/>
  <c r="AH136" i="4"/>
  <c r="AJ136" i="4"/>
  <c r="AK136" i="4"/>
  <c r="AM136" i="4"/>
  <c r="AN136" i="4"/>
  <c r="AP136" i="4"/>
  <c r="AQ136" i="4"/>
  <c r="AS136" i="4"/>
  <c r="AT136" i="4"/>
  <c r="AV136" i="4"/>
  <c r="AW136" i="4"/>
  <c r="AY136" i="4"/>
  <c r="AZ136" i="4"/>
  <c r="BB136" i="4"/>
  <c r="BC136" i="4"/>
  <c r="BE136" i="4"/>
  <c r="BF136" i="4"/>
  <c r="BH136" i="4"/>
  <c r="BI136" i="4"/>
  <c r="BK136" i="4"/>
  <c r="BL136" i="4"/>
  <c r="BN136" i="4"/>
  <c r="BO136" i="4"/>
  <c r="BQ136" i="4"/>
  <c r="BR136" i="4"/>
  <c r="BT136" i="4"/>
  <c r="BU136" i="4"/>
  <c r="BW136" i="4"/>
  <c r="BX136" i="4"/>
  <c r="BZ136" i="4"/>
  <c r="CA136" i="4"/>
  <c r="CC136" i="4"/>
  <c r="CD136" i="4"/>
  <c r="CF136" i="4"/>
  <c r="CG136" i="4"/>
  <c r="CI136" i="4"/>
  <c r="CJ136" i="4"/>
  <c r="CL136" i="4"/>
  <c r="CM136" i="4"/>
  <c r="CO136" i="4"/>
  <c r="CP136" i="4"/>
  <c r="CR136" i="4"/>
  <c r="CS136" i="4"/>
  <c r="CU136" i="4"/>
  <c r="CV136" i="4"/>
  <c r="CX136" i="4"/>
  <c r="CY136" i="4"/>
  <c r="DA136" i="4"/>
  <c r="DB136" i="4"/>
  <c r="DD136" i="4"/>
  <c r="DE136" i="4"/>
  <c r="DG136" i="4"/>
  <c r="DH136" i="4"/>
  <c r="DJ136" i="4"/>
  <c r="DK136" i="4"/>
  <c r="DM136" i="4"/>
  <c r="DN136" i="4"/>
  <c r="DP136" i="4"/>
  <c r="DQ136" i="4"/>
  <c r="DS136" i="4"/>
  <c r="DT136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C16" i="26"/>
  <c r="C19" i="13"/>
  <c r="L16" i="23"/>
  <c r="L16" i="26"/>
  <c r="M17" i="26" s="1"/>
  <c r="M19" i="26" s="1"/>
  <c r="S16" i="23"/>
  <c r="S16" i="26"/>
  <c r="T18" i="26" s="1"/>
  <c r="R16" i="23"/>
  <c r="S17" i="23" s="1"/>
  <c r="R16" i="26"/>
  <c r="S18" i="26" s="1"/>
  <c r="S19" i="26" s="1"/>
  <c r="F16" i="23"/>
  <c r="G17" i="23" s="1"/>
  <c r="F16" i="26"/>
  <c r="G17" i="26" s="1"/>
  <c r="E16" i="23"/>
  <c r="F18" i="23" s="1"/>
  <c r="J16" i="26"/>
  <c r="K16" i="23"/>
  <c r="L17" i="23" s="1"/>
  <c r="K16" i="26"/>
  <c r="L18" i="26" s="1"/>
  <c r="S50" i="10"/>
  <c r="S70" i="10"/>
  <c r="E29" i="10"/>
  <c r="M8" i="23"/>
  <c r="AE50" i="10"/>
  <c r="AE70" i="10"/>
  <c r="E28" i="10"/>
  <c r="HZ5" i="4"/>
  <c r="F5" i="4"/>
  <c r="R5" i="4"/>
  <c r="AD5" i="4"/>
  <c r="AP5" i="4"/>
  <c r="BB5" i="4"/>
  <c r="BN5" i="4"/>
  <c r="GD5" i="4"/>
  <c r="GP5" i="4"/>
  <c r="HB5" i="4"/>
  <c r="HN5" i="4"/>
  <c r="CX5" i="4"/>
  <c r="DJ5" i="4"/>
  <c r="ET5" i="4"/>
  <c r="FF5" i="4"/>
  <c r="C16" i="23"/>
  <c r="BZ5" i="4"/>
  <c r="CL5" i="4"/>
  <c r="DV5" i="4"/>
  <c r="EH5" i="4"/>
  <c r="FR5" i="4"/>
  <c r="AG50" i="10"/>
  <c r="AG70" i="10"/>
  <c r="N8" i="23"/>
  <c r="F30" i="10"/>
  <c r="AR69" i="21"/>
  <c r="AR59" i="21" s="1"/>
  <c r="L72" i="21"/>
  <c r="AN69" i="21"/>
  <c r="AN64" i="21" s="1"/>
  <c r="AN58" i="21"/>
  <c r="N72" i="21"/>
  <c r="AV69" i="21"/>
  <c r="AV45" i="21" s="1"/>
  <c r="P72" i="21"/>
  <c r="D69" i="21"/>
  <c r="D65" i="21" s="1"/>
  <c r="E72" i="21"/>
  <c r="P69" i="21"/>
  <c r="P56" i="21" s="1"/>
  <c r="H72" i="21"/>
  <c r="F148" i="4"/>
  <c r="G148" i="4"/>
  <c r="H148" i="4"/>
  <c r="T148" i="4"/>
  <c r="U148" i="4"/>
  <c r="V148" i="4"/>
  <c r="W148" i="4"/>
  <c r="X148" i="4"/>
  <c r="Y148" i="4"/>
  <c r="E148" i="4"/>
  <c r="W150" i="4"/>
  <c r="W146" i="4"/>
  <c r="V150" i="4"/>
  <c r="V146" i="4"/>
  <c r="U150" i="4"/>
  <c r="T146" i="4"/>
  <c r="Y146" i="4"/>
  <c r="U146" i="4"/>
  <c r="T150" i="4"/>
  <c r="S150" i="4"/>
  <c r="S146" i="4"/>
  <c r="R150" i="4"/>
  <c r="R146" i="4"/>
  <c r="Q146" i="4"/>
  <c r="Q150" i="4"/>
  <c r="P146" i="4"/>
  <c r="P150" i="4"/>
  <c r="Y150" i="4"/>
  <c r="X150" i="4"/>
  <c r="X146" i="4"/>
  <c r="N146" i="4"/>
  <c r="M146" i="4"/>
  <c r="L146" i="4"/>
  <c r="L150" i="4"/>
  <c r="O146" i="4"/>
  <c r="M150" i="4"/>
  <c r="K146" i="4"/>
  <c r="J146" i="4"/>
  <c r="O150" i="4"/>
  <c r="N150" i="4"/>
  <c r="K150" i="4"/>
  <c r="J150" i="4"/>
  <c r="AR55" i="21"/>
  <c r="AR47" i="21"/>
  <c r="AR46" i="21"/>
  <c r="F28" i="10"/>
  <c r="F29" i="10"/>
  <c r="T50" i="10"/>
  <c r="T70" i="10"/>
  <c r="AE5" i="4"/>
  <c r="HC5" i="4"/>
  <c r="FG5" i="4"/>
  <c r="GQ5" i="4"/>
  <c r="CA5" i="4"/>
  <c r="AQ5" i="4"/>
  <c r="HO5" i="4"/>
  <c r="FS5" i="4"/>
  <c r="S5" i="4"/>
  <c r="GE5" i="4"/>
  <c r="BO5" i="4"/>
  <c r="DW5" i="4"/>
  <c r="G5" i="4"/>
  <c r="IA5" i="4"/>
  <c r="CM5" i="4"/>
  <c r="CY5" i="4"/>
  <c r="BC5" i="4"/>
  <c r="EU5" i="4"/>
  <c r="EI5" i="4"/>
  <c r="DK5" i="4"/>
  <c r="AH50" i="10"/>
  <c r="AH70" i="10"/>
  <c r="O8" i="23"/>
  <c r="G30" i="10"/>
  <c r="AR49" i="21"/>
  <c r="AR53" i="21"/>
  <c r="AF67" i="21"/>
  <c r="AR54" i="21"/>
  <c r="AR68" i="21"/>
  <c r="AF62" i="21"/>
  <c r="AF47" i="21"/>
  <c r="D58" i="21"/>
  <c r="D68" i="21"/>
  <c r="P65" i="21"/>
  <c r="P55" i="21"/>
  <c r="AN67" i="21"/>
  <c r="P45" i="21"/>
  <c r="P61" i="21"/>
  <c r="P46" i="21"/>
  <c r="D64" i="21"/>
  <c r="P67" i="21"/>
  <c r="P48" i="21"/>
  <c r="P66" i="21"/>
  <c r="P47" i="21"/>
  <c r="C8" i="23"/>
  <c r="U50" i="10"/>
  <c r="U70" i="10"/>
  <c r="L34" i="21"/>
  <c r="G29" i="10"/>
  <c r="G28" i="10"/>
  <c r="T5" i="4"/>
  <c r="FT5" i="4"/>
  <c r="HD5" i="4"/>
  <c r="H5" i="4"/>
  <c r="HP5" i="4"/>
  <c r="AF5" i="4"/>
  <c r="CB5" i="4"/>
  <c r="GR5" i="4"/>
  <c r="IB5" i="4"/>
  <c r="EV5" i="4"/>
  <c r="DX5" i="4"/>
  <c r="AR5" i="4"/>
  <c r="BP5" i="4"/>
  <c r="DL5" i="4"/>
  <c r="BD5" i="4"/>
  <c r="CZ5" i="4"/>
  <c r="EJ5" i="4"/>
  <c r="CN5" i="4"/>
  <c r="GF5" i="4"/>
  <c r="FH5" i="4"/>
  <c r="AI50" i="10"/>
  <c r="AI70" i="10"/>
  <c r="P8" i="23"/>
  <c r="H30" i="10"/>
  <c r="I30" i="10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H28" i="10"/>
  <c r="H29" i="10"/>
  <c r="V50" i="10"/>
  <c r="V70" i="10"/>
  <c r="D8" i="23"/>
  <c r="FU5" i="4"/>
  <c r="HQ5" i="4"/>
  <c r="BE5" i="4"/>
  <c r="IC5" i="4"/>
  <c r="CC5" i="4"/>
  <c r="DM5" i="4"/>
  <c r="FI5" i="4"/>
  <c r="BQ5" i="4"/>
  <c r="GG5" i="4"/>
  <c r="AG5" i="4"/>
  <c r="U5" i="4"/>
  <c r="DA5" i="4"/>
  <c r="GS5" i="4"/>
  <c r="I5" i="4"/>
  <c r="CO5" i="4"/>
  <c r="AS5" i="4"/>
  <c r="EK5" i="4"/>
  <c r="DY5" i="4"/>
  <c r="EW5" i="4"/>
  <c r="HE5" i="4"/>
  <c r="AJ50" i="10"/>
  <c r="AJ70" i="10"/>
  <c r="Q8" i="23"/>
  <c r="J30" i="10"/>
  <c r="DR27" i="13"/>
  <c r="DQ27" i="13"/>
  <c r="DP27" i="13"/>
  <c r="DO27" i="13"/>
  <c r="DN27" i="13"/>
  <c r="DM27" i="13"/>
  <c r="DL27" i="13"/>
  <c r="DK27" i="13"/>
  <c r="DJ27" i="13"/>
  <c r="DI27" i="13"/>
  <c r="DH27" i="13"/>
  <c r="DG27" i="13"/>
  <c r="DF27" i="13"/>
  <c r="DE27" i="13"/>
  <c r="DD27" i="13"/>
  <c r="DC27" i="13"/>
  <c r="DB27" i="13"/>
  <c r="DA27" i="13"/>
  <c r="CZ27" i="13"/>
  <c r="CY27" i="13"/>
  <c r="CX27" i="13"/>
  <c r="CW27" i="13"/>
  <c r="CV27" i="13"/>
  <c r="CU27" i="13"/>
  <c r="CT27" i="13"/>
  <c r="CS27" i="13"/>
  <c r="CR27" i="13"/>
  <c r="CQ27" i="13"/>
  <c r="CP27" i="13"/>
  <c r="CO27" i="13"/>
  <c r="CN27" i="13"/>
  <c r="CM27" i="13"/>
  <c r="CL27" i="13"/>
  <c r="CK27" i="13"/>
  <c r="CJ27" i="13"/>
  <c r="CI27" i="13"/>
  <c r="CH27" i="13"/>
  <c r="CG27" i="13"/>
  <c r="CF27" i="13"/>
  <c r="CE27" i="13"/>
  <c r="CD27" i="13"/>
  <c r="CC27" i="13"/>
  <c r="CB27" i="13"/>
  <c r="CA27" i="13"/>
  <c r="BZ27" i="13"/>
  <c r="BY27" i="13"/>
  <c r="BX27" i="13"/>
  <c r="BW27" i="13"/>
  <c r="BV27" i="13"/>
  <c r="BU27" i="13"/>
  <c r="BT27" i="13"/>
  <c r="BS27" i="13"/>
  <c r="BR27" i="13"/>
  <c r="BQ27" i="13"/>
  <c r="BP27" i="13"/>
  <c r="BO27" i="13"/>
  <c r="BN27" i="13"/>
  <c r="BM27" i="13"/>
  <c r="BL27" i="13"/>
  <c r="BK27" i="13"/>
  <c r="BJ27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W50" i="10"/>
  <c r="W70" i="10"/>
  <c r="E8" i="23"/>
  <c r="I29" i="10"/>
  <c r="I28" i="10"/>
  <c r="CD5" i="4"/>
  <c r="J5" i="4"/>
  <c r="EL5" i="4"/>
  <c r="ID5" i="4"/>
  <c r="GT5" i="4"/>
  <c r="DZ5" i="4"/>
  <c r="DB5" i="4"/>
  <c r="FJ5" i="4"/>
  <c r="HR5" i="4"/>
  <c r="AT5" i="4"/>
  <c r="V5" i="4"/>
  <c r="HF5" i="4"/>
  <c r="GH5" i="4"/>
  <c r="EX5" i="4"/>
  <c r="BR5" i="4"/>
  <c r="AH5" i="4"/>
  <c r="DN5" i="4"/>
  <c r="FV5" i="4"/>
  <c r="CP5" i="4"/>
  <c r="BF5" i="4"/>
  <c r="R8" i="23"/>
  <c r="K30" i="10"/>
  <c r="J28" i="10"/>
  <c r="X50" i="10"/>
  <c r="X70" i="10"/>
  <c r="F8" i="23"/>
  <c r="S8" i="23"/>
  <c r="AK50" i="10"/>
  <c r="AK70" i="10"/>
  <c r="J29" i="10"/>
  <c r="FW5" i="4"/>
  <c r="W5" i="4"/>
  <c r="BG5" i="4"/>
  <c r="K5" i="4"/>
  <c r="AI5" i="4"/>
  <c r="GI5" i="4"/>
  <c r="HS5" i="4"/>
  <c r="CQ5" i="4"/>
  <c r="HG5" i="4"/>
  <c r="FK5" i="4"/>
  <c r="GU5" i="4"/>
  <c r="DC5" i="4"/>
  <c r="IE5" i="4"/>
  <c r="EA5" i="4"/>
  <c r="DO5" i="4"/>
  <c r="EY5" i="4"/>
  <c r="AU5" i="4"/>
  <c r="BS5" i="4"/>
  <c r="EM5" i="4"/>
  <c r="CE5" i="4"/>
  <c r="L30" i="10"/>
  <c r="M30" i="10"/>
  <c r="K29" i="10"/>
  <c r="Y50" i="10"/>
  <c r="Y70" i="10"/>
  <c r="G8" i="23"/>
  <c r="K28" i="10"/>
  <c r="CF5" i="4"/>
  <c r="DD5" i="4"/>
  <c r="IF5" i="4"/>
  <c r="L5" i="4"/>
  <c r="GJ5" i="4"/>
  <c r="GV5" i="4"/>
  <c r="X5" i="4"/>
  <c r="DP5" i="4"/>
  <c r="AJ5" i="4"/>
  <c r="EB5" i="4"/>
  <c r="CR5" i="4"/>
  <c r="EZ5" i="4"/>
  <c r="HT5" i="4"/>
  <c r="EN5" i="4"/>
  <c r="BH5" i="4"/>
  <c r="BT5" i="4"/>
  <c r="FL5" i="4"/>
  <c r="AV5" i="4"/>
  <c r="HH5" i="4"/>
  <c r="FX5" i="4"/>
  <c r="N30" i="10"/>
  <c r="Z50" i="10"/>
  <c r="Z70" i="10"/>
  <c r="H8" i="23"/>
  <c r="L29" i="10"/>
  <c r="L28" i="10"/>
  <c r="FA5" i="4"/>
  <c r="BI5" i="4"/>
  <c r="GW5" i="4"/>
  <c r="DE5" i="4"/>
  <c r="AK5" i="4"/>
  <c r="IG5" i="4"/>
  <c r="FM5" i="4"/>
  <c r="BU5" i="4"/>
  <c r="DQ5" i="4"/>
  <c r="CS5" i="4"/>
  <c r="M5" i="4"/>
  <c r="EO5" i="4"/>
  <c r="Y5" i="4"/>
  <c r="GK5" i="4"/>
  <c r="HU5" i="4"/>
  <c r="EC5" i="4"/>
  <c r="FY5" i="4"/>
  <c r="HI5" i="4"/>
  <c r="AW5" i="4"/>
  <c r="CG5" i="4"/>
  <c r="O30" i="10"/>
  <c r="I16" i="7"/>
  <c r="J16" i="7"/>
  <c r="K18" i="7" s="1"/>
  <c r="L16" i="7"/>
  <c r="M16" i="7"/>
  <c r="N18" i="7" s="1"/>
  <c r="N16" i="7"/>
  <c r="O17" i="7" s="1"/>
  <c r="AA50" i="10"/>
  <c r="AA70" i="10"/>
  <c r="I8" i="23"/>
  <c r="M28" i="10"/>
  <c r="M29" i="10"/>
  <c r="BJ5" i="4"/>
  <c r="CT5" i="4"/>
  <c r="DR5" i="4"/>
  <c r="V16" i="7"/>
  <c r="W18" i="7" s="1"/>
  <c r="HJ5" i="4"/>
  <c r="IH5" i="4"/>
  <c r="CH5" i="4"/>
  <c r="ED5" i="4"/>
  <c r="BV5" i="4"/>
  <c r="FB5" i="4"/>
  <c r="AL5" i="4"/>
  <c r="DF5" i="4"/>
  <c r="FZ5" i="4"/>
  <c r="N5" i="4"/>
  <c r="Z5" i="4"/>
  <c r="HV5" i="4"/>
  <c r="GX5" i="4"/>
  <c r="GL5" i="4"/>
  <c r="EP5" i="4"/>
  <c r="FN5" i="4"/>
  <c r="AX5" i="4"/>
  <c r="P30" i="10"/>
  <c r="Q30" i="10"/>
  <c r="R19" i="13"/>
  <c r="F19" i="13"/>
  <c r="O16" i="7"/>
  <c r="S16" i="7"/>
  <c r="V19" i="13"/>
  <c r="Z16" i="26"/>
  <c r="AA17" i="26" s="1"/>
  <c r="N19" i="13"/>
  <c r="M19" i="13"/>
  <c r="X16" i="26"/>
  <c r="L19" i="13"/>
  <c r="AB50" i="10"/>
  <c r="AB70" i="10"/>
  <c r="J8" i="23"/>
  <c r="N29" i="10"/>
  <c r="N28" i="10"/>
  <c r="DG5" i="4"/>
  <c r="Z16" i="7"/>
  <c r="AA17" i="7" s="1"/>
  <c r="AA19" i="7" s="1"/>
  <c r="Z16" i="23"/>
  <c r="AA17" i="23" s="1"/>
  <c r="AY5" i="4"/>
  <c r="EQ5" i="4"/>
  <c r="DS5" i="4"/>
  <c r="X16" i="7"/>
  <c r="Y17" i="7" s="1"/>
  <c r="X16" i="23"/>
  <c r="Y18" i="23" s="1"/>
  <c r="FC5" i="4"/>
  <c r="O5" i="4"/>
  <c r="CU5" i="4"/>
  <c r="GM5" i="4"/>
  <c r="CI5" i="4"/>
  <c r="II5" i="4"/>
  <c r="AM5" i="4"/>
  <c r="FO5" i="4"/>
  <c r="GY5" i="4"/>
  <c r="HW5" i="4"/>
  <c r="Y16" i="7"/>
  <c r="Z18" i="7" s="1"/>
  <c r="BW5" i="4"/>
  <c r="BK5" i="4"/>
  <c r="AA5" i="4"/>
  <c r="GA5" i="4"/>
  <c r="EE5" i="4"/>
  <c r="HK5" i="4"/>
  <c r="R30" i="10"/>
  <c r="Q16" i="7"/>
  <c r="S19" i="13"/>
  <c r="R16" i="7"/>
  <c r="X19" i="13"/>
  <c r="AJ16" i="26"/>
  <c r="AK17" i="26" s="1"/>
  <c r="AK19" i="26" s="1"/>
  <c r="Z19" i="13"/>
  <c r="AL16" i="26"/>
  <c r="AM18" i="26" s="1"/>
  <c r="AD16" i="23"/>
  <c r="AE18" i="23" s="1"/>
  <c r="AC50" i="10"/>
  <c r="AC70" i="10"/>
  <c r="K8" i="23"/>
  <c r="O28" i="10"/>
  <c r="O29" i="10"/>
  <c r="ER5" i="4"/>
  <c r="AB5" i="4"/>
  <c r="IJ5" i="4"/>
  <c r="IK5" i="4"/>
  <c r="AE16" i="23"/>
  <c r="AF17" i="23" s="1"/>
  <c r="AF19" i="23" s="1"/>
  <c r="EF5" i="4"/>
  <c r="BL5" i="4"/>
  <c r="P5" i="4"/>
  <c r="AJ16" i="7"/>
  <c r="AJ16" i="23"/>
  <c r="AK18" i="23" s="1"/>
  <c r="GB5" i="4"/>
  <c r="GZ5" i="4"/>
  <c r="GN5" i="4"/>
  <c r="BX5" i="4"/>
  <c r="FP5" i="4"/>
  <c r="AN5" i="4"/>
  <c r="CJ5" i="4"/>
  <c r="FD5" i="4"/>
  <c r="AZ5" i="4"/>
  <c r="DH5" i="4"/>
  <c r="HL5" i="4"/>
  <c r="CV5" i="4"/>
  <c r="AL16" i="7"/>
  <c r="AL16" i="23"/>
  <c r="HX5" i="4"/>
  <c r="DT5" i="4"/>
  <c r="S30" i="10"/>
  <c r="AQ16" i="26"/>
  <c r="AR18" i="26" s="1"/>
  <c r="AE19" i="13"/>
  <c r="AE20" i="13" s="1"/>
  <c r="AJ19" i="13"/>
  <c r="AL19" i="13"/>
  <c r="AL21" i="13" s="1"/>
  <c r="IL5" i="4"/>
  <c r="P28" i="10"/>
  <c r="P29" i="10"/>
  <c r="L8" i="23"/>
  <c r="AD50" i="10"/>
  <c r="AV16" i="7"/>
  <c r="AW17" i="7" s="1"/>
  <c r="T30" i="10"/>
  <c r="U30" i="10"/>
  <c r="AQ19" i="13"/>
  <c r="AQ20" i="13" s="1"/>
  <c r="AQ22" i="13" s="1"/>
  <c r="T5" i="26"/>
  <c r="AJ8" i="10"/>
  <c r="C6" i="26"/>
  <c r="G23" i="18"/>
  <c r="F23" i="18"/>
  <c r="C21" i="18"/>
  <c r="G21" i="18"/>
  <c r="G22" i="18"/>
  <c r="F22" i="18"/>
  <c r="C20" i="18"/>
  <c r="G20" i="18"/>
  <c r="G19" i="18"/>
  <c r="G18" i="18"/>
  <c r="F18" i="18"/>
  <c r="C17" i="18"/>
  <c r="G16" i="18"/>
  <c r="F16" i="18"/>
  <c r="C15" i="18"/>
  <c r="G15" i="18"/>
  <c r="G13" i="18"/>
  <c r="G12" i="18"/>
  <c r="F13" i="18"/>
  <c r="F12" i="18"/>
  <c r="G11" i="18"/>
  <c r="F11" i="18"/>
  <c r="G10" i="18"/>
  <c r="F10" i="18"/>
  <c r="G9" i="18"/>
  <c r="F9" i="18"/>
  <c r="G7" i="18"/>
  <c r="F7" i="18"/>
  <c r="G6" i="18"/>
  <c r="F6" i="18"/>
  <c r="G5" i="18"/>
  <c r="F5" i="18"/>
  <c r="M5" i="18"/>
  <c r="N5" i="18"/>
  <c r="T6" i="26"/>
  <c r="T6" i="46"/>
  <c r="L6" i="26"/>
  <c r="L6" i="46"/>
  <c r="M6" i="26"/>
  <c r="M6" i="46"/>
  <c r="I6" i="26"/>
  <c r="I6" i="46"/>
  <c r="N6" i="26"/>
  <c r="N6" i="46"/>
  <c r="J6" i="26"/>
  <c r="J6" i="46"/>
  <c r="K6" i="26"/>
  <c r="K6" i="46"/>
  <c r="IM5" i="4"/>
  <c r="D57" i="10"/>
  <c r="AD70" i="10"/>
  <c r="AP8" i="10"/>
  <c r="AF48" i="10"/>
  <c r="AF68" i="10"/>
  <c r="N6" i="23"/>
  <c r="AO8" i="10"/>
  <c r="AE48" i="10"/>
  <c r="AE68" i="10"/>
  <c r="M6" i="23"/>
  <c r="AN8" i="10"/>
  <c r="L6" i="23"/>
  <c r="AD48" i="10"/>
  <c r="AD68" i="10"/>
  <c r="AV8" i="10"/>
  <c r="AL48" i="10"/>
  <c r="AL68" i="10"/>
  <c r="T6" i="23"/>
  <c r="Q29" i="10"/>
  <c r="AM8" i="10"/>
  <c r="AC48" i="10"/>
  <c r="AC68" i="10"/>
  <c r="K6" i="23"/>
  <c r="L33" i="21"/>
  <c r="C6" i="23"/>
  <c r="U48" i="10"/>
  <c r="U68" i="10"/>
  <c r="AK8" i="10"/>
  <c r="AA48" i="10"/>
  <c r="AA68" i="10"/>
  <c r="I6" i="23"/>
  <c r="AL8" i="10"/>
  <c r="J6" i="23"/>
  <c r="AB48" i="10"/>
  <c r="AB68" i="10"/>
  <c r="AL47" i="10"/>
  <c r="AL67" i="10"/>
  <c r="T5" i="23"/>
  <c r="Q28" i="10"/>
  <c r="V30" i="10"/>
  <c r="D6" i="26"/>
  <c r="C6" i="7"/>
  <c r="F21" i="18"/>
  <c r="F4" i="18"/>
  <c r="G4" i="18"/>
  <c r="F15" i="18"/>
  <c r="F17" i="18"/>
  <c r="G17" i="18"/>
  <c r="G14" i="18"/>
  <c r="F8" i="18"/>
  <c r="G8" i="18"/>
  <c r="F20" i="18"/>
  <c r="B8" i="8"/>
  <c r="B2" i="8"/>
  <c r="AF6" i="26"/>
  <c r="AF6" i="46"/>
  <c r="V6" i="26"/>
  <c r="V6" i="46"/>
  <c r="U6" i="26"/>
  <c r="U6" i="46"/>
  <c r="X6" i="26"/>
  <c r="X6" i="46"/>
  <c r="O6" i="26"/>
  <c r="O6" i="46"/>
  <c r="Y6" i="26"/>
  <c r="Y6" i="46"/>
  <c r="Z6" i="26"/>
  <c r="Z6" i="46"/>
  <c r="W6" i="26"/>
  <c r="W6" i="46"/>
  <c r="IN5" i="4"/>
  <c r="AW8" i="10"/>
  <c r="AM48" i="10"/>
  <c r="AM68" i="10"/>
  <c r="U6" i="23"/>
  <c r="BH8" i="10"/>
  <c r="AX48" i="10"/>
  <c r="AX68" i="10"/>
  <c r="AF6" i="23"/>
  <c r="AZ8" i="10"/>
  <c r="X6" i="23"/>
  <c r="AP48" i="10"/>
  <c r="AP68" i="10"/>
  <c r="BA8" i="10"/>
  <c r="Y6" i="23"/>
  <c r="AQ48" i="10"/>
  <c r="AQ68" i="10"/>
  <c r="R28" i="10"/>
  <c r="AX8" i="10"/>
  <c r="V6" i="23"/>
  <c r="AN48" i="10"/>
  <c r="AN68" i="10"/>
  <c r="R29" i="10"/>
  <c r="D6" i="23"/>
  <c r="V48" i="10"/>
  <c r="V68" i="10"/>
  <c r="AY8" i="10"/>
  <c r="W6" i="23"/>
  <c r="AO48" i="10"/>
  <c r="AO68" i="10"/>
  <c r="BB8" i="10"/>
  <c r="Z6" i="23"/>
  <c r="AR48" i="10"/>
  <c r="AR68" i="10"/>
  <c r="AQ8" i="10"/>
  <c r="O6" i="23"/>
  <c r="AG48" i="10"/>
  <c r="AG68" i="10"/>
  <c r="W30" i="10"/>
  <c r="E6" i="26"/>
  <c r="F19" i="18"/>
  <c r="F14" i="18"/>
  <c r="F28" i="18"/>
  <c r="G28" i="18"/>
  <c r="C118" i="2"/>
  <c r="D79" i="2"/>
  <c r="C120" i="2"/>
  <c r="C123" i="2"/>
  <c r="D88" i="2"/>
  <c r="AR6" i="26"/>
  <c r="AR6" i="46"/>
  <c r="P6" i="26"/>
  <c r="P6" i="46"/>
  <c r="AH6" i="26"/>
  <c r="AH6" i="46"/>
  <c r="AK6" i="26"/>
  <c r="AK6" i="46"/>
  <c r="AG6" i="26"/>
  <c r="AG6" i="46"/>
  <c r="AI6" i="26"/>
  <c r="AI6" i="46"/>
  <c r="AA6" i="26"/>
  <c r="AA6" i="46"/>
  <c r="AJ6" i="26"/>
  <c r="AJ6" i="46"/>
  <c r="AL6" i="26"/>
  <c r="AL6" i="46"/>
  <c r="IO5" i="4"/>
  <c r="S29" i="10"/>
  <c r="BK8" i="10"/>
  <c r="BA48" i="10"/>
  <c r="BA68" i="10"/>
  <c r="AI6" i="23"/>
  <c r="S28" i="10"/>
  <c r="BT8" i="10"/>
  <c r="BJ48" i="10"/>
  <c r="BJ68" i="10"/>
  <c r="AR6" i="23"/>
  <c r="F6" i="26"/>
  <c r="W48" i="10"/>
  <c r="W68" i="10"/>
  <c r="E6" i="23"/>
  <c r="BM8" i="10"/>
  <c r="BC48" i="10"/>
  <c r="BC68" i="10"/>
  <c r="AK6" i="23"/>
  <c r="BL8" i="10"/>
  <c r="AJ6" i="23"/>
  <c r="BB48" i="10"/>
  <c r="BB68" i="10"/>
  <c r="BJ8" i="10"/>
  <c r="AZ48" i="10"/>
  <c r="AZ68" i="10"/>
  <c r="AH6" i="23"/>
  <c r="AR8" i="10"/>
  <c r="P6" i="23"/>
  <c r="AH48" i="10"/>
  <c r="AH68" i="10"/>
  <c r="BC8" i="10"/>
  <c r="AA6" i="23"/>
  <c r="AS48" i="10"/>
  <c r="AS68" i="10"/>
  <c r="BI8" i="10"/>
  <c r="AY48" i="10"/>
  <c r="AY68" i="10"/>
  <c r="AG6" i="23"/>
  <c r="BN8" i="10"/>
  <c r="BD48" i="10"/>
  <c r="BD68" i="10"/>
  <c r="AL6" i="23"/>
  <c r="G29" i="18"/>
  <c r="C103" i="2"/>
  <c r="H19" i="2"/>
  <c r="BD6" i="26"/>
  <c r="BD6" i="46"/>
  <c r="AU6" i="26"/>
  <c r="AU6" i="46"/>
  <c r="AB6" i="26"/>
  <c r="AB6" i="46"/>
  <c r="AT6" i="26"/>
  <c r="AT6" i="46"/>
  <c r="Q6" i="26"/>
  <c r="Q6" i="46"/>
  <c r="AW6" i="26"/>
  <c r="AW6" i="46"/>
  <c r="AM6" i="26"/>
  <c r="AM6" i="46"/>
  <c r="AV6" i="26"/>
  <c r="AV6" i="46"/>
  <c r="AX6" i="26"/>
  <c r="AX6" i="46"/>
  <c r="AS6" i="26"/>
  <c r="AS6" i="46"/>
  <c r="G6" i="26"/>
  <c r="AS8" i="10"/>
  <c r="AI48" i="10"/>
  <c r="AI68" i="10"/>
  <c r="Q6" i="23"/>
  <c r="BY8" i="10"/>
  <c r="BO48" i="10"/>
  <c r="BO68" i="10"/>
  <c r="AW6" i="23"/>
  <c r="BV8" i="10"/>
  <c r="BL48" i="10"/>
  <c r="BL68" i="10"/>
  <c r="AT6" i="23"/>
  <c r="T28" i="10"/>
  <c r="BU8" i="10"/>
  <c r="BK48" i="10"/>
  <c r="BK68" i="10"/>
  <c r="AS6" i="23"/>
  <c r="X48" i="10"/>
  <c r="X68" i="10"/>
  <c r="F6" i="23"/>
  <c r="BW8" i="10"/>
  <c r="AU6" i="23"/>
  <c r="BM48" i="10"/>
  <c r="BM68" i="10"/>
  <c r="BX8" i="10"/>
  <c r="AV6" i="23"/>
  <c r="BN48" i="10"/>
  <c r="BN68" i="10"/>
  <c r="CF8" i="10"/>
  <c r="BD6" i="23"/>
  <c r="BV48" i="10"/>
  <c r="BV68" i="10"/>
  <c r="T29" i="10"/>
  <c r="BD8" i="10"/>
  <c r="AT48" i="10"/>
  <c r="AT68" i="10"/>
  <c r="AB6" i="23"/>
  <c r="AI8" i="10"/>
  <c r="Y48" i="10"/>
  <c r="Y68" i="10"/>
  <c r="G6" i="23"/>
  <c r="BZ8" i="10"/>
  <c r="BP48" i="10"/>
  <c r="BP68" i="10"/>
  <c r="AX6" i="23"/>
  <c r="BO8" i="10"/>
  <c r="AM6" i="23"/>
  <c r="BE48" i="10"/>
  <c r="BE68" i="10"/>
  <c r="C110" i="2"/>
  <c r="H22" i="2"/>
  <c r="H23" i="2"/>
  <c r="J156" i="4"/>
  <c r="K156" i="4"/>
  <c r="J155" i="4"/>
  <c r="K155" i="4"/>
  <c r="L155" i="4"/>
  <c r="M155" i="4"/>
  <c r="I157" i="4"/>
  <c r="H157" i="4"/>
  <c r="G157" i="4"/>
  <c r="BP6" i="26"/>
  <c r="BP6" i="46"/>
  <c r="BJ6" i="26"/>
  <c r="BJ6" i="46"/>
  <c r="BI6" i="26"/>
  <c r="BI6" i="46"/>
  <c r="R6" i="26"/>
  <c r="R6" i="46"/>
  <c r="AC6" i="26"/>
  <c r="AC6" i="46"/>
  <c r="BG6" i="26"/>
  <c r="BG6" i="46"/>
  <c r="BH6" i="26"/>
  <c r="BH6" i="46"/>
  <c r="BF6" i="26"/>
  <c r="BF6" i="46"/>
  <c r="AY6" i="26"/>
  <c r="AY6" i="46"/>
  <c r="BE6" i="26"/>
  <c r="BE6" i="46"/>
  <c r="S6" i="26"/>
  <c r="S6" i="46"/>
  <c r="AN6" i="26"/>
  <c r="AN6" i="46"/>
  <c r="AJ48" i="10"/>
  <c r="AJ68" i="10"/>
  <c r="R6" i="23"/>
  <c r="AT8" i="10"/>
  <c r="CA8" i="10"/>
  <c r="BQ48" i="10"/>
  <c r="BQ68" i="10"/>
  <c r="AY6" i="23"/>
  <c r="CI8" i="10"/>
  <c r="BG6" i="23"/>
  <c r="BY48" i="10"/>
  <c r="BY68" i="10"/>
  <c r="BP8" i="10"/>
  <c r="AN6" i="23"/>
  <c r="BF48" i="10"/>
  <c r="BF68" i="10"/>
  <c r="CK8" i="10"/>
  <c r="BI6" i="23"/>
  <c r="CA48" i="10"/>
  <c r="CA68" i="10"/>
  <c r="BE8" i="10"/>
  <c r="AU48" i="10"/>
  <c r="AU68" i="10"/>
  <c r="AC6" i="23"/>
  <c r="CG8" i="10"/>
  <c r="BW48" i="10"/>
  <c r="BW68" i="10"/>
  <c r="BE6" i="23"/>
  <c r="CL8" i="10"/>
  <c r="BJ6" i="23"/>
  <c r="CB48" i="10"/>
  <c r="CB68" i="10"/>
  <c r="U29" i="10"/>
  <c r="AU8" i="10"/>
  <c r="AK48" i="10"/>
  <c r="AK68" i="10"/>
  <c r="S6" i="23"/>
  <c r="CR8" i="10"/>
  <c r="CH48" i="10"/>
  <c r="CH68" i="10"/>
  <c r="BP6" i="23"/>
  <c r="U28" i="10"/>
  <c r="CJ8" i="10"/>
  <c r="BH6" i="23"/>
  <c r="BZ48" i="10"/>
  <c r="BZ68" i="10"/>
  <c r="CH8" i="10"/>
  <c r="BF6" i="23"/>
  <c r="BX48" i="10"/>
  <c r="BX68" i="10"/>
  <c r="K157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J157" i="4"/>
  <c r="C125" i="2"/>
  <c r="C126" i="2"/>
  <c r="N155" i="4"/>
  <c r="CB6" i="26"/>
  <c r="CB6" i="46"/>
  <c r="BU6" i="26"/>
  <c r="BU6" i="46"/>
  <c r="AZ6" i="26"/>
  <c r="AZ6" i="46"/>
  <c r="AD6" i="26"/>
  <c r="AD6" i="46"/>
  <c r="AO6" i="26"/>
  <c r="AO6" i="46"/>
  <c r="BK6" i="26"/>
  <c r="BK6" i="46"/>
  <c r="BS6" i="26"/>
  <c r="BS6" i="46"/>
  <c r="AE6" i="26"/>
  <c r="AE6" i="46"/>
  <c r="BR6" i="26"/>
  <c r="BR6" i="46"/>
  <c r="BT6" i="26"/>
  <c r="BT6" i="46"/>
  <c r="BV6" i="26"/>
  <c r="BV6" i="46"/>
  <c r="BQ6" i="26"/>
  <c r="BQ6" i="46"/>
  <c r="AD6" i="23"/>
  <c r="AV48" i="10"/>
  <c r="AV68" i="10"/>
  <c r="BF8" i="10"/>
  <c r="AP6" i="23"/>
  <c r="CT8" i="10"/>
  <c r="CJ48" i="10"/>
  <c r="CJ68" i="10"/>
  <c r="BR6" i="23"/>
  <c r="BG8" i="10"/>
  <c r="AE6" i="23"/>
  <c r="AW48" i="10"/>
  <c r="AW68" i="10"/>
  <c r="CS8" i="10"/>
  <c r="CI48" i="10"/>
  <c r="CI68" i="10"/>
  <c r="BQ6" i="23"/>
  <c r="CX8" i="10"/>
  <c r="CN48" i="10"/>
  <c r="CN68" i="10"/>
  <c r="BV6" i="23"/>
  <c r="CB8" i="10"/>
  <c r="AZ6" i="23"/>
  <c r="BR48" i="10"/>
  <c r="BR68" i="10"/>
  <c r="DD8" i="10"/>
  <c r="CB6" i="23"/>
  <c r="CT48" i="10"/>
  <c r="CT68" i="10"/>
  <c r="CM8" i="10"/>
  <c r="CC48" i="10"/>
  <c r="CC68" i="10"/>
  <c r="BK6" i="23"/>
  <c r="CV8" i="10"/>
  <c r="CL48" i="10"/>
  <c r="CL68" i="10"/>
  <c r="BT6" i="23"/>
  <c r="V28" i="10"/>
  <c r="CU8" i="10"/>
  <c r="CK48" i="10"/>
  <c r="CK68" i="10"/>
  <c r="BS6" i="23"/>
  <c r="BQ8" i="10"/>
  <c r="BG48" i="10"/>
  <c r="BG68" i="10"/>
  <c r="AO6" i="23"/>
  <c r="V29" i="10"/>
  <c r="CW8" i="10"/>
  <c r="BU6" i="23"/>
  <c r="CM48" i="10"/>
  <c r="CM68" i="10"/>
  <c r="L157" i="4"/>
  <c r="M157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O155" i="4"/>
  <c r="N157" i="4"/>
  <c r="BH48" i="10"/>
  <c r="BH68" i="10"/>
  <c r="CN6" i="26"/>
  <c r="CN6" i="46"/>
  <c r="CG6" i="26"/>
  <c r="CG6" i="46"/>
  <c r="CH6" i="26"/>
  <c r="CH6" i="46"/>
  <c r="CC6" i="26"/>
  <c r="CC6" i="46"/>
  <c r="AQ6" i="26"/>
  <c r="AQ6" i="46"/>
  <c r="AP6" i="26"/>
  <c r="AP6" i="46"/>
  <c r="BA6" i="26"/>
  <c r="BA6" i="46"/>
  <c r="CF6" i="26"/>
  <c r="CF6" i="46"/>
  <c r="CD6" i="26"/>
  <c r="CD6" i="46"/>
  <c r="CE6" i="26"/>
  <c r="CE6" i="46"/>
  <c r="BW6" i="26"/>
  <c r="BW6" i="46"/>
  <c r="BL6" i="26"/>
  <c r="BL6" i="46"/>
  <c r="BR8" i="10"/>
  <c r="DE8" i="10"/>
  <c r="CC6" i="23"/>
  <c r="CU48" i="10"/>
  <c r="CU68" i="10"/>
  <c r="BB6" i="23"/>
  <c r="BT48" i="10"/>
  <c r="BT68" i="10"/>
  <c r="BS8" i="10"/>
  <c r="AQ6" i="23"/>
  <c r="BI48" i="10"/>
  <c r="BI68" i="10"/>
  <c r="DJ8" i="10"/>
  <c r="CH6" i="23"/>
  <c r="CZ48" i="10"/>
  <c r="CZ68" i="10"/>
  <c r="W29" i="10"/>
  <c r="DH8" i="10"/>
  <c r="CF6" i="23"/>
  <c r="CX48" i="10"/>
  <c r="CX68" i="10"/>
  <c r="CC8" i="10"/>
  <c r="BA6" i="23"/>
  <c r="BS48" i="10"/>
  <c r="BS68" i="10"/>
  <c r="CY8" i="10"/>
  <c r="CO48" i="10"/>
  <c r="CO68" i="10"/>
  <c r="BW6" i="23"/>
  <c r="DP8" i="10"/>
  <c r="DF48" i="10"/>
  <c r="DF68" i="10"/>
  <c r="CN6" i="23"/>
  <c r="DI8" i="10"/>
  <c r="CG6" i="23"/>
  <c r="CY48" i="10"/>
  <c r="CY68" i="10"/>
  <c r="DG8" i="10"/>
  <c r="CE6" i="23"/>
  <c r="CW48" i="10"/>
  <c r="CW68" i="10"/>
  <c r="DF8" i="10"/>
  <c r="CD6" i="23"/>
  <c r="CV48" i="10"/>
  <c r="CV68" i="10"/>
  <c r="CN8" i="10"/>
  <c r="CD48" i="10"/>
  <c r="CD68" i="10"/>
  <c r="BL6" i="23"/>
  <c r="W28" i="10"/>
  <c r="BU156" i="4"/>
  <c r="BV156" i="4"/>
  <c r="BW156" i="4"/>
  <c r="BX156" i="4"/>
  <c r="BY156" i="4"/>
  <c r="BZ156" i="4"/>
  <c r="CA156" i="4"/>
  <c r="CB156" i="4"/>
  <c r="CC156" i="4"/>
  <c r="P155" i="4"/>
  <c r="O157" i="4"/>
  <c r="CZ6" i="26"/>
  <c r="CZ6" i="46"/>
  <c r="CQ6" i="26"/>
  <c r="CQ6" i="46"/>
  <c r="BC6" i="26"/>
  <c r="BC6" i="46"/>
  <c r="CS6" i="26"/>
  <c r="CS6" i="46"/>
  <c r="BM6" i="26"/>
  <c r="BM6" i="46"/>
  <c r="CT6" i="26"/>
  <c r="CT6" i="46"/>
  <c r="CO6" i="26"/>
  <c r="CO6" i="46"/>
  <c r="CI6" i="26"/>
  <c r="CI6" i="46"/>
  <c r="CR6" i="26"/>
  <c r="CR6" i="46"/>
  <c r="CP6" i="26"/>
  <c r="CP6" i="46"/>
  <c r="BX6" i="26"/>
  <c r="BX6" i="46"/>
  <c r="BB6" i="26"/>
  <c r="BB6" i="46"/>
  <c r="CD8" i="10"/>
  <c r="CO8" i="10"/>
  <c r="BM6" i="23"/>
  <c r="CE48" i="10"/>
  <c r="CE68" i="10"/>
  <c r="CE8" i="10"/>
  <c r="BU48" i="10"/>
  <c r="BU68" i="10"/>
  <c r="BC6" i="23"/>
  <c r="CZ8" i="10"/>
  <c r="CP48" i="10"/>
  <c r="CP68" i="10"/>
  <c r="BX6" i="23"/>
  <c r="C75" i="10"/>
  <c r="EB8" i="10"/>
  <c r="DR48" i="10"/>
  <c r="DR68" i="10"/>
  <c r="CZ6" i="23"/>
  <c r="DT8" i="10"/>
  <c r="DJ48" i="10"/>
  <c r="DJ68" i="10"/>
  <c r="CR6" i="23"/>
  <c r="DR8" i="10"/>
  <c r="CP6" i="23"/>
  <c r="DH48" i="10"/>
  <c r="DH68" i="10"/>
  <c r="DK8" i="10"/>
  <c r="DA48" i="10"/>
  <c r="DA68" i="10"/>
  <c r="CI6" i="23"/>
  <c r="DQ8" i="10"/>
  <c r="DG48" i="10"/>
  <c r="DG68" i="10"/>
  <c r="CO6" i="23"/>
  <c r="DS8" i="10"/>
  <c r="DI48" i="10"/>
  <c r="DI68" i="10"/>
  <c r="CQ6" i="23"/>
  <c r="DV8" i="10"/>
  <c r="DL48" i="10"/>
  <c r="DL68" i="10"/>
  <c r="CT6" i="23"/>
  <c r="DU8" i="10"/>
  <c r="DK48" i="10"/>
  <c r="DK68" i="10"/>
  <c r="CS6" i="23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Q155" i="4"/>
  <c r="P157" i="4"/>
  <c r="DL6" i="26"/>
  <c r="DL6" i="46"/>
  <c r="CJ6" i="26"/>
  <c r="CJ6" i="46"/>
  <c r="DD6" i="26"/>
  <c r="DD6" i="46"/>
  <c r="DF6" i="26"/>
  <c r="DF6" i="46"/>
  <c r="BO6" i="26"/>
  <c r="BO6" i="46"/>
  <c r="BY6" i="26"/>
  <c r="BY6" i="46"/>
  <c r="DA6" i="26"/>
  <c r="DA6" i="46"/>
  <c r="DE6" i="26"/>
  <c r="DE6" i="46"/>
  <c r="DC6" i="26"/>
  <c r="DC6" i="46"/>
  <c r="CU6" i="26"/>
  <c r="CU6" i="46"/>
  <c r="DB6" i="26"/>
  <c r="DB6" i="46"/>
  <c r="BN6" i="26"/>
  <c r="BN6" i="46"/>
  <c r="CP8" i="10"/>
  <c r="CR48" i="10"/>
  <c r="CR68" i="10"/>
  <c r="BN6" i="23"/>
  <c r="CF48" i="10"/>
  <c r="CF68" i="10"/>
  <c r="EE8" i="10"/>
  <c r="DU48" i="10"/>
  <c r="DU68" i="10"/>
  <c r="DC6" i="23"/>
  <c r="DL8" i="10"/>
  <c r="DB48" i="10"/>
  <c r="DB68" i="10"/>
  <c r="CJ6" i="23"/>
  <c r="EC8" i="10"/>
  <c r="DS48" i="10"/>
  <c r="DS68" i="10"/>
  <c r="DA6" i="23"/>
  <c r="EN8" i="10"/>
  <c r="DX6" i="46"/>
  <c r="ED48" i="10"/>
  <c r="ED68" i="10"/>
  <c r="DL6" i="23"/>
  <c r="EG8" i="10"/>
  <c r="DE6" i="23"/>
  <c r="DW48" i="10"/>
  <c r="DW68" i="10"/>
  <c r="CQ8" i="10"/>
  <c r="CG48" i="10"/>
  <c r="CG68" i="10"/>
  <c r="BO6" i="23"/>
  <c r="ED8" i="10"/>
  <c r="DT48" i="10"/>
  <c r="DT68" i="10"/>
  <c r="DB6" i="23"/>
  <c r="DA8" i="10"/>
  <c r="CQ48" i="10"/>
  <c r="CQ68" i="10"/>
  <c r="BY6" i="23"/>
  <c r="EH8" i="10"/>
  <c r="DF6" i="23"/>
  <c r="DX48" i="10"/>
  <c r="DX68" i="10"/>
  <c r="EF8" i="10"/>
  <c r="DV48" i="10"/>
  <c r="DV68" i="10"/>
  <c r="DD6" i="23"/>
  <c r="DW8" i="10"/>
  <c r="DM48" i="10"/>
  <c r="DM68" i="10"/>
  <c r="CU6" i="23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EL156" i="4"/>
  <c r="EM156" i="4"/>
  <c r="EN156" i="4"/>
  <c r="EO156" i="4"/>
  <c r="EP156" i="4"/>
  <c r="EQ156" i="4"/>
  <c r="ER156" i="4"/>
  <c r="ES156" i="4"/>
  <c r="ET156" i="4"/>
  <c r="EU156" i="4"/>
  <c r="EV156" i="4"/>
  <c r="EW156" i="4"/>
  <c r="EX156" i="4"/>
  <c r="EY156" i="4"/>
  <c r="EZ156" i="4"/>
  <c r="FA156" i="4"/>
  <c r="FB156" i="4"/>
  <c r="FC156" i="4"/>
  <c r="FD156" i="4"/>
  <c r="FE156" i="4"/>
  <c r="FF156" i="4"/>
  <c r="FG156" i="4"/>
  <c r="FH156" i="4"/>
  <c r="FI156" i="4"/>
  <c r="FJ156" i="4"/>
  <c r="FK156" i="4"/>
  <c r="FL156" i="4"/>
  <c r="FM156" i="4"/>
  <c r="FN156" i="4"/>
  <c r="FO156" i="4"/>
  <c r="FP156" i="4"/>
  <c r="FQ156" i="4"/>
  <c r="FR156" i="4"/>
  <c r="FS156" i="4"/>
  <c r="FT156" i="4"/>
  <c r="FU156" i="4"/>
  <c r="FV156" i="4"/>
  <c r="FW156" i="4"/>
  <c r="FX156" i="4"/>
  <c r="FY156" i="4"/>
  <c r="FZ156" i="4"/>
  <c r="GA156" i="4"/>
  <c r="GB156" i="4"/>
  <c r="GC156" i="4"/>
  <c r="GD156" i="4"/>
  <c r="GE156" i="4"/>
  <c r="GF156" i="4"/>
  <c r="GG156" i="4"/>
  <c r="GH156" i="4"/>
  <c r="GI156" i="4"/>
  <c r="GJ156" i="4"/>
  <c r="GK156" i="4"/>
  <c r="GL156" i="4"/>
  <c r="GM156" i="4"/>
  <c r="GN156" i="4"/>
  <c r="GO156" i="4"/>
  <c r="GP156" i="4"/>
  <c r="GQ156" i="4"/>
  <c r="GR156" i="4"/>
  <c r="GS156" i="4"/>
  <c r="GT156" i="4"/>
  <c r="GU156" i="4"/>
  <c r="GV156" i="4"/>
  <c r="GW156" i="4"/>
  <c r="GX156" i="4"/>
  <c r="GY156" i="4"/>
  <c r="GZ156" i="4"/>
  <c r="HA156" i="4"/>
  <c r="HB156" i="4"/>
  <c r="HC156" i="4"/>
  <c r="HD156" i="4"/>
  <c r="HE156" i="4"/>
  <c r="HF156" i="4"/>
  <c r="HG156" i="4"/>
  <c r="HH156" i="4"/>
  <c r="HI156" i="4"/>
  <c r="HJ156" i="4"/>
  <c r="HK156" i="4"/>
  <c r="HL156" i="4"/>
  <c r="HM156" i="4"/>
  <c r="HN156" i="4"/>
  <c r="HO156" i="4"/>
  <c r="HP156" i="4"/>
  <c r="HQ156" i="4"/>
  <c r="HR156" i="4"/>
  <c r="HS156" i="4"/>
  <c r="HT156" i="4"/>
  <c r="HU156" i="4"/>
  <c r="HV156" i="4"/>
  <c r="HW156" i="4"/>
  <c r="HX156" i="4"/>
  <c r="HY156" i="4"/>
  <c r="HZ156" i="4"/>
  <c r="IA156" i="4"/>
  <c r="IB156" i="4"/>
  <c r="IC156" i="4"/>
  <c r="ID156" i="4"/>
  <c r="IE156" i="4"/>
  <c r="IF156" i="4"/>
  <c r="IG156" i="4"/>
  <c r="IH156" i="4"/>
  <c r="II156" i="4"/>
  <c r="IJ156" i="4"/>
  <c r="IK156" i="4"/>
  <c r="IL156" i="4"/>
  <c r="IM156" i="4"/>
  <c r="IN156" i="4"/>
  <c r="IO156" i="4"/>
  <c r="R155" i="4"/>
  <c r="Q157" i="4"/>
  <c r="DB8" i="10"/>
  <c r="CL6" i="26"/>
  <c r="BZ6" i="23"/>
  <c r="CK6" i="26"/>
  <c r="CK6" i="46"/>
  <c r="DO6" i="26"/>
  <c r="DO6" i="46"/>
  <c r="DP6" i="26"/>
  <c r="DP6" i="46"/>
  <c r="DR6" i="26"/>
  <c r="DR6" i="46"/>
  <c r="DN6" i="26"/>
  <c r="DN6" i="46"/>
  <c r="CA6" i="26"/>
  <c r="CA6" i="46"/>
  <c r="DG6" i="26"/>
  <c r="DG6" i="46"/>
  <c r="DM6" i="26"/>
  <c r="DM6" i="46"/>
  <c r="CV6" i="26"/>
  <c r="CV6" i="46"/>
  <c r="BZ6" i="26"/>
  <c r="BZ6" i="46"/>
  <c r="DQ6" i="26"/>
  <c r="DQ6" i="46"/>
  <c r="DX6" i="26"/>
  <c r="DX6" i="13"/>
  <c r="DX8" i="10"/>
  <c r="CV6" i="23"/>
  <c r="DN48" i="10"/>
  <c r="DN68" i="10"/>
  <c r="ER8" i="10"/>
  <c r="EB6" i="46"/>
  <c r="EH48" i="10"/>
  <c r="EH68" i="10"/>
  <c r="DP6" i="23"/>
  <c r="DC8" i="10"/>
  <c r="CA6" i="23"/>
  <c r="CS48" i="10"/>
  <c r="CS68" i="10"/>
  <c r="EQ8" i="10"/>
  <c r="EA6" i="46"/>
  <c r="DO6" i="23"/>
  <c r="EG48" i="10"/>
  <c r="EG68" i="10"/>
  <c r="ES8" i="10"/>
  <c r="EC6" i="46"/>
  <c r="EI48" i="10"/>
  <c r="EI68" i="10"/>
  <c r="DQ6" i="23"/>
  <c r="ET8" i="10"/>
  <c r="ED6" i="46"/>
  <c r="DR6" i="23"/>
  <c r="EJ48" i="10"/>
  <c r="EJ68" i="10"/>
  <c r="DX6" i="23"/>
  <c r="EP48" i="10"/>
  <c r="EP68" i="10"/>
  <c r="EZ8" i="10"/>
  <c r="EJ6" i="46"/>
  <c r="DX6" i="7"/>
  <c r="DM8" i="10"/>
  <c r="DC48" i="10"/>
  <c r="DC68" i="10"/>
  <c r="CK6" i="23"/>
  <c r="EI8" i="10"/>
  <c r="DS6" i="46"/>
  <c r="DG6" i="23"/>
  <c r="DY48" i="10"/>
  <c r="DY68" i="10"/>
  <c r="EP8" i="10"/>
  <c r="DZ6" i="46"/>
  <c r="DN6" i="23"/>
  <c r="EF48" i="10"/>
  <c r="EF68" i="10"/>
  <c r="EO8" i="10"/>
  <c r="DY6" i="46"/>
  <c r="EE48" i="10"/>
  <c r="EE68" i="10"/>
  <c r="DM6" i="23"/>
  <c r="S155" i="4"/>
  <c r="R157" i="4"/>
  <c r="CL6" i="23"/>
  <c r="DD48" i="10"/>
  <c r="DD68" i="10"/>
  <c r="CL6" i="46"/>
  <c r="DN8" i="10"/>
  <c r="DH6" i="26"/>
  <c r="DH6" i="46"/>
  <c r="CM6" i="26"/>
  <c r="CM6" i="46"/>
  <c r="CX6" i="26"/>
  <c r="CX6" i="46"/>
  <c r="CW6" i="26"/>
  <c r="CW6" i="46"/>
  <c r="EC6" i="26"/>
  <c r="EC6" i="13"/>
  <c r="DY6" i="26"/>
  <c r="DY6" i="13"/>
  <c r="DZ6" i="26"/>
  <c r="DZ6" i="13"/>
  <c r="EB6" i="26"/>
  <c r="EB6" i="13"/>
  <c r="DS6" i="26"/>
  <c r="DS6" i="13"/>
  <c r="ED6" i="26"/>
  <c r="ED6" i="13"/>
  <c r="EJ6" i="26"/>
  <c r="EJ6" i="13"/>
  <c r="EA6" i="26"/>
  <c r="EA6" i="13"/>
  <c r="DY6" i="23"/>
  <c r="EQ48" i="10"/>
  <c r="EQ68" i="10"/>
  <c r="FA8" i="10"/>
  <c r="EK6" i="46"/>
  <c r="DY6" i="7"/>
  <c r="DZ6" i="23"/>
  <c r="ER48" i="10"/>
  <c r="ER68" i="10"/>
  <c r="FB8" i="10"/>
  <c r="EL6" i="46"/>
  <c r="DZ6" i="7"/>
  <c r="DS6" i="23"/>
  <c r="EK48" i="10"/>
  <c r="EK68" i="10"/>
  <c r="EU8" i="10"/>
  <c r="EE6" i="46"/>
  <c r="DS6" i="7"/>
  <c r="EA6" i="23"/>
  <c r="ES48" i="10"/>
  <c r="ES68" i="10"/>
  <c r="FC8" i="10"/>
  <c r="EM6" i="46"/>
  <c r="EA6" i="7"/>
  <c r="DO8" i="10"/>
  <c r="DE48" i="10"/>
  <c r="DE68" i="10"/>
  <c r="CM6" i="23"/>
  <c r="DZ8" i="10"/>
  <c r="CX6" i="23"/>
  <c r="DP48" i="10"/>
  <c r="DP68" i="10"/>
  <c r="EC6" i="23"/>
  <c r="EU48" i="10"/>
  <c r="EU68" i="10"/>
  <c r="EC6" i="7"/>
  <c r="FE8" i="10"/>
  <c r="EO6" i="46"/>
  <c r="ET48" i="10"/>
  <c r="ET68" i="10"/>
  <c r="EB6" i="23"/>
  <c r="EB6" i="7"/>
  <c r="FD8" i="10"/>
  <c r="EN6" i="46"/>
  <c r="DY8" i="10"/>
  <c r="DO48" i="10"/>
  <c r="DO68" i="10"/>
  <c r="CW6" i="23"/>
  <c r="EJ8" i="10"/>
  <c r="DT6" i="46"/>
  <c r="DZ48" i="10"/>
  <c r="DZ68" i="10"/>
  <c r="DH6" i="23"/>
  <c r="FB48" i="10"/>
  <c r="FB68" i="10"/>
  <c r="EJ6" i="23"/>
  <c r="EJ6" i="7"/>
  <c r="FL8" i="10"/>
  <c r="EV6" i="46"/>
  <c r="EV48" i="10"/>
  <c r="EV68" i="10"/>
  <c r="ED6" i="23"/>
  <c r="FF8" i="10"/>
  <c r="EP6" i="46"/>
  <c r="ED6" i="7"/>
  <c r="T155" i="4"/>
  <c r="S157" i="4"/>
  <c r="DI6" i="26"/>
  <c r="DI6" i="46"/>
  <c r="DJ6" i="26"/>
  <c r="DJ6" i="46"/>
  <c r="CY6" i="26"/>
  <c r="CY6" i="46"/>
  <c r="EV6" i="26"/>
  <c r="EV6" i="13"/>
  <c r="EE6" i="26"/>
  <c r="EE6" i="13"/>
  <c r="EO6" i="26"/>
  <c r="EO6" i="13"/>
  <c r="EK6" i="26"/>
  <c r="EK6" i="13"/>
  <c r="EP6" i="26"/>
  <c r="EP6" i="13"/>
  <c r="EN6" i="26"/>
  <c r="EN6" i="13"/>
  <c r="EM6" i="26"/>
  <c r="EM6" i="13"/>
  <c r="EL6" i="26"/>
  <c r="EL6" i="13"/>
  <c r="DT6" i="26"/>
  <c r="DT6" i="13"/>
  <c r="EL48" i="10"/>
  <c r="EL68" i="10"/>
  <c r="DT6" i="23"/>
  <c r="EV8" i="10"/>
  <c r="EF6" i="46"/>
  <c r="DT6" i="7"/>
  <c r="EL6" i="23"/>
  <c r="FD48" i="10"/>
  <c r="FD68" i="10"/>
  <c r="EL6" i="7"/>
  <c r="FN8" i="10"/>
  <c r="EX6" i="46"/>
  <c r="FE48" i="10"/>
  <c r="FE68" i="10"/>
  <c r="EM6" i="23"/>
  <c r="FO8" i="10"/>
  <c r="EY6" i="46"/>
  <c r="EM6" i="7"/>
  <c r="EO6" i="23"/>
  <c r="FG48" i="10"/>
  <c r="FG68" i="10"/>
  <c r="FQ8" i="10"/>
  <c r="FA6" i="46"/>
  <c r="EO6" i="7"/>
  <c r="EL8" i="10"/>
  <c r="DV6" i="46"/>
  <c r="EB48" i="10"/>
  <c r="EB68" i="10"/>
  <c r="DJ6" i="23"/>
  <c r="FC48" i="10"/>
  <c r="FC68" i="10"/>
  <c r="EK6" i="23"/>
  <c r="EK6" i="7"/>
  <c r="FM8" i="10"/>
  <c r="EW6" i="46"/>
  <c r="EN6" i="23"/>
  <c r="FF48" i="10"/>
  <c r="FF68" i="10"/>
  <c r="FP8" i="10"/>
  <c r="EZ6" i="46"/>
  <c r="EN6" i="7"/>
  <c r="FN48" i="10"/>
  <c r="FN68" i="10"/>
  <c r="EV6" i="23"/>
  <c r="FX8" i="10"/>
  <c r="FH6" i="46"/>
  <c r="EV6" i="7"/>
  <c r="EW48" i="10"/>
  <c r="EW68" i="10"/>
  <c r="EE6" i="23"/>
  <c r="FG8" i="10"/>
  <c r="EQ6" i="46"/>
  <c r="EE6" i="7"/>
  <c r="EK8" i="10"/>
  <c r="DU6" i="46"/>
  <c r="EA48" i="10"/>
  <c r="EA68" i="10"/>
  <c r="DI6" i="23"/>
  <c r="EA8" i="10"/>
  <c r="DQ48" i="10"/>
  <c r="DQ68" i="10"/>
  <c r="CY6" i="23"/>
  <c r="FH48" i="10"/>
  <c r="FH68" i="10"/>
  <c r="EP6" i="23"/>
  <c r="FR8" i="10"/>
  <c r="FB6" i="46"/>
  <c r="EP6" i="7"/>
  <c r="U155" i="4"/>
  <c r="T157" i="4"/>
  <c r="DK6" i="26"/>
  <c r="DK6" i="46"/>
  <c r="EY6" i="26"/>
  <c r="EY6" i="13"/>
  <c r="EX6" i="26"/>
  <c r="EX6" i="13"/>
  <c r="EF6" i="26"/>
  <c r="EF6" i="13"/>
  <c r="EZ6" i="26"/>
  <c r="EZ6" i="13"/>
  <c r="DU6" i="26"/>
  <c r="DU6" i="13"/>
  <c r="DV6" i="26"/>
  <c r="DV6" i="13"/>
  <c r="EQ6" i="26"/>
  <c r="EQ6" i="13"/>
  <c r="FA6" i="26"/>
  <c r="FA6" i="13"/>
  <c r="FH6" i="26"/>
  <c r="FH6" i="13"/>
  <c r="FB6" i="26"/>
  <c r="FB6" i="13"/>
  <c r="EW6" i="26"/>
  <c r="EW6" i="13"/>
  <c r="FT48" i="10"/>
  <c r="FT68" i="10"/>
  <c r="FB6" i="23"/>
  <c r="GD8" i="10"/>
  <c r="FN6" i="46"/>
  <c r="FB6" i="7"/>
  <c r="FR48" i="10"/>
  <c r="FR68" i="10"/>
  <c r="EZ6" i="23"/>
  <c r="GB8" i="10"/>
  <c r="FL6" i="46"/>
  <c r="EZ6" i="7"/>
  <c r="FP48" i="10"/>
  <c r="FP68" i="10"/>
  <c r="EX6" i="23"/>
  <c r="FZ8" i="10"/>
  <c r="FJ6" i="46"/>
  <c r="EX6" i="7"/>
  <c r="FO48" i="10"/>
  <c r="FO68" i="10"/>
  <c r="EW6" i="23"/>
  <c r="FY8" i="10"/>
  <c r="FI6" i="46"/>
  <c r="EW6" i="7"/>
  <c r="EM8" i="10"/>
  <c r="DW6" i="46"/>
  <c r="DK6" i="23"/>
  <c r="EC48" i="10"/>
  <c r="EC68" i="10"/>
  <c r="EX48" i="10"/>
  <c r="EX68" i="10"/>
  <c r="EF6" i="23"/>
  <c r="FH8" i="10"/>
  <c r="ER6" i="46"/>
  <c r="EF6" i="7"/>
  <c r="FH6" i="23"/>
  <c r="FZ48" i="10"/>
  <c r="FZ68" i="10"/>
  <c r="GJ8" i="10"/>
  <c r="FT6" i="46"/>
  <c r="FH6" i="7"/>
  <c r="EN48" i="10"/>
  <c r="EN68" i="10"/>
  <c r="DV6" i="23"/>
  <c r="EX8" i="10"/>
  <c r="EH6" i="46"/>
  <c r="DV6" i="7"/>
  <c r="FS48" i="10"/>
  <c r="FS68" i="10"/>
  <c r="FA6" i="23"/>
  <c r="GC8" i="10"/>
  <c r="FM6" i="46"/>
  <c r="FA6" i="7"/>
  <c r="EY6" i="23"/>
  <c r="FQ48" i="10"/>
  <c r="FQ68" i="10"/>
  <c r="GA8" i="10"/>
  <c r="FK6" i="46"/>
  <c r="EY6" i="7"/>
  <c r="EM48" i="10"/>
  <c r="EM68" i="10"/>
  <c r="DU6" i="23"/>
  <c r="EW8" i="10"/>
  <c r="EG6" i="46"/>
  <c r="DU6" i="7"/>
  <c r="FI48" i="10"/>
  <c r="FI68" i="10"/>
  <c r="EQ6" i="23"/>
  <c r="FS8" i="10"/>
  <c r="FC6" i="46"/>
  <c r="EQ6" i="7"/>
  <c r="U157" i="4"/>
  <c r="V155" i="4"/>
  <c r="DW6" i="26"/>
  <c r="DW6" i="13"/>
  <c r="FM6" i="26"/>
  <c r="FM6" i="13"/>
  <c r="FI6" i="26"/>
  <c r="FI6" i="13"/>
  <c r="EH6" i="26"/>
  <c r="EH6" i="13"/>
  <c r="FJ6" i="26"/>
  <c r="FJ6" i="13"/>
  <c r="FK6" i="26"/>
  <c r="FK6" i="13"/>
  <c r="FC6" i="26"/>
  <c r="FC6" i="13"/>
  <c r="FT6" i="26"/>
  <c r="FT6" i="13"/>
  <c r="FL6" i="26"/>
  <c r="FL6" i="13"/>
  <c r="EG6" i="26"/>
  <c r="EG6" i="13"/>
  <c r="ER6" i="26"/>
  <c r="ER6" i="13"/>
  <c r="FN6" i="26"/>
  <c r="FN6" i="13"/>
  <c r="C77" i="10"/>
  <c r="D77" i="10"/>
  <c r="FI6" i="23"/>
  <c r="GA48" i="10"/>
  <c r="GA68" i="10"/>
  <c r="GK8" i="10"/>
  <c r="FU6" i="46"/>
  <c r="FI6" i="7"/>
  <c r="EZ48" i="10"/>
  <c r="EZ68" i="10"/>
  <c r="EH6" i="23"/>
  <c r="FJ8" i="10"/>
  <c r="ET6" i="46"/>
  <c r="EH6" i="7"/>
  <c r="FJ6" i="23"/>
  <c r="GB48" i="10"/>
  <c r="GB68" i="10"/>
  <c r="GL8" i="10"/>
  <c r="FV6" i="46"/>
  <c r="FJ6" i="7"/>
  <c r="FM6" i="23"/>
  <c r="GE48" i="10"/>
  <c r="GE68" i="10"/>
  <c r="GO8" i="10"/>
  <c r="FY6" i="46"/>
  <c r="FM6" i="7"/>
  <c r="FU48" i="10"/>
  <c r="FU68" i="10"/>
  <c r="FC6" i="23"/>
  <c r="GE8" i="10"/>
  <c r="FO6" i="46"/>
  <c r="FC6" i="7"/>
  <c r="GL48" i="10"/>
  <c r="GL68" i="10"/>
  <c r="FT6" i="23"/>
  <c r="GV8" i="10"/>
  <c r="GF6" i="46"/>
  <c r="FT6" i="7"/>
  <c r="FL6" i="23"/>
  <c r="GD48" i="10"/>
  <c r="GD68" i="10"/>
  <c r="GN8" i="10"/>
  <c r="FX6" i="46"/>
  <c r="FL6" i="7"/>
  <c r="EY48" i="10"/>
  <c r="EY68" i="10"/>
  <c r="EG6" i="23"/>
  <c r="FI8" i="10"/>
  <c r="ES6" i="46"/>
  <c r="EG6" i="7"/>
  <c r="ER6" i="23"/>
  <c r="FJ48" i="10"/>
  <c r="FJ68" i="10"/>
  <c r="FT8" i="10"/>
  <c r="FD6" i="46"/>
  <c r="ER6" i="7"/>
  <c r="FN6" i="23"/>
  <c r="GF48" i="10"/>
  <c r="GF68" i="10"/>
  <c r="GP8" i="10"/>
  <c r="FZ6" i="46"/>
  <c r="FN6" i="7"/>
  <c r="GC48" i="10"/>
  <c r="GC68" i="10"/>
  <c r="FK6" i="23"/>
  <c r="GM8" i="10"/>
  <c r="FW6" i="46"/>
  <c r="FK6" i="7"/>
  <c r="C57" i="10"/>
  <c r="DW6" i="23"/>
  <c r="EO48" i="10"/>
  <c r="EO68" i="10"/>
  <c r="EY8" i="10"/>
  <c r="EI6" i="46"/>
  <c r="DW6" i="7"/>
  <c r="V157" i="4"/>
  <c r="W155" i="4"/>
  <c r="FZ6" i="26"/>
  <c r="FZ6" i="13"/>
  <c r="FD6" i="26"/>
  <c r="FD6" i="13"/>
  <c r="FY6" i="26"/>
  <c r="FY6" i="13"/>
  <c r="ES6" i="26"/>
  <c r="ES6" i="13"/>
  <c r="FO6" i="26"/>
  <c r="FO6" i="13"/>
  <c r="FV6" i="26"/>
  <c r="FV6" i="13"/>
  <c r="FX6" i="26"/>
  <c r="FX6" i="13"/>
  <c r="ET6" i="26"/>
  <c r="ET6" i="13"/>
  <c r="EI6" i="26"/>
  <c r="EI6" i="13"/>
  <c r="FW6" i="26"/>
  <c r="FW6" i="13"/>
  <c r="GF6" i="26"/>
  <c r="GF6" i="13"/>
  <c r="FU6" i="26"/>
  <c r="FU6" i="13"/>
  <c r="FV6" i="23"/>
  <c r="GN48" i="10"/>
  <c r="GN68" i="10"/>
  <c r="GX8" i="10"/>
  <c r="GH6" i="46"/>
  <c r="FV6" i="7"/>
  <c r="GP48" i="10"/>
  <c r="GP68" i="10"/>
  <c r="FX6" i="23"/>
  <c r="GZ8" i="10"/>
  <c r="GJ6" i="46"/>
  <c r="FX6" i="7"/>
  <c r="FA48" i="10"/>
  <c r="FA68" i="10"/>
  <c r="EI6" i="23"/>
  <c r="FK8" i="10"/>
  <c r="EU6" i="46"/>
  <c r="EI6" i="7"/>
  <c r="GO48" i="10"/>
  <c r="GO68" i="10"/>
  <c r="FW6" i="23"/>
  <c r="FW6" i="7"/>
  <c r="GY8" i="10"/>
  <c r="GI6" i="46"/>
  <c r="GX48" i="10"/>
  <c r="GX68" i="10"/>
  <c r="GF6" i="23"/>
  <c r="HH8" i="10"/>
  <c r="GR6" i="46"/>
  <c r="GF6" i="7"/>
  <c r="FL48" i="10"/>
  <c r="FL68" i="10"/>
  <c r="ET6" i="23"/>
  <c r="FV8" i="10"/>
  <c r="FF6" i="46"/>
  <c r="ET6" i="7"/>
  <c r="FK48" i="10"/>
  <c r="FK68" i="10"/>
  <c r="ES6" i="23"/>
  <c r="FU8" i="10"/>
  <c r="FE6" i="46"/>
  <c r="ES6" i="7"/>
  <c r="FZ6" i="23"/>
  <c r="GR48" i="10"/>
  <c r="GR68" i="10"/>
  <c r="HB8" i="10"/>
  <c r="GL6" i="46"/>
  <c r="FZ6" i="7"/>
  <c r="GG48" i="10"/>
  <c r="GG68" i="10"/>
  <c r="FO6" i="23"/>
  <c r="GQ8" i="10"/>
  <c r="GA6" i="46"/>
  <c r="FO6" i="7"/>
  <c r="GM48" i="10"/>
  <c r="GM68" i="10"/>
  <c r="FU6" i="23"/>
  <c r="FU6" i="7"/>
  <c r="GW8" i="10"/>
  <c r="GG6" i="46"/>
  <c r="FV48" i="10"/>
  <c r="FV68" i="10"/>
  <c r="FD6" i="23"/>
  <c r="FD6" i="7"/>
  <c r="GF8" i="10"/>
  <c r="FP6" i="46"/>
  <c r="GQ48" i="10"/>
  <c r="GQ68" i="10"/>
  <c r="FY6" i="23"/>
  <c r="HA8" i="10"/>
  <c r="GK6" i="46"/>
  <c r="FY6" i="7"/>
  <c r="W157" i="4"/>
  <c r="X155" i="4"/>
  <c r="DT153" i="4"/>
  <c r="DS153" i="4"/>
  <c r="DR153" i="4"/>
  <c r="DQ153" i="4"/>
  <c r="DP153" i="4"/>
  <c r="DO153" i="4"/>
  <c r="DN153" i="4"/>
  <c r="DM153" i="4"/>
  <c r="DL153" i="4"/>
  <c r="DK153" i="4"/>
  <c r="DJ153" i="4"/>
  <c r="DI153" i="4"/>
  <c r="DH153" i="4"/>
  <c r="DG153" i="4"/>
  <c r="DF153" i="4"/>
  <c r="DE153" i="4"/>
  <c r="DD153" i="4"/>
  <c r="DC153" i="4"/>
  <c r="DB153" i="4"/>
  <c r="DA153" i="4"/>
  <c r="CZ153" i="4"/>
  <c r="CY153" i="4"/>
  <c r="CX153" i="4"/>
  <c r="CW153" i="4"/>
  <c r="CV153" i="4"/>
  <c r="CU153" i="4"/>
  <c r="CT153" i="4"/>
  <c r="CS153" i="4"/>
  <c r="CR153" i="4"/>
  <c r="CQ153" i="4"/>
  <c r="CP153" i="4"/>
  <c r="CO153" i="4"/>
  <c r="CN153" i="4"/>
  <c r="CM153" i="4"/>
  <c r="CL153" i="4"/>
  <c r="CK153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W153" i="4"/>
  <c r="BV153" i="4"/>
  <c r="BU153" i="4"/>
  <c r="BT153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B13" i="13"/>
  <c r="GL6" i="26"/>
  <c r="GL6" i="13"/>
  <c r="EU6" i="26"/>
  <c r="EU6" i="13"/>
  <c r="FP6" i="26"/>
  <c r="FP6" i="13"/>
  <c r="FF6" i="26"/>
  <c r="FF6" i="13"/>
  <c r="GH6" i="26"/>
  <c r="GH6" i="13"/>
  <c r="GG6" i="26"/>
  <c r="GG6" i="13"/>
  <c r="GR6" i="26"/>
  <c r="GR6" i="13"/>
  <c r="GI6" i="26"/>
  <c r="GI6" i="13"/>
  <c r="GA6" i="26"/>
  <c r="GA6" i="13"/>
  <c r="GK6" i="26"/>
  <c r="GK6" i="13"/>
  <c r="FE6" i="26"/>
  <c r="FE6" i="13"/>
  <c r="GJ6" i="26"/>
  <c r="GJ6" i="13"/>
  <c r="E161" i="4"/>
  <c r="F161" i="4"/>
  <c r="FE6" i="23"/>
  <c r="FW48" i="10"/>
  <c r="FW68" i="10"/>
  <c r="FE6" i="7"/>
  <c r="GG8" i="10"/>
  <c r="FQ6" i="46"/>
  <c r="GH48" i="10"/>
  <c r="GH68" i="10"/>
  <c r="FP6" i="23"/>
  <c r="GR8" i="10"/>
  <c r="GB6" i="46"/>
  <c r="FP6" i="7"/>
  <c r="HB48" i="10"/>
  <c r="HB68" i="10"/>
  <c r="GJ6" i="23"/>
  <c r="HL8" i="10"/>
  <c r="GV6" i="46"/>
  <c r="GJ6" i="7"/>
  <c r="FF6" i="23"/>
  <c r="FX48" i="10"/>
  <c r="FX68" i="10"/>
  <c r="GH8" i="10"/>
  <c r="FR6" i="46"/>
  <c r="FF6" i="7"/>
  <c r="GZ48" i="10"/>
  <c r="GZ68" i="10"/>
  <c r="GH6" i="23"/>
  <c r="GH6" i="7"/>
  <c r="HJ8" i="10"/>
  <c r="GT6" i="46"/>
  <c r="GR6" i="23"/>
  <c r="HJ48" i="10"/>
  <c r="HJ68" i="10"/>
  <c r="GR6" i="7"/>
  <c r="HT8" i="10"/>
  <c r="HD6" i="46"/>
  <c r="GL6" i="23"/>
  <c r="HD48" i="10"/>
  <c r="HD68" i="10"/>
  <c r="HN8" i="10"/>
  <c r="GX6" i="46"/>
  <c r="GL6" i="7"/>
  <c r="FM48" i="10"/>
  <c r="FM68" i="10"/>
  <c r="EU6" i="23"/>
  <c r="FW8" i="10"/>
  <c r="FG6" i="46"/>
  <c r="EU6" i="7"/>
  <c r="GK6" i="23"/>
  <c r="HC48" i="10"/>
  <c r="HC68" i="10"/>
  <c r="HM8" i="10"/>
  <c r="GW6" i="46"/>
  <c r="GK6" i="7"/>
  <c r="GY48" i="10"/>
  <c r="GY68" i="10"/>
  <c r="GG6" i="23"/>
  <c r="HI8" i="10"/>
  <c r="GS6" i="46"/>
  <c r="GG6" i="7"/>
  <c r="GS48" i="10"/>
  <c r="GS68" i="10"/>
  <c r="GA6" i="23"/>
  <c r="HC8" i="10"/>
  <c r="GM6" i="46"/>
  <c r="GA6" i="7"/>
  <c r="HA48" i="10"/>
  <c r="HA68" i="10"/>
  <c r="GI6" i="23"/>
  <c r="HK8" i="10"/>
  <c r="GU6" i="46"/>
  <c r="GI6" i="7"/>
  <c r="Y155" i="4"/>
  <c r="X157" i="4"/>
  <c r="DR13" i="13"/>
  <c r="DQ13" i="13"/>
  <c r="DP13" i="13"/>
  <c r="DO13" i="13"/>
  <c r="DN13" i="13"/>
  <c r="DM13" i="13"/>
  <c r="DL13" i="13"/>
  <c r="DK13" i="13"/>
  <c r="DJ13" i="13"/>
  <c r="DI13" i="13"/>
  <c r="DH13" i="13"/>
  <c r="DG13" i="13"/>
  <c r="DF13" i="13"/>
  <c r="DE13" i="13"/>
  <c r="DD13" i="13"/>
  <c r="DC13" i="13"/>
  <c r="DB13" i="13"/>
  <c r="DA13" i="13"/>
  <c r="CZ13" i="13"/>
  <c r="CY13" i="13"/>
  <c r="CX13" i="13"/>
  <c r="CW13" i="13"/>
  <c r="CV13" i="13"/>
  <c r="CU13" i="13"/>
  <c r="CT13" i="13"/>
  <c r="CS13" i="13"/>
  <c r="CR13" i="13"/>
  <c r="CQ13" i="13"/>
  <c r="CP13" i="13"/>
  <c r="CO13" i="13"/>
  <c r="CN13" i="13"/>
  <c r="CM13" i="13"/>
  <c r="CL13" i="13"/>
  <c r="CK13" i="13"/>
  <c r="CJ13" i="13"/>
  <c r="CI13" i="13"/>
  <c r="CH13" i="13"/>
  <c r="CG13" i="13"/>
  <c r="CF13" i="13"/>
  <c r="CE13" i="13"/>
  <c r="CD13" i="13"/>
  <c r="CC13" i="13"/>
  <c r="CB13" i="13"/>
  <c r="CA13" i="13"/>
  <c r="BZ13" i="13"/>
  <c r="BY13" i="13"/>
  <c r="BX13" i="13"/>
  <c r="BW13" i="13"/>
  <c r="BV13" i="13"/>
  <c r="BU13" i="13"/>
  <c r="BT13" i="13"/>
  <c r="BS13" i="13"/>
  <c r="BR13" i="13"/>
  <c r="BQ13" i="13"/>
  <c r="BP13" i="13"/>
  <c r="BO13" i="13"/>
  <c r="BN13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C35" i="13"/>
  <c r="W6" i="13"/>
  <c r="T5" i="13"/>
  <c r="I5" i="13"/>
  <c r="DR4" i="13"/>
  <c r="DQ4" i="13"/>
  <c r="DP4" i="13"/>
  <c r="DO4" i="13"/>
  <c r="DN4" i="13"/>
  <c r="DM4" i="13"/>
  <c r="DL4" i="13"/>
  <c r="DK4" i="13"/>
  <c r="DJ4" i="13"/>
  <c r="DI4" i="13"/>
  <c r="DH4" i="13"/>
  <c r="DG4" i="13"/>
  <c r="DF4" i="13"/>
  <c r="DE4" i="13"/>
  <c r="DD4" i="13"/>
  <c r="DC4" i="13"/>
  <c r="DB4" i="13"/>
  <c r="DA4" i="13"/>
  <c r="CZ4" i="13"/>
  <c r="CY4" i="13"/>
  <c r="CX4" i="13"/>
  <c r="CW4" i="13"/>
  <c r="CV4" i="13"/>
  <c r="CU4" i="13"/>
  <c r="CT4" i="13"/>
  <c r="CS4" i="13"/>
  <c r="CR4" i="13"/>
  <c r="CQ4" i="13"/>
  <c r="CP4" i="13"/>
  <c r="CO4" i="13"/>
  <c r="CN4" i="13"/>
  <c r="CM4" i="13"/>
  <c r="CL4" i="13"/>
  <c r="CK4" i="13"/>
  <c r="CJ4" i="13"/>
  <c r="CI4" i="13"/>
  <c r="CH4" i="13"/>
  <c r="CG4" i="13"/>
  <c r="CF4" i="13"/>
  <c r="CE4" i="13"/>
  <c r="CD4" i="13"/>
  <c r="CC4" i="13"/>
  <c r="CB4" i="13"/>
  <c r="CA4" i="13"/>
  <c r="BZ4" i="13"/>
  <c r="BY4" i="13"/>
  <c r="BX4" i="13"/>
  <c r="BW4" i="13"/>
  <c r="BV4" i="13"/>
  <c r="BU4" i="13"/>
  <c r="BT4" i="13"/>
  <c r="BS4" i="13"/>
  <c r="BR4" i="13"/>
  <c r="BQ4" i="13"/>
  <c r="BP4" i="13"/>
  <c r="BO4" i="13"/>
  <c r="BN4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O8" i="7"/>
  <c r="P8" i="7"/>
  <c r="Q8" i="7"/>
  <c r="R8" i="7"/>
  <c r="S8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CY4" i="7"/>
  <c r="CZ4" i="7"/>
  <c r="DA4" i="7"/>
  <c r="DB4" i="7"/>
  <c r="DC4" i="7"/>
  <c r="DD4" i="7"/>
  <c r="DE4" i="7"/>
  <c r="DF4" i="7"/>
  <c r="DG4" i="7"/>
  <c r="DH4" i="7"/>
  <c r="DI4" i="7"/>
  <c r="DJ4" i="7"/>
  <c r="DK4" i="7"/>
  <c r="DL4" i="7"/>
  <c r="DM4" i="7"/>
  <c r="DN4" i="7"/>
  <c r="DO4" i="7"/>
  <c r="DP4" i="7"/>
  <c r="DQ4" i="7"/>
  <c r="DR4" i="7"/>
  <c r="C4" i="7"/>
  <c r="I6" i="13"/>
  <c r="J6" i="13"/>
  <c r="K6" i="7"/>
  <c r="BG6" i="13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BH5" i="10"/>
  <c r="BI5" i="10"/>
  <c r="BJ5" i="10"/>
  <c r="BK5" i="10"/>
  <c r="BL5" i="10"/>
  <c r="BM5" i="10"/>
  <c r="BN5" i="10"/>
  <c r="BO5" i="10"/>
  <c r="BP5" i="10"/>
  <c r="BQ5" i="10"/>
  <c r="BR5" i="10"/>
  <c r="BS5" i="10"/>
  <c r="BT5" i="10"/>
  <c r="BU5" i="10"/>
  <c r="BV5" i="10"/>
  <c r="BW5" i="10"/>
  <c r="BX5" i="10"/>
  <c r="BY5" i="10"/>
  <c r="BZ5" i="10"/>
  <c r="CA5" i="10"/>
  <c r="CB5" i="10"/>
  <c r="CC5" i="10"/>
  <c r="CD5" i="10"/>
  <c r="CE5" i="10"/>
  <c r="CF5" i="10"/>
  <c r="CG5" i="10"/>
  <c r="CH5" i="10"/>
  <c r="CI5" i="10"/>
  <c r="CJ5" i="10"/>
  <c r="CK5" i="10"/>
  <c r="CL5" i="10"/>
  <c r="CM5" i="10"/>
  <c r="CN5" i="10"/>
  <c r="CO5" i="10"/>
  <c r="CP5" i="10"/>
  <c r="CQ5" i="10"/>
  <c r="CR5" i="10"/>
  <c r="CS5" i="10"/>
  <c r="CT5" i="10"/>
  <c r="CU5" i="10"/>
  <c r="CV5" i="10"/>
  <c r="CW5" i="10"/>
  <c r="CX5" i="10"/>
  <c r="CY5" i="10"/>
  <c r="CZ5" i="10"/>
  <c r="DA5" i="10"/>
  <c r="DB5" i="10"/>
  <c r="DC5" i="10"/>
  <c r="DD5" i="10"/>
  <c r="DE5" i="10"/>
  <c r="DF5" i="10"/>
  <c r="DG5" i="10"/>
  <c r="DH5" i="10"/>
  <c r="DI5" i="10"/>
  <c r="DJ5" i="10"/>
  <c r="DK5" i="10"/>
  <c r="DL5" i="10"/>
  <c r="DM5" i="10"/>
  <c r="DN5" i="10"/>
  <c r="DO5" i="10"/>
  <c r="DP5" i="10"/>
  <c r="DQ5" i="10"/>
  <c r="DR5" i="10"/>
  <c r="DS5" i="10"/>
  <c r="DT5" i="10"/>
  <c r="DU5" i="10"/>
  <c r="DV5" i="10"/>
  <c r="DW5" i="10"/>
  <c r="DX5" i="10"/>
  <c r="DY5" i="10"/>
  <c r="DZ5" i="10"/>
  <c r="EA5" i="10"/>
  <c r="EB5" i="10"/>
  <c r="EC5" i="10"/>
  <c r="ED5" i="10"/>
  <c r="EE5" i="10"/>
  <c r="EF5" i="10"/>
  <c r="EG5" i="10"/>
  <c r="EH5" i="10"/>
  <c r="EI5" i="10"/>
  <c r="EJ5" i="10"/>
  <c r="EK5" i="10"/>
  <c r="EL5" i="10"/>
  <c r="EM5" i="10"/>
  <c r="EN5" i="10"/>
  <c r="EO5" i="10"/>
  <c r="EP5" i="10"/>
  <c r="EQ5" i="10"/>
  <c r="ER5" i="10"/>
  <c r="ES5" i="10"/>
  <c r="ET5" i="10"/>
  <c r="EU5" i="10"/>
  <c r="EV5" i="10"/>
  <c r="EW5" i="10"/>
  <c r="EX5" i="10"/>
  <c r="EY5" i="10"/>
  <c r="EZ5" i="10"/>
  <c r="FA5" i="10"/>
  <c r="FB5" i="10"/>
  <c r="FC5" i="10"/>
  <c r="FD5" i="10"/>
  <c r="FE5" i="10"/>
  <c r="FF5" i="10"/>
  <c r="FG5" i="10"/>
  <c r="FH5" i="10"/>
  <c r="FI5" i="10"/>
  <c r="FJ5" i="10"/>
  <c r="FK5" i="10"/>
  <c r="FL5" i="10"/>
  <c r="FM5" i="10"/>
  <c r="FN5" i="10"/>
  <c r="FO5" i="10"/>
  <c r="FP5" i="10"/>
  <c r="FQ5" i="10"/>
  <c r="FR5" i="10"/>
  <c r="FS5" i="10"/>
  <c r="FT5" i="10"/>
  <c r="FU5" i="10"/>
  <c r="FV5" i="10"/>
  <c r="FW5" i="10"/>
  <c r="FX5" i="10"/>
  <c r="FY5" i="10"/>
  <c r="FZ5" i="10"/>
  <c r="GA5" i="10"/>
  <c r="GB5" i="10"/>
  <c r="GC5" i="10"/>
  <c r="GD5" i="10"/>
  <c r="GE5" i="10"/>
  <c r="GF5" i="10"/>
  <c r="GG5" i="10"/>
  <c r="GH5" i="10"/>
  <c r="GI5" i="10"/>
  <c r="GJ5" i="10"/>
  <c r="GK5" i="10"/>
  <c r="GL5" i="10"/>
  <c r="GM5" i="10"/>
  <c r="GN5" i="10"/>
  <c r="GO5" i="10"/>
  <c r="GP5" i="10"/>
  <c r="GQ5" i="10"/>
  <c r="GR5" i="10"/>
  <c r="GS5" i="10"/>
  <c r="GT5" i="10"/>
  <c r="GU5" i="10"/>
  <c r="GV5" i="10"/>
  <c r="GW5" i="10"/>
  <c r="GX5" i="10"/>
  <c r="GY5" i="10"/>
  <c r="GZ5" i="10"/>
  <c r="HA5" i="10"/>
  <c r="HB5" i="10"/>
  <c r="HC5" i="10"/>
  <c r="HD5" i="10"/>
  <c r="HE5" i="10"/>
  <c r="HF5" i="10"/>
  <c r="HG5" i="10"/>
  <c r="W18" i="10"/>
  <c r="AL7" i="10"/>
  <c r="K5" i="26"/>
  <c r="V5" i="26"/>
  <c r="V5" i="46"/>
  <c r="U5" i="26"/>
  <c r="U5" i="46"/>
  <c r="L5" i="26"/>
  <c r="L5" i="46"/>
  <c r="GV6" i="26"/>
  <c r="GV6" i="13"/>
  <c r="GU6" i="26"/>
  <c r="GU6" i="13"/>
  <c r="HD6" i="26"/>
  <c r="HD6" i="13"/>
  <c r="FQ6" i="26"/>
  <c r="FQ6" i="13"/>
  <c r="GM6" i="26"/>
  <c r="GM6" i="13"/>
  <c r="GT6" i="26"/>
  <c r="GT6" i="13"/>
  <c r="FG6" i="26"/>
  <c r="FG6" i="13"/>
  <c r="GX6" i="26"/>
  <c r="GX6" i="13"/>
  <c r="GB6" i="26"/>
  <c r="GB6" i="13"/>
  <c r="GS6" i="26"/>
  <c r="GS6" i="13"/>
  <c r="GW6" i="26"/>
  <c r="GW6" i="13"/>
  <c r="FR6" i="26"/>
  <c r="FR6" i="13"/>
  <c r="D37" i="45"/>
  <c r="L17" i="26"/>
  <c r="AX7" i="10"/>
  <c r="V5" i="23"/>
  <c r="AN47" i="10"/>
  <c r="AN67" i="10"/>
  <c r="HN48" i="10"/>
  <c r="HN68" i="10"/>
  <c r="GV6" i="23"/>
  <c r="HX8" i="10"/>
  <c r="HH6" i="46"/>
  <c r="GV6" i="7"/>
  <c r="AW7" i="10"/>
  <c r="AG5" i="46"/>
  <c r="AM47" i="10"/>
  <c r="AM67" i="10"/>
  <c r="U5" i="23"/>
  <c r="L5" i="13"/>
  <c r="AD47" i="10"/>
  <c r="AD67" i="10"/>
  <c r="L5" i="23"/>
  <c r="GM6" i="23"/>
  <c r="HE48" i="10"/>
  <c r="HE68" i="10"/>
  <c r="GM6" i="7"/>
  <c r="HO8" i="10"/>
  <c r="GY6" i="46"/>
  <c r="HV48" i="10"/>
  <c r="HV68" i="10"/>
  <c r="HD6" i="23"/>
  <c r="IF8" i="10"/>
  <c r="HP6" i="46"/>
  <c r="HD6" i="7"/>
  <c r="GT48" i="10"/>
  <c r="GT68" i="10"/>
  <c r="GB6" i="23"/>
  <c r="HD8" i="10"/>
  <c r="GN6" i="46"/>
  <c r="GB6" i="7"/>
  <c r="GX6" i="23"/>
  <c r="HP48" i="10"/>
  <c r="HP68" i="10"/>
  <c r="HZ8" i="10"/>
  <c r="HJ6" i="46"/>
  <c r="GX6" i="7"/>
  <c r="FQ6" i="23"/>
  <c r="GI48" i="10"/>
  <c r="GI68" i="10"/>
  <c r="GS8" i="10"/>
  <c r="GC6" i="46"/>
  <c r="FQ6" i="7"/>
  <c r="AM7" i="10"/>
  <c r="K5" i="23"/>
  <c r="AC47" i="10"/>
  <c r="AC67" i="10"/>
  <c r="FG6" i="23"/>
  <c r="FY48" i="10"/>
  <c r="FY68" i="10"/>
  <c r="GI8" i="10"/>
  <c r="FS6" i="46"/>
  <c r="FG6" i="7"/>
  <c r="D18" i="10"/>
  <c r="HM48" i="10"/>
  <c r="HM68" i="10"/>
  <c r="GU6" i="23"/>
  <c r="HW8" i="10"/>
  <c r="HG6" i="46"/>
  <c r="GU6" i="7"/>
  <c r="GT6" i="23"/>
  <c r="HL48" i="10"/>
  <c r="HL68" i="10"/>
  <c r="HV8" i="10"/>
  <c r="HF6" i="46"/>
  <c r="GT6" i="7"/>
  <c r="GS6" i="23"/>
  <c r="HK48" i="10"/>
  <c r="HK68" i="10"/>
  <c r="HU8" i="10"/>
  <c r="HE6" i="46"/>
  <c r="GS6" i="7"/>
  <c r="GW6" i="23"/>
  <c r="HO48" i="10"/>
  <c r="HO68" i="10"/>
  <c r="HY8" i="10"/>
  <c r="HI6" i="46"/>
  <c r="GW6" i="7"/>
  <c r="GJ48" i="10"/>
  <c r="GJ68" i="10"/>
  <c r="FR6" i="23"/>
  <c r="FR6" i="7"/>
  <c r="GT8" i="10"/>
  <c r="GD6" i="46"/>
  <c r="B18" i="10"/>
  <c r="B16" i="10"/>
  <c r="B15" i="10"/>
  <c r="U5" i="7"/>
  <c r="U5" i="13"/>
  <c r="V5" i="13"/>
  <c r="Z155" i="4"/>
  <c r="Y157" i="4"/>
  <c r="C18" i="10"/>
  <c r="J5" i="13"/>
  <c r="V5" i="7"/>
  <c r="K5" i="13"/>
  <c r="K6" i="13"/>
  <c r="AU6" i="13"/>
  <c r="W6" i="7"/>
  <c r="AI6" i="13"/>
  <c r="AI6" i="7"/>
  <c r="AU6" i="7"/>
  <c r="T6" i="13"/>
  <c r="H5" i="7"/>
  <c r="K5" i="7"/>
  <c r="J5" i="7"/>
  <c r="K17" i="7"/>
  <c r="K19" i="7" s="1"/>
  <c r="I5" i="7"/>
  <c r="J6" i="7"/>
  <c r="V6" i="13"/>
  <c r="I6" i="7"/>
  <c r="U6" i="13"/>
  <c r="AN7" i="10"/>
  <c r="L5" i="7"/>
  <c r="L6" i="13"/>
  <c r="AF5" i="26"/>
  <c r="T5" i="7"/>
  <c r="BS6" i="13"/>
  <c r="BG6" i="7"/>
  <c r="W5" i="26"/>
  <c r="W5" i="46"/>
  <c r="M18" i="26"/>
  <c r="X5" i="26"/>
  <c r="X5" i="46"/>
  <c r="AH5" i="26"/>
  <c r="AH5" i="46"/>
  <c r="HE6" i="26"/>
  <c r="HE6" i="13"/>
  <c r="GC6" i="26"/>
  <c r="GC6" i="13"/>
  <c r="HJ6" i="26"/>
  <c r="HJ6" i="13"/>
  <c r="GN6" i="26"/>
  <c r="GN6" i="13"/>
  <c r="GD6" i="26"/>
  <c r="GD6" i="13"/>
  <c r="HP6" i="26"/>
  <c r="HP6" i="13"/>
  <c r="FS6" i="26"/>
  <c r="FS6" i="13"/>
  <c r="HI6" i="26"/>
  <c r="HI6" i="13"/>
  <c r="HF6" i="26"/>
  <c r="HF6" i="13"/>
  <c r="HH6" i="26"/>
  <c r="HH6" i="13"/>
  <c r="GY6" i="26"/>
  <c r="GY6" i="13"/>
  <c r="HG6" i="26"/>
  <c r="HG6" i="13"/>
  <c r="AH5" i="13"/>
  <c r="I18" i="7"/>
  <c r="I17" i="7"/>
  <c r="L19" i="26"/>
  <c r="AG5" i="7"/>
  <c r="AG5" i="26"/>
  <c r="AG5" i="13"/>
  <c r="AY7" i="10"/>
  <c r="AO47" i="10"/>
  <c r="AO67" i="10"/>
  <c r="W5" i="23"/>
  <c r="M18" i="7"/>
  <c r="M17" i="7"/>
  <c r="M19" i="7" s="1"/>
  <c r="W5" i="13"/>
  <c r="HJ6" i="23"/>
  <c r="IB48" i="10"/>
  <c r="IB68" i="10"/>
  <c r="IL8" i="10"/>
  <c r="HV6" i="46"/>
  <c r="HJ6" i="7"/>
  <c r="W17" i="7"/>
  <c r="W19" i="7" s="1"/>
  <c r="BI7" i="10"/>
  <c r="AY47" i="10"/>
  <c r="AY67" i="10"/>
  <c r="AG5" i="23"/>
  <c r="HY48" i="10"/>
  <c r="HY68" i="10"/>
  <c r="HG6" i="23"/>
  <c r="II8" i="10"/>
  <c r="HS6" i="46"/>
  <c r="HG6" i="7"/>
  <c r="HF48" i="10"/>
  <c r="HF68" i="10"/>
  <c r="GN6" i="23"/>
  <c r="HP8" i="10"/>
  <c r="GZ6" i="46"/>
  <c r="GN6" i="7"/>
  <c r="HZ48" i="10"/>
  <c r="HZ68" i="10"/>
  <c r="HH6" i="23"/>
  <c r="IJ8" i="10"/>
  <c r="HT6" i="46"/>
  <c r="HH6" i="7"/>
  <c r="GV48" i="10"/>
  <c r="GV68" i="10"/>
  <c r="GD6" i="23"/>
  <c r="GD6" i="7"/>
  <c r="HF8" i="10"/>
  <c r="GP6" i="46"/>
  <c r="IH48" i="10"/>
  <c r="IH68" i="10"/>
  <c r="HP6" i="23"/>
  <c r="IR8" i="10"/>
  <c r="IB6" i="46"/>
  <c r="HP6" i="7"/>
  <c r="IA48" i="10"/>
  <c r="IA68" i="10"/>
  <c r="HI6" i="23"/>
  <c r="IK8" i="10"/>
  <c r="HU6" i="46"/>
  <c r="HI6" i="7"/>
  <c r="X5" i="13"/>
  <c r="AP47" i="10"/>
  <c r="AP67" i="10"/>
  <c r="X5" i="23"/>
  <c r="HW48" i="10"/>
  <c r="HW68" i="10"/>
  <c r="HE6" i="23"/>
  <c r="IG8" i="10"/>
  <c r="HQ6" i="46"/>
  <c r="HE6" i="7"/>
  <c r="GC6" i="23"/>
  <c r="GU48" i="10"/>
  <c r="GU68" i="10"/>
  <c r="HE8" i="10"/>
  <c r="GO6" i="46"/>
  <c r="GC6" i="7"/>
  <c r="HX48" i="10"/>
  <c r="HX68" i="10"/>
  <c r="HF6" i="23"/>
  <c r="HF6" i="7"/>
  <c r="IH8" i="10"/>
  <c r="HR6" i="46"/>
  <c r="W5" i="7"/>
  <c r="GK48" i="10"/>
  <c r="GK68" i="10"/>
  <c r="FS6" i="23"/>
  <c r="GU8" i="10"/>
  <c r="GE6" i="46"/>
  <c r="FS6" i="7"/>
  <c r="BJ7" i="10"/>
  <c r="AZ47" i="10"/>
  <c r="AZ67" i="10"/>
  <c r="AH5" i="23"/>
  <c r="AH5" i="7"/>
  <c r="HQ48" i="10"/>
  <c r="HQ68" i="10"/>
  <c r="GY6" i="23"/>
  <c r="IA8" i="10"/>
  <c r="HK6" i="46"/>
  <c r="GY6" i="7"/>
  <c r="AF5" i="13"/>
  <c r="AX47" i="10"/>
  <c r="AX67" i="10"/>
  <c r="AF5" i="23"/>
  <c r="AA155" i="4"/>
  <c r="Z157" i="4"/>
  <c r="T6" i="7"/>
  <c r="AF6" i="13"/>
  <c r="AG6" i="13"/>
  <c r="U6" i="7"/>
  <c r="M6" i="13"/>
  <c r="L6" i="7"/>
  <c r="X6" i="13"/>
  <c r="AH6" i="13"/>
  <c r="V6" i="7"/>
  <c r="CE6" i="13"/>
  <c r="BS6" i="7"/>
  <c r="AZ7" i="10"/>
  <c r="X5" i="7"/>
  <c r="AR5" i="26"/>
  <c r="AF5" i="7"/>
  <c r="C5" i="26"/>
  <c r="AS5" i="26"/>
  <c r="AS5" i="46"/>
  <c r="AT5" i="26"/>
  <c r="AT5" i="46"/>
  <c r="M5" i="26"/>
  <c r="N17" i="26"/>
  <c r="M5" i="46"/>
  <c r="AI5" i="26"/>
  <c r="AI5" i="46"/>
  <c r="AJ5" i="26"/>
  <c r="AJ5" i="46"/>
  <c r="AB8" i="46"/>
  <c r="AB8" i="26"/>
  <c r="AT50" i="10"/>
  <c r="AT70" i="10"/>
  <c r="AB8" i="23"/>
  <c r="AB8" i="13"/>
  <c r="AB8" i="7"/>
  <c r="AC8" i="46"/>
  <c r="AC8" i="26"/>
  <c r="AU50" i="10"/>
  <c r="AU70" i="10"/>
  <c r="AC8" i="23"/>
  <c r="AC8" i="7"/>
  <c r="AC8" i="13"/>
  <c r="AD8" i="46"/>
  <c r="AD8" i="26"/>
  <c r="AV50" i="10"/>
  <c r="AV70" i="10"/>
  <c r="AD8" i="23"/>
  <c r="AD8" i="7"/>
  <c r="AD8" i="13"/>
  <c r="AE8" i="46"/>
  <c r="AE8" i="26"/>
  <c r="AE8" i="23"/>
  <c r="AW50" i="10"/>
  <c r="AW70" i="10"/>
  <c r="AE8" i="7"/>
  <c r="AE8" i="13"/>
  <c r="T8" i="46"/>
  <c r="T8" i="26"/>
  <c r="AL50" i="10"/>
  <c r="T8" i="23"/>
  <c r="T8" i="13"/>
  <c r="T8" i="7"/>
  <c r="E18" i="10"/>
  <c r="V8" i="46"/>
  <c r="V8" i="26"/>
  <c r="AN50" i="10"/>
  <c r="AN70" i="10"/>
  <c r="V8" i="23"/>
  <c r="V8" i="13"/>
  <c r="V8" i="7"/>
  <c r="W8" i="46"/>
  <c r="W8" i="26"/>
  <c r="W8" i="23"/>
  <c r="AO50" i="10"/>
  <c r="AO70" i="10"/>
  <c r="W8" i="7"/>
  <c r="W8" i="13"/>
  <c r="X8" i="46"/>
  <c r="X8" i="26"/>
  <c r="AP50" i="10"/>
  <c r="AP70" i="10"/>
  <c r="X8" i="23"/>
  <c r="X8" i="7"/>
  <c r="X8" i="13"/>
  <c r="Z8" i="46"/>
  <c r="Z8" i="26"/>
  <c r="AR50" i="10"/>
  <c r="AR70" i="10"/>
  <c r="Z8" i="23"/>
  <c r="Z8" i="7"/>
  <c r="Z8" i="13"/>
  <c r="U8" i="46"/>
  <c r="U8" i="26"/>
  <c r="AM50" i="10"/>
  <c r="AM70" i="10"/>
  <c r="U8" i="23"/>
  <c r="U8" i="13"/>
  <c r="U8" i="7"/>
  <c r="Y8" i="46"/>
  <c r="Y8" i="26"/>
  <c r="AQ50" i="10"/>
  <c r="AQ70" i="10"/>
  <c r="Y8" i="23"/>
  <c r="Y8" i="13"/>
  <c r="Y8" i="7"/>
  <c r="AA8" i="46"/>
  <c r="AA8" i="26"/>
  <c r="AS50" i="10"/>
  <c r="AS70" i="10"/>
  <c r="AA8" i="23"/>
  <c r="AA8" i="7"/>
  <c r="AA8" i="13"/>
  <c r="GP6" i="26"/>
  <c r="GP6" i="13"/>
  <c r="HV6" i="26"/>
  <c r="HV6" i="13"/>
  <c r="HT6" i="26"/>
  <c r="HT6" i="13"/>
  <c r="HR6" i="26"/>
  <c r="HR6" i="13"/>
  <c r="HK6" i="26"/>
  <c r="HK6" i="13"/>
  <c r="HS6" i="26"/>
  <c r="HS6" i="13"/>
  <c r="GE6" i="26"/>
  <c r="GE6" i="13"/>
  <c r="GO6" i="26"/>
  <c r="GO6" i="13"/>
  <c r="IB6" i="26"/>
  <c r="IB6" i="13"/>
  <c r="HQ6" i="26"/>
  <c r="HQ6" i="13"/>
  <c r="HU6" i="26"/>
  <c r="HU6" i="13"/>
  <c r="GZ6" i="26"/>
  <c r="GZ6" i="13"/>
  <c r="I19" i="7"/>
  <c r="D13" i="14"/>
  <c r="D18" i="26"/>
  <c r="D17" i="26"/>
  <c r="D19" i="26" s="1"/>
  <c r="HK6" i="23"/>
  <c r="IC48" i="10"/>
  <c r="IC68" i="10"/>
  <c r="IM8" i="10"/>
  <c r="HW6" i="46"/>
  <c r="HK6" i="7"/>
  <c r="IL48" i="10"/>
  <c r="IL68" i="10"/>
  <c r="HT6" i="23"/>
  <c r="IV8" i="10"/>
  <c r="IF6" i="46"/>
  <c r="HT6" i="7"/>
  <c r="IN48" i="10"/>
  <c r="IN68" i="10"/>
  <c r="HV6" i="23"/>
  <c r="IX8" i="10"/>
  <c r="IH6" i="46"/>
  <c r="HV6" i="7"/>
  <c r="IM48" i="10"/>
  <c r="IM68" i="10"/>
  <c r="HU6" i="23"/>
  <c r="HU6" i="7"/>
  <c r="IW8" i="10"/>
  <c r="IG6" i="46"/>
  <c r="II48" i="10"/>
  <c r="II68" i="10"/>
  <c r="HQ6" i="23"/>
  <c r="IS8" i="10"/>
  <c r="IC6" i="46"/>
  <c r="HQ6" i="7"/>
  <c r="BU7" i="10"/>
  <c r="BK47" i="10"/>
  <c r="BK67" i="10"/>
  <c r="AS5" i="23"/>
  <c r="AS5" i="13"/>
  <c r="AS5" i="7"/>
  <c r="GP6" i="23"/>
  <c r="HH48" i="10"/>
  <c r="HH68" i="10"/>
  <c r="HR8" i="10"/>
  <c r="HB6" i="46"/>
  <c r="GP6" i="7"/>
  <c r="AJ5" i="13"/>
  <c r="BB47" i="10"/>
  <c r="BB67" i="10"/>
  <c r="AJ5" i="23"/>
  <c r="IJ48" i="10"/>
  <c r="IJ68" i="10"/>
  <c r="HR6" i="23"/>
  <c r="IT8" i="10"/>
  <c r="ID6" i="46"/>
  <c r="HR6" i="7"/>
  <c r="HR48" i="10"/>
  <c r="HR68" i="10"/>
  <c r="GZ6" i="23"/>
  <c r="GZ6" i="7"/>
  <c r="IB8" i="10"/>
  <c r="HL6" i="46"/>
  <c r="BV7" i="10"/>
  <c r="BL47" i="10"/>
  <c r="BL67" i="10"/>
  <c r="AT5" i="23"/>
  <c r="AT5" i="13"/>
  <c r="AT5" i="7"/>
  <c r="C5" i="23"/>
  <c r="U47" i="10"/>
  <c r="U67" i="10"/>
  <c r="HG48" i="10"/>
  <c r="HG68" i="10"/>
  <c r="GO6" i="23"/>
  <c r="GO6" i="7"/>
  <c r="HQ8" i="10"/>
  <c r="HA6" i="46"/>
  <c r="BK7" i="10"/>
  <c r="BA47" i="10"/>
  <c r="BA67" i="10"/>
  <c r="AI5" i="23"/>
  <c r="AI5" i="7"/>
  <c r="AI5" i="13"/>
  <c r="M5" i="13"/>
  <c r="AE47" i="10"/>
  <c r="AE67" i="10"/>
  <c r="M5" i="23"/>
  <c r="IK48" i="10"/>
  <c r="IK68" i="10"/>
  <c r="HS6" i="23"/>
  <c r="HS6" i="7"/>
  <c r="IU8" i="10"/>
  <c r="IE6" i="46"/>
  <c r="AR5" i="13"/>
  <c r="BJ47" i="10"/>
  <c r="BJ67" i="10"/>
  <c r="AR5" i="23"/>
  <c r="GW48" i="10"/>
  <c r="GW68" i="10"/>
  <c r="GE6" i="23"/>
  <c r="GE6" i="7"/>
  <c r="HG8" i="10"/>
  <c r="GQ6" i="46"/>
  <c r="IB6" i="7"/>
  <c r="IT48" i="10"/>
  <c r="IT68" i="10"/>
  <c r="IB6" i="23"/>
  <c r="C5" i="7"/>
  <c r="L37" i="21"/>
  <c r="AB155" i="4"/>
  <c r="AA157" i="4"/>
  <c r="AF6" i="7"/>
  <c r="AR6" i="13"/>
  <c r="CQ6" i="13"/>
  <c r="CE6" i="7"/>
  <c r="AT6" i="13"/>
  <c r="AH6" i="7"/>
  <c r="AJ6" i="13"/>
  <c r="X6" i="7"/>
  <c r="BD5" i="26"/>
  <c r="AR5" i="7"/>
  <c r="M6" i="7"/>
  <c r="Y6" i="13"/>
  <c r="N6" i="13"/>
  <c r="AS6" i="13"/>
  <c r="AG6" i="7"/>
  <c r="BL7" i="10"/>
  <c r="AJ5" i="7"/>
  <c r="AO7" i="10"/>
  <c r="M5" i="7"/>
  <c r="C5" i="13"/>
  <c r="N18" i="26"/>
  <c r="AK18" i="26"/>
  <c r="BE5" i="26"/>
  <c r="BE5" i="46"/>
  <c r="Y5" i="26"/>
  <c r="Y5" i="46"/>
  <c r="BF5" i="26"/>
  <c r="BF5" i="46"/>
  <c r="AV5" i="26"/>
  <c r="AV5" i="46"/>
  <c r="AU5" i="26"/>
  <c r="AU5" i="46"/>
  <c r="N5" i="26"/>
  <c r="O18" i="26"/>
  <c r="N5" i="46"/>
  <c r="AM8" i="46"/>
  <c r="AM8" i="26"/>
  <c r="BE50" i="10"/>
  <c r="BE70" i="10"/>
  <c r="AM8" i="23"/>
  <c r="AM8" i="13"/>
  <c r="AM8" i="7"/>
  <c r="AP8" i="46"/>
  <c r="AP8" i="26"/>
  <c r="BH50" i="10"/>
  <c r="BH70" i="10"/>
  <c r="AP8" i="23"/>
  <c r="AP8" i="13"/>
  <c r="AP8" i="7"/>
  <c r="AK8" i="46"/>
  <c r="AK8" i="26"/>
  <c r="BC50" i="10"/>
  <c r="BC70" i="10"/>
  <c r="AK8" i="23"/>
  <c r="AK8" i="13"/>
  <c r="AK8" i="7"/>
  <c r="AL70" i="10"/>
  <c r="E77" i="10"/>
  <c r="E57" i="10"/>
  <c r="AJ8" i="46"/>
  <c r="AJ8" i="26"/>
  <c r="BB50" i="10"/>
  <c r="BB70" i="10"/>
  <c r="AJ8" i="23"/>
  <c r="AJ8" i="7"/>
  <c r="AJ8" i="13"/>
  <c r="AF8" i="46"/>
  <c r="AF8" i="26"/>
  <c r="AX50" i="10"/>
  <c r="AF8" i="23"/>
  <c r="AF8" i="7"/>
  <c r="AF8" i="13"/>
  <c r="F18" i="10"/>
  <c r="AG8" i="46"/>
  <c r="AG8" i="26"/>
  <c r="AY50" i="10"/>
  <c r="AY70" i="10"/>
  <c r="AG8" i="23"/>
  <c r="AG8" i="7"/>
  <c r="AG8" i="13"/>
  <c r="AI8" i="46"/>
  <c r="AI8" i="26"/>
  <c r="BA50" i="10"/>
  <c r="BA70" i="10"/>
  <c r="AI8" i="23"/>
  <c r="AI8" i="13"/>
  <c r="AI8" i="7"/>
  <c r="AL8" i="46"/>
  <c r="AL8" i="26"/>
  <c r="BD50" i="10"/>
  <c r="BD70" i="10"/>
  <c r="AL8" i="23"/>
  <c r="AL8" i="13"/>
  <c r="AL8" i="7"/>
  <c r="AH8" i="46"/>
  <c r="AH8" i="26"/>
  <c r="AZ50" i="10"/>
  <c r="AZ70" i="10"/>
  <c r="AH8" i="23"/>
  <c r="AH8" i="7"/>
  <c r="AH8" i="13"/>
  <c r="AO8" i="46"/>
  <c r="AO8" i="26"/>
  <c r="BG50" i="10"/>
  <c r="BG70" i="10"/>
  <c r="AO8" i="23"/>
  <c r="AO8" i="13"/>
  <c r="AO8" i="7"/>
  <c r="AQ8" i="46"/>
  <c r="AQ8" i="26"/>
  <c r="BI50" i="10"/>
  <c r="BI70" i="10"/>
  <c r="AQ8" i="23"/>
  <c r="AQ8" i="13"/>
  <c r="AQ8" i="7"/>
  <c r="AN8" i="46"/>
  <c r="AN8" i="26"/>
  <c r="BF50" i="10"/>
  <c r="BF70" i="10"/>
  <c r="AN8" i="23"/>
  <c r="AN8" i="7"/>
  <c r="AN8" i="13"/>
  <c r="HB6" i="26"/>
  <c r="HB6" i="13"/>
  <c r="IC6" i="26"/>
  <c r="IC6" i="13"/>
  <c r="IG6" i="26"/>
  <c r="IG6" i="13"/>
  <c r="ID6" i="26"/>
  <c r="ID6" i="13"/>
  <c r="IH6" i="26"/>
  <c r="IH6" i="13"/>
  <c r="HL6" i="26"/>
  <c r="HL6" i="13"/>
  <c r="HW6" i="26"/>
  <c r="HW6" i="13"/>
  <c r="GQ6" i="26"/>
  <c r="GQ6" i="13"/>
  <c r="HA6" i="26"/>
  <c r="HA6" i="13"/>
  <c r="IE6" i="26"/>
  <c r="IE6" i="13"/>
  <c r="IF6" i="26"/>
  <c r="IF6" i="13"/>
  <c r="D18" i="7"/>
  <c r="D17" i="7"/>
  <c r="O17" i="26"/>
  <c r="O19" i="26" s="1"/>
  <c r="HL6" i="23"/>
  <c r="ID48" i="10"/>
  <c r="ID68" i="10"/>
  <c r="IN8" i="10"/>
  <c r="HX6" i="46"/>
  <c r="HL6" i="7"/>
  <c r="CG7" i="10"/>
  <c r="BW47" i="10"/>
  <c r="BW67" i="10"/>
  <c r="BE5" i="23"/>
  <c r="BE5" i="7"/>
  <c r="BE5" i="13"/>
  <c r="ID6" i="7"/>
  <c r="IV48" i="10"/>
  <c r="IV68" i="10"/>
  <c r="ID6" i="23"/>
  <c r="Y5" i="13"/>
  <c r="AQ47" i="10"/>
  <c r="AQ67" i="10"/>
  <c r="Y5" i="23"/>
  <c r="HA6" i="23"/>
  <c r="HS48" i="10"/>
  <c r="HS68" i="10"/>
  <c r="IC8" i="10"/>
  <c r="HM6" i="46"/>
  <c r="HA6" i="7"/>
  <c r="IG6" i="7"/>
  <c r="IG6" i="23"/>
  <c r="IY48" i="10"/>
  <c r="IY68" i="10"/>
  <c r="AK18" i="7"/>
  <c r="AK17" i="7"/>
  <c r="AK19" i="7" s="1"/>
  <c r="IE6" i="7"/>
  <c r="IE6" i="23"/>
  <c r="IW48" i="10"/>
  <c r="IW68" i="10"/>
  <c r="IO48" i="10"/>
  <c r="IO68" i="10"/>
  <c r="HW6" i="23"/>
  <c r="IY8" i="10"/>
  <c r="II6" i="46"/>
  <c r="HW6" i="7"/>
  <c r="AV5" i="13"/>
  <c r="AV5" i="23"/>
  <c r="BN47" i="10"/>
  <c r="BN67" i="10"/>
  <c r="GQ6" i="23"/>
  <c r="HI48" i="10"/>
  <c r="HI68" i="10"/>
  <c r="GQ6" i="7"/>
  <c r="HS8" i="10"/>
  <c r="HC6" i="46"/>
  <c r="N5" i="13"/>
  <c r="AF47" i="10"/>
  <c r="AF67" i="10"/>
  <c r="N5" i="23"/>
  <c r="BW7" i="10"/>
  <c r="BM47" i="10"/>
  <c r="BM67" i="10"/>
  <c r="AU5" i="23"/>
  <c r="AU5" i="7"/>
  <c r="AU5" i="13"/>
  <c r="IF6" i="7"/>
  <c r="IF6" i="23"/>
  <c r="IX48" i="10"/>
  <c r="IX68" i="10"/>
  <c r="AK17" i="23"/>
  <c r="AK19" i="23" s="1"/>
  <c r="N18" i="23"/>
  <c r="N17" i="23"/>
  <c r="IH6" i="7"/>
  <c r="IH6" i="23"/>
  <c r="IZ48" i="10"/>
  <c r="IZ68" i="10"/>
  <c r="BD5" i="13"/>
  <c r="BD5" i="23"/>
  <c r="BV47" i="10"/>
  <c r="BV67" i="10"/>
  <c r="CH7" i="10"/>
  <c r="BX47" i="10"/>
  <c r="BX67" i="10"/>
  <c r="BF5" i="23"/>
  <c r="BF5" i="13"/>
  <c r="BF5" i="7"/>
  <c r="IC6" i="7"/>
  <c r="IU48" i="10"/>
  <c r="IU68" i="10"/>
  <c r="IC6" i="23"/>
  <c r="HT48" i="10"/>
  <c r="HT68" i="10"/>
  <c r="HB6" i="23"/>
  <c r="HB6" i="7"/>
  <c r="ID8" i="10"/>
  <c r="HN6" i="46"/>
  <c r="AC155" i="4"/>
  <c r="AB157" i="4"/>
  <c r="AR6" i="7"/>
  <c r="BD6" i="13"/>
  <c r="BA7" i="10"/>
  <c r="Y5" i="7"/>
  <c r="AV6" i="13"/>
  <c r="AJ6" i="7"/>
  <c r="BX7" i="10"/>
  <c r="AV5" i="7"/>
  <c r="BF6" i="13"/>
  <c r="AT6" i="7"/>
  <c r="BE6" i="13"/>
  <c r="AS6" i="7"/>
  <c r="DC6" i="13"/>
  <c r="CQ6" i="7"/>
  <c r="O6" i="13"/>
  <c r="AP7" i="10"/>
  <c r="N5" i="7"/>
  <c r="N6" i="7"/>
  <c r="Z6" i="13"/>
  <c r="AK6" i="13"/>
  <c r="Y6" i="7"/>
  <c r="CF7" i="10"/>
  <c r="BD5" i="7"/>
  <c r="D5" i="26"/>
  <c r="BP5" i="26"/>
  <c r="BP5" i="46"/>
  <c r="Z5" i="26"/>
  <c r="Z5" i="46"/>
  <c r="BQ5" i="26"/>
  <c r="BQ5" i="46"/>
  <c r="BG5" i="26"/>
  <c r="BG5" i="46"/>
  <c r="O5" i="26"/>
  <c r="O5" i="46"/>
  <c r="AK5" i="26"/>
  <c r="AK5" i="46"/>
  <c r="BR5" i="26"/>
  <c r="BR5" i="46"/>
  <c r="BH5" i="26"/>
  <c r="BH5" i="46"/>
  <c r="AT8" i="46"/>
  <c r="AT8" i="26"/>
  <c r="BL50" i="10"/>
  <c r="BL70" i="10"/>
  <c r="AT8" i="23"/>
  <c r="AT8" i="13"/>
  <c r="AT8" i="7"/>
  <c r="AS8" i="46"/>
  <c r="AS8" i="26"/>
  <c r="BK50" i="10"/>
  <c r="BK70" i="10"/>
  <c r="AS8" i="23"/>
  <c r="AS8" i="7"/>
  <c r="AS8" i="13"/>
  <c r="AW8" i="46"/>
  <c r="AW8" i="26"/>
  <c r="AW8" i="23"/>
  <c r="BO50" i="10"/>
  <c r="BO70" i="10"/>
  <c r="AW8" i="7"/>
  <c r="AW8" i="13"/>
  <c r="BC8" i="46"/>
  <c r="BC8" i="26"/>
  <c r="BC8" i="23"/>
  <c r="BU50" i="10"/>
  <c r="BU70" i="10"/>
  <c r="BC8" i="7"/>
  <c r="BC8" i="13"/>
  <c r="AX70" i="10"/>
  <c r="F77" i="10"/>
  <c r="F57" i="10"/>
  <c r="AX8" i="46"/>
  <c r="AX8" i="26"/>
  <c r="BP50" i="10"/>
  <c r="BP70" i="10"/>
  <c r="AX8" i="23"/>
  <c r="AX8" i="7"/>
  <c r="AX8" i="13"/>
  <c r="AR8" i="46"/>
  <c r="AR8" i="26"/>
  <c r="BJ50" i="10"/>
  <c r="AR8" i="23"/>
  <c r="AR8" i="7"/>
  <c r="AR8" i="13"/>
  <c r="G18" i="10"/>
  <c r="AU8" i="46"/>
  <c r="AU8" i="26"/>
  <c r="BM50" i="10"/>
  <c r="BM70" i="10"/>
  <c r="AU8" i="23"/>
  <c r="AU8" i="7"/>
  <c r="AU8" i="13"/>
  <c r="BB8" i="46"/>
  <c r="BB8" i="26"/>
  <c r="BB8" i="23"/>
  <c r="BT50" i="10"/>
  <c r="BT70" i="10"/>
  <c r="BB8" i="7"/>
  <c r="BB8" i="13"/>
  <c r="BA8" i="46"/>
  <c r="BA8" i="26"/>
  <c r="BS50" i="10"/>
  <c r="BS70" i="10"/>
  <c r="BA8" i="23"/>
  <c r="BA8" i="13"/>
  <c r="BA8" i="7"/>
  <c r="AV8" i="46"/>
  <c r="AV8" i="26"/>
  <c r="AV8" i="23"/>
  <c r="BN50" i="10"/>
  <c r="BN70" i="10"/>
  <c r="AV8" i="7"/>
  <c r="AV8" i="13"/>
  <c r="AZ8" i="46"/>
  <c r="AZ8" i="26"/>
  <c r="BR50" i="10"/>
  <c r="BR70" i="10"/>
  <c r="AZ8" i="23"/>
  <c r="AZ8" i="7"/>
  <c r="AZ8" i="13"/>
  <c r="AY8" i="46"/>
  <c r="AY8" i="26"/>
  <c r="AY8" i="23"/>
  <c r="BQ50" i="10"/>
  <c r="BQ70" i="10"/>
  <c r="AY8" i="7"/>
  <c r="AY8" i="13"/>
  <c r="JA48" i="10"/>
  <c r="JA68" i="10"/>
  <c r="II6" i="13"/>
  <c r="HX6" i="26"/>
  <c r="HX6" i="13"/>
  <c r="HC6" i="26"/>
  <c r="HC6" i="13"/>
  <c r="HM6" i="26"/>
  <c r="HM6" i="13"/>
  <c r="HN6" i="26"/>
  <c r="HN6" i="13"/>
  <c r="D19" i="7"/>
  <c r="BP5" i="13"/>
  <c r="BP5" i="23"/>
  <c r="CH47" i="10"/>
  <c r="CH67" i="10"/>
  <c r="CT7" i="10"/>
  <c r="BR5" i="23"/>
  <c r="CJ47" i="10"/>
  <c r="CJ67" i="10"/>
  <c r="BR5" i="7"/>
  <c r="BR5" i="13"/>
  <c r="Z5" i="13"/>
  <c r="AR47" i="10"/>
  <c r="AR67" i="10"/>
  <c r="Z5" i="23"/>
  <c r="Z17" i="7"/>
  <c r="Z19" i="7" s="1"/>
  <c r="AK5" i="13"/>
  <c r="BC47" i="10"/>
  <c r="BC67" i="10"/>
  <c r="AK5" i="23"/>
  <c r="BG5" i="13"/>
  <c r="BG5" i="23"/>
  <c r="BY47" i="10"/>
  <c r="BY67" i="10"/>
  <c r="CI7" i="10"/>
  <c r="BG5" i="7"/>
  <c r="O17" i="23"/>
  <c r="O18" i="23"/>
  <c r="HN6" i="23"/>
  <c r="IF48" i="10"/>
  <c r="IF68" i="10"/>
  <c r="IP8" i="10"/>
  <c r="HZ6" i="46"/>
  <c r="HN6" i="7"/>
  <c r="CS7" i="10"/>
  <c r="BQ5" i="23"/>
  <c r="CI47" i="10"/>
  <c r="CI67" i="10"/>
  <c r="BQ5" i="13"/>
  <c r="BQ5" i="7"/>
  <c r="AW18" i="7"/>
  <c r="IP48" i="10"/>
  <c r="IP68" i="10"/>
  <c r="HX6" i="23"/>
  <c r="IZ8" i="10"/>
  <c r="IJ6" i="46"/>
  <c r="HX6" i="7"/>
  <c r="O5" i="13"/>
  <c r="AG47" i="10"/>
  <c r="AG67" i="10"/>
  <c r="O5" i="23"/>
  <c r="BH5" i="13"/>
  <c r="BZ47" i="10"/>
  <c r="BZ67" i="10"/>
  <c r="BH5" i="23"/>
  <c r="D5" i="23"/>
  <c r="V47" i="10"/>
  <c r="V67" i="10"/>
  <c r="HU48" i="10"/>
  <c r="HU68" i="10"/>
  <c r="HC6" i="23"/>
  <c r="IE8" i="10"/>
  <c r="HO6" i="46"/>
  <c r="HC6" i="7"/>
  <c r="HM6" i="23"/>
  <c r="IE48" i="10"/>
  <c r="IE68" i="10"/>
  <c r="IO8" i="10"/>
  <c r="HY6" i="46"/>
  <c r="HM6" i="7"/>
  <c r="AD155" i="4"/>
  <c r="AC157" i="4"/>
  <c r="BD6" i="7"/>
  <c r="BP6" i="13"/>
  <c r="D5" i="7"/>
  <c r="D5" i="13"/>
  <c r="AL6" i="13"/>
  <c r="Z6" i="7"/>
  <c r="CJ7" i="10"/>
  <c r="BH5" i="7"/>
  <c r="BB7" i="10"/>
  <c r="Z5" i="7"/>
  <c r="AQ7" i="10"/>
  <c r="O5" i="7"/>
  <c r="D6" i="7"/>
  <c r="P6" i="13"/>
  <c r="BH6" i="13"/>
  <c r="AV6" i="7"/>
  <c r="O6" i="7"/>
  <c r="AA6" i="13"/>
  <c r="BM7" i="10"/>
  <c r="AK5" i="7"/>
  <c r="CR7" i="10"/>
  <c r="CB5" i="46"/>
  <c r="BP5" i="7"/>
  <c r="DO6" i="13"/>
  <c r="DC6" i="7"/>
  <c r="BQ6" i="13"/>
  <c r="BE6" i="7"/>
  <c r="AW6" i="13"/>
  <c r="AK6" i="7"/>
  <c r="BR6" i="13"/>
  <c r="BF6" i="7"/>
  <c r="E5" i="26"/>
  <c r="BS5" i="26"/>
  <c r="BS5" i="46"/>
  <c r="AW5" i="26"/>
  <c r="AW5" i="46"/>
  <c r="CD5" i="26"/>
  <c r="CD5" i="46"/>
  <c r="AL5" i="26"/>
  <c r="AM17" i="26"/>
  <c r="AL5" i="46"/>
  <c r="P5" i="26"/>
  <c r="P5" i="46"/>
  <c r="CC5" i="26"/>
  <c r="CC5" i="46"/>
  <c r="AA5" i="26"/>
  <c r="AA5" i="46"/>
  <c r="BT5" i="26"/>
  <c r="BT5" i="46"/>
  <c r="BM8" i="46"/>
  <c r="BM8" i="26"/>
  <c r="CE50" i="10"/>
  <c r="CE70" i="10"/>
  <c r="BM8" i="23"/>
  <c r="BM8" i="13"/>
  <c r="BM8" i="7"/>
  <c r="BD8" i="46"/>
  <c r="BD8" i="26"/>
  <c r="BV50" i="10"/>
  <c r="BD8" i="23"/>
  <c r="BD8" i="13"/>
  <c r="BD8" i="7"/>
  <c r="H18" i="10"/>
  <c r="BI8" i="46"/>
  <c r="BI8" i="26"/>
  <c r="CA50" i="10"/>
  <c r="CA70" i="10"/>
  <c r="BI8" i="23"/>
  <c r="BI8" i="13"/>
  <c r="BI8" i="7"/>
  <c r="BL8" i="46"/>
  <c r="BL8" i="26"/>
  <c r="BL8" i="23"/>
  <c r="CD50" i="10"/>
  <c r="CD70" i="10"/>
  <c r="BL8" i="13"/>
  <c r="BL8" i="7"/>
  <c r="BN8" i="46"/>
  <c r="BN8" i="26"/>
  <c r="BN8" i="23"/>
  <c r="CF50" i="10"/>
  <c r="CF70" i="10"/>
  <c r="BN8" i="7"/>
  <c r="BN8" i="13"/>
  <c r="BJ8" i="46"/>
  <c r="BJ8" i="26"/>
  <c r="BJ8" i="23"/>
  <c r="CB50" i="10"/>
  <c r="CB70" i="10"/>
  <c r="BJ8" i="13"/>
  <c r="BJ8" i="7"/>
  <c r="BE8" i="46"/>
  <c r="BE8" i="26"/>
  <c r="BW50" i="10"/>
  <c r="BW70" i="10"/>
  <c r="BE8" i="23"/>
  <c r="BE8" i="13"/>
  <c r="BE8" i="7"/>
  <c r="BH8" i="46"/>
  <c r="BH8" i="26"/>
  <c r="BH8" i="23"/>
  <c r="BZ50" i="10"/>
  <c r="BZ70" i="10"/>
  <c r="BH8" i="13"/>
  <c r="BH8" i="7"/>
  <c r="BG8" i="46"/>
  <c r="BG8" i="26"/>
  <c r="BY50" i="10"/>
  <c r="BY70" i="10"/>
  <c r="BG8" i="23"/>
  <c r="BG8" i="13"/>
  <c r="BG8" i="7"/>
  <c r="BO8" i="46"/>
  <c r="BO8" i="26"/>
  <c r="BO8" i="23"/>
  <c r="CG50" i="10"/>
  <c r="CG70" i="10"/>
  <c r="BO8" i="7"/>
  <c r="BO8" i="13"/>
  <c r="BK8" i="46"/>
  <c r="BK8" i="26"/>
  <c r="CC50" i="10"/>
  <c r="CC70" i="10"/>
  <c r="BK8" i="23"/>
  <c r="BK8" i="7"/>
  <c r="BK8" i="13"/>
  <c r="BJ70" i="10"/>
  <c r="G77" i="10"/>
  <c r="G57" i="10"/>
  <c r="BF8" i="46"/>
  <c r="BF8" i="26"/>
  <c r="BX50" i="10"/>
  <c r="BX70" i="10"/>
  <c r="BF8" i="23"/>
  <c r="BF8" i="13"/>
  <c r="BF8" i="7"/>
  <c r="HY6" i="26"/>
  <c r="HY6" i="13"/>
  <c r="HZ6" i="26"/>
  <c r="HZ6" i="13"/>
  <c r="HO6" i="26"/>
  <c r="HO6" i="13"/>
  <c r="JB48" i="10"/>
  <c r="JB68" i="10"/>
  <c r="IJ6" i="13"/>
  <c r="CB5" i="26"/>
  <c r="DD7" i="10"/>
  <c r="CN5" i="46"/>
  <c r="HY6" i="23"/>
  <c r="IQ48" i="10"/>
  <c r="IQ68" i="10"/>
  <c r="HY6" i="7"/>
  <c r="JA8" i="10"/>
  <c r="IK6" i="46"/>
  <c r="BS5" i="13"/>
  <c r="BS5" i="23"/>
  <c r="CK47" i="10"/>
  <c r="CK67" i="10"/>
  <c r="BS5" i="7"/>
  <c r="CU7" i="10"/>
  <c r="P5" i="13"/>
  <c r="P5" i="23"/>
  <c r="AH47" i="10"/>
  <c r="AH67" i="10"/>
  <c r="AA18" i="7"/>
  <c r="AL5" i="13"/>
  <c r="AL5" i="23"/>
  <c r="BD47" i="10"/>
  <c r="BD67" i="10"/>
  <c r="BT5" i="13"/>
  <c r="CL47" i="10"/>
  <c r="CL67" i="10"/>
  <c r="BT5" i="23"/>
  <c r="DF7" i="10"/>
  <c r="CD5" i="23"/>
  <c r="CV47" i="10"/>
  <c r="CV67" i="10"/>
  <c r="CD5" i="13"/>
  <c r="CD5" i="7"/>
  <c r="AA5" i="13"/>
  <c r="AA5" i="23"/>
  <c r="AS47" i="10"/>
  <c r="AS67" i="10"/>
  <c r="IG48" i="10"/>
  <c r="IG68" i="10"/>
  <c r="U75" i="10"/>
  <c r="HO6" i="23"/>
  <c r="IQ8" i="10"/>
  <c r="HO6" i="7"/>
  <c r="CB5" i="13"/>
  <c r="CT47" i="10"/>
  <c r="CT67" i="10"/>
  <c r="CB5" i="23"/>
  <c r="E17" i="7"/>
  <c r="E18" i="7"/>
  <c r="AW5" i="13"/>
  <c r="AW5" i="23"/>
  <c r="BO47" i="10"/>
  <c r="BO67" i="10"/>
  <c r="P17" i="23"/>
  <c r="P19" i="23" s="1"/>
  <c r="F5" i="26"/>
  <c r="W47" i="10"/>
  <c r="W67" i="10"/>
  <c r="E5" i="23"/>
  <c r="AW19" i="7"/>
  <c r="DE7" i="10"/>
  <c r="CC5" i="23"/>
  <c r="CU47" i="10"/>
  <c r="CU67" i="10"/>
  <c r="CC5" i="13"/>
  <c r="CC5" i="7"/>
  <c r="IR48" i="10"/>
  <c r="IR68" i="10"/>
  <c r="HZ6" i="23"/>
  <c r="JB8" i="10"/>
  <c r="IL6" i="46"/>
  <c r="HZ6" i="7"/>
  <c r="AA18" i="23"/>
  <c r="AE155" i="4"/>
  <c r="AD157" i="4"/>
  <c r="CB6" i="13"/>
  <c r="BP6" i="7"/>
  <c r="E5" i="7"/>
  <c r="E5" i="13"/>
  <c r="BC7" i="10"/>
  <c r="AA5" i="7"/>
  <c r="CD6" i="13"/>
  <c r="BR6" i="7"/>
  <c r="BN7" i="10"/>
  <c r="AL5" i="7"/>
  <c r="BY7" i="10"/>
  <c r="AW5" i="7"/>
  <c r="BI6" i="13"/>
  <c r="AW6" i="7"/>
  <c r="CV7" i="10"/>
  <c r="BT5" i="7"/>
  <c r="CC6" i="13"/>
  <c r="BQ6" i="7"/>
  <c r="AX6" i="13"/>
  <c r="AL6" i="7"/>
  <c r="AM6" i="13"/>
  <c r="AA6" i="7"/>
  <c r="AR7" i="10"/>
  <c r="P5" i="7"/>
  <c r="DO6" i="7"/>
  <c r="BT6" i="13"/>
  <c r="BH6" i="7"/>
  <c r="CB5" i="7"/>
  <c r="E6" i="7"/>
  <c r="Q6" i="13"/>
  <c r="P6" i="7"/>
  <c r="AB6" i="13"/>
  <c r="CN5" i="26"/>
  <c r="V16" i="10"/>
  <c r="IA6" i="46"/>
  <c r="CF5" i="26"/>
  <c r="CF5" i="46"/>
  <c r="CP5" i="26"/>
  <c r="CP5" i="46"/>
  <c r="AM5" i="26"/>
  <c r="AM5" i="46"/>
  <c r="AB5" i="26"/>
  <c r="AB5" i="46"/>
  <c r="Q5" i="26"/>
  <c r="Q5" i="46"/>
  <c r="BI5" i="26"/>
  <c r="BI5" i="46"/>
  <c r="CO5" i="26"/>
  <c r="CO5" i="46"/>
  <c r="CE5" i="26"/>
  <c r="CE5" i="46"/>
  <c r="AX5" i="26"/>
  <c r="AX5" i="46"/>
  <c r="BW8" i="46"/>
  <c r="BW8" i="26"/>
  <c r="CO50" i="10"/>
  <c r="CO70" i="10"/>
  <c r="BW8" i="23"/>
  <c r="BW8" i="13"/>
  <c r="BW8" i="7"/>
  <c r="BT8" i="46"/>
  <c r="BT8" i="26"/>
  <c r="CL50" i="10"/>
  <c r="CL70" i="10"/>
  <c r="BT8" i="23"/>
  <c r="BT8" i="7"/>
  <c r="BT8" i="13"/>
  <c r="BV70" i="10"/>
  <c r="H77" i="10"/>
  <c r="H57" i="10"/>
  <c r="BS8" i="46"/>
  <c r="BS8" i="26"/>
  <c r="CK50" i="10"/>
  <c r="CK70" i="10"/>
  <c r="BS8" i="23"/>
  <c r="BS8" i="7"/>
  <c r="BS8" i="13"/>
  <c r="BV8" i="46"/>
  <c r="BV8" i="26"/>
  <c r="CN50" i="10"/>
  <c r="CN70" i="10"/>
  <c r="BV8" i="23"/>
  <c r="BV8" i="7"/>
  <c r="BV8" i="13"/>
  <c r="BU8" i="46"/>
  <c r="BU8" i="26"/>
  <c r="CM50" i="10"/>
  <c r="CM70" i="10"/>
  <c r="BU8" i="23"/>
  <c r="BU8" i="7"/>
  <c r="BU8" i="13"/>
  <c r="BP8" i="46"/>
  <c r="BP8" i="26"/>
  <c r="CH50" i="10"/>
  <c r="BP8" i="23"/>
  <c r="BP8" i="13"/>
  <c r="BP8" i="7"/>
  <c r="I18" i="10"/>
  <c r="CA8" i="46"/>
  <c r="CA8" i="26"/>
  <c r="CA8" i="23"/>
  <c r="CS50" i="10"/>
  <c r="CS70" i="10"/>
  <c r="CA8" i="13"/>
  <c r="CA8" i="7"/>
  <c r="BZ8" i="46"/>
  <c r="BZ8" i="26"/>
  <c r="CR50" i="10"/>
  <c r="CR70" i="10"/>
  <c r="BZ8" i="23"/>
  <c r="BZ8" i="13"/>
  <c r="BZ8" i="7"/>
  <c r="BQ8" i="46"/>
  <c r="BQ8" i="26"/>
  <c r="CI50" i="10"/>
  <c r="CI70" i="10"/>
  <c r="BQ8" i="23"/>
  <c r="BQ8" i="7"/>
  <c r="BQ8" i="13"/>
  <c r="BX8" i="46"/>
  <c r="BX8" i="26"/>
  <c r="CP50" i="10"/>
  <c r="CP70" i="10"/>
  <c r="BX8" i="23"/>
  <c r="BX8" i="13"/>
  <c r="BX8" i="7"/>
  <c r="BR8" i="46"/>
  <c r="BR8" i="26"/>
  <c r="CJ50" i="10"/>
  <c r="CJ70" i="10"/>
  <c r="BR8" i="23"/>
  <c r="BR8" i="7"/>
  <c r="BR8" i="13"/>
  <c r="BY8" i="46"/>
  <c r="BY8" i="26"/>
  <c r="CQ50" i="10"/>
  <c r="CQ70" i="10"/>
  <c r="BY8" i="23"/>
  <c r="BY8" i="13"/>
  <c r="BY8" i="7"/>
  <c r="JD48" i="10"/>
  <c r="JD68" i="10"/>
  <c r="IL6" i="13"/>
  <c r="JC48" i="10"/>
  <c r="JC68" i="10"/>
  <c r="IK6" i="13"/>
  <c r="IA6" i="26"/>
  <c r="IA6" i="13"/>
  <c r="G18" i="26"/>
  <c r="G19" i="26" s="1"/>
  <c r="E19" i="7"/>
  <c r="DQ7" i="10"/>
  <c r="DG47" i="10"/>
  <c r="DG67" i="10"/>
  <c r="CO5" i="23"/>
  <c r="CO5" i="7"/>
  <c r="CO5" i="13"/>
  <c r="Q5" i="13"/>
  <c r="Q5" i="23"/>
  <c r="AI47" i="10"/>
  <c r="AI67" i="10"/>
  <c r="IS48" i="10"/>
  <c r="IS68" i="10"/>
  <c r="IA6" i="23"/>
  <c r="IA6" i="7"/>
  <c r="JC8" i="10"/>
  <c r="IM6" i="46"/>
  <c r="AB5" i="13"/>
  <c r="AT47" i="10"/>
  <c r="AT67" i="10"/>
  <c r="AB5" i="23"/>
  <c r="CF5" i="13"/>
  <c r="CX47" i="10"/>
  <c r="CX67" i="10"/>
  <c r="CF5" i="23"/>
  <c r="DR7" i="10"/>
  <c r="CP5" i="23"/>
  <c r="DH47" i="10"/>
  <c r="DH67" i="10"/>
  <c r="CP5" i="13"/>
  <c r="CP5" i="7"/>
  <c r="F17" i="23"/>
  <c r="F19" i="23" s="1"/>
  <c r="BI5" i="13"/>
  <c r="CA47" i="10"/>
  <c r="CA67" i="10"/>
  <c r="BI5" i="23"/>
  <c r="X47" i="10"/>
  <c r="X67" i="10"/>
  <c r="F5" i="23"/>
  <c r="AM18" i="7"/>
  <c r="AM17" i="7"/>
  <c r="AX5" i="13"/>
  <c r="AX5" i="23"/>
  <c r="BP47" i="10"/>
  <c r="BP67" i="10"/>
  <c r="AM5" i="13"/>
  <c r="AM5" i="23"/>
  <c r="BE47" i="10"/>
  <c r="BE67" i="10"/>
  <c r="F18" i="7"/>
  <c r="F17" i="7"/>
  <c r="CE5" i="13"/>
  <c r="CW47" i="10"/>
  <c r="CW67" i="10"/>
  <c r="CE5" i="23"/>
  <c r="CE5" i="7"/>
  <c r="DG7" i="10"/>
  <c r="CN5" i="13"/>
  <c r="DF47" i="10"/>
  <c r="DF67" i="10"/>
  <c r="CN5" i="23"/>
  <c r="AF155" i="4"/>
  <c r="AE157" i="4"/>
  <c r="CB6" i="7"/>
  <c r="CN6" i="13"/>
  <c r="F5" i="7"/>
  <c r="F5" i="13"/>
  <c r="BJ6" i="13"/>
  <c r="AX6" i="7"/>
  <c r="DP7" i="10"/>
  <c r="CZ5" i="46"/>
  <c r="CN5" i="7"/>
  <c r="CP6" i="13"/>
  <c r="CD6" i="7"/>
  <c r="CO6" i="13"/>
  <c r="CC6" i="7"/>
  <c r="CF6" i="13"/>
  <c r="BT6" i="7"/>
  <c r="BO7" i="10"/>
  <c r="AM5" i="7"/>
  <c r="DH7" i="10"/>
  <c r="CF5" i="7"/>
  <c r="AS7" i="10"/>
  <c r="Q5" i="7"/>
  <c r="BU6" i="13"/>
  <c r="BI6" i="7"/>
  <c r="AN6" i="13"/>
  <c r="AB6" i="7"/>
  <c r="BD7" i="10"/>
  <c r="AB5" i="7"/>
  <c r="CK7" i="10"/>
  <c r="BI5" i="7"/>
  <c r="BZ7" i="10"/>
  <c r="AX5" i="7"/>
  <c r="F6" i="7"/>
  <c r="R6" i="13"/>
  <c r="C16" i="10"/>
  <c r="AY6" i="13"/>
  <c r="AM6" i="7"/>
  <c r="AC6" i="13"/>
  <c r="Q6" i="7"/>
  <c r="CR5" i="26"/>
  <c r="CR5" i="46"/>
  <c r="R5" i="26"/>
  <c r="R5" i="46"/>
  <c r="AY5" i="26"/>
  <c r="AY5" i="46"/>
  <c r="BJ5" i="26"/>
  <c r="BJ5" i="46"/>
  <c r="DB5" i="26"/>
  <c r="DB5" i="46"/>
  <c r="CQ5" i="26"/>
  <c r="CQ5" i="46"/>
  <c r="BU5" i="26"/>
  <c r="BU5" i="46"/>
  <c r="AN5" i="26"/>
  <c r="AN5" i="46"/>
  <c r="DA5" i="26"/>
  <c r="DA5" i="46"/>
  <c r="AC5" i="26"/>
  <c r="AC5" i="46"/>
  <c r="CD8" i="46"/>
  <c r="CD8" i="26"/>
  <c r="CV50" i="10"/>
  <c r="CV70" i="10"/>
  <c r="CD8" i="23"/>
  <c r="CD8" i="13"/>
  <c r="CD8" i="7"/>
  <c r="CL8" i="46"/>
  <c r="CL8" i="26"/>
  <c r="DD50" i="10"/>
  <c r="DD70" i="10"/>
  <c r="CL8" i="23"/>
  <c r="CL8" i="7"/>
  <c r="CL8" i="13"/>
  <c r="CG8" i="46"/>
  <c r="CG8" i="26"/>
  <c r="CY50" i="10"/>
  <c r="CY70" i="10"/>
  <c r="CG8" i="23"/>
  <c r="CG8" i="13"/>
  <c r="CG8" i="7"/>
  <c r="CC8" i="46"/>
  <c r="CC8" i="26"/>
  <c r="CU50" i="10"/>
  <c r="CU70" i="10"/>
  <c r="CC8" i="23"/>
  <c r="CC8" i="13"/>
  <c r="CC8" i="7"/>
  <c r="CB8" i="46"/>
  <c r="CB8" i="26"/>
  <c r="CT50" i="10"/>
  <c r="CB8" i="23"/>
  <c r="CB8" i="13"/>
  <c r="CB8" i="7"/>
  <c r="J18" i="10"/>
  <c r="CE8" i="46"/>
  <c r="CE8" i="26"/>
  <c r="CW50" i="10"/>
  <c r="CW70" i="10"/>
  <c r="CE8" i="23"/>
  <c r="CE8" i="13"/>
  <c r="CE8" i="7"/>
  <c r="CF8" i="46"/>
  <c r="CF8" i="26"/>
  <c r="CX50" i="10"/>
  <c r="CX70" i="10"/>
  <c r="CF8" i="23"/>
  <c r="CF8" i="13"/>
  <c r="CF8" i="7"/>
  <c r="CJ8" i="46"/>
  <c r="CJ8" i="26"/>
  <c r="DB50" i="10"/>
  <c r="DB70" i="10"/>
  <c r="CJ8" i="23"/>
  <c r="CJ8" i="7"/>
  <c r="CJ8" i="13"/>
  <c r="CM8" i="46"/>
  <c r="CM8" i="26"/>
  <c r="CM8" i="23"/>
  <c r="DE50" i="10"/>
  <c r="DE70" i="10"/>
  <c r="CM8" i="7"/>
  <c r="CM8" i="13"/>
  <c r="CH8" i="46"/>
  <c r="CH8" i="26"/>
  <c r="CZ50" i="10"/>
  <c r="CZ70" i="10"/>
  <c r="CH8" i="23"/>
  <c r="CH8" i="13"/>
  <c r="CH8" i="7"/>
  <c r="CK8" i="46"/>
  <c r="CK8" i="26"/>
  <c r="DC50" i="10"/>
  <c r="DC70" i="10"/>
  <c r="CK8" i="23"/>
  <c r="CK8" i="7"/>
  <c r="CK8" i="13"/>
  <c r="CH70" i="10"/>
  <c r="I77" i="10"/>
  <c r="I57" i="10"/>
  <c r="CI8" i="46"/>
  <c r="CI8" i="26"/>
  <c r="DA50" i="10"/>
  <c r="DA70" i="10"/>
  <c r="CI8" i="23"/>
  <c r="CI8" i="7"/>
  <c r="CI8" i="13"/>
  <c r="JE48" i="10"/>
  <c r="JE68" i="10"/>
  <c r="IM6" i="13"/>
  <c r="T16" i="10"/>
  <c r="U16" i="10"/>
  <c r="W16" i="10"/>
  <c r="CZ5" i="26"/>
  <c r="EB7" i="10"/>
  <c r="F19" i="7"/>
  <c r="D75" i="10"/>
  <c r="E75" i="10"/>
  <c r="F75" i="10"/>
  <c r="G75" i="10"/>
  <c r="H75" i="10"/>
  <c r="I75" i="10"/>
  <c r="J75" i="10"/>
  <c r="K75" i="10"/>
  <c r="L75" i="10"/>
  <c r="M75" i="10"/>
  <c r="N75" i="10"/>
  <c r="P75" i="10"/>
  <c r="O75" i="10"/>
  <c r="Q75" i="10"/>
  <c r="R75" i="10"/>
  <c r="S75" i="10"/>
  <c r="G5" i="13"/>
  <c r="G5" i="26"/>
  <c r="AM19" i="7"/>
  <c r="BJ5" i="13"/>
  <c r="BJ5" i="23"/>
  <c r="CB47" i="10"/>
  <c r="CB67" i="10"/>
  <c r="EC7" i="10"/>
  <c r="DS47" i="10"/>
  <c r="DS67" i="10"/>
  <c r="DA5" i="23"/>
  <c r="DA5" i="7"/>
  <c r="DA5" i="13"/>
  <c r="G18" i="23"/>
  <c r="G19" i="23" s="1"/>
  <c r="R17" i="7"/>
  <c r="R18" i="7"/>
  <c r="AC5" i="13"/>
  <c r="AU47" i="10"/>
  <c r="AU67" i="10"/>
  <c r="AC5" i="23"/>
  <c r="R5" i="13"/>
  <c r="R5" i="23"/>
  <c r="AJ47" i="10"/>
  <c r="AJ67" i="10"/>
  <c r="G17" i="7"/>
  <c r="G18" i="7"/>
  <c r="CR5" i="13"/>
  <c r="CR5" i="23"/>
  <c r="DJ47" i="10"/>
  <c r="DJ67" i="10"/>
  <c r="E55" i="10"/>
  <c r="C55" i="10"/>
  <c r="D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AY5" i="13"/>
  <c r="BQ47" i="10"/>
  <c r="BQ67" i="10"/>
  <c r="AY5" i="23"/>
  <c r="CQ5" i="13"/>
  <c r="CQ5" i="23"/>
  <c r="DI47" i="10"/>
  <c r="DI67" i="10"/>
  <c r="DS7" i="10"/>
  <c r="CQ5" i="7"/>
  <c r="ED7" i="10"/>
  <c r="DB5" i="23"/>
  <c r="DT47" i="10"/>
  <c r="DT67" i="10"/>
  <c r="DB5" i="7"/>
  <c r="DB5" i="13"/>
  <c r="BU5" i="13"/>
  <c r="CM47" i="10"/>
  <c r="CM67" i="10"/>
  <c r="BU5" i="23"/>
  <c r="CZ5" i="13"/>
  <c r="DR47" i="10"/>
  <c r="DR67" i="10"/>
  <c r="CZ5" i="23"/>
  <c r="Y47" i="10"/>
  <c r="Y67" i="10"/>
  <c r="C74" i="10"/>
  <c r="G5" i="23"/>
  <c r="AN5" i="13"/>
  <c r="BF47" i="10"/>
  <c r="BF67" i="10"/>
  <c r="AN5" i="23"/>
  <c r="AG155" i="4"/>
  <c r="AF157" i="4"/>
  <c r="CN6" i="7"/>
  <c r="CZ6" i="13"/>
  <c r="CL7" i="10"/>
  <c r="BJ5" i="7"/>
  <c r="DA6" i="13"/>
  <c r="CO6" i="7"/>
  <c r="DB6" i="13"/>
  <c r="CP6" i="7"/>
  <c r="CW7" i="10"/>
  <c r="BU5" i="7"/>
  <c r="CZ5" i="7"/>
  <c r="G5" i="7"/>
  <c r="H17" i="7"/>
  <c r="AT7" i="10"/>
  <c r="R5" i="7"/>
  <c r="DT7" i="10"/>
  <c r="CR5" i="7"/>
  <c r="BV6" i="13"/>
  <c r="BJ6" i="7"/>
  <c r="BP7" i="10"/>
  <c r="AN5" i="7"/>
  <c r="CA7" i="10"/>
  <c r="AY5" i="7"/>
  <c r="AZ6" i="13"/>
  <c r="AN6" i="7"/>
  <c r="AO6" i="13"/>
  <c r="AC6" i="7"/>
  <c r="BK6" i="13"/>
  <c r="AY6" i="7"/>
  <c r="CR6" i="13"/>
  <c r="CF6" i="7"/>
  <c r="CG6" i="13"/>
  <c r="BU6" i="7"/>
  <c r="G6" i="7"/>
  <c r="S6" i="13"/>
  <c r="AD6" i="13"/>
  <c r="R6" i="7"/>
  <c r="BE7" i="10"/>
  <c r="AC5" i="7"/>
  <c r="S5" i="46"/>
  <c r="S17" i="26"/>
  <c r="DL5" i="26"/>
  <c r="DL5" i="46"/>
  <c r="AZ5" i="26"/>
  <c r="AZ5" i="46"/>
  <c r="DD5" i="26"/>
  <c r="DD5" i="46"/>
  <c r="BV5" i="26"/>
  <c r="BV5" i="46"/>
  <c r="BK5" i="26"/>
  <c r="BK5" i="46"/>
  <c r="AO5" i="26"/>
  <c r="AO5" i="46"/>
  <c r="DM5" i="26"/>
  <c r="DM5" i="46"/>
  <c r="AD5" i="26"/>
  <c r="AD5" i="46"/>
  <c r="DN5" i="26"/>
  <c r="DN5" i="46"/>
  <c r="DC5" i="26"/>
  <c r="DC5" i="46"/>
  <c r="CG5" i="26"/>
  <c r="CG5" i="46"/>
  <c r="CS8" i="46"/>
  <c r="CS8" i="26"/>
  <c r="DK50" i="10"/>
  <c r="DK70" i="10"/>
  <c r="CS8" i="23"/>
  <c r="CS8" i="13"/>
  <c r="CS8" i="7"/>
  <c r="CW8" i="46"/>
  <c r="CW8" i="26"/>
  <c r="DO50" i="10"/>
  <c r="DO70" i="10"/>
  <c r="CW8" i="23"/>
  <c r="CW8" i="13"/>
  <c r="CW8" i="7"/>
  <c r="CT70" i="10"/>
  <c r="J77" i="10"/>
  <c r="J57" i="10"/>
  <c r="CV8" i="46"/>
  <c r="CV8" i="26"/>
  <c r="DN50" i="10"/>
  <c r="DN70" i="10"/>
  <c r="CV8" i="23"/>
  <c r="CV8" i="13"/>
  <c r="CV8" i="7"/>
  <c r="CY8" i="46"/>
  <c r="CY8" i="26"/>
  <c r="DQ50" i="10"/>
  <c r="DQ70" i="10"/>
  <c r="CY8" i="23"/>
  <c r="CY8" i="7"/>
  <c r="CY8" i="13"/>
  <c r="CN8" i="46"/>
  <c r="CN8" i="26"/>
  <c r="DF50" i="10"/>
  <c r="CN8" i="23"/>
  <c r="CN8" i="7"/>
  <c r="CN8" i="13"/>
  <c r="K18" i="10"/>
  <c r="CX8" i="46"/>
  <c r="CX8" i="26"/>
  <c r="DP50" i="10"/>
  <c r="DP70" i="10"/>
  <c r="CX8" i="23"/>
  <c r="CX8" i="13"/>
  <c r="CX8" i="7"/>
  <c r="CR8" i="46"/>
  <c r="CR8" i="26"/>
  <c r="DJ50" i="10"/>
  <c r="DJ70" i="10"/>
  <c r="CR8" i="23"/>
  <c r="CR8" i="13"/>
  <c r="CR8" i="7"/>
  <c r="CQ8" i="46"/>
  <c r="CQ8" i="26"/>
  <c r="DI50" i="10"/>
  <c r="DI70" i="10"/>
  <c r="CQ8" i="23"/>
  <c r="CQ8" i="7"/>
  <c r="CQ8" i="13"/>
  <c r="CT8" i="46"/>
  <c r="CT8" i="26"/>
  <c r="DL50" i="10"/>
  <c r="DL70" i="10"/>
  <c r="CT8" i="23"/>
  <c r="CT8" i="13"/>
  <c r="CT8" i="7"/>
  <c r="CO8" i="46"/>
  <c r="CO8" i="26"/>
  <c r="DG50" i="10"/>
  <c r="DG70" i="10"/>
  <c r="CO8" i="23"/>
  <c r="CO8" i="13"/>
  <c r="CO8" i="7"/>
  <c r="CU8" i="46"/>
  <c r="CU8" i="26"/>
  <c r="DM50" i="10"/>
  <c r="DM70" i="10"/>
  <c r="CU8" i="23"/>
  <c r="CU8" i="13"/>
  <c r="CU8" i="7"/>
  <c r="CP8" i="46"/>
  <c r="CP8" i="26"/>
  <c r="DH50" i="10"/>
  <c r="DH70" i="10"/>
  <c r="CP8" i="23"/>
  <c r="CP8" i="13"/>
  <c r="CP8" i="7"/>
  <c r="T75" i="10"/>
  <c r="V75" i="10"/>
  <c r="W75" i="10"/>
  <c r="S5" i="13"/>
  <c r="S5" i="26"/>
  <c r="AO5" i="13"/>
  <c r="BG47" i="10"/>
  <c r="BG67" i="10"/>
  <c r="AO5" i="23"/>
  <c r="DD5" i="13"/>
  <c r="DD5" i="23"/>
  <c r="DV47" i="10"/>
  <c r="DV67" i="10"/>
  <c r="AD5" i="13"/>
  <c r="AV47" i="10"/>
  <c r="AV67" i="10"/>
  <c r="AD5" i="23"/>
  <c r="H18" i="7"/>
  <c r="H19" i="7"/>
  <c r="DC5" i="13"/>
  <c r="DC5" i="23"/>
  <c r="DU47" i="10"/>
  <c r="DU67" i="10"/>
  <c r="EE7" i="10"/>
  <c r="DC5" i="7"/>
  <c r="G19" i="7"/>
  <c r="C22" i="7"/>
  <c r="DL5" i="13"/>
  <c r="ED47" i="10"/>
  <c r="ED67" i="10"/>
  <c r="DL5" i="23"/>
  <c r="CG5" i="13"/>
  <c r="CG5" i="23"/>
  <c r="CY47" i="10"/>
  <c r="CY67" i="10"/>
  <c r="AK47" i="10"/>
  <c r="AK67" i="10"/>
  <c r="S5" i="23"/>
  <c r="EO7" i="10"/>
  <c r="DY5" i="46"/>
  <c r="EE47" i="10"/>
  <c r="EE67" i="10"/>
  <c r="DM5" i="23"/>
  <c r="DM5" i="13"/>
  <c r="DM5" i="7"/>
  <c r="EP7" i="10"/>
  <c r="DZ5" i="46"/>
  <c r="EF47" i="10"/>
  <c r="EF67" i="10"/>
  <c r="DN5" i="23"/>
  <c r="DN5" i="7"/>
  <c r="DN5" i="13"/>
  <c r="BK5" i="13"/>
  <c r="CC47" i="10"/>
  <c r="CC67" i="10"/>
  <c r="BK5" i="23"/>
  <c r="BV5" i="13"/>
  <c r="CN47" i="10"/>
  <c r="CN67" i="10"/>
  <c r="BV5" i="23"/>
  <c r="AZ5" i="13"/>
  <c r="AZ5" i="23"/>
  <c r="BR47" i="10"/>
  <c r="BR67" i="10"/>
  <c r="AH155" i="4"/>
  <c r="AG157" i="4"/>
  <c r="DL6" i="13"/>
  <c r="CZ6" i="7"/>
  <c r="D16" i="10"/>
  <c r="CS6" i="13"/>
  <c r="CG6" i="7"/>
  <c r="DD6" i="13"/>
  <c r="CR6" i="7"/>
  <c r="CH6" i="13"/>
  <c r="BV6" i="7"/>
  <c r="BW6" i="13"/>
  <c r="BK6" i="7"/>
  <c r="EF7" i="10"/>
  <c r="DD5" i="7"/>
  <c r="DN6" i="13"/>
  <c r="DB6" i="7"/>
  <c r="BA6" i="13"/>
  <c r="AO6" i="7"/>
  <c r="BF7" i="10"/>
  <c r="AD5" i="7"/>
  <c r="DM6" i="13"/>
  <c r="DA6" i="7"/>
  <c r="AZ6" i="7"/>
  <c r="BL6" i="13"/>
  <c r="BQ7" i="10"/>
  <c r="AO5" i="7"/>
  <c r="CX7" i="10"/>
  <c r="BV5" i="7"/>
  <c r="CM7" i="10"/>
  <c r="BK5" i="7"/>
  <c r="AU7" i="10"/>
  <c r="S5" i="7"/>
  <c r="EN7" i="10"/>
  <c r="DX5" i="46"/>
  <c r="DL5" i="7"/>
  <c r="AP6" i="13"/>
  <c r="AD6" i="7"/>
  <c r="CB7" i="10"/>
  <c r="AZ5" i="7"/>
  <c r="AE6" i="13"/>
  <c r="S6" i="7"/>
  <c r="DI7" i="10"/>
  <c r="CG5" i="7"/>
  <c r="DP5" i="26"/>
  <c r="DP5" i="46"/>
  <c r="CH5" i="26"/>
  <c r="CH5" i="46"/>
  <c r="BW5" i="26"/>
  <c r="BW5" i="46"/>
  <c r="BL5" i="26"/>
  <c r="BL5" i="46"/>
  <c r="DO5" i="26"/>
  <c r="DO5" i="46"/>
  <c r="AE5" i="26"/>
  <c r="AE5" i="46"/>
  <c r="BA5" i="26"/>
  <c r="BA5" i="46"/>
  <c r="CS5" i="26"/>
  <c r="CS5" i="46"/>
  <c r="AP5" i="26"/>
  <c r="AP5" i="46"/>
  <c r="DF8" i="46"/>
  <c r="DF8" i="26"/>
  <c r="DX50" i="10"/>
  <c r="DX70" i="10"/>
  <c r="DF8" i="23"/>
  <c r="DF8" i="7"/>
  <c r="DF8" i="13"/>
  <c r="DJ8" i="46"/>
  <c r="DJ8" i="26"/>
  <c r="EB50" i="10"/>
  <c r="EB70" i="10"/>
  <c r="DJ8" i="23"/>
  <c r="DJ8" i="7"/>
  <c r="DJ8" i="13"/>
  <c r="DH8" i="46"/>
  <c r="DH8" i="26"/>
  <c r="DZ50" i="10"/>
  <c r="DZ70" i="10"/>
  <c r="DH8" i="23"/>
  <c r="DH8" i="7"/>
  <c r="DH8" i="13"/>
  <c r="DG8" i="46"/>
  <c r="DG8" i="26"/>
  <c r="DY50" i="10"/>
  <c r="DY70" i="10"/>
  <c r="DG8" i="23"/>
  <c r="DG8" i="7"/>
  <c r="DG8" i="13"/>
  <c r="DF70" i="10"/>
  <c r="K77" i="10"/>
  <c r="K57" i="10"/>
  <c r="DC8" i="46"/>
  <c r="DC8" i="26"/>
  <c r="DU50" i="10"/>
  <c r="DU70" i="10"/>
  <c r="DC8" i="23"/>
  <c r="DC8" i="7"/>
  <c r="DC8" i="13"/>
  <c r="CZ8" i="46"/>
  <c r="CZ8" i="26"/>
  <c r="DR50" i="10"/>
  <c r="CZ8" i="23"/>
  <c r="CZ8" i="7"/>
  <c r="CZ8" i="13"/>
  <c r="L18" i="10"/>
  <c r="DI8" i="46"/>
  <c r="DI8" i="26"/>
  <c r="EA50" i="10"/>
  <c r="EA70" i="10"/>
  <c r="DI8" i="23"/>
  <c r="DI8" i="7"/>
  <c r="DI8" i="13"/>
  <c r="DD8" i="46"/>
  <c r="DD8" i="26"/>
  <c r="DV50" i="10"/>
  <c r="DV70" i="10"/>
  <c r="DD8" i="23"/>
  <c r="DD8" i="13"/>
  <c r="DD8" i="7"/>
  <c r="DA8" i="46"/>
  <c r="DA8" i="26"/>
  <c r="DS50" i="10"/>
  <c r="DS70" i="10"/>
  <c r="DA8" i="23"/>
  <c r="DA8" i="13"/>
  <c r="DA8" i="7"/>
  <c r="DK8" i="46"/>
  <c r="DK8" i="26"/>
  <c r="DK8" i="23"/>
  <c r="EC50" i="10"/>
  <c r="EC70" i="10"/>
  <c r="DK8" i="13"/>
  <c r="DK8" i="7"/>
  <c r="DB8" i="46"/>
  <c r="DB8" i="26"/>
  <c r="DB8" i="23"/>
  <c r="DT50" i="10"/>
  <c r="DT70" i="10"/>
  <c r="DB8" i="13"/>
  <c r="DB8" i="7"/>
  <c r="DE8" i="46"/>
  <c r="DE8" i="26"/>
  <c r="DE8" i="23"/>
  <c r="DW50" i="10"/>
  <c r="DW70" i="10"/>
  <c r="DE8" i="7"/>
  <c r="DE8" i="13"/>
  <c r="DY5" i="26"/>
  <c r="DY5" i="13"/>
  <c r="DZ5" i="26"/>
  <c r="DZ5" i="13"/>
  <c r="DX5" i="26"/>
  <c r="DX5" i="13"/>
  <c r="T17" i="26"/>
  <c r="BA5" i="13"/>
  <c r="BA5" i="23"/>
  <c r="BS47" i="10"/>
  <c r="BS67" i="10"/>
  <c r="C13" i="14"/>
  <c r="DZ5" i="23"/>
  <c r="ER47" i="10"/>
  <c r="ER67" i="10"/>
  <c r="DZ5" i="7"/>
  <c r="FB7" i="10"/>
  <c r="EL5" i="46"/>
  <c r="AE17" i="23"/>
  <c r="AP5" i="13"/>
  <c r="AP5" i="23"/>
  <c r="BH47" i="10"/>
  <c r="BH67" i="10"/>
  <c r="BL5" i="13"/>
  <c r="CD47" i="10"/>
  <c r="CD67" i="10"/>
  <c r="BL5" i="23"/>
  <c r="CS5" i="13"/>
  <c r="CS5" i="23"/>
  <c r="DK47" i="10"/>
  <c r="DK67" i="10"/>
  <c r="DY5" i="23"/>
  <c r="EQ47" i="10"/>
  <c r="EQ67" i="10"/>
  <c r="DY5" i="7"/>
  <c r="FA7" i="10"/>
  <c r="EK5" i="46"/>
  <c r="DP5" i="13"/>
  <c r="EH47" i="10"/>
  <c r="EH67" i="10"/>
  <c r="DP5" i="23"/>
  <c r="AE5" i="13"/>
  <c r="AW47" i="10"/>
  <c r="AW67" i="10"/>
  <c r="AE5" i="23"/>
  <c r="DO5" i="13"/>
  <c r="EG47" i="10"/>
  <c r="EG67" i="10"/>
  <c r="DO5" i="23"/>
  <c r="DO5" i="7"/>
  <c r="EQ7" i="10"/>
  <c r="EA5" i="46"/>
  <c r="BW5" i="13"/>
  <c r="CO47" i="10"/>
  <c r="CO67" i="10"/>
  <c r="BW5" i="23"/>
  <c r="DX5" i="7"/>
  <c r="DX5" i="23"/>
  <c r="EP47" i="10"/>
  <c r="EP67" i="10"/>
  <c r="CH5" i="13"/>
  <c r="CH5" i="23"/>
  <c r="CZ47" i="10"/>
  <c r="CZ67" i="10"/>
  <c r="AI155" i="4"/>
  <c r="AH157" i="4"/>
  <c r="DL6" i="7"/>
  <c r="EZ7" i="10"/>
  <c r="EJ5" i="46"/>
  <c r="DU7" i="10"/>
  <c r="CS5" i="7"/>
  <c r="BX6" i="13"/>
  <c r="BL6" i="7"/>
  <c r="CI6" i="13"/>
  <c r="BW6" i="7"/>
  <c r="BG7" i="10"/>
  <c r="AE5" i="7"/>
  <c r="CT6" i="13"/>
  <c r="CH6" i="7"/>
  <c r="DM6" i="7"/>
  <c r="AQ6" i="13"/>
  <c r="AE6" i="7"/>
  <c r="CY7" i="10"/>
  <c r="BW5" i="7"/>
  <c r="DP6" i="13"/>
  <c r="DD6" i="7"/>
  <c r="DJ7" i="10"/>
  <c r="CH5" i="7"/>
  <c r="BR7" i="10"/>
  <c r="AP5" i="7"/>
  <c r="DE6" i="13"/>
  <c r="CS6" i="7"/>
  <c r="CN7" i="10"/>
  <c r="BL5" i="7"/>
  <c r="E16" i="10"/>
  <c r="BM6" i="13"/>
  <c r="BA6" i="7"/>
  <c r="BB6" i="13"/>
  <c r="AP6" i="7"/>
  <c r="DN6" i="7"/>
  <c r="CC7" i="10"/>
  <c r="BA5" i="7"/>
  <c r="ER7" i="10"/>
  <c r="EB5" i="46"/>
  <c r="DP5" i="7"/>
  <c r="AE17" i="46"/>
  <c r="AE19" i="46" s="1"/>
  <c r="AE18" i="46"/>
  <c r="BB5" i="26"/>
  <c r="BB5" i="46"/>
  <c r="BX5" i="26"/>
  <c r="BX5" i="46"/>
  <c r="CI5" i="26"/>
  <c r="CI5" i="46"/>
  <c r="BM5" i="26"/>
  <c r="BM5" i="46"/>
  <c r="DE5" i="26"/>
  <c r="DE5" i="46"/>
  <c r="AQ5" i="26"/>
  <c r="AQ5" i="46"/>
  <c r="CT5" i="26"/>
  <c r="CT5" i="46"/>
  <c r="DW8" i="46"/>
  <c r="DW8" i="13"/>
  <c r="DW8" i="26"/>
  <c r="EO50" i="10"/>
  <c r="EO70" i="10"/>
  <c r="DW8" i="7"/>
  <c r="DW8" i="23"/>
  <c r="DU8" i="46"/>
  <c r="DU8" i="13"/>
  <c r="DU8" i="26"/>
  <c r="EM50" i="10"/>
  <c r="EM70" i="10"/>
  <c r="DU8" i="23"/>
  <c r="DU8" i="7"/>
  <c r="DM8" i="46"/>
  <c r="DM8" i="26"/>
  <c r="EE50" i="10"/>
  <c r="EE70" i="10"/>
  <c r="DM8" i="23"/>
  <c r="DM8" i="13"/>
  <c r="DM8" i="7"/>
  <c r="DL8" i="46"/>
  <c r="DL8" i="26"/>
  <c r="ED50" i="10"/>
  <c r="DL8" i="23"/>
  <c r="DL8" i="13"/>
  <c r="DL8" i="7"/>
  <c r="M18" i="10"/>
  <c r="DT8" i="46"/>
  <c r="DT8" i="13"/>
  <c r="DT8" i="26"/>
  <c r="EL50" i="10"/>
  <c r="EL70" i="10"/>
  <c r="DT8" i="23"/>
  <c r="DT8" i="7"/>
  <c r="DN8" i="46"/>
  <c r="DN8" i="26"/>
  <c r="EF50" i="10"/>
  <c r="EF70" i="10"/>
  <c r="DN8" i="23"/>
  <c r="DN8" i="13"/>
  <c r="DN8" i="7"/>
  <c r="DP8" i="46"/>
  <c r="DP8" i="26"/>
  <c r="EH50" i="10"/>
  <c r="EH70" i="10"/>
  <c r="DP8" i="23"/>
  <c r="DP8" i="13"/>
  <c r="DP8" i="7"/>
  <c r="DO8" i="46"/>
  <c r="DO8" i="26"/>
  <c r="EG50" i="10"/>
  <c r="EG70" i="10"/>
  <c r="DO8" i="23"/>
  <c r="DO8" i="13"/>
  <c r="DO8" i="7"/>
  <c r="DV8" i="46"/>
  <c r="DV8" i="13"/>
  <c r="DV8" i="26"/>
  <c r="EN50" i="10"/>
  <c r="EN70" i="10"/>
  <c r="DV8" i="23"/>
  <c r="DV8" i="7"/>
  <c r="DS8" i="46"/>
  <c r="DS8" i="13"/>
  <c r="DS8" i="26"/>
  <c r="EK50" i="10"/>
  <c r="EK70" i="10"/>
  <c r="DS8" i="23"/>
  <c r="DS8" i="7"/>
  <c r="DQ8" i="46"/>
  <c r="DQ8" i="26"/>
  <c r="EI50" i="10"/>
  <c r="EI70" i="10"/>
  <c r="DQ8" i="23"/>
  <c r="DQ8" i="7"/>
  <c r="DQ8" i="13"/>
  <c r="DR70" i="10"/>
  <c r="L77" i="10"/>
  <c r="L57" i="10"/>
  <c r="DR8" i="46"/>
  <c r="DR8" i="26"/>
  <c r="EJ50" i="10"/>
  <c r="EJ70" i="10"/>
  <c r="DR8" i="23"/>
  <c r="DR8" i="13"/>
  <c r="DR8" i="7"/>
  <c r="EK5" i="26"/>
  <c r="EK5" i="13"/>
  <c r="EA5" i="26"/>
  <c r="EA5" i="13"/>
  <c r="EJ5" i="26"/>
  <c r="EJ5" i="13"/>
  <c r="EB5" i="26"/>
  <c r="EB5" i="13"/>
  <c r="EL5" i="26"/>
  <c r="EL5" i="13"/>
  <c r="FC47" i="10"/>
  <c r="FC67" i="10"/>
  <c r="EK5" i="23"/>
  <c r="FM7" i="10"/>
  <c r="EW5" i="46"/>
  <c r="EK5" i="7"/>
  <c r="AQ5" i="13"/>
  <c r="BI47" i="10"/>
  <c r="BI67" i="10"/>
  <c r="F74" i="10"/>
  <c r="AQ5" i="23"/>
  <c r="EA5" i="23"/>
  <c r="ES47" i="10"/>
  <c r="ES67" i="10"/>
  <c r="FC7" i="10"/>
  <c r="EM5" i="46"/>
  <c r="EA5" i="7"/>
  <c r="DE5" i="13"/>
  <c r="DE5" i="23"/>
  <c r="DW47" i="10"/>
  <c r="DW67" i="10"/>
  <c r="BB5" i="13"/>
  <c r="BT47" i="10"/>
  <c r="BT67" i="10"/>
  <c r="BB5" i="23"/>
  <c r="EJ5" i="7"/>
  <c r="FB47" i="10"/>
  <c r="FB67" i="10"/>
  <c r="EJ5" i="23"/>
  <c r="BX5" i="13"/>
  <c r="CP47" i="10"/>
  <c r="CP67" i="10"/>
  <c r="BX5" i="23"/>
  <c r="AF18" i="23"/>
  <c r="EB5" i="23"/>
  <c r="ET47" i="10"/>
  <c r="ET67" i="10"/>
  <c r="BM5" i="13"/>
  <c r="BM5" i="23"/>
  <c r="CE47" i="10"/>
  <c r="CE67" i="10"/>
  <c r="EL5" i="23"/>
  <c r="FD47" i="10"/>
  <c r="FD67" i="10"/>
  <c r="FN7" i="10"/>
  <c r="EX5" i="46"/>
  <c r="EL5" i="7"/>
  <c r="CT5" i="13"/>
  <c r="CT5" i="23"/>
  <c r="DL47" i="10"/>
  <c r="DL67" i="10"/>
  <c r="CI5" i="13"/>
  <c r="DA47" i="10"/>
  <c r="DA67" i="10"/>
  <c r="CI5" i="23"/>
  <c r="FD7" i="10"/>
  <c r="EN5" i="46"/>
  <c r="EB5" i="7"/>
  <c r="AJ155" i="4"/>
  <c r="AI157" i="4"/>
  <c r="DP6" i="7"/>
  <c r="CU6" i="13"/>
  <c r="CI6" i="7"/>
  <c r="BY6" i="13"/>
  <c r="BM6" i="7"/>
  <c r="DK7" i="10"/>
  <c r="CI5" i="7"/>
  <c r="CJ6" i="13"/>
  <c r="BX6" i="7"/>
  <c r="CZ7" i="10"/>
  <c r="BX5" i="7"/>
  <c r="BC6" i="13"/>
  <c r="AQ6" i="7"/>
  <c r="F16" i="10"/>
  <c r="EG7" i="10"/>
  <c r="DE5" i="7"/>
  <c r="DQ6" i="13"/>
  <c r="DE6" i="7"/>
  <c r="FL7" i="10"/>
  <c r="EV5" i="46"/>
  <c r="CD7" i="10"/>
  <c r="BB5" i="7"/>
  <c r="DV7" i="10"/>
  <c r="CT5" i="7"/>
  <c r="CO7" i="10"/>
  <c r="BM5" i="7"/>
  <c r="DF6" i="13"/>
  <c r="CT6" i="7"/>
  <c r="BS7" i="10"/>
  <c r="AQ5" i="7"/>
  <c r="BN6" i="13"/>
  <c r="BB6" i="7"/>
  <c r="D25" i="13"/>
  <c r="AQ21" i="13"/>
  <c r="BN5" i="26"/>
  <c r="BN5" i="46"/>
  <c r="BC5" i="26"/>
  <c r="BC5" i="46"/>
  <c r="DQ5" i="26"/>
  <c r="DQ5" i="46"/>
  <c r="CJ5" i="26"/>
  <c r="CJ5" i="46"/>
  <c r="CU5" i="26"/>
  <c r="CU5" i="46"/>
  <c r="BY5" i="26"/>
  <c r="BY5" i="46"/>
  <c r="DF5" i="26"/>
  <c r="DF5" i="46"/>
  <c r="EH8" i="46"/>
  <c r="EH8" i="13"/>
  <c r="EH8" i="26"/>
  <c r="EH8" i="7"/>
  <c r="EH8" i="23"/>
  <c r="EZ50" i="10"/>
  <c r="EZ70" i="10"/>
  <c r="DZ8" i="46"/>
  <c r="DZ8" i="13"/>
  <c r="DZ8" i="26"/>
  <c r="DZ8" i="23"/>
  <c r="DZ8" i="7"/>
  <c r="ER50" i="10"/>
  <c r="ER70" i="10"/>
  <c r="DY8" i="46"/>
  <c r="DY8" i="13"/>
  <c r="DY8" i="26"/>
  <c r="DY8" i="7"/>
  <c r="DY8" i="23"/>
  <c r="EQ50" i="10"/>
  <c r="EQ70" i="10"/>
  <c r="EC8" i="46"/>
  <c r="EC8" i="13"/>
  <c r="EC8" i="26"/>
  <c r="EC8" i="23"/>
  <c r="EC8" i="7"/>
  <c r="EU50" i="10"/>
  <c r="EU70" i="10"/>
  <c r="EA8" i="46"/>
  <c r="EA8" i="13"/>
  <c r="EA8" i="26"/>
  <c r="EA8" i="23"/>
  <c r="ES50" i="10"/>
  <c r="ES70" i="10"/>
  <c r="EA8" i="7"/>
  <c r="EF8" i="46"/>
  <c r="EF8" i="13"/>
  <c r="EF8" i="26"/>
  <c r="EF8" i="23"/>
  <c r="EF8" i="7"/>
  <c r="EX50" i="10"/>
  <c r="EX70" i="10"/>
  <c r="EG8" i="46"/>
  <c r="EG8" i="13"/>
  <c r="EG8" i="26"/>
  <c r="EG8" i="23"/>
  <c r="EY50" i="10"/>
  <c r="EY70" i="10"/>
  <c r="EG8" i="7"/>
  <c r="EE8" i="46"/>
  <c r="EE8" i="13"/>
  <c r="EE8" i="26"/>
  <c r="EW50" i="10"/>
  <c r="EW70" i="10"/>
  <c r="EE8" i="23"/>
  <c r="EE8" i="7"/>
  <c r="ED70" i="10"/>
  <c r="M77" i="10"/>
  <c r="M57" i="10"/>
  <c r="EB8" i="46"/>
  <c r="EB8" i="13"/>
  <c r="EB8" i="26"/>
  <c r="EB8" i="7"/>
  <c r="EB8" i="23"/>
  <c r="ET50" i="10"/>
  <c r="ET70" i="10"/>
  <c r="DX8" i="46"/>
  <c r="DX8" i="13"/>
  <c r="DX8" i="26"/>
  <c r="DX8" i="23"/>
  <c r="EP50" i="10"/>
  <c r="DX8" i="7"/>
  <c r="N18" i="10"/>
  <c r="ED8" i="46"/>
  <c r="ED8" i="13"/>
  <c r="ED8" i="26"/>
  <c r="ED8" i="7"/>
  <c r="EV50" i="10"/>
  <c r="EV70" i="10"/>
  <c r="ED8" i="23"/>
  <c r="EI8" i="46"/>
  <c r="EI8" i="13"/>
  <c r="EI8" i="26"/>
  <c r="FA50" i="10"/>
  <c r="FA70" i="10"/>
  <c r="EI8" i="7"/>
  <c r="EI8" i="23"/>
  <c r="EM5" i="26"/>
  <c r="EM5" i="13"/>
  <c r="EX5" i="26"/>
  <c r="EX5" i="13"/>
  <c r="EV5" i="26"/>
  <c r="EV5" i="13"/>
  <c r="EN5" i="26"/>
  <c r="EN5" i="13"/>
  <c r="EW5" i="26"/>
  <c r="EW5" i="13"/>
  <c r="DQ5" i="13"/>
  <c r="EI47" i="10"/>
  <c r="EI67" i="10"/>
  <c r="DQ5" i="23"/>
  <c r="CJ5" i="13"/>
  <c r="CJ5" i="23"/>
  <c r="DB47" i="10"/>
  <c r="DB67" i="10"/>
  <c r="BC5" i="13"/>
  <c r="BC5" i="23"/>
  <c r="BU47" i="10"/>
  <c r="BU67" i="10"/>
  <c r="DF5" i="13"/>
  <c r="DF5" i="23"/>
  <c r="DX47" i="10"/>
  <c r="DX67" i="10"/>
  <c r="EN5" i="23"/>
  <c r="FF47" i="10"/>
  <c r="FF67" i="10"/>
  <c r="FE47" i="10"/>
  <c r="FE67" i="10"/>
  <c r="EM5" i="23"/>
  <c r="FO7" i="10"/>
  <c r="EY5" i="46"/>
  <c r="EM5" i="7"/>
  <c r="EX5" i="23"/>
  <c r="FP47" i="10"/>
  <c r="FP67" i="10"/>
  <c r="FZ7" i="10"/>
  <c r="FJ5" i="46"/>
  <c r="EX5" i="7"/>
  <c r="CU5" i="13"/>
  <c r="CU5" i="23"/>
  <c r="DM47" i="10"/>
  <c r="DM67" i="10"/>
  <c r="FO47" i="10"/>
  <c r="FO67" i="10"/>
  <c r="EW5" i="23"/>
  <c r="FY7" i="10"/>
  <c r="FI5" i="46"/>
  <c r="EW5" i="7"/>
  <c r="BY5" i="13"/>
  <c r="BY5" i="23"/>
  <c r="CQ47" i="10"/>
  <c r="CQ67" i="10"/>
  <c r="BN5" i="13"/>
  <c r="CF47" i="10"/>
  <c r="CF67" i="10"/>
  <c r="BN5" i="23"/>
  <c r="EV5" i="7"/>
  <c r="FN47" i="10"/>
  <c r="FN67" i="10"/>
  <c r="EV5" i="23"/>
  <c r="FP7" i="10"/>
  <c r="EZ5" i="46"/>
  <c r="EN5" i="7"/>
  <c r="AK155" i="4"/>
  <c r="AJ157" i="4"/>
  <c r="DR6" i="13"/>
  <c r="DF6" i="7"/>
  <c r="DQ6" i="7"/>
  <c r="DA7" i="10"/>
  <c r="BY5" i="7"/>
  <c r="ES7" i="10"/>
  <c r="EC5" i="46"/>
  <c r="DQ5" i="7"/>
  <c r="CK6" i="13"/>
  <c r="BY6" i="7"/>
  <c r="EH7" i="10"/>
  <c r="DF5" i="7"/>
  <c r="DG6" i="13"/>
  <c r="CU6" i="7"/>
  <c r="BO6" i="13"/>
  <c r="BC6" i="7"/>
  <c r="G16" i="10"/>
  <c r="CP7" i="10"/>
  <c r="BN5" i="7"/>
  <c r="DL7" i="10"/>
  <c r="CJ5" i="7"/>
  <c r="BZ6" i="13"/>
  <c r="BN6" i="7"/>
  <c r="FX7" i="10"/>
  <c r="FH5" i="46"/>
  <c r="CE7" i="10"/>
  <c r="BC5" i="7"/>
  <c r="CV6" i="13"/>
  <c r="CJ6" i="7"/>
  <c r="DW7" i="10"/>
  <c r="CU5" i="7"/>
  <c r="DR5" i="26"/>
  <c r="DR5" i="46"/>
  <c r="CV5" i="26"/>
  <c r="CV5" i="46"/>
  <c r="CK5" i="26"/>
  <c r="CK5" i="46"/>
  <c r="BO5" i="26"/>
  <c r="BO5" i="46"/>
  <c r="BZ5" i="26"/>
  <c r="BZ5" i="46"/>
  <c r="DG5" i="26"/>
  <c r="DG5" i="46"/>
  <c r="ER8" i="46"/>
  <c r="ER8" i="13"/>
  <c r="ER8" i="26"/>
  <c r="ER8" i="23"/>
  <c r="FJ50" i="10"/>
  <c r="FJ70" i="10"/>
  <c r="ER8" i="7"/>
  <c r="EK8" i="46"/>
  <c r="EK8" i="13"/>
  <c r="EK8" i="26"/>
  <c r="EK8" i="23"/>
  <c r="FC50" i="10"/>
  <c r="FC70" i="10"/>
  <c r="EK8" i="7"/>
  <c r="EP8" i="46"/>
  <c r="EP8" i="13"/>
  <c r="EP8" i="26"/>
  <c r="EP8" i="7"/>
  <c r="EP8" i="23"/>
  <c r="FH50" i="10"/>
  <c r="FH70" i="10"/>
  <c r="EP70" i="10"/>
  <c r="N77" i="10"/>
  <c r="N57" i="10"/>
  <c r="EQ8" i="46"/>
  <c r="EQ8" i="13"/>
  <c r="EQ8" i="26"/>
  <c r="EQ8" i="7"/>
  <c r="EQ8" i="23"/>
  <c r="FI50" i="10"/>
  <c r="FI70" i="10"/>
  <c r="EM8" i="46"/>
  <c r="EM8" i="13"/>
  <c r="EM8" i="26"/>
  <c r="EM8" i="7"/>
  <c r="EM8" i="23"/>
  <c r="FE50" i="10"/>
  <c r="FE70" i="10"/>
  <c r="EL8" i="46"/>
  <c r="EL8" i="13"/>
  <c r="EL8" i="26"/>
  <c r="EL8" i="7"/>
  <c r="EL8" i="23"/>
  <c r="FD50" i="10"/>
  <c r="FD70" i="10"/>
  <c r="EN8" i="46"/>
  <c r="EN8" i="13"/>
  <c r="EN8" i="26"/>
  <c r="EN8" i="7"/>
  <c r="FF50" i="10"/>
  <c r="FF70" i="10"/>
  <c r="EN8" i="23"/>
  <c r="EJ8" i="46"/>
  <c r="EJ8" i="13"/>
  <c r="EJ8" i="26"/>
  <c r="EJ8" i="23"/>
  <c r="FB50" i="10"/>
  <c r="EJ8" i="7"/>
  <c r="O18" i="10"/>
  <c r="ES8" i="46"/>
  <c r="ES8" i="13"/>
  <c r="ES8" i="26"/>
  <c r="ES8" i="7"/>
  <c r="FK50" i="10"/>
  <c r="FK70" i="10"/>
  <c r="ES8" i="23"/>
  <c r="EO8" i="46"/>
  <c r="EO8" i="13"/>
  <c r="EO8" i="26"/>
  <c r="EO8" i="7"/>
  <c r="FG50" i="10"/>
  <c r="FG70" i="10"/>
  <c r="EO8" i="23"/>
  <c r="EU8" i="46"/>
  <c r="EU8" i="13"/>
  <c r="EU8" i="26"/>
  <c r="FM50" i="10"/>
  <c r="FM70" i="10"/>
  <c r="EU8" i="7"/>
  <c r="EU8" i="23"/>
  <c r="ET8" i="46"/>
  <c r="ET8" i="13"/>
  <c r="ET8" i="26"/>
  <c r="ET8" i="23"/>
  <c r="ET8" i="7"/>
  <c r="FL50" i="10"/>
  <c r="FL70" i="10"/>
  <c r="EZ5" i="26"/>
  <c r="EZ5" i="13"/>
  <c r="FI5" i="26"/>
  <c r="FI5" i="13"/>
  <c r="EY5" i="26"/>
  <c r="EY5" i="13"/>
  <c r="EC5" i="26"/>
  <c r="EC5" i="13"/>
  <c r="FJ5" i="26"/>
  <c r="FJ5" i="13"/>
  <c r="FH5" i="26"/>
  <c r="FH5" i="13"/>
  <c r="EC5" i="7"/>
  <c r="EC5" i="23"/>
  <c r="EU47" i="10"/>
  <c r="EU67" i="10"/>
  <c r="CK5" i="13"/>
  <c r="DC47" i="10"/>
  <c r="DC67" i="10"/>
  <c r="CK5" i="23"/>
  <c r="BZ5" i="13"/>
  <c r="BZ5" i="23"/>
  <c r="CR47" i="10"/>
  <c r="CR67" i="10"/>
  <c r="EY5" i="23"/>
  <c r="FQ47" i="10"/>
  <c r="FQ67" i="10"/>
  <c r="GA7" i="10"/>
  <c r="FK5" i="46"/>
  <c r="EY5" i="7"/>
  <c r="FJ5" i="23"/>
  <c r="GB47" i="10"/>
  <c r="GB67" i="10"/>
  <c r="GL7" i="10"/>
  <c r="FV5" i="46"/>
  <c r="FJ5" i="7"/>
  <c r="CV5" i="13"/>
  <c r="DN47" i="10"/>
  <c r="DN67" i="10"/>
  <c r="CV5" i="23"/>
  <c r="FI5" i="23"/>
  <c r="GA47" i="10"/>
  <c r="GA67" i="10"/>
  <c r="GK7" i="10"/>
  <c r="FU5" i="46"/>
  <c r="FI5" i="7"/>
  <c r="DG5" i="13"/>
  <c r="DG5" i="23"/>
  <c r="DY47" i="10"/>
  <c r="DY67" i="10"/>
  <c r="EZ5" i="23"/>
  <c r="FR47" i="10"/>
  <c r="FR67" i="10"/>
  <c r="BO5" i="13"/>
  <c r="CG47" i="10"/>
  <c r="CG67" i="10"/>
  <c r="BO5" i="23"/>
  <c r="FH5" i="7"/>
  <c r="FZ47" i="10"/>
  <c r="FZ67" i="10"/>
  <c r="FH5" i="23"/>
  <c r="DR5" i="13"/>
  <c r="DR5" i="23"/>
  <c r="EJ47" i="10"/>
  <c r="EJ67" i="10"/>
  <c r="GB7" i="10"/>
  <c r="FL5" i="46"/>
  <c r="EZ5" i="7"/>
  <c r="AL155" i="4"/>
  <c r="AK157" i="4"/>
  <c r="H16" i="10"/>
  <c r="DH6" i="13"/>
  <c r="CV6" i="7"/>
  <c r="DM7" i="10"/>
  <c r="CK5" i="7"/>
  <c r="CQ7" i="10"/>
  <c r="BO5" i="7"/>
  <c r="CA6" i="13"/>
  <c r="BO6" i="7"/>
  <c r="DR6" i="7"/>
  <c r="DG6" i="7"/>
  <c r="GJ7" i="10"/>
  <c r="FT5" i="46"/>
  <c r="ET7" i="10"/>
  <c r="ED5" i="46"/>
  <c r="DR5" i="7"/>
  <c r="CL6" i="13"/>
  <c r="BZ6" i="7"/>
  <c r="CW6" i="13"/>
  <c r="CK6" i="7"/>
  <c r="DX7" i="10"/>
  <c r="CV5" i="7"/>
  <c r="EI7" i="10"/>
  <c r="DS5" i="46"/>
  <c r="DG5" i="7"/>
  <c r="DB7" i="10"/>
  <c r="BZ5" i="7"/>
  <c r="I16" i="10"/>
  <c r="FE7" i="10"/>
  <c r="EO5" i="46"/>
  <c r="CA5" i="26"/>
  <c r="CA5" i="46"/>
  <c r="CL5" i="26"/>
  <c r="CL5" i="46"/>
  <c r="DH5" i="26"/>
  <c r="DH5" i="46"/>
  <c r="CW5" i="26"/>
  <c r="CW5" i="46"/>
  <c r="EZ8" i="46"/>
  <c r="EZ8" i="13"/>
  <c r="EZ8" i="26"/>
  <c r="EZ8" i="7"/>
  <c r="EZ8" i="23"/>
  <c r="FR50" i="10"/>
  <c r="FR70" i="10"/>
  <c r="FC8" i="46"/>
  <c r="FC8" i="13"/>
  <c r="FC8" i="26"/>
  <c r="FU50" i="10"/>
  <c r="FU70" i="10"/>
  <c r="FC8" i="7"/>
  <c r="FC8" i="23"/>
  <c r="FE8" i="46"/>
  <c r="FE8" i="13"/>
  <c r="FE8" i="26"/>
  <c r="FE8" i="23"/>
  <c r="FW50" i="10"/>
  <c r="FW70" i="10"/>
  <c r="FE8" i="7"/>
  <c r="FB70" i="10"/>
  <c r="O77" i="10"/>
  <c r="O57" i="10"/>
  <c r="FB8" i="46"/>
  <c r="FB8" i="13"/>
  <c r="FB8" i="26"/>
  <c r="FB8" i="23"/>
  <c r="FB8" i="7"/>
  <c r="FT50" i="10"/>
  <c r="FT70" i="10"/>
  <c r="EV8" i="46"/>
  <c r="EV8" i="13"/>
  <c r="EV8" i="26"/>
  <c r="EV8" i="23"/>
  <c r="FN50" i="10"/>
  <c r="EV8" i="7"/>
  <c r="P18" i="10"/>
  <c r="EY8" i="46"/>
  <c r="EY8" i="13"/>
  <c r="EY8" i="26"/>
  <c r="EY8" i="23"/>
  <c r="FQ50" i="10"/>
  <c r="FQ70" i="10"/>
  <c r="EY8" i="7"/>
  <c r="FA8" i="46"/>
  <c r="FA8" i="13"/>
  <c r="FA8" i="26"/>
  <c r="FS50" i="10"/>
  <c r="FS70" i="10"/>
  <c r="FA8" i="7"/>
  <c r="FA8" i="23"/>
  <c r="EX8" i="46"/>
  <c r="EX8" i="13"/>
  <c r="EX8" i="26"/>
  <c r="FP50" i="10"/>
  <c r="FP70" i="10"/>
  <c r="EX8" i="7"/>
  <c r="EX8" i="23"/>
  <c r="FG8" i="46"/>
  <c r="FG8" i="13"/>
  <c r="FG8" i="26"/>
  <c r="FY50" i="10"/>
  <c r="FY70" i="10"/>
  <c r="FG8" i="7"/>
  <c r="FG8" i="23"/>
  <c r="EW8" i="46"/>
  <c r="EW8" i="13"/>
  <c r="EW8" i="26"/>
  <c r="FO50" i="10"/>
  <c r="FO70" i="10"/>
  <c r="EW8" i="23"/>
  <c r="EW8" i="7"/>
  <c r="FF8" i="46"/>
  <c r="FF8" i="13"/>
  <c r="FF8" i="26"/>
  <c r="FX50" i="10"/>
  <c r="FX70" i="10"/>
  <c r="FF8" i="7"/>
  <c r="FF8" i="23"/>
  <c r="FD8" i="46"/>
  <c r="FD8" i="13"/>
  <c r="FD8" i="26"/>
  <c r="FD8" i="23"/>
  <c r="FV50" i="10"/>
  <c r="FV70" i="10"/>
  <c r="FD8" i="7"/>
  <c r="FU5" i="26"/>
  <c r="FU5" i="13"/>
  <c r="FK5" i="26"/>
  <c r="FK5" i="13"/>
  <c r="FV5" i="26"/>
  <c r="FV5" i="13"/>
  <c r="FL5" i="26"/>
  <c r="FL5" i="13"/>
  <c r="ED5" i="26"/>
  <c r="ED5" i="13"/>
  <c r="FT5" i="26"/>
  <c r="FT5" i="13"/>
  <c r="EO5" i="26"/>
  <c r="EO5" i="13"/>
  <c r="DS5" i="26"/>
  <c r="DS5" i="13"/>
  <c r="DS5" i="23"/>
  <c r="EK47" i="10"/>
  <c r="EK67" i="10"/>
  <c r="DH5" i="13"/>
  <c r="DZ47" i="10"/>
  <c r="DZ67" i="10"/>
  <c r="DH5" i="23"/>
  <c r="GC47" i="10"/>
  <c r="GC67" i="10"/>
  <c r="FK5" i="23"/>
  <c r="GM7" i="10"/>
  <c r="FW5" i="46"/>
  <c r="FK5" i="7"/>
  <c r="ED5" i="23"/>
  <c r="EV47" i="10"/>
  <c r="EV67" i="10"/>
  <c r="FT5" i="7"/>
  <c r="GL47" i="10"/>
  <c r="GL67" i="10"/>
  <c r="FT5" i="23"/>
  <c r="FV5" i="23"/>
  <c r="GN47" i="10"/>
  <c r="GN67" i="10"/>
  <c r="GX7" i="10"/>
  <c r="GH5" i="46"/>
  <c r="FV5" i="7"/>
  <c r="CA5" i="13"/>
  <c r="CA5" i="23"/>
  <c r="CS47" i="10"/>
  <c r="CS67" i="10"/>
  <c r="GM47" i="10"/>
  <c r="GM67" i="10"/>
  <c r="FU5" i="23"/>
  <c r="GW7" i="10"/>
  <c r="GG5" i="46"/>
  <c r="FU5" i="7"/>
  <c r="CW5" i="13"/>
  <c r="CW5" i="23"/>
  <c r="DO47" i="10"/>
  <c r="DO67" i="10"/>
  <c r="EO5" i="7"/>
  <c r="EO5" i="23"/>
  <c r="FG47" i="10"/>
  <c r="FG67" i="10"/>
  <c r="CL5" i="13"/>
  <c r="DD47" i="10"/>
  <c r="DD67" i="10"/>
  <c r="CL5" i="23"/>
  <c r="GD47" i="10"/>
  <c r="GD67" i="10"/>
  <c r="FL5" i="23"/>
  <c r="GN7" i="10"/>
  <c r="FX5" i="46"/>
  <c r="FL5" i="7"/>
  <c r="EU7" i="10"/>
  <c r="EE5" i="46"/>
  <c r="DS5" i="7"/>
  <c r="FF7" i="10"/>
  <c r="EP5" i="46"/>
  <c r="ED5" i="7"/>
  <c r="AM155" i="4"/>
  <c r="AL157" i="4"/>
  <c r="C25" i="13"/>
  <c r="FQ7" i="10"/>
  <c r="FA5" i="46"/>
  <c r="DC7" i="10"/>
  <c r="CA5" i="7"/>
  <c r="DI6" i="13"/>
  <c r="CW6" i="7"/>
  <c r="DN7" i="10"/>
  <c r="CL5" i="7"/>
  <c r="CX6" i="13"/>
  <c r="CL6" i="7"/>
  <c r="DY7" i="10"/>
  <c r="CW5" i="7"/>
  <c r="DH6" i="7"/>
  <c r="GV7" i="10"/>
  <c r="GF5" i="46"/>
  <c r="EJ7" i="10"/>
  <c r="DT5" i="46"/>
  <c r="DH5" i="7"/>
  <c r="CM6" i="13"/>
  <c r="CA6" i="7"/>
  <c r="DI5" i="26"/>
  <c r="DI5" i="46"/>
  <c r="CX5" i="26"/>
  <c r="CX5" i="46"/>
  <c r="CM5" i="26"/>
  <c r="CM5" i="46"/>
  <c r="FI8" i="46"/>
  <c r="FI8" i="13"/>
  <c r="FI8" i="26"/>
  <c r="FI8" i="7"/>
  <c r="FI8" i="23"/>
  <c r="GA50" i="10"/>
  <c r="GA70" i="10"/>
  <c r="FM8" i="46"/>
  <c r="FM8" i="13"/>
  <c r="FM8" i="26"/>
  <c r="FM8" i="7"/>
  <c r="FM8" i="23"/>
  <c r="GE50" i="10"/>
  <c r="GE70" i="10"/>
  <c r="FN8" i="46"/>
  <c r="FN8" i="13"/>
  <c r="FN8" i="26"/>
  <c r="FN8" i="7"/>
  <c r="FN8" i="23"/>
  <c r="GF50" i="10"/>
  <c r="GF70" i="10"/>
  <c r="FS8" i="46"/>
  <c r="FS8" i="13"/>
  <c r="FS8" i="26"/>
  <c r="GK50" i="10"/>
  <c r="GK70" i="10"/>
  <c r="FS8" i="7"/>
  <c r="FS8" i="23"/>
  <c r="FK8" i="46"/>
  <c r="FK8" i="13"/>
  <c r="FK8" i="26"/>
  <c r="FK8" i="23"/>
  <c r="GC50" i="10"/>
  <c r="GC70" i="10"/>
  <c r="FK8" i="7"/>
  <c r="FN70" i="10"/>
  <c r="P77" i="10"/>
  <c r="P57" i="10"/>
  <c r="FR8" i="46"/>
  <c r="FR8" i="13"/>
  <c r="FR8" i="26"/>
  <c r="FR8" i="23"/>
  <c r="GJ50" i="10"/>
  <c r="GJ70" i="10"/>
  <c r="FR8" i="7"/>
  <c r="FJ8" i="46"/>
  <c r="FJ8" i="13"/>
  <c r="FJ8" i="26"/>
  <c r="FJ8" i="23"/>
  <c r="GB50" i="10"/>
  <c r="GB70" i="10"/>
  <c r="FJ8" i="7"/>
  <c r="FH8" i="46"/>
  <c r="FH8" i="13"/>
  <c r="FH8" i="26"/>
  <c r="FH8" i="23"/>
  <c r="FZ50" i="10"/>
  <c r="FH8" i="7"/>
  <c r="Q18" i="10"/>
  <c r="FQ8" i="46"/>
  <c r="FQ8" i="13"/>
  <c r="FQ8" i="26"/>
  <c r="GI50" i="10"/>
  <c r="GI70" i="10"/>
  <c r="FQ8" i="7"/>
  <c r="FQ8" i="23"/>
  <c r="FO8" i="46"/>
  <c r="FO8" i="13"/>
  <c r="FO8" i="26"/>
  <c r="FO8" i="23"/>
  <c r="GG50" i="10"/>
  <c r="GG70" i="10"/>
  <c r="FO8" i="7"/>
  <c r="FP8" i="46"/>
  <c r="FP8" i="13"/>
  <c r="FP8" i="26"/>
  <c r="FP8" i="7"/>
  <c r="FP8" i="23"/>
  <c r="GH50" i="10"/>
  <c r="GH70" i="10"/>
  <c r="FL8" i="46"/>
  <c r="FL8" i="13"/>
  <c r="FL8" i="26"/>
  <c r="FL8" i="23"/>
  <c r="FL8" i="7"/>
  <c r="GD50" i="10"/>
  <c r="GD70" i="10"/>
  <c r="FA5" i="26"/>
  <c r="FA5" i="13"/>
  <c r="GF5" i="26"/>
  <c r="GF5" i="13"/>
  <c r="GG5" i="26"/>
  <c r="GG5" i="13"/>
  <c r="FX5" i="26"/>
  <c r="FX5" i="13"/>
  <c r="EP5" i="26"/>
  <c r="EP5" i="13"/>
  <c r="DT5" i="26"/>
  <c r="DT5" i="13"/>
  <c r="EE5" i="26"/>
  <c r="EE5" i="13"/>
  <c r="GH5" i="26"/>
  <c r="GH5" i="13"/>
  <c r="FW5" i="26"/>
  <c r="FW5" i="13"/>
  <c r="DT5" i="7"/>
  <c r="DT5" i="23"/>
  <c r="EL47" i="10"/>
  <c r="EL67" i="10"/>
  <c r="CM5" i="13"/>
  <c r="DE47" i="10"/>
  <c r="DE67" i="10"/>
  <c r="CM5" i="23"/>
  <c r="GZ47" i="10"/>
  <c r="GZ67" i="10"/>
  <c r="GH5" i="23"/>
  <c r="HJ7" i="10"/>
  <c r="GT5" i="46"/>
  <c r="GH5" i="7"/>
  <c r="FA5" i="7"/>
  <c r="FA5" i="23"/>
  <c r="FS47" i="10"/>
  <c r="FS67" i="10"/>
  <c r="FW5" i="23"/>
  <c r="GO47" i="10"/>
  <c r="GO67" i="10"/>
  <c r="GY7" i="10"/>
  <c r="GI5" i="46"/>
  <c r="FW5" i="7"/>
  <c r="GY47" i="10"/>
  <c r="GY67" i="10"/>
  <c r="GG5" i="23"/>
  <c r="HI7" i="10"/>
  <c r="GS5" i="46"/>
  <c r="GG5" i="7"/>
  <c r="FH47" i="10"/>
  <c r="FH67" i="10"/>
  <c r="EP5" i="23"/>
  <c r="EE5" i="23"/>
  <c r="EW47" i="10"/>
  <c r="EW67" i="10"/>
  <c r="GP47" i="10"/>
  <c r="GP67" i="10"/>
  <c r="FX5" i="23"/>
  <c r="GX47" i="10"/>
  <c r="GX67" i="10"/>
  <c r="GF5" i="23"/>
  <c r="DI5" i="13"/>
  <c r="EA47" i="10"/>
  <c r="EA67" i="10"/>
  <c r="DI5" i="23"/>
  <c r="CX5" i="13"/>
  <c r="CX5" i="23"/>
  <c r="DP47" i="10"/>
  <c r="DP67" i="10"/>
  <c r="GZ7" i="10"/>
  <c r="GJ5" i="46"/>
  <c r="FX5" i="7"/>
  <c r="HH7" i="10"/>
  <c r="GR5" i="46"/>
  <c r="GF5" i="7"/>
  <c r="FR7" i="10"/>
  <c r="FB5" i="46"/>
  <c r="EP5" i="7"/>
  <c r="FG7" i="10"/>
  <c r="EQ5" i="46"/>
  <c r="EE5" i="7"/>
  <c r="AN155" i="4"/>
  <c r="AM157" i="4"/>
  <c r="DI6" i="7"/>
  <c r="DO7" i="10"/>
  <c r="CM5" i="7"/>
  <c r="CY6" i="13"/>
  <c r="CM6" i="7"/>
  <c r="GC7" i="10"/>
  <c r="FM5" i="46"/>
  <c r="EK7" i="10"/>
  <c r="DU5" i="46"/>
  <c r="DI5" i="7"/>
  <c r="J16" i="10"/>
  <c r="DJ6" i="13"/>
  <c r="CX6" i="7"/>
  <c r="EV7" i="10"/>
  <c r="EF5" i="46"/>
  <c r="DZ7" i="10"/>
  <c r="CX5" i="7"/>
  <c r="CY5" i="26"/>
  <c r="CY5" i="46"/>
  <c r="DJ5" i="26"/>
  <c r="DJ5" i="46"/>
  <c r="GD8" i="46"/>
  <c r="GD8" i="13"/>
  <c r="GD8" i="26"/>
  <c r="GD8" i="7"/>
  <c r="GV50" i="10"/>
  <c r="GV70" i="10"/>
  <c r="GD8" i="23"/>
  <c r="FZ70" i="10"/>
  <c r="Q77" i="10"/>
  <c r="Q57" i="10"/>
  <c r="FZ8" i="46"/>
  <c r="FZ8" i="13"/>
  <c r="FZ8" i="26"/>
  <c r="FZ8" i="7"/>
  <c r="FZ8" i="23"/>
  <c r="GR50" i="10"/>
  <c r="GR70" i="10"/>
  <c r="GB8" i="46"/>
  <c r="GB8" i="13"/>
  <c r="GB8" i="26"/>
  <c r="GT50" i="10"/>
  <c r="GT70" i="10"/>
  <c r="GB8" i="7"/>
  <c r="GB8" i="23"/>
  <c r="FT8" i="46"/>
  <c r="FT8" i="13"/>
  <c r="FT8" i="26"/>
  <c r="GL50" i="10"/>
  <c r="FT8" i="23"/>
  <c r="FT8" i="7"/>
  <c r="R18" i="10"/>
  <c r="FW8" i="46"/>
  <c r="FW8" i="13"/>
  <c r="FW8" i="26"/>
  <c r="FW8" i="7"/>
  <c r="FW8" i="23"/>
  <c r="GO50" i="10"/>
  <c r="GO70" i="10"/>
  <c r="FY8" i="46"/>
  <c r="FY8" i="13"/>
  <c r="FY8" i="26"/>
  <c r="FY8" i="23"/>
  <c r="GQ50" i="10"/>
  <c r="GQ70" i="10"/>
  <c r="FY8" i="7"/>
  <c r="GC8" i="46"/>
  <c r="GC8" i="13"/>
  <c r="GC8" i="26"/>
  <c r="GC8" i="23"/>
  <c r="GC8" i="7"/>
  <c r="GU50" i="10"/>
  <c r="GU70" i="10"/>
  <c r="GA8" i="46"/>
  <c r="GA8" i="13"/>
  <c r="GA8" i="26"/>
  <c r="GA8" i="7"/>
  <c r="GS50" i="10"/>
  <c r="GS70" i="10"/>
  <c r="GA8" i="23"/>
  <c r="FV8" i="46"/>
  <c r="FV8" i="13"/>
  <c r="FV8" i="26"/>
  <c r="FV8" i="7"/>
  <c r="GN50" i="10"/>
  <c r="GN70" i="10"/>
  <c r="FV8" i="23"/>
  <c r="GE8" i="46"/>
  <c r="GE8" i="13"/>
  <c r="GE8" i="26"/>
  <c r="GW50" i="10"/>
  <c r="GW70" i="10"/>
  <c r="GE8" i="7"/>
  <c r="GE8" i="23"/>
  <c r="FX8" i="46"/>
  <c r="FX8" i="13"/>
  <c r="FX8" i="26"/>
  <c r="FX8" i="7"/>
  <c r="FX8" i="23"/>
  <c r="GP50" i="10"/>
  <c r="GP70" i="10"/>
  <c r="FU8" i="46"/>
  <c r="FU8" i="13"/>
  <c r="FU8" i="26"/>
  <c r="FU8" i="23"/>
  <c r="GM50" i="10"/>
  <c r="GM70" i="10"/>
  <c r="FU8" i="7"/>
  <c r="GI5" i="26"/>
  <c r="GI5" i="13"/>
  <c r="GR5" i="26"/>
  <c r="GR5" i="13"/>
  <c r="DU5" i="26"/>
  <c r="DU5" i="13"/>
  <c r="FM5" i="26"/>
  <c r="FM5" i="13"/>
  <c r="GJ5" i="26"/>
  <c r="GJ5" i="13"/>
  <c r="GS5" i="26"/>
  <c r="GS5" i="13"/>
  <c r="GT5" i="26"/>
  <c r="GT5" i="13"/>
  <c r="EF5" i="26"/>
  <c r="EF5" i="13"/>
  <c r="EQ5" i="26"/>
  <c r="EQ5" i="13"/>
  <c r="FB5" i="26"/>
  <c r="FB5" i="13"/>
  <c r="CY5" i="13"/>
  <c r="CY5" i="23"/>
  <c r="DQ47" i="10"/>
  <c r="DQ67" i="10"/>
  <c r="HJ47" i="10"/>
  <c r="HJ67" i="10"/>
  <c r="GR5" i="23"/>
  <c r="GT5" i="23"/>
  <c r="HL47" i="10"/>
  <c r="HL67" i="10"/>
  <c r="HV7" i="10"/>
  <c r="HF5" i="46"/>
  <c r="GT5" i="7"/>
  <c r="HB47" i="10"/>
  <c r="HB67" i="10"/>
  <c r="GJ5" i="23"/>
  <c r="DJ5" i="13"/>
  <c r="EB47" i="10"/>
  <c r="EB67" i="10"/>
  <c r="DJ5" i="23"/>
  <c r="EF5" i="23"/>
  <c r="EX47" i="10"/>
  <c r="EX67" i="10"/>
  <c r="FB5" i="23"/>
  <c r="FT47" i="10"/>
  <c r="FT67" i="10"/>
  <c r="HK47" i="10"/>
  <c r="HK67" i="10"/>
  <c r="GS5" i="23"/>
  <c r="HU7" i="10"/>
  <c r="HE5" i="46"/>
  <c r="GS5" i="7"/>
  <c r="EM47" i="10"/>
  <c r="EM67" i="10"/>
  <c r="DU5" i="23"/>
  <c r="FM5" i="7"/>
  <c r="FM5" i="23"/>
  <c r="GE47" i="10"/>
  <c r="GE67" i="10"/>
  <c r="FI47" i="10"/>
  <c r="FI67" i="10"/>
  <c r="EQ5" i="23"/>
  <c r="HA47" i="10"/>
  <c r="HA67" i="10"/>
  <c r="GI5" i="23"/>
  <c r="HK7" i="10"/>
  <c r="GU5" i="46"/>
  <c r="GI5" i="7"/>
  <c r="HL7" i="10"/>
  <c r="GV5" i="46"/>
  <c r="GJ5" i="7"/>
  <c r="FS7" i="10"/>
  <c r="FC5" i="46"/>
  <c r="EQ5" i="7"/>
  <c r="FH7" i="10"/>
  <c r="ER5" i="46"/>
  <c r="EF5" i="7"/>
  <c r="GD7" i="10"/>
  <c r="FN5" i="46"/>
  <c r="FB5" i="7"/>
  <c r="EW7" i="10"/>
  <c r="EG5" i="46"/>
  <c r="DU5" i="7"/>
  <c r="HT7" i="10"/>
  <c r="HD5" i="46"/>
  <c r="GR5" i="7"/>
  <c r="AO155" i="4"/>
  <c r="AN157" i="4"/>
  <c r="EL7" i="10"/>
  <c r="DV5" i="46"/>
  <c r="DJ5" i="7"/>
  <c r="DK6" i="13"/>
  <c r="CY6" i="7"/>
  <c r="K16" i="10"/>
  <c r="EA7" i="10"/>
  <c r="CY5" i="7"/>
  <c r="DJ6" i="7"/>
  <c r="GO7" i="10"/>
  <c r="FY5" i="46"/>
  <c r="DK5" i="26"/>
  <c r="DK5" i="46"/>
  <c r="GN8" i="46"/>
  <c r="GN8" i="13"/>
  <c r="GN8" i="26"/>
  <c r="GN8" i="7"/>
  <c r="GN8" i="23"/>
  <c r="HF50" i="10"/>
  <c r="HF70" i="10"/>
  <c r="GJ8" i="46"/>
  <c r="GJ8" i="13"/>
  <c r="GJ8" i="26"/>
  <c r="HB50" i="10"/>
  <c r="HB70" i="10"/>
  <c r="GJ8" i="23"/>
  <c r="GJ8" i="7"/>
  <c r="GM8" i="46"/>
  <c r="GM8" i="13"/>
  <c r="GM8" i="26"/>
  <c r="GM8" i="23"/>
  <c r="HE50" i="10"/>
  <c r="HE70" i="10"/>
  <c r="GM8" i="7"/>
  <c r="GI8" i="46"/>
  <c r="GI8" i="13"/>
  <c r="GI8" i="26"/>
  <c r="GI8" i="7"/>
  <c r="HA50" i="10"/>
  <c r="HA70" i="10"/>
  <c r="GI8" i="23"/>
  <c r="GL8" i="46"/>
  <c r="GL8" i="13"/>
  <c r="GL8" i="26"/>
  <c r="GL8" i="7"/>
  <c r="GL8" i="23"/>
  <c r="HD50" i="10"/>
  <c r="HD70" i="10"/>
  <c r="GL70" i="10"/>
  <c r="R77" i="10"/>
  <c r="R57" i="10"/>
  <c r="GH8" i="46"/>
  <c r="GH8" i="13"/>
  <c r="GH8" i="26"/>
  <c r="GH8" i="23"/>
  <c r="GZ50" i="10"/>
  <c r="GZ70" i="10"/>
  <c r="GH8" i="7"/>
  <c r="GK8" i="46"/>
  <c r="GK8" i="13"/>
  <c r="GK8" i="26"/>
  <c r="GK8" i="7"/>
  <c r="GK8" i="23"/>
  <c r="HC50" i="10"/>
  <c r="HC70" i="10"/>
  <c r="GQ8" i="46"/>
  <c r="GQ8" i="13"/>
  <c r="GQ8" i="26"/>
  <c r="HI50" i="10"/>
  <c r="HI70" i="10"/>
  <c r="GQ8" i="7"/>
  <c r="GQ8" i="23"/>
  <c r="GO8" i="46"/>
  <c r="GO8" i="13"/>
  <c r="GO8" i="26"/>
  <c r="GO8" i="23"/>
  <c r="GO8" i="7"/>
  <c r="HG50" i="10"/>
  <c r="HG70" i="10"/>
  <c r="GF8" i="46"/>
  <c r="GF8" i="13"/>
  <c r="GF8" i="26"/>
  <c r="GF8" i="23"/>
  <c r="GX50" i="10"/>
  <c r="GF8" i="7"/>
  <c r="S18" i="10"/>
  <c r="GG8" i="46"/>
  <c r="GG8" i="13"/>
  <c r="GG8" i="26"/>
  <c r="GG8" i="23"/>
  <c r="GY50" i="10"/>
  <c r="GY70" i="10"/>
  <c r="GG8" i="7"/>
  <c r="GP8" i="46"/>
  <c r="GP8" i="13"/>
  <c r="GP8" i="26"/>
  <c r="GP8" i="7"/>
  <c r="GP8" i="23"/>
  <c r="HH50" i="10"/>
  <c r="HH70" i="10"/>
  <c r="GU5" i="26"/>
  <c r="GU5" i="13"/>
  <c r="ER5" i="26"/>
  <c r="ER5" i="13"/>
  <c r="FY5" i="26"/>
  <c r="FY5" i="13"/>
  <c r="FC5" i="26"/>
  <c r="FC5" i="13"/>
  <c r="HE5" i="26"/>
  <c r="HE5" i="13"/>
  <c r="GV5" i="26"/>
  <c r="GV5" i="13"/>
  <c r="DV5" i="26"/>
  <c r="DV5" i="13"/>
  <c r="HD5" i="26"/>
  <c r="HD5" i="13"/>
  <c r="EG5" i="26"/>
  <c r="EG5" i="13"/>
  <c r="HF5" i="26"/>
  <c r="HF5" i="13"/>
  <c r="FN5" i="26"/>
  <c r="FN5" i="13"/>
  <c r="HV47" i="10"/>
  <c r="HV67" i="10"/>
  <c r="HD5" i="23"/>
  <c r="GF47" i="10"/>
  <c r="GF67" i="10"/>
  <c r="FN5" i="23"/>
  <c r="FC5" i="23"/>
  <c r="FU47" i="10"/>
  <c r="FU67" i="10"/>
  <c r="GU5" i="23"/>
  <c r="HM47" i="10"/>
  <c r="HM67" i="10"/>
  <c r="HW7" i="10"/>
  <c r="HG5" i="46"/>
  <c r="GU5" i="7"/>
  <c r="EN47" i="10"/>
  <c r="EN67" i="10"/>
  <c r="DV5" i="23"/>
  <c r="GV5" i="23"/>
  <c r="HN47" i="10"/>
  <c r="HN67" i="10"/>
  <c r="HW47" i="10"/>
  <c r="HW67" i="10"/>
  <c r="HE5" i="23"/>
  <c r="IG7" i="10"/>
  <c r="HQ5" i="46"/>
  <c r="HE5" i="7"/>
  <c r="FY5" i="23"/>
  <c r="GQ47" i="10"/>
  <c r="GQ67" i="10"/>
  <c r="EG5" i="23"/>
  <c r="EY47" i="10"/>
  <c r="EY67" i="10"/>
  <c r="DK5" i="13"/>
  <c r="EC47" i="10"/>
  <c r="EC67" i="10"/>
  <c r="DK5" i="23"/>
  <c r="ER5" i="7"/>
  <c r="FJ47" i="10"/>
  <c r="FJ67" i="10"/>
  <c r="ER5" i="23"/>
  <c r="HX47" i="10"/>
  <c r="HX67" i="10"/>
  <c r="HF5" i="23"/>
  <c r="IH7" i="10"/>
  <c r="HR5" i="46"/>
  <c r="HF5" i="7"/>
  <c r="HX7" i="10"/>
  <c r="HH5" i="46"/>
  <c r="GV5" i="7"/>
  <c r="EX7" i="10"/>
  <c r="EH5" i="46"/>
  <c r="DV5" i="7"/>
  <c r="FI7" i="10"/>
  <c r="ES5" i="46"/>
  <c r="EG5" i="7"/>
  <c r="GP7" i="10"/>
  <c r="FZ5" i="46"/>
  <c r="FN5" i="7"/>
  <c r="HA7" i="10"/>
  <c r="GK5" i="46"/>
  <c r="FY5" i="7"/>
  <c r="GE7" i="10"/>
  <c r="FO5" i="46"/>
  <c r="FC5" i="7"/>
  <c r="FT7" i="10"/>
  <c r="FD5" i="46"/>
  <c r="IF7" i="10"/>
  <c r="HP5" i="46"/>
  <c r="HD5" i="7"/>
  <c r="AP155" i="4"/>
  <c r="AO157" i="4"/>
  <c r="EM7" i="10"/>
  <c r="DW5" i="46"/>
  <c r="DK5" i="7"/>
  <c r="DK6" i="7"/>
  <c r="L16" i="10"/>
  <c r="GT8" i="46"/>
  <c r="GT8" i="13"/>
  <c r="GT8" i="26"/>
  <c r="GT8" i="7"/>
  <c r="GT8" i="23"/>
  <c r="HL50" i="10"/>
  <c r="HL70" i="10"/>
  <c r="GY8" i="46"/>
  <c r="GY8" i="13"/>
  <c r="GY8" i="26"/>
  <c r="GY8" i="23"/>
  <c r="HQ50" i="10"/>
  <c r="HQ70" i="10"/>
  <c r="GY8" i="7"/>
  <c r="GS8" i="46"/>
  <c r="GS8" i="13"/>
  <c r="GS8" i="26"/>
  <c r="GS8" i="7"/>
  <c r="GS8" i="23"/>
  <c r="HK50" i="10"/>
  <c r="HK70" i="10"/>
  <c r="HC8" i="46"/>
  <c r="HC8" i="13"/>
  <c r="HC8" i="26"/>
  <c r="HC8" i="7"/>
  <c r="HU50" i="10"/>
  <c r="HU70" i="10"/>
  <c r="HC8" i="23"/>
  <c r="GX70" i="10"/>
  <c r="S77" i="10"/>
  <c r="S57" i="10"/>
  <c r="GX8" i="46"/>
  <c r="GX8" i="13"/>
  <c r="GX8" i="26"/>
  <c r="GX8" i="23"/>
  <c r="HP50" i="10"/>
  <c r="HP70" i="10"/>
  <c r="GX8" i="7"/>
  <c r="GV8" i="46"/>
  <c r="GV8" i="13"/>
  <c r="GV8" i="26"/>
  <c r="HN50" i="10"/>
  <c r="HN70" i="10"/>
  <c r="GV8" i="23"/>
  <c r="GV8" i="7"/>
  <c r="HA8" i="46"/>
  <c r="HA8" i="13"/>
  <c r="HA8" i="26"/>
  <c r="HA8" i="7"/>
  <c r="HA8" i="23"/>
  <c r="HS50" i="10"/>
  <c r="HS70" i="10"/>
  <c r="GR8" i="46"/>
  <c r="T18" i="10"/>
  <c r="GR8" i="13"/>
  <c r="GR8" i="26"/>
  <c r="GR8" i="23"/>
  <c r="HJ50" i="10"/>
  <c r="HJ70" i="10"/>
  <c r="GR8" i="7"/>
  <c r="GW8" i="46"/>
  <c r="GW8" i="13"/>
  <c r="GW8" i="26"/>
  <c r="GW8" i="7"/>
  <c r="GW8" i="23"/>
  <c r="HO50" i="10"/>
  <c r="HO70" i="10"/>
  <c r="GU8" i="46"/>
  <c r="GU8" i="13"/>
  <c r="GU8" i="26"/>
  <c r="GU8" i="23"/>
  <c r="HM50" i="10"/>
  <c r="HM70" i="10"/>
  <c r="GU8" i="7"/>
  <c r="HB8" i="46"/>
  <c r="HB8" i="13"/>
  <c r="HB8" i="26"/>
  <c r="HT50" i="10"/>
  <c r="HT70" i="10"/>
  <c r="HB8" i="23"/>
  <c r="HB8" i="7"/>
  <c r="GZ8" i="46"/>
  <c r="GZ8" i="13"/>
  <c r="GZ8" i="26"/>
  <c r="GZ8" i="23"/>
  <c r="GZ8" i="7"/>
  <c r="HR50" i="10"/>
  <c r="HR70" i="10"/>
  <c r="HP5" i="26"/>
  <c r="HP5" i="13"/>
  <c r="IR7" i="10"/>
  <c r="FD5" i="26"/>
  <c r="FD5" i="13"/>
  <c r="HG5" i="26"/>
  <c r="HG5" i="13"/>
  <c r="GK5" i="26"/>
  <c r="GK5" i="13"/>
  <c r="HR5" i="26"/>
  <c r="HR5" i="13"/>
  <c r="FZ5" i="26"/>
  <c r="FZ5" i="13"/>
  <c r="EH5" i="26"/>
  <c r="EH5" i="13"/>
  <c r="HH5" i="26"/>
  <c r="HH5" i="13"/>
  <c r="HQ5" i="26"/>
  <c r="HQ5" i="13"/>
  <c r="FO5" i="26"/>
  <c r="FO5" i="13"/>
  <c r="ES5" i="26"/>
  <c r="ES5" i="13"/>
  <c r="DW5" i="26"/>
  <c r="DW5" i="13"/>
  <c r="HC47" i="10"/>
  <c r="HC67" i="10"/>
  <c r="GK5" i="23"/>
  <c r="FZ5" i="23"/>
  <c r="GR47" i="10"/>
  <c r="GR67" i="10"/>
  <c r="EZ47" i="10"/>
  <c r="EZ67" i="10"/>
  <c r="EH5" i="23"/>
  <c r="II47" i="10"/>
  <c r="II67" i="10"/>
  <c r="HQ5" i="23"/>
  <c r="IS7" i="10"/>
  <c r="IC5" i="46"/>
  <c r="HQ5" i="7"/>
  <c r="GG47" i="10"/>
  <c r="GG67" i="10"/>
  <c r="FO5" i="23"/>
  <c r="FD5" i="7"/>
  <c r="FV47" i="10"/>
  <c r="FV67" i="10"/>
  <c r="FD5" i="23"/>
  <c r="FK47" i="10"/>
  <c r="FK67" i="10"/>
  <c r="ES5" i="23"/>
  <c r="DW5" i="23"/>
  <c r="EO47" i="10"/>
  <c r="EO67" i="10"/>
  <c r="M74" i="10"/>
  <c r="HZ47" i="10"/>
  <c r="HZ67" i="10"/>
  <c r="HH5" i="23"/>
  <c r="IJ47" i="10"/>
  <c r="IJ67" i="10"/>
  <c r="HR5" i="23"/>
  <c r="HR5" i="7"/>
  <c r="IT7" i="10"/>
  <c r="ID5" i="46"/>
  <c r="IH47" i="10"/>
  <c r="IH67" i="10"/>
  <c r="HP5" i="23"/>
  <c r="HY47" i="10"/>
  <c r="HY67" i="10"/>
  <c r="HG5" i="23"/>
  <c r="HG5" i="7"/>
  <c r="II7" i="10"/>
  <c r="HS5" i="46"/>
  <c r="IJ7" i="10"/>
  <c r="HT5" i="46"/>
  <c r="HH5" i="7"/>
  <c r="GF7" i="10"/>
  <c r="EY7" i="10"/>
  <c r="EI5" i="46"/>
  <c r="DW5" i="7"/>
  <c r="HM7" i="10"/>
  <c r="GW5" i="46"/>
  <c r="GK5" i="7"/>
  <c r="HB7" i="10"/>
  <c r="GL5" i="46"/>
  <c r="FZ5" i="7"/>
  <c r="FU7" i="10"/>
  <c r="FE5" i="46"/>
  <c r="ES5" i="7"/>
  <c r="HP5" i="7"/>
  <c r="FJ7" i="10"/>
  <c r="ET5" i="46"/>
  <c r="EH5" i="7"/>
  <c r="GQ7" i="10"/>
  <c r="GA5" i="46"/>
  <c r="FO5" i="7"/>
  <c r="AQ155" i="4"/>
  <c r="AP157" i="4"/>
  <c r="M16" i="10"/>
  <c r="T77" i="10"/>
  <c r="IB5" i="13"/>
  <c r="IB5" i="46"/>
  <c r="FP5" i="13"/>
  <c r="FP5" i="46"/>
  <c r="HD8" i="46"/>
  <c r="U18" i="10"/>
  <c r="HD8" i="13"/>
  <c r="HD8" i="26"/>
  <c r="HD8" i="7"/>
  <c r="HV50" i="10"/>
  <c r="HV70" i="10"/>
  <c r="HD8" i="23"/>
  <c r="HJ8" i="46"/>
  <c r="HJ8" i="13"/>
  <c r="HJ8" i="26"/>
  <c r="HJ8" i="23"/>
  <c r="HJ8" i="7"/>
  <c r="IB50" i="10"/>
  <c r="IB70" i="10"/>
  <c r="HI8" i="46"/>
  <c r="HI8" i="13"/>
  <c r="HI8" i="26"/>
  <c r="HI8" i="23"/>
  <c r="IA50" i="10"/>
  <c r="IA70" i="10"/>
  <c r="HI8" i="7"/>
  <c r="HH8" i="46"/>
  <c r="HH8" i="13"/>
  <c r="HH8" i="26"/>
  <c r="HH8" i="23"/>
  <c r="HZ50" i="10"/>
  <c r="HZ70" i="10"/>
  <c r="HH8" i="7"/>
  <c r="HE8" i="46"/>
  <c r="HE8" i="13"/>
  <c r="HE8" i="26"/>
  <c r="HE8" i="23"/>
  <c r="HW50" i="10"/>
  <c r="HW70" i="10"/>
  <c r="HE8" i="7"/>
  <c r="HN8" i="46"/>
  <c r="HN8" i="13"/>
  <c r="HN8" i="26"/>
  <c r="HN8" i="23"/>
  <c r="HN8" i="7"/>
  <c r="IF50" i="10"/>
  <c r="IF70" i="10"/>
  <c r="HK8" i="46"/>
  <c r="HK8" i="13"/>
  <c r="HK8" i="26"/>
  <c r="HK8" i="7"/>
  <c r="HK8" i="23"/>
  <c r="IC50" i="10"/>
  <c r="IC70" i="10"/>
  <c r="HG8" i="46"/>
  <c r="HG8" i="13"/>
  <c r="HG8" i="26"/>
  <c r="HG8" i="7"/>
  <c r="HG8" i="23"/>
  <c r="HY50" i="10"/>
  <c r="HY70" i="10"/>
  <c r="HM8" i="46"/>
  <c r="HM8" i="13"/>
  <c r="HM8" i="26"/>
  <c r="HM8" i="7"/>
  <c r="HM8" i="23"/>
  <c r="IE50" i="10"/>
  <c r="IE70" i="10"/>
  <c r="HO8" i="46"/>
  <c r="HO8" i="13"/>
  <c r="HO8" i="26"/>
  <c r="IG50" i="10"/>
  <c r="IG70" i="10"/>
  <c r="HO8" i="7"/>
  <c r="HO8" i="23"/>
  <c r="HL8" i="46"/>
  <c r="HL8" i="13"/>
  <c r="HL8" i="26"/>
  <c r="HL8" i="7"/>
  <c r="HL8" i="23"/>
  <c r="ID50" i="10"/>
  <c r="ID70" i="10"/>
  <c r="HF8" i="46"/>
  <c r="HF8" i="13"/>
  <c r="HF8" i="26"/>
  <c r="HF8" i="7"/>
  <c r="HF8" i="23"/>
  <c r="HX50" i="10"/>
  <c r="HX70" i="10"/>
  <c r="IB5" i="26"/>
  <c r="FE5" i="26"/>
  <c r="FE5" i="13"/>
  <c r="ET5" i="26"/>
  <c r="ET5" i="13"/>
  <c r="GA5" i="26"/>
  <c r="GA5" i="13"/>
  <c r="GL5" i="26"/>
  <c r="GL5" i="13"/>
  <c r="GW5" i="26"/>
  <c r="GW5" i="13"/>
  <c r="ID5" i="26"/>
  <c r="ID5" i="13"/>
  <c r="HT5" i="26"/>
  <c r="HT5" i="13"/>
  <c r="HS5" i="26"/>
  <c r="HS5" i="13"/>
  <c r="IC5" i="26"/>
  <c r="IC5" i="13"/>
  <c r="EI5" i="26"/>
  <c r="EI5" i="13"/>
  <c r="GR7" i="10"/>
  <c r="GB5" i="46"/>
  <c r="FP5" i="26"/>
  <c r="FL47" i="10"/>
  <c r="FL67" i="10"/>
  <c r="ET5" i="23"/>
  <c r="HS5" i="23"/>
  <c r="IK47" i="10"/>
  <c r="IK67" i="10"/>
  <c r="HS5" i="7"/>
  <c r="IU7" i="10"/>
  <c r="IE5" i="46"/>
  <c r="FE5" i="23"/>
  <c r="FW47" i="10"/>
  <c r="FW67" i="10"/>
  <c r="HD47" i="10"/>
  <c r="HD67" i="10"/>
  <c r="GL5" i="23"/>
  <c r="IC5" i="7"/>
  <c r="IC5" i="23"/>
  <c r="IU47" i="10"/>
  <c r="IU67" i="10"/>
  <c r="FA47" i="10"/>
  <c r="FA67" i="10"/>
  <c r="EI5" i="23"/>
  <c r="HT5" i="23"/>
  <c r="IL47" i="10"/>
  <c r="IL67" i="10"/>
  <c r="ID5" i="7"/>
  <c r="IV47" i="10"/>
  <c r="IV67" i="10"/>
  <c r="ID5" i="23"/>
  <c r="GA5" i="23"/>
  <c r="GS47" i="10"/>
  <c r="GS67" i="10"/>
  <c r="IB5" i="7"/>
  <c r="IT47" i="10"/>
  <c r="IT67" i="10"/>
  <c r="IB5" i="23"/>
  <c r="GW5" i="23"/>
  <c r="HO47" i="10"/>
  <c r="HO67" i="10"/>
  <c r="FP5" i="7"/>
  <c r="GH47" i="10"/>
  <c r="GH67" i="10"/>
  <c r="FP5" i="23"/>
  <c r="IV7" i="10"/>
  <c r="IF5" i="46"/>
  <c r="HT5" i="7"/>
  <c r="HC7" i="10"/>
  <c r="GM5" i="46"/>
  <c r="GA5" i="7"/>
  <c r="HN7" i="10"/>
  <c r="GX5" i="46"/>
  <c r="GL5" i="7"/>
  <c r="FV7" i="10"/>
  <c r="FF5" i="46"/>
  <c r="ET5" i="7"/>
  <c r="HY7" i="10"/>
  <c r="HI5" i="46"/>
  <c r="GW5" i="7"/>
  <c r="FK7" i="10"/>
  <c r="EI5" i="7"/>
  <c r="GG7" i="10"/>
  <c r="FQ5" i="46"/>
  <c r="FE5" i="7"/>
  <c r="AR155" i="4"/>
  <c r="AQ157" i="4"/>
  <c r="N16" i="10"/>
  <c r="EU5" i="13"/>
  <c r="EU5" i="46"/>
  <c r="U77" i="10"/>
  <c r="HZ8" i="46"/>
  <c r="HZ8" i="13"/>
  <c r="HZ8" i="26"/>
  <c r="HZ8" i="7"/>
  <c r="HZ8" i="23"/>
  <c r="IR50" i="10"/>
  <c r="IR70" i="10"/>
  <c r="HU8" i="46"/>
  <c r="HU8" i="13"/>
  <c r="HU8" i="26"/>
  <c r="HU8" i="7"/>
  <c r="HU8" i="23"/>
  <c r="IM50" i="10"/>
  <c r="IM70" i="10"/>
  <c r="HS8" i="46"/>
  <c r="HS8" i="13"/>
  <c r="HS8" i="26"/>
  <c r="HS8" i="23"/>
  <c r="HS8" i="7"/>
  <c r="IK50" i="10"/>
  <c r="IK70" i="10"/>
  <c r="IA8" i="46"/>
  <c r="IA8" i="13"/>
  <c r="IA8" i="26"/>
  <c r="IS50" i="10"/>
  <c r="IS70" i="10"/>
  <c r="IA8" i="7"/>
  <c r="IA8" i="23"/>
  <c r="HR8" i="46"/>
  <c r="HR8" i="13"/>
  <c r="HR8" i="26"/>
  <c r="HR8" i="23"/>
  <c r="IJ50" i="10"/>
  <c r="IJ70" i="10"/>
  <c r="HR8" i="7"/>
  <c r="HY8" i="46"/>
  <c r="HY8" i="13"/>
  <c r="HY8" i="26"/>
  <c r="HY8" i="23"/>
  <c r="IQ50" i="10"/>
  <c r="IQ70" i="10"/>
  <c r="HY8" i="7"/>
  <c r="HX8" i="46"/>
  <c r="HX8" i="13"/>
  <c r="HX8" i="26"/>
  <c r="HX8" i="7"/>
  <c r="IP50" i="10"/>
  <c r="IP70" i="10"/>
  <c r="HX8" i="23"/>
  <c r="HQ8" i="46"/>
  <c r="HQ8" i="13"/>
  <c r="HQ8" i="26"/>
  <c r="HQ8" i="7"/>
  <c r="HQ8" i="23"/>
  <c r="II50" i="10"/>
  <c r="II70" i="10"/>
  <c r="HV8" i="46"/>
  <c r="HV8" i="13"/>
  <c r="HV8" i="26"/>
  <c r="HV8" i="23"/>
  <c r="IN50" i="10"/>
  <c r="IN70" i="10"/>
  <c r="HV8" i="7"/>
  <c r="HW8" i="46"/>
  <c r="HW8" i="13"/>
  <c r="HW8" i="26"/>
  <c r="HW8" i="23"/>
  <c r="IO50" i="10"/>
  <c r="IO70" i="10"/>
  <c r="HW8" i="7"/>
  <c r="HT8" i="46"/>
  <c r="HT8" i="13"/>
  <c r="HT8" i="26"/>
  <c r="HT8" i="7"/>
  <c r="IL50" i="10"/>
  <c r="IL70" i="10"/>
  <c r="HT8" i="23"/>
  <c r="HP8" i="46"/>
  <c r="V18" i="10"/>
  <c r="HP8" i="13"/>
  <c r="HP8" i="26"/>
  <c r="HP8" i="7"/>
  <c r="HP8" i="23"/>
  <c r="IH50" i="10"/>
  <c r="IH70" i="10"/>
  <c r="IF5" i="26"/>
  <c r="IF5" i="13"/>
  <c r="GX5" i="26"/>
  <c r="GX5" i="13"/>
  <c r="GB5" i="26"/>
  <c r="GB5" i="13"/>
  <c r="FQ5" i="26"/>
  <c r="FQ5" i="13"/>
  <c r="GM5" i="26"/>
  <c r="GM5" i="13"/>
  <c r="HI5" i="26"/>
  <c r="HI5" i="13"/>
  <c r="FF5" i="26"/>
  <c r="FF5" i="13"/>
  <c r="IE5" i="26"/>
  <c r="IE5" i="13"/>
  <c r="HD7" i="10"/>
  <c r="GN5" i="46"/>
  <c r="GB5" i="7"/>
  <c r="O15" i="10"/>
  <c r="EU5" i="26"/>
  <c r="GB5" i="23"/>
  <c r="GT47" i="10"/>
  <c r="GT67" i="10"/>
  <c r="IA47" i="10"/>
  <c r="IA67" i="10"/>
  <c r="HI5" i="23"/>
  <c r="IE5" i="7"/>
  <c r="IW47" i="10"/>
  <c r="IW67" i="10"/>
  <c r="IE5" i="23"/>
  <c r="FF5" i="23"/>
  <c r="FX47" i="10"/>
  <c r="FX67" i="10"/>
  <c r="GX5" i="23"/>
  <c r="HP47" i="10"/>
  <c r="HP67" i="10"/>
  <c r="GI47" i="10"/>
  <c r="GI67" i="10"/>
  <c r="FQ5" i="23"/>
  <c r="FM47" i="10"/>
  <c r="FM67" i="10"/>
  <c r="EU5" i="23"/>
  <c r="GM5" i="23"/>
  <c r="HE47" i="10"/>
  <c r="HE67" i="10"/>
  <c r="IF5" i="7"/>
  <c r="IX47" i="10"/>
  <c r="IX67" i="10"/>
  <c r="IF5" i="23"/>
  <c r="IK7" i="10"/>
  <c r="HU5" i="46"/>
  <c r="HI5" i="7"/>
  <c r="FQ5" i="7"/>
  <c r="GS7" i="10"/>
  <c r="GC5" i="46"/>
  <c r="GH7" i="10"/>
  <c r="FR5" i="46"/>
  <c r="FF5" i="7"/>
  <c r="HZ7" i="10"/>
  <c r="HJ5" i="46"/>
  <c r="GX5" i="7"/>
  <c r="HO7" i="10"/>
  <c r="GY5" i="46"/>
  <c r="GM5" i="7"/>
  <c r="EU5" i="7"/>
  <c r="FW7" i="10"/>
  <c r="FG5" i="46"/>
  <c r="AS155" i="4"/>
  <c r="AR157" i="4"/>
  <c r="O16" i="10"/>
  <c r="IB8" i="46"/>
  <c r="IB8" i="13"/>
  <c r="IB8" i="26"/>
  <c r="IB8" i="7"/>
  <c r="IB8" i="23"/>
  <c r="IT50" i="10"/>
  <c r="IT70" i="10"/>
  <c r="IH8" i="46"/>
  <c r="IH8" i="13"/>
  <c r="IH8" i="26"/>
  <c r="IH8" i="23"/>
  <c r="IZ50" i="10"/>
  <c r="IZ70" i="10"/>
  <c r="IH8" i="7"/>
  <c r="IK8" i="13"/>
  <c r="JC50" i="10"/>
  <c r="JC70" i="10"/>
  <c r="IE8" i="46"/>
  <c r="IE8" i="13"/>
  <c r="IE8" i="26"/>
  <c r="IE8" i="23"/>
  <c r="IW50" i="10"/>
  <c r="IW70" i="10"/>
  <c r="IE8" i="7"/>
  <c r="IF8" i="46"/>
  <c r="IF8" i="13"/>
  <c r="IF8" i="26"/>
  <c r="IF8" i="7"/>
  <c r="IX50" i="10"/>
  <c r="IX70" i="10"/>
  <c r="IF8" i="23"/>
  <c r="IC8" i="46"/>
  <c r="IC8" i="13"/>
  <c r="IC8" i="26"/>
  <c r="IC8" i="23"/>
  <c r="IU50" i="10"/>
  <c r="IU70" i="10"/>
  <c r="IC8" i="7"/>
  <c r="IG8" i="46"/>
  <c r="IG8" i="13"/>
  <c r="IG8" i="26"/>
  <c r="IG8" i="23"/>
  <c r="IY50" i="10"/>
  <c r="IY70" i="10"/>
  <c r="IG8" i="7"/>
  <c r="IJ8" i="13"/>
  <c r="JB50" i="10"/>
  <c r="JB70" i="10"/>
  <c r="ID8" i="46"/>
  <c r="ID8" i="13"/>
  <c r="ID8" i="26"/>
  <c r="ID8" i="7"/>
  <c r="IV50" i="10"/>
  <c r="IV70" i="10"/>
  <c r="ID8" i="23"/>
  <c r="V77" i="10"/>
  <c r="II8" i="13"/>
  <c r="JA50" i="10"/>
  <c r="JA70" i="10"/>
  <c r="IM8" i="13"/>
  <c r="JE50" i="10"/>
  <c r="JE70" i="10"/>
  <c r="IL8" i="13"/>
  <c r="JD50" i="10"/>
  <c r="JD70" i="10"/>
  <c r="HU5" i="26"/>
  <c r="HU5" i="13"/>
  <c r="GN5" i="26"/>
  <c r="GN5" i="13"/>
  <c r="GY5" i="26"/>
  <c r="GY5" i="13"/>
  <c r="HJ5" i="26"/>
  <c r="HJ5" i="13"/>
  <c r="FR5" i="26"/>
  <c r="FR5" i="13"/>
  <c r="GC5" i="26"/>
  <c r="GC5" i="13"/>
  <c r="FG5" i="26"/>
  <c r="FG5" i="13"/>
  <c r="GN5" i="23"/>
  <c r="HF47" i="10"/>
  <c r="HF67" i="10"/>
  <c r="GN5" i="7"/>
  <c r="HP7" i="10"/>
  <c r="GZ5" i="46"/>
  <c r="GJ47" i="10"/>
  <c r="GJ67" i="10"/>
  <c r="FR5" i="23"/>
  <c r="GU47" i="10"/>
  <c r="GU67" i="10"/>
  <c r="GC5" i="23"/>
  <c r="HU5" i="23"/>
  <c r="IM47" i="10"/>
  <c r="IM67" i="10"/>
  <c r="FY47" i="10"/>
  <c r="FY67" i="10"/>
  <c r="P74" i="10"/>
  <c r="FG5" i="23"/>
  <c r="GY5" i="23"/>
  <c r="HQ47" i="10"/>
  <c r="HQ67" i="10"/>
  <c r="HJ5" i="23"/>
  <c r="IB47" i="10"/>
  <c r="IB67" i="10"/>
  <c r="IL7" i="10"/>
  <c r="HV5" i="46"/>
  <c r="HJ5" i="7"/>
  <c r="GT7" i="10"/>
  <c r="GD5" i="46"/>
  <c r="FR5" i="7"/>
  <c r="HE7" i="10"/>
  <c r="GO5" i="46"/>
  <c r="GC5" i="7"/>
  <c r="FG5" i="7"/>
  <c r="GI7" i="10"/>
  <c r="FS5" i="46"/>
  <c r="P15" i="10"/>
  <c r="IW7" i="10"/>
  <c r="IG5" i="46"/>
  <c r="HU5" i="7"/>
  <c r="IA7" i="10"/>
  <c r="HK5" i="46"/>
  <c r="GY5" i="7"/>
  <c r="AT155" i="4"/>
  <c r="AS157" i="4"/>
  <c r="P16" i="10"/>
  <c r="W77" i="10"/>
  <c r="HK5" i="26"/>
  <c r="HK5" i="13"/>
  <c r="IG5" i="26"/>
  <c r="IG5" i="13"/>
  <c r="GO5" i="26"/>
  <c r="GO5" i="13"/>
  <c r="GZ5" i="26"/>
  <c r="GZ5" i="13"/>
  <c r="GD5" i="26"/>
  <c r="GD5" i="13"/>
  <c r="HV5" i="26"/>
  <c r="HV5" i="13"/>
  <c r="FS5" i="26"/>
  <c r="FS5" i="13"/>
  <c r="GZ5" i="7"/>
  <c r="IB7" i="10"/>
  <c r="HR47" i="10"/>
  <c r="HR67" i="10"/>
  <c r="GZ5" i="23"/>
  <c r="GD5" i="23"/>
  <c r="GV47" i="10"/>
  <c r="GV67" i="10"/>
  <c r="IC47" i="10"/>
  <c r="IC67" i="10"/>
  <c r="HK5" i="23"/>
  <c r="IG5" i="7"/>
  <c r="IY47" i="10"/>
  <c r="IY67" i="10"/>
  <c r="IG5" i="23"/>
  <c r="IN47" i="10"/>
  <c r="IN67" i="10"/>
  <c r="HV5" i="23"/>
  <c r="GK47" i="10"/>
  <c r="GK67" i="10"/>
  <c r="FS5" i="23"/>
  <c r="HG47" i="10"/>
  <c r="HG67" i="10"/>
  <c r="GO5" i="23"/>
  <c r="FS5" i="7"/>
  <c r="GU7" i="10"/>
  <c r="GE5" i="46"/>
  <c r="Q15" i="10"/>
  <c r="HQ7" i="10"/>
  <c r="HA5" i="46"/>
  <c r="GO5" i="7"/>
  <c r="IM7" i="10"/>
  <c r="HW5" i="46"/>
  <c r="HK5" i="7"/>
  <c r="HF7" i="10"/>
  <c r="GP5" i="46"/>
  <c r="GD5" i="7"/>
  <c r="IX7" i="10"/>
  <c r="IH5" i="46"/>
  <c r="HV5" i="7"/>
  <c r="AU155" i="4"/>
  <c r="AT157" i="4"/>
  <c r="Q16" i="10"/>
  <c r="C15" i="10"/>
  <c r="G15" i="10"/>
  <c r="E15" i="10"/>
  <c r="D15" i="10"/>
  <c r="H15" i="10"/>
  <c r="F15" i="10"/>
  <c r="I15" i="10"/>
  <c r="J15" i="10"/>
  <c r="L15" i="10"/>
  <c r="N15" i="10"/>
  <c r="K15" i="10"/>
  <c r="M15" i="10"/>
  <c r="ID47" i="10"/>
  <c r="ID67" i="10"/>
  <c r="HL5" i="46"/>
  <c r="HL5" i="7"/>
  <c r="HL5" i="26"/>
  <c r="HL5" i="13"/>
  <c r="IH5" i="26"/>
  <c r="IH5" i="13"/>
  <c r="GP5" i="26"/>
  <c r="GP5" i="13"/>
  <c r="HW5" i="26"/>
  <c r="HW5" i="13"/>
  <c r="IN7" i="10"/>
  <c r="HA5" i="26"/>
  <c r="HA5" i="13"/>
  <c r="GE5" i="26"/>
  <c r="GE5" i="13"/>
  <c r="HL5" i="23"/>
  <c r="IH5" i="7"/>
  <c r="IH5" i="23"/>
  <c r="IZ47" i="10"/>
  <c r="IZ67" i="10"/>
  <c r="HH47" i="10"/>
  <c r="HH67" i="10"/>
  <c r="GP5" i="23"/>
  <c r="IO47" i="10"/>
  <c r="IO67" i="10"/>
  <c r="HW5" i="23"/>
  <c r="HS47" i="10"/>
  <c r="HS67" i="10"/>
  <c r="HA5" i="23"/>
  <c r="GE5" i="23"/>
  <c r="GW47" i="10"/>
  <c r="GW67" i="10"/>
  <c r="R74" i="10"/>
  <c r="IY7" i="10"/>
  <c r="II5" i="46"/>
  <c r="HW5" i="7"/>
  <c r="IC7" i="10"/>
  <c r="HM5" i="46"/>
  <c r="HA5" i="7"/>
  <c r="HR7" i="10"/>
  <c r="HB5" i="46"/>
  <c r="GP5" i="7"/>
  <c r="GE5" i="7"/>
  <c r="HG7" i="10"/>
  <c r="GQ5" i="46"/>
  <c r="R15" i="10"/>
  <c r="AV155" i="4"/>
  <c r="AU157" i="4"/>
  <c r="S16" i="10"/>
  <c r="R16" i="10"/>
  <c r="D22" i="46"/>
  <c r="IZ7" i="10"/>
  <c r="HX5" i="46"/>
  <c r="HB5" i="26"/>
  <c r="HB5" i="13"/>
  <c r="HM5" i="26"/>
  <c r="HM5" i="13"/>
  <c r="HX5" i="7"/>
  <c r="HX5" i="26"/>
  <c r="HX5" i="13"/>
  <c r="JA47" i="10"/>
  <c r="JA67" i="10"/>
  <c r="II5" i="13"/>
  <c r="IP47" i="10"/>
  <c r="IP67" i="10"/>
  <c r="HX5" i="23"/>
  <c r="GQ5" i="26"/>
  <c r="GQ5" i="13"/>
  <c r="HI47" i="10"/>
  <c r="HI67" i="10"/>
  <c r="GQ5" i="23"/>
  <c r="HT47" i="10"/>
  <c r="HT67" i="10"/>
  <c r="HB5" i="23"/>
  <c r="IE47" i="10"/>
  <c r="IE67" i="10"/>
  <c r="HM5" i="23"/>
  <c r="IO7" i="10"/>
  <c r="HY5" i="46"/>
  <c r="HM5" i="7"/>
  <c r="HS7" i="10"/>
  <c r="HC5" i="46"/>
  <c r="GQ5" i="7"/>
  <c r="S15" i="10"/>
  <c r="ID7" i="10"/>
  <c r="HN5" i="46"/>
  <c r="HB5" i="7"/>
  <c r="AW155" i="4"/>
  <c r="AV157" i="4"/>
  <c r="JB47" i="10"/>
  <c r="JB67" i="10"/>
  <c r="IJ5" i="46"/>
  <c r="IJ5" i="13"/>
  <c r="HN5" i="26"/>
  <c r="HN5" i="13"/>
  <c r="HY5" i="26"/>
  <c r="HY5" i="13"/>
  <c r="HC5" i="26"/>
  <c r="T15" i="10"/>
  <c r="HC5" i="13"/>
  <c r="HN5" i="23"/>
  <c r="IF47" i="10"/>
  <c r="IF67" i="10"/>
  <c r="HC5" i="23"/>
  <c r="HU47" i="10"/>
  <c r="HU67" i="10"/>
  <c r="T74" i="10"/>
  <c r="HY5" i="23"/>
  <c r="IQ47" i="10"/>
  <c r="IQ67" i="10"/>
  <c r="IP7" i="10"/>
  <c r="HZ5" i="46"/>
  <c r="HN5" i="7"/>
  <c r="IE7" i="10"/>
  <c r="HO5" i="46"/>
  <c r="HC5" i="7"/>
  <c r="JA7" i="10"/>
  <c r="IK5" i="46"/>
  <c r="HY5" i="7"/>
  <c r="AX155" i="4"/>
  <c r="AW157" i="4"/>
  <c r="JC47" i="10"/>
  <c r="JC67" i="10"/>
  <c r="IK5" i="13"/>
  <c r="HZ5" i="26"/>
  <c r="HZ5" i="13"/>
  <c r="HO5" i="26"/>
  <c r="U15" i="10"/>
  <c r="HO5" i="13"/>
  <c r="IG47" i="10"/>
  <c r="IG67" i="10"/>
  <c r="U74" i="10"/>
  <c r="HO5" i="23"/>
  <c r="HZ5" i="23"/>
  <c r="IR47" i="10"/>
  <c r="IR67" i="10"/>
  <c r="IQ7" i="10"/>
  <c r="IA5" i="46"/>
  <c r="HO5" i="7"/>
  <c r="JB7" i="10"/>
  <c r="IL5" i="46"/>
  <c r="HZ5" i="7"/>
  <c r="AY155" i="4"/>
  <c r="AX157" i="4"/>
  <c r="E77" i="4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CY12" i="7"/>
  <c r="CZ12" i="7"/>
  <c r="DA12" i="7"/>
  <c r="DB12" i="7"/>
  <c r="DC12" i="7"/>
  <c r="DD12" i="7"/>
  <c r="DE12" i="7"/>
  <c r="DF12" i="7"/>
  <c r="DG12" i="7"/>
  <c r="DH12" i="7"/>
  <c r="DI12" i="7"/>
  <c r="DJ12" i="7"/>
  <c r="DK12" i="7"/>
  <c r="DL12" i="7"/>
  <c r="DM12" i="7"/>
  <c r="DN12" i="7"/>
  <c r="DO12" i="7"/>
  <c r="DP12" i="7"/>
  <c r="DQ12" i="7"/>
  <c r="DR12" i="7"/>
  <c r="C12" i="7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E2" i="4"/>
  <c r="JD47" i="10"/>
  <c r="JD67" i="10"/>
  <c r="IL5" i="13"/>
  <c r="IA5" i="26"/>
  <c r="V15" i="10"/>
  <c r="IA5" i="13"/>
  <c r="H89" i="4"/>
  <c r="IS47" i="10"/>
  <c r="IS67" i="10"/>
  <c r="V74" i="10"/>
  <c r="IA5" i="23"/>
  <c r="JC7" i="10"/>
  <c r="IM5" i="46"/>
  <c r="IA5" i="7"/>
  <c r="H136" i="4"/>
  <c r="E147" i="4"/>
  <c r="K56" i="4"/>
  <c r="AZ155" i="4"/>
  <c r="AY157" i="4"/>
  <c r="JE47" i="10"/>
  <c r="JE67" i="10"/>
  <c r="W74" i="10"/>
  <c r="W15" i="10"/>
  <c r="IM5" i="13"/>
  <c r="E99" i="4"/>
  <c r="E74" i="10"/>
  <c r="D74" i="10"/>
  <c r="G74" i="10"/>
  <c r="I74" i="10"/>
  <c r="H74" i="10"/>
  <c r="J74" i="10"/>
  <c r="K74" i="10"/>
  <c r="L74" i="10"/>
  <c r="N74" i="10"/>
  <c r="O74" i="10"/>
  <c r="Q74" i="10"/>
  <c r="S74" i="10"/>
  <c r="K89" i="4"/>
  <c r="H111" i="4"/>
  <c r="E121" i="4"/>
  <c r="D54" i="10"/>
  <c r="E54" i="10"/>
  <c r="C54" i="10"/>
  <c r="F54" i="10"/>
  <c r="G54" i="10"/>
  <c r="H54" i="10"/>
  <c r="I54" i="10"/>
  <c r="J54" i="10"/>
  <c r="K54" i="10"/>
  <c r="L54" i="10"/>
  <c r="M54" i="10"/>
  <c r="N54" i="10"/>
  <c r="O54" i="10"/>
  <c r="P54" i="10"/>
  <c r="R54" i="10"/>
  <c r="Q54" i="10"/>
  <c r="S54" i="10"/>
  <c r="K136" i="4"/>
  <c r="BA155" i="4"/>
  <c r="AZ157" i="4"/>
  <c r="N56" i="4"/>
  <c r="K111" i="4"/>
  <c r="N136" i="4"/>
  <c r="N89" i="4"/>
  <c r="BB155" i="4"/>
  <c r="BA157" i="4"/>
  <c r="Q56" i="4"/>
  <c r="N111" i="4"/>
  <c r="Q136" i="4"/>
  <c r="Q89" i="4"/>
  <c r="Q111" i="4"/>
  <c r="BC155" i="4"/>
  <c r="BB157" i="4"/>
  <c r="T56" i="4"/>
  <c r="T136" i="4"/>
  <c r="F147" i="4"/>
  <c r="T89" i="4"/>
  <c r="T111" i="4"/>
  <c r="BD155" i="4"/>
  <c r="BC157" i="4"/>
  <c r="W56" i="4"/>
  <c r="B90" i="11"/>
  <c r="B54" i="11"/>
  <c r="W136" i="4"/>
  <c r="W89" i="4"/>
  <c r="BE155" i="4"/>
  <c r="BD157" i="4"/>
  <c r="Z56" i="4"/>
  <c r="W111" i="4"/>
  <c r="Z136" i="4"/>
  <c r="Z89" i="4"/>
  <c r="Z111" i="4"/>
  <c r="BF155" i="4"/>
  <c r="BE157" i="4"/>
  <c r="AC56" i="4"/>
  <c r="AC136" i="4"/>
  <c r="AC89" i="4"/>
  <c r="BG155" i="4"/>
  <c r="BF157" i="4"/>
  <c r="AF56" i="4"/>
  <c r="AC111" i="4"/>
  <c r="AF136" i="4"/>
  <c r="AF89" i="4"/>
  <c r="AF111" i="4"/>
  <c r="BH155" i="4"/>
  <c r="BG157" i="4"/>
  <c r="AI56" i="4"/>
  <c r="G121" i="4"/>
  <c r="G99" i="4"/>
  <c r="AI136" i="4"/>
  <c r="AI89" i="4"/>
  <c r="BI155" i="4"/>
  <c r="BH157" i="4"/>
  <c r="AL56" i="4"/>
  <c r="AI111" i="4"/>
  <c r="AL136" i="4"/>
  <c r="AL89" i="4"/>
  <c r="AL111" i="4"/>
  <c r="BJ155" i="4"/>
  <c r="BI157" i="4"/>
  <c r="AO56" i="4"/>
  <c r="AO136" i="4"/>
  <c r="AO89" i="4"/>
  <c r="AO111" i="4"/>
  <c r="BK155" i="4"/>
  <c r="BJ157" i="4"/>
  <c r="AR56" i="4"/>
  <c r="AR136" i="4"/>
  <c r="H147" i="4"/>
  <c r="AR89" i="4"/>
  <c r="AR111" i="4"/>
  <c r="BL155" i="4"/>
  <c r="BK157" i="4"/>
  <c r="AU56" i="4"/>
  <c r="H99" i="4"/>
  <c r="AU136" i="4"/>
  <c r="AU89" i="4"/>
  <c r="BM155" i="4"/>
  <c r="BL157" i="4"/>
  <c r="AX56" i="4"/>
  <c r="AX89" i="4"/>
  <c r="AX111" i="4"/>
  <c r="AU111" i="4"/>
  <c r="AX136" i="4"/>
  <c r="BA56" i="4"/>
  <c r="BA89" i="4"/>
  <c r="BA111" i="4"/>
  <c r="BN155" i="4"/>
  <c r="BM157" i="4"/>
  <c r="BA136" i="4"/>
  <c r="BO155" i="4"/>
  <c r="BN157" i="4"/>
  <c r="BD56" i="4"/>
  <c r="BD136" i="4"/>
  <c r="I147" i="4"/>
  <c r="BD89" i="4"/>
  <c r="BP155" i="4"/>
  <c r="BO157" i="4"/>
  <c r="BG56" i="4"/>
  <c r="BD111" i="4"/>
  <c r="I121" i="4"/>
  <c r="I99" i="4"/>
  <c r="BG89" i="4"/>
  <c r="BG136" i="4"/>
  <c r="BQ155" i="4"/>
  <c r="BP157" i="4"/>
  <c r="BJ56" i="4"/>
  <c r="BG111" i="4"/>
  <c r="BJ136" i="4"/>
  <c r="BJ89" i="4"/>
  <c r="BJ111" i="4"/>
  <c r="BR155" i="4"/>
  <c r="BQ157" i="4"/>
  <c r="BM56" i="4"/>
  <c r="BM136" i="4"/>
  <c r="BM89" i="4"/>
  <c r="BM111" i="4"/>
  <c r="BS155" i="4"/>
  <c r="BR157" i="4"/>
  <c r="BP56" i="4"/>
  <c r="B56" i="4"/>
  <c r="J77" i="4"/>
  <c r="BP136" i="4"/>
  <c r="BP89" i="4"/>
  <c r="BP111" i="4"/>
  <c r="BS157" i="4"/>
  <c r="BT155" i="4"/>
  <c r="BS56" i="4"/>
  <c r="J99" i="4"/>
  <c r="BS136" i="4"/>
  <c r="BS89" i="4"/>
  <c r="BU155" i="4"/>
  <c r="BT157" i="4"/>
  <c r="BV56" i="4"/>
  <c r="BS111" i="4"/>
  <c r="BV136" i="4"/>
  <c r="BV89" i="4"/>
  <c r="BV111" i="4"/>
  <c r="BV155" i="4"/>
  <c r="BU157" i="4"/>
  <c r="BY56" i="4"/>
  <c r="BY136" i="4"/>
  <c r="BY89" i="4"/>
  <c r="BW155" i="4"/>
  <c r="BV157" i="4"/>
  <c r="CB56" i="4"/>
  <c r="BY111" i="4"/>
  <c r="CB136" i="4"/>
  <c r="K147" i="4"/>
  <c r="CB89" i="4"/>
  <c r="CB111" i="4"/>
  <c r="BX155" i="4"/>
  <c r="BW157" i="4"/>
  <c r="CE56" i="4"/>
  <c r="K121" i="4"/>
  <c r="K99" i="4"/>
  <c r="CE136" i="4"/>
  <c r="CE89" i="4"/>
  <c r="BY155" i="4"/>
  <c r="BX157" i="4"/>
  <c r="CH56" i="4"/>
  <c r="CE111" i="4"/>
  <c r="CH136" i="4"/>
  <c r="CH89" i="4"/>
  <c r="CH111" i="4"/>
  <c r="BZ155" i="4"/>
  <c r="BY157" i="4"/>
  <c r="CK56" i="4"/>
  <c r="CK136" i="4"/>
  <c r="CK89" i="4"/>
  <c r="CK111" i="4"/>
  <c r="CA155" i="4"/>
  <c r="BZ157" i="4"/>
  <c r="CN56" i="4"/>
  <c r="CN136" i="4"/>
  <c r="L147" i="4"/>
  <c r="CN89" i="4"/>
  <c r="CN111" i="4"/>
  <c r="CB155" i="4"/>
  <c r="CA157" i="4"/>
  <c r="CQ56" i="4"/>
  <c r="L99" i="4"/>
  <c r="CQ136" i="4"/>
  <c r="CQ89" i="4"/>
  <c r="CC155" i="4"/>
  <c r="CB157" i="4"/>
  <c r="CT56" i="4"/>
  <c r="CQ111" i="4"/>
  <c r="CT136" i="4"/>
  <c r="CT89" i="4"/>
  <c r="CT111" i="4"/>
  <c r="CD155" i="4"/>
  <c r="CC157" i="4"/>
  <c r="CW56" i="4"/>
  <c r="CW136" i="4"/>
  <c r="CW89" i="4"/>
  <c r="CW111" i="4"/>
  <c r="CD157" i="4"/>
  <c r="CE155" i="4"/>
  <c r="CZ56" i="4"/>
  <c r="CZ136" i="4"/>
  <c r="M147" i="4"/>
  <c r="CZ89" i="4"/>
  <c r="CZ111" i="4"/>
  <c r="CF155" i="4"/>
  <c r="CE157" i="4"/>
  <c r="DC56" i="4"/>
  <c r="M99" i="4"/>
  <c r="DC136" i="4"/>
  <c r="DC89" i="4"/>
  <c r="CG155" i="4"/>
  <c r="CF157" i="4"/>
  <c r="DF56" i="4"/>
  <c r="DC111" i="4"/>
  <c r="DF136" i="4"/>
  <c r="DF89" i="4"/>
  <c r="DF111" i="4"/>
  <c r="CH155" i="4"/>
  <c r="CG157" i="4"/>
  <c r="DI56" i="4"/>
  <c r="DI89" i="4"/>
  <c r="DI111" i="4"/>
  <c r="DI136" i="4"/>
  <c r="CI155" i="4"/>
  <c r="CH157" i="4"/>
  <c r="DL56" i="4"/>
  <c r="DL136" i="4"/>
  <c r="N147" i="4"/>
  <c r="DL89" i="4"/>
  <c r="CJ155" i="4"/>
  <c r="CI157" i="4"/>
  <c r="DO56" i="4"/>
  <c r="DL111" i="4"/>
  <c r="N121" i="4"/>
  <c r="N99" i="4"/>
  <c r="DO136" i="4"/>
  <c r="DO89" i="4"/>
  <c r="CK155" i="4"/>
  <c r="CJ157" i="4"/>
  <c r="DR56" i="4"/>
  <c r="DR89" i="4"/>
  <c r="DR111" i="4"/>
  <c r="DO111" i="4"/>
  <c r="DR136" i="4"/>
  <c r="DU56" i="4"/>
  <c r="G147" i="4"/>
  <c r="J147" i="4"/>
  <c r="CL155" i="4"/>
  <c r="CK157" i="4"/>
  <c r="DU136" i="4"/>
  <c r="DU89" i="4"/>
  <c r="DX56" i="4"/>
  <c r="O77" i="4"/>
  <c r="CM155" i="4"/>
  <c r="CL157" i="4"/>
  <c r="DU111" i="4"/>
  <c r="DX136" i="4"/>
  <c r="O147" i="4"/>
  <c r="DX89" i="4"/>
  <c r="EA56" i="4"/>
  <c r="CN155" i="4"/>
  <c r="CM157" i="4"/>
  <c r="O99" i="4"/>
  <c r="B89" i="4"/>
  <c r="DX111" i="4"/>
  <c r="O121" i="4"/>
  <c r="EA136" i="4"/>
  <c r="EA89" i="4"/>
  <c r="ED56" i="4"/>
  <c r="CO155" i="4"/>
  <c r="CN157" i="4"/>
  <c r="EA111" i="4"/>
  <c r="ED136" i="4"/>
  <c r="ED89" i="4"/>
  <c r="ED111" i="4"/>
  <c r="EG56" i="4"/>
  <c r="CO157" i="4"/>
  <c r="CP155" i="4"/>
  <c r="EG136" i="4"/>
  <c r="EG89" i="4"/>
  <c r="EG111" i="4"/>
  <c r="EJ56" i="4"/>
  <c r="P77" i="4"/>
  <c r="CP157" i="4"/>
  <c r="CQ155" i="4"/>
  <c r="EJ136" i="4"/>
  <c r="EJ89" i="4"/>
  <c r="EJ111" i="4"/>
  <c r="P121" i="4"/>
  <c r="EM56" i="4"/>
  <c r="CR155" i="4"/>
  <c r="CQ157" i="4"/>
  <c r="P99" i="4"/>
  <c r="EM136" i="4"/>
  <c r="EM89" i="4"/>
  <c r="EP56" i="4"/>
  <c r="CS155" i="4"/>
  <c r="CR157" i="4"/>
  <c r="EM111" i="4"/>
  <c r="EP136" i="4"/>
  <c r="EP89" i="4"/>
  <c r="EP111" i="4"/>
  <c r="ES56" i="4"/>
  <c r="CT155" i="4"/>
  <c r="CS157" i="4"/>
  <c r="ES136" i="4"/>
  <c r="ES89" i="4"/>
  <c r="EV56" i="4"/>
  <c r="CU155" i="4"/>
  <c r="CT157" i="4"/>
  <c r="ES111" i="4"/>
  <c r="EV136" i="4"/>
  <c r="Q147" i="4"/>
  <c r="EV89" i="4"/>
  <c r="EV111" i="4"/>
  <c r="EY56" i="4"/>
  <c r="CV155" i="4"/>
  <c r="CU157" i="4"/>
  <c r="Q121" i="4"/>
  <c r="Q99" i="4"/>
  <c r="EY136" i="4"/>
  <c r="EY89" i="4"/>
  <c r="FB56" i="4"/>
  <c r="CW155" i="4"/>
  <c r="CV157" i="4"/>
  <c r="EY111" i="4"/>
  <c r="FB136" i="4"/>
  <c r="FB89" i="4"/>
  <c r="FB111" i="4"/>
  <c r="FE56" i="4"/>
  <c r="CX155" i="4"/>
  <c r="CW157" i="4"/>
  <c r="FE136" i="4"/>
  <c r="FE89" i="4"/>
  <c r="FE111" i="4"/>
  <c r="FH56" i="4"/>
  <c r="CY155" i="4"/>
  <c r="CX157" i="4"/>
  <c r="FH136" i="4"/>
  <c r="FH89" i="4"/>
  <c r="FH111" i="4"/>
  <c r="FK56" i="4"/>
  <c r="CZ155" i="4"/>
  <c r="CY157" i="4"/>
  <c r="R99" i="4"/>
  <c r="FK136" i="4"/>
  <c r="FK89" i="4"/>
  <c r="FN56" i="4"/>
  <c r="DA155" i="4"/>
  <c r="CZ157" i="4"/>
  <c r="FK111" i="4"/>
  <c r="FN136" i="4"/>
  <c r="FN89" i="4"/>
  <c r="FN111" i="4"/>
  <c r="FQ56" i="4"/>
  <c r="DB155" i="4"/>
  <c r="DA157" i="4"/>
  <c r="FQ136" i="4"/>
  <c r="FQ89" i="4"/>
  <c r="FT56" i="4"/>
  <c r="S77" i="4"/>
  <c r="DC155" i="4"/>
  <c r="DB157" i="4"/>
  <c r="FQ111" i="4"/>
  <c r="FT136" i="4"/>
  <c r="S147" i="4"/>
  <c r="FT89" i="4"/>
  <c r="FT111" i="4"/>
  <c r="FW56" i="4"/>
  <c r="DD155" i="4"/>
  <c r="DC157" i="4"/>
  <c r="S121" i="4"/>
  <c r="S99" i="4"/>
  <c r="FW136" i="4"/>
  <c r="FW89" i="4"/>
  <c r="FZ56" i="4"/>
  <c r="DE155" i="4"/>
  <c r="DD157" i="4"/>
  <c r="FW111" i="4"/>
  <c r="FZ136" i="4"/>
  <c r="FZ89" i="4"/>
  <c r="FZ111" i="4"/>
  <c r="GC56" i="4"/>
  <c r="DF155" i="4"/>
  <c r="DE157" i="4"/>
  <c r="GC136" i="4"/>
  <c r="GC89" i="4"/>
  <c r="GC111" i="4"/>
  <c r="GF56" i="4"/>
  <c r="DG155" i="4"/>
  <c r="DF157" i="4"/>
  <c r="GF136" i="4"/>
  <c r="T147" i="4"/>
  <c r="GF89" i="4"/>
  <c r="GF111" i="4"/>
  <c r="B111" i="4"/>
  <c r="GI56" i="4"/>
  <c r="DH155" i="4"/>
  <c r="DG157" i="4"/>
  <c r="T99" i="4"/>
  <c r="GI136" i="4"/>
  <c r="GI89" i="4"/>
  <c r="GL56" i="4"/>
  <c r="DI155" i="4"/>
  <c r="DH157" i="4"/>
  <c r="GI111" i="4"/>
  <c r="GL136" i="4"/>
  <c r="GL89" i="4"/>
  <c r="GL111" i="4"/>
  <c r="GO56" i="4"/>
  <c r="DJ155" i="4"/>
  <c r="DI157" i="4"/>
  <c r="GO136" i="4"/>
  <c r="GO89" i="4"/>
  <c r="GO111" i="4"/>
  <c r="GR56" i="4"/>
  <c r="DK155" i="4"/>
  <c r="DJ157" i="4"/>
  <c r="GR136" i="4"/>
  <c r="U147" i="4"/>
  <c r="GR89" i="4"/>
  <c r="GR111" i="4"/>
  <c r="GU56" i="4"/>
  <c r="DL155" i="4"/>
  <c r="DK157" i="4"/>
  <c r="U99" i="4"/>
  <c r="GU136" i="4"/>
  <c r="GU89" i="4"/>
  <c r="GX56" i="4"/>
  <c r="DM155" i="4"/>
  <c r="DN155" i="4"/>
  <c r="DL157" i="4"/>
  <c r="GU111" i="4"/>
  <c r="GX136" i="4"/>
  <c r="GX89" i="4"/>
  <c r="GX111" i="4"/>
  <c r="HA56" i="4"/>
  <c r="DM157" i="4"/>
  <c r="HA136" i="4"/>
  <c r="HA89" i="4"/>
  <c r="HA111" i="4"/>
  <c r="HD56" i="4"/>
  <c r="V77" i="4"/>
  <c r="DO155" i="4"/>
  <c r="DN157" i="4"/>
  <c r="HD136" i="4"/>
  <c r="V147" i="4"/>
  <c r="HD89" i="4"/>
  <c r="HD111" i="4"/>
  <c r="HG56" i="4"/>
  <c r="DO157" i="4"/>
  <c r="DP155" i="4"/>
  <c r="V99" i="4"/>
  <c r="HG136" i="4"/>
  <c r="HG89" i="4"/>
  <c r="HJ56" i="4"/>
  <c r="DP157" i="4"/>
  <c r="DQ155" i="4"/>
  <c r="HG111" i="4"/>
  <c r="HJ136" i="4"/>
  <c r="HJ89" i="4"/>
  <c r="HJ111" i="4"/>
  <c r="HM56" i="4"/>
  <c r="DQ157" i="4"/>
  <c r="DR155" i="4"/>
  <c r="HM136" i="4"/>
  <c r="HM89" i="4"/>
  <c r="HM111" i="4"/>
  <c r="HP56" i="4"/>
  <c r="DR157" i="4"/>
  <c r="DS155" i="4"/>
  <c r="HP136" i="4"/>
  <c r="HP89" i="4"/>
  <c r="HP111" i="4"/>
  <c r="W147" i="4"/>
  <c r="HS56" i="4"/>
  <c r="DS157" i="4"/>
  <c r="DT155" i="4"/>
  <c r="I13" i="3"/>
  <c r="J46" i="1"/>
  <c r="J45" i="1"/>
  <c r="F27" i="3"/>
  <c r="D27" i="3"/>
  <c r="F16" i="3"/>
  <c r="F17" i="3"/>
  <c r="F18" i="3"/>
  <c r="F19" i="3"/>
  <c r="F20" i="3"/>
  <c r="F21" i="3"/>
  <c r="F22" i="3"/>
  <c r="F23" i="3"/>
  <c r="F24" i="3"/>
  <c r="F25" i="3"/>
  <c r="F26" i="3"/>
  <c r="F15" i="3"/>
  <c r="C27" i="3"/>
  <c r="C6" i="3"/>
  <c r="C9" i="3"/>
  <c r="I10" i="3"/>
  <c r="DT157" i="4"/>
  <c r="DU155" i="4"/>
  <c r="W99" i="4"/>
  <c r="HS136" i="4"/>
  <c r="HS89" i="4"/>
  <c r="HV56" i="4"/>
  <c r="J161" i="4"/>
  <c r="K161" i="4"/>
  <c r="L161" i="4"/>
  <c r="M161" i="4"/>
  <c r="N161" i="4"/>
  <c r="D16" i="3"/>
  <c r="D17" i="3"/>
  <c r="D25" i="3"/>
  <c r="D18" i="3"/>
  <c r="D26" i="3"/>
  <c r="D15" i="3"/>
  <c r="D19" i="3"/>
  <c r="D22" i="3"/>
  <c r="D20" i="3"/>
  <c r="D23" i="3"/>
  <c r="D24" i="3"/>
  <c r="D21" i="3"/>
  <c r="D5" i="2"/>
  <c r="D7" i="2"/>
  <c r="DV155" i="4"/>
  <c r="DU157" i="4"/>
  <c r="HS111" i="4"/>
  <c r="HV136" i="4"/>
  <c r="HV89" i="4"/>
  <c r="HV111" i="4"/>
  <c r="HY56" i="4"/>
  <c r="B56" i="2"/>
  <c r="D69" i="2"/>
  <c r="DV157" i="4"/>
  <c r="DW155" i="4"/>
  <c r="HY136" i="4"/>
  <c r="HY89" i="4"/>
  <c r="HY111" i="4"/>
  <c r="IB56" i="4"/>
  <c r="C42" i="45"/>
  <c r="E58" i="4"/>
  <c r="F58" i="4"/>
  <c r="G58" i="4"/>
  <c r="H58" i="4"/>
  <c r="I58" i="4"/>
  <c r="C42" i="34"/>
  <c r="C42" i="33"/>
  <c r="C42" i="27"/>
  <c r="DW157" i="4"/>
  <c r="DX155" i="4"/>
  <c r="IB136" i="4"/>
  <c r="X147" i="4"/>
  <c r="IB89" i="4"/>
  <c r="IB111" i="4"/>
  <c r="IE56" i="4"/>
  <c r="DX157" i="4"/>
  <c r="DY155" i="4"/>
  <c r="C41" i="24"/>
  <c r="C41" i="25"/>
  <c r="C41" i="8"/>
  <c r="X99" i="4"/>
  <c r="IE136" i="4"/>
  <c r="IE89" i="4"/>
  <c r="IH56" i="4"/>
  <c r="DY157" i="4"/>
  <c r="DZ155" i="4"/>
  <c r="O161" i="4"/>
  <c r="IE111" i="4"/>
  <c r="IH89" i="4"/>
  <c r="F77" i="4"/>
  <c r="G77" i="4"/>
  <c r="H77" i="4"/>
  <c r="I77" i="4"/>
  <c r="K77" i="4"/>
  <c r="L77" i="4"/>
  <c r="M77" i="4"/>
  <c r="N77" i="4"/>
  <c r="Q77" i="4"/>
  <c r="R77" i="4"/>
  <c r="T77" i="4"/>
  <c r="U77" i="4"/>
  <c r="W77" i="4"/>
  <c r="X77" i="4"/>
  <c r="Y77" i="4"/>
  <c r="E91" i="4"/>
  <c r="F91" i="4"/>
  <c r="E138" i="4"/>
  <c r="IH136" i="4"/>
  <c r="Y147" i="4"/>
  <c r="P147" i="4"/>
  <c r="R147" i="4"/>
  <c r="B8" i="11"/>
  <c r="B4" i="44" s="1"/>
  <c r="C8" i="11"/>
  <c r="C4" i="44" s="1"/>
  <c r="C41" i="45"/>
  <c r="DZ157" i="4"/>
  <c r="EA155" i="4"/>
  <c r="IH111" i="4"/>
  <c r="F99" i="4"/>
  <c r="Y99" i="4"/>
  <c r="F113" i="4"/>
  <c r="G91" i="4"/>
  <c r="E113" i="4"/>
  <c r="F138" i="4"/>
  <c r="B129" i="4"/>
  <c r="C41" i="33"/>
  <c r="C41" i="34"/>
  <c r="C41" i="27"/>
  <c r="C40" i="25"/>
  <c r="BA57" i="4"/>
  <c r="BA137" i="4"/>
  <c r="C40" i="24"/>
  <c r="C40" i="8"/>
  <c r="EA157" i="4"/>
  <c r="EB155" i="4"/>
  <c r="F121" i="4"/>
  <c r="H121" i="4"/>
  <c r="J121" i="4"/>
  <c r="L121" i="4"/>
  <c r="M121" i="4"/>
  <c r="R121" i="4"/>
  <c r="T121" i="4"/>
  <c r="U121" i="4"/>
  <c r="V121" i="4"/>
  <c r="W121" i="4"/>
  <c r="X121" i="4"/>
  <c r="Y121" i="4"/>
  <c r="G138" i="4"/>
  <c r="H91" i="4"/>
  <c r="H113" i="4"/>
  <c r="G113" i="4"/>
  <c r="BA90" i="4"/>
  <c r="BA112" i="4"/>
  <c r="BB57" i="4"/>
  <c r="BB90" i="4"/>
  <c r="BB112" i="4"/>
  <c r="EC155" i="4"/>
  <c r="EB157" i="4"/>
  <c r="I91" i="4"/>
  <c r="I113" i="4"/>
  <c r="E123" i="4"/>
  <c r="H138" i="4"/>
  <c r="B28" i="45"/>
  <c r="I9" i="45"/>
  <c r="C28" i="45"/>
  <c r="B28" i="27"/>
  <c r="D28" i="27"/>
  <c r="B9" i="44"/>
  <c r="B65" i="11"/>
  <c r="C65" i="11"/>
  <c r="D65" i="11"/>
  <c r="E65" i="11"/>
  <c r="F65" i="11"/>
  <c r="B101" i="11"/>
  <c r="C101" i="11"/>
  <c r="D101" i="11"/>
  <c r="E101" i="11"/>
  <c r="F101" i="11"/>
  <c r="B19" i="11"/>
  <c r="B117" i="11"/>
  <c r="B81" i="11"/>
  <c r="B38" i="11"/>
  <c r="D28" i="34"/>
  <c r="C44" i="34"/>
  <c r="D44" i="34"/>
  <c r="C28" i="34"/>
  <c r="B28" i="34"/>
  <c r="C28" i="33"/>
  <c r="C44" i="33"/>
  <c r="D44" i="33"/>
  <c r="B28" i="33"/>
  <c r="C28" i="27"/>
  <c r="D36" i="24"/>
  <c r="D36" i="25"/>
  <c r="D37" i="33"/>
  <c r="D36" i="8"/>
  <c r="D37" i="27"/>
  <c r="B40" i="13"/>
  <c r="B24" i="22"/>
  <c r="B33" i="22"/>
  <c r="D37" i="34"/>
  <c r="B28" i="25"/>
  <c r="C43" i="25"/>
  <c r="D43" i="25"/>
  <c r="B28" i="24"/>
  <c r="C43" i="24"/>
  <c r="D43" i="24"/>
  <c r="B28" i="8"/>
  <c r="C43" i="8"/>
  <c r="D43" i="8"/>
  <c r="EC157" i="4"/>
  <c r="ED155" i="4"/>
  <c r="I138" i="4"/>
  <c r="J58" i="4"/>
  <c r="J91" i="4"/>
  <c r="D28" i="45"/>
  <c r="C44" i="45"/>
  <c r="D44" i="45"/>
  <c r="C19" i="11"/>
  <c r="D19" i="11"/>
  <c r="E19" i="11"/>
  <c r="F19" i="11"/>
  <c r="E28" i="34"/>
  <c r="D28" i="33"/>
  <c r="C44" i="27"/>
  <c r="D44" i="27"/>
  <c r="B68" i="22"/>
  <c r="X82" i="22"/>
  <c r="E24" i="22"/>
  <c r="B9" i="34"/>
  <c r="B12" i="34"/>
  <c r="B13" i="34"/>
  <c r="B9" i="33"/>
  <c r="B12" i="33"/>
  <c r="B13" i="33"/>
  <c r="C28" i="25"/>
  <c r="D28" i="25"/>
  <c r="C28" i="24"/>
  <c r="B12" i="27"/>
  <c r="B13" i="27"/>
  <c r="B9" i="24"/>
  <c r="B12" i="24"/>
  <c r="B13" i="24"/>
  <c r="B9" i="8"/>
  <c r="B12" i="8"/>
  <c r="B13" i="8"/>
  <c r="B9" i="25"/>
  <c r="B12" i="25"/>
  <c r="B13" i="25"/>
  <c r="K58" i="4"/>
  <c r="K91" i="4"/>
  <c r="J138" i="4"/>
  <c r="EE155" i="4"/>
  <c r="ED157" i="4"/>
  <c r="J113" i="4"/>
  <c r="V19" i="11"/>
  <c r="K82" i="22"/>
  <c r="CH80" i="22"/>
  <c r="AO80" i="22"/>
  <c r="CF80" i="22"/>
  <c r="BI82" i="22"/>
  <c r="BX80" i="22"/>
  <c r="BU82" i="22"/>
  <c r="AW80" i="22"/>
  <c r="S82" i="22"/>
  <c r="D82" i="22"/>
  <c r="BS80" i="22"/>
  <c r="T80" i="22"/>
  <c r="BM80" i="22"/>
  <c r="AE82" i="22"/>
  <c r="AN80" i="22"/>
  <c r="BL82" i="22"/>
  <c r="AL82" i="22"/>
  <c r="AI80" i="22"/>
  <c r="AY82" i="22"/>
  <c r="P80" i="22"/>
  <c r="AG80" i="22"/>
  <c r="Q80" i="22"/>
  <c r="BV80" i="22"/>
  <c r="CE80" i="22"/>
  <c r="N82" i="22"/>
  <c r="AS82" i="22"/>
  <c r="AK82" i="22"/>
  <c r="BL80" i="22"/>
  <c r="BR80" i="22"/>
  <c r="CF82" i="22"/>
  <c r="AE80" i="22"/>
  <c r="BY82" i="22"/>
  <c r="AD80" i="22"/>
  <c r="CA82" i="22"/>
  <c r="BQ80" i="22"/>
  <c r="BJ82" i="22"/>
  <c r="CC82" i="22"/>
  <c r="AM82" i="22"/>
  <c r="X80" i="22"/>
  <c r="Q82" i="22"/>
  <c r="AZ80" i="22"/>
  <c r="BG82" i="22"/>
  <c r="BD82" i="22"/>
  <c r="K80" i="22"/>
  <c r="CB82" i="22"/>
  <c r="BX82" i="22"/>
  <c r="E68" i="22"/>
  <c r="D80" i="22"/>
  <c r="T82" i="22"/>
  <c r="M80" i="22"/>
  <c r="G80" i="22"/>
  <c r="P82" i="22"/>
  <c r="CH82" i="22"/>
  <c r="AQ80" i="22"/>
  <c r="C82" i="22"/>
  <c r="AY80" i="22"/>
  <c r="AR80" i="22"/>
  <c r="BB80" i="22"/>
  <c r="H82" i="22"/>
  <c r="BA82" i="22"/>
  <c r="J80" i="22"/>
  <c r="BZ80" i="22"/>
  <c r="AJ82" i="22"/>
  <c r="CG80" i="22"/>
  <c r="AT82" i="22"/>
  <c r="AX80" i="22"/>
  <c r="CG82" i="22"/>
  <c r="AL80" i="22"/>
  <c r="U80" i="22"/>
  <c r="BZ82" i="22"/>
  <c r="BA80" i="22"/>
  <c r="BY80" i="22"/>
  <c r="BS82" i="22"/>
  <c r="E80" i="22"/>
  <c r="F80" i="22"/>
  <c r="BR82" i="22"/>
  <c r="BU80" i="22"/>
  <c r="AU80" i="22"/>
  <c r="E82" i="22"/>
  <c r="AV80" i="22"/>
  <c r="BN80" i="22"/>
  <c r="BF80" i="22"/>
  <c r="O82" i="22"/>
  <c r="BC82" i="22"/>
  <c r="AO82" i="22"/>
  <c r="BE80" i="22"/>
  <c r="BP82" i="22"/>
  <c r="CD82" i="22"/>
  <c r="L82" i="22"/>
  <c r="BK82" i="22"/>
  <c r="AK80" i="22"/>
  <c r="CB80" i="22"/>
  <c r="AP82" i="22"/>
  <c r="AU82" i="22"/>
  <c r="AT80" i="22"/>
  <c r="BC80" i="22"/>
  <c r="CE82" i="22"/>
  <c r="BN82" i="22"/>
  <c r="AF80" i="22"/>
  <c r="AI82" i="22"/>
  <c r="J82" i="22"/>
  <c r="N80" i="22"/>
  <c r="CD80" i="22"/>
  <c r="AM80" i="22"/>
  <c r="AP80" i="22"/>
  <c r="BD80" i="22"/>
  <c r="BV82" i="22"/>
  <c r="AC82" i="22"/>
  <c r="H80" i="22"/>
  <c r="V82" i="22"/>
  <c r="BT82" i="22"/>
  <c r="AJ80" i="22"/>
  <c r="BG80" i="22"/>
  <c r="Y82" i="22"/>
  <c r="AC80" i="22"/>
  <c r="AW82" i="22"/>
  <c r="CA80" i="22"/>
  <c r="BH82" i="22"/>
  <c r="AH80" i="22"/>
  <c r="AQ82" i="22"/>
  <c r="AH82" i="22"/>
  <c r="AG82" i="22"/>
  <c r="Y80" i="22"/>
  <c r="BT80" i="22"/>
  <c r="G82" i="22"/>
  <c r="AN82" i="22"/>
  <c r="BH80" i="22"/>
  <c r="U82" i="22"/>
  <c r="BB82" i="22"/>
  <c r="Z82" i="22"/>
  <c r="S80" i="22"/>
  <c r="M82" i="22"/>
  <c r="BQ82" i="22"/>
  <c r="O80" i="22"/>
  <c r="AX82" i="22"/>
  <c r="R80" i="22"/>
  <c r="F82" i="22"/>
  <c r="AS80" i="22"/>
  <c r="AF82" i="22"/>
  <c r="BO80" i="22"/>
  <c r="BW82" i="22"/>
  <c r="AD82" i="22"/>
  <c r="C80" i="22"/>
  <c r="W82" i="22"/>
  <c r="AB82" i="22"/>
  <c r="BI80" i="22"/>
  <c r="AA82" i="22"/>
  <c r="BE82" i="22"/>
  <c r="BO82" i="22"/>
  <c r="Z80" i="22"/>
  <c r="BJ80" i="22"/>
  <c r="AR82" i="22"/>
  <c r="W80" i="22"/>
  <c r="AV82" i="22"/>
  <c r="AA80" i="22"/>
  <c r="CC80" i="22"/>
  <c r="L80" i="22"/>
  <c r="V80" i="22"/>
  <c r="BP80" i="22"/>
  <c r="AB80" i="22"/>
  <c r="B77" i="22"/>
  <c r="C78" i="22"/>
  <c r="I80" i="22"/>
  <c r="BK80" i="22"/>
  <c r="I82" i="22"/>
  <c r="R82" i="22"/>
  <c r="AZ82" i="22"/>
  <c r="BW80" i="22"/>
  <c r="BF82" i="22"/>
  <c r="BM82" i="22"/>
  <c r="I40" i="13"/>
  <c r="E135" i="4"/>
  <c r="B2" i="22"/>
  <c r="L58" i="4"/>
  <c r="L138" i="4"/>
  <c r="K138" i="4"/>
  <c r="EF155" i="4"/>
  <c r="EE157" i="4"/>
  <c r="K113" i="4"/>
  <c r="K9" i="45"/>
  <c r="C81" i="22"/>
  <c r="C79" i="22"/>
  <c r="C77" i="22"/>
  <c r="D14" i="14"/>
  <c r="C14" i="14"/>
  <c r="M58" i="4"/>
  <c r="M91" i="4"/>
  <c r="L91" i="4"/>
  <c r="L113" i="4"/>
  <c r="F135" i="4"/>
  <c r="E139" i="4"/>
  <c r="C14" i="22"/>
  <c r="B46" i="22"/>
  <c r="Q14" i="22"/>
  <c r="AW16" i="22"/>
  <c r="AJ14" i="22"/>
  <c r="AO14" i="22"/>
  <c r="O16" i="22"/>
  <c r="Y14" i="22"/>
  <c r="C16" i="22"/>
  <c r="C39" i="45"/>
  <c r="C38" i="45"/>
  <c r="AN14" i="22"/>
  <c r="I14" i="22"/>
  <c r="AR14" i="22"/>
  <c r="AB16" i="22"/>
  <c r="B11" i="22"/>
  <c r="C15" i="22"/>
  <c r="E55" i="4"/>
  <c r="N16" i="22"/>
  <c r="AX16" i="22"/>
  <c r="W14" i="22"/>
  <c r="AK16" i="22"/>
  <c r="AA16" i="22"/>
  <c r="AE16" i="22"/>
  <c r="AN16" i="22"/>
  <c r="J16" i="22"/>
  <c r="U16" i="22"/>
  <c r="R14" i="22"/>
  <c r="U14" i="22"/>
  <c r="J14" i="22"/>
  <c r="AI16" i="22"/>
  <c r="E16" i="22"/>
  <c r="S14" i="22"/>
  <c r="L16" i="22"/>
  <c r="T14" i="22"/>
  <c r="V14" i="22"/>
  <c r="K14" i="22"/>
  <c r="X14" i="22"/>
  <c r="AE14" i="22"/>
  <c r="AF14" i="22"/>
  <c r="X16" i="22"/>
  <c r="P16" i="22"/>
  <c r="AL16" i="22"/>
  <c r="AQ16" i="22"/>
  <c r="Z14" i="22"/>
  <c r="G16" i="22"/>
  <c r="AG14" i="22"/>
  <c r="AH16" i="22"/>
  <c r="AD14" i="22"/>
  <c r="AW14" i="22"/>
  <c r="AB14" i="22"/>
  <c r="N14" i="22"/>
  <c r="AL14" i="22"/>
  <c r="AM14" i="22"/>
  <c r="AO16" i="22"/>
  <c r="AG16" i="22"/>
  <c r="P14" i="22"/>
  <c r="L14" i="22"/>
  <c r="AS14" i="22"/>
  <c r="AA14" i="22"/>
  <c r="AF16" i="22"/>
  <c r="T16" i="22"/>
  <c r="F14" i="22"/>
  <c r="AX14" i="22"/>
  <c r="D16" i="22"/>
  <c r="AU16" i="22"/>
  <c r="AK14" i="22"/>
  <c r="AT14" i="22"/>
  <c r="AT16" i="22"/>
  <c r="M14" i="22"/>
  <c r="AJ16" i="22"/>
  <c r="H16" i="22"/>
  <c r="I16" i="22"/>
  <c r="M16" i="22"/>
  <c r="AV16" i="22"/>
  <c r="AR16" i="22"/>
  <c r="AC16" i="22"/>
  <c r="AC14" i="22"/>
  <c r="AP16" i="22"/>
  <c r="AM16" i="22"/>
  <c r="R16" i="22"/>
  <c r="D14" i="22"/>
  <c r="H14" i="22"/>
  <c r="AH14" i="22"/>
  <c r="K16" i="22"/>
  <c r="V16" i="22"/>
  <c r="AV14" i="22"/>
  <c r="AP14" i="22"/>
  <c r="W16" i="22"/>
  <c r="Q16" i="22"/>
  <c r="E14" i="22"/>
  <c r="G14" i="22"/>
  <c r="AS16" i="22"/>
  <c r="AU14" i="22"/>
  <c r="Y16" i="22"/>
  <c r="AD16" i="22"/>
  <c r="E2" i="22"/>
  <c r="Z16" i="22"/>
  <c r="AI14" i="22"/>
  <c r="F16" i="22"/>
  <c r="AQ14" i="22"/>
  <c r="S16" i="22"/>
  <c r="O14" i="22"/>
  <c r="E141" i="4"/>
  <c r="EF157" i="4"/>
  <c r="EG155" i="4"/>
  <c r="F40" i="13"/>
  <c r="G40" i="13"/>
  <c r="E40" i="13"/>
  <c r="L9" i="45"/>
  <c r="H55" i="45" s="1"/>
  <c r="E38" i="45"/>
  <c r="E9" i="34"/>
  <c r="G9" i="34"/>
  <c r="D9" i="34"/>
  <c r="H9" i="34"/>
  <c r="F9" i="34"/>
  <c r="C9" i="34"/>
  <c r="C12" i="34" s="1"/>
  <c r="C13" i="34" s="1"/>
  <c r="H40" i="13"/>
  <c r="D43" i="13" s="1"/>
  <c r="C39" i="34"/>
  <c r="C38" i="34"/>
  <c r="E38" i="34"/>
  <c r="E43" i="34"/>
  <c r="E37" i="34"/>
  <c r="C39" i="33"/>
  <c r="C38" i="33"/>
  <c r="E38" i="33"/>
  <c r="E43" i="33"/>
  <c r="E37" i="33"/>
  <c r="G9" i="33"/>
  <c r="E9" i="33"/>
  <c r="D9" i="33"/>
  <c r="H9" i="33"/>
  <c r="F9" i="33"/>
  <c r="N58" i="4"/>
  <c r="N138" i="4"/>
  <c r="M138" i="4"/>
  <c r="D78" i="22"/>
  <c r="D81" i="22"/>
  <c r="C38" i="8"/>
  <c r="C37" i="8"/>
  <c r="E37" i="8"/>
  <c r="E42" i="8"/>
  <c r="E36" i="8"/>
  <c r="C39" i="27"/>
  <c r="C38" i="27"/>
  <c r="E38" i="27"/>
  <c r="C12" i="22"/>
  <c r="AI60" i="22"/>
  <c r="BB58" i="22"/>
  <c r="AO60" i="22"/>
  <c r="T58" i="22"/>
  <c r="AC58" i="22"/>
  <c r="BS60" i="22"/>
  <c r="E46" i="22"/>
  <c r="AW60" i="22"/>
  <c r="D60" i="22"/>
  <c r="C60" i="22"/>
  <c r="C38" i="24"/>
  <c r="C37" i="24"/>
  <c r="E37" i="24"/>
  <c r="E42" i="24"/>
  <c r="E36" i="24"/>
  <c r="BK58" i="22"/>
  <c r="AF58" i="22"/>
  <c r="BR58" i="22"/>
  <c r="AS60" i="22"/>
  <c r="AJ60" i="22"/>
  <c r="BO60" i="22"/>
  <c r="AZ58" i="22"/>
  <c r="AQ58" i="22"/>
  <c r="V58" i="22"/>
  <c r="G60" i="22"/>
  <c r="BQ60" i="22"/>
  <c r="BA58" i="22"/>
  <c r="BU58" i="22"/>
  <c r="AT58" i="22"/>
  <c r="B90" i="22"/>
  <c r="O58" i="22"/>
  <c r="W60" i="22"/>
  <c r="BH58" i="22"/>
  <c r="AV58" i="22"/>
  <c r="Y60" i="22"/>
  <c r="AD60" i="22"/>
  <c r="BD58" i="22"/>
  <c r="BF58" i="22"/>
  <c r="BH60" i="22"/>
  <c r="S58" i="22"/>
  <c r="BB60" i="22"/>
  <c r="N58" i="22"/>
  <c r="AP58" i="22"/>
  <c r="AK60" i="22"/>
  <c r="D58" i="22"/>
  <c r="U60" i="22"/>
  <c r="R60" i="22"/>
  <c r="BC58" i="22"/>
  <c r="I60" i="22"/>
  <c r="AL58" i="22"/>
  <c r="BQ58" i="22"/>
  <c r="AE60" i="22"/>
  <c r="AI58" i="22"/>
  <c r="AF60" i="22"/>
  <c r="AR58" i="22"/>
  <c r="K60" i="22"/>
  <c r="BR60" i="22"/>
  <c r="T60" i="22"/>
  <c r="M58" i="22"/>
  <c r="BJ58" i="22"/>
  <c r="BL60" i="22"/>
  <c r="AK58" i="22"/>
  <c r="BF60" i="22"/>
  <c r="AH58" i="22"/>
  <c r="BT60" i="22"/>
  <c r="P58" i="22"/>
  <c r="J58" i="22"/>
  <c r="AL60" i="22"/>
  <c r="AY60" i="22"/>
  <c r="AM58" i="22"/>
  <c r="AZ60" i="22"/>
  <c r="J60" i="22"/>
  <c r="AN60" i="22"/>
  <c r="P60" i="22"/>
  <c r="K58" i="22"/>
  <c r="BE58" i="22"/>
  <c r="AS58" i="22"/>
  <c r="L60" i="22"/>
  <c r="G58" i="22"/>
  <c r="BP58" i="22"/>
  <c r="X58" i="22"/>
  <c r="BV58" i="22"/>
  <c r="AU58" i="22"/>
  <c r="Q58" i="22"/>
  <c r="AW58" i="22"/>
  <c r="AJ58" i="22"/>
  <c r="E58" i="22"/>
  <c r="BO58" i="22"/>
  <c r="Z58" i="22"/>
  <c r="AN58" i="22"/>
  <c r="AO58" i="22"/>
  <c r="AV60" i="22"/>
  <c r="BI58" i="22"/>
  <c r="AM60" i="22"/>
  <c r="C58" i="22"/>
  <c r="AG58" i="22"/>
  <c r="BT58" i="22"/>
  <c r="AD58" i="22"/>
  <c r="Q60" i="22"/>
  <c r="AH60" i="22"/>
  <c r="AE58" i="22"/>
  <c r="AA60" i="22"/>
  <c r="BG58" i="22"/>
  <c r="AX60" i="22"/>
  <c r="X60" i="22"/>
  <c r="BI60" i="22"/>
  <c r="AX58" i="22"/>
  <c r="BG60" i="22"/>
  <c r="Y58" i="22"/>
  <c r="BE60" i="22"/>
  <c r="Z60" i="22"/>
  <c r="AY58" i="22"/>
  <c r="BP60" i="22"/>
  <c r="S60" i="22"/>
  <c r="AQ60" i="22"/>
  <c r="AT60" i="22"/>
  <c r="BD60" i="22"/>
  <c r="BU60" i="22"/>
  <c r="W58" i="22"/>
  <c r="BN60" i="22"/>
  <c r="BL58" i="22"/>
  <c r="U58" i="22"/>
  <c r="BA60" i="22"/>
  <c r="V60" i="22"/>
  <c r="BJ60" i="22"/>
  <c r="O60" i="22"/>
  <c r="AU60" i="22"/>
  <c r="B55" i="22"/>
  <c r="BN58" i="22"/>
  <c r="R58" i="22"/>
  <c r="AA58" i="22"/>
  <c r="BS58" i="22"/>
  <c r="I58" i="22"/>
  <c r="H60" i="22"/>
  <c r="AB58" i="22"/>
  <c r="BC60" i="22"/>
  <c r="BM60" i="22"/>
  <c r="F58" i="22"/>
  <c r="M60" i="22"/>
  <c r="H58" i="22"/>
  <c r="AC60" i="22"/>
  <c r="AR60" i="22"/>
  <c r="E60" i="22"/>
  <c r="BV60" i="22"/>
  <c r="BM58" i="22"/>
  <c r="BK60" i="22"/>
  <c r="L58" i="22"/>
  <c r="F60" i="22"/>
  <c r="N60" i="22"/>
  <c r="AB60" i="22"/>
  <c r="AG60" i="22"/>
  <c r="AP60" i="22"/>
  <c r="F141" i="4"/>
  <c r="G141" i="4"/>
  <c r="H141" i="4"/>
  <c r="I141" i="4"/>
  <c r="J141" i="4"/>
  <c r="G135" i="4"/>
  <c r="F139" i="4"/>
  <c r="EH155" i="4"/>
  <c r="EG157" i="4"/>
  <c r="D40" i="13"/>
  <c r="M113" i="4"/>
  <c r="G55" i="45"/>
  <c r="F55" i="45"/>
  <c r="M9" i="45"/>
  <c r="E54" i="4"/>
  <c r="E43" i="45"/>
  <c r="E37" i="45"/>
  <c r="V22" i="11"/>
  <c r="G27" i="4"/>
  <c r="I27" i="4"/>
  <c r="J27" i="4"/>
  <c r="H27" i="4"/>
  <c r="F27" i="4"/>
  <c r="D55" i="34"/>
  <c r="C9" i="33"/>
  <c r="C12" i="33" s="1"/>
  <c r="C13" i="33" s="1"/>
  <c r="C17" i="33"/>
  <c r="C50" i="33" s="1"/>
  <c r="O58" i="4"/>
  <c r="P58" i="4"/>
  <c r="N91" i="4"/>
  <c r="N113" i="4"/>
  <c r="E150" i="4"/>
  <c r="C13" i="22"/>
  <c r="E53" i="4"/>
  <c r="D79" i="22"/>
  <c r="E43" i="27"/>
  <c r="E37" i="27"/>
  <c r="K104" i="22"/>
  <c r="AB102" i="22"/>
  <c r="D102" i="22"/>
  <c r="BK104" i="22"/>
  <c r="BE104" i="22"/>
  <c r="Z104" i="22"/>
  <c r="BO102" i="22"/>
  <c r="T102" i="22"/>
  <c r="M102" i="22"/>
  <c r="B99" i="22"/>
  <c r="AV104" i="22"/>
  <c r="AV102" i="22"/>
  <c r="L102" i="22"/>
  <c r="BL102" i="22"/>
  <c r="CB104" i="22"/>
  <c r="BW102" i="22"/>
  <c r="AQ102" i="22"/>
  <c r="BQ104" i="22"/>
  <c r="F104" i="22"/>
  <c r="AT104" i="22"/>
  <c r="T104" i="22"/>
  <c r="BM104" i="22"/>
  <c r="BR102" i="22"/>
  <c r="J102" i="22"/>
  <c r="BD104" i="22"/>
  <c r="BA104" i="22"/>
  <c r="AG102" i="22"/>
  <c r="BP102" i="22"/>
  <c r="S102" i="22"/>
  <c r="AE104" i="22"/>
  <c r="BK102" i="22"/>
  <c r="AO102" i="22"/>
  <c r="Y102" i="22"/>
  <c r="AU102" i="22"/>
  <c r="BO104" i="22"/>
  <c r="AQ104" i="22"/>
  <c r="U102" i="22"/>
  <c r="BE102" i="22"/>
  <c r="BT102" i="22"/>
  <c r="BP104" i="22"/>
  <c r="BS102" i="22"/>
  <c r="AZ102" i="22"/>
  <c r="AA102" i="22"/>
  <c r="CE102" i="22"/>
  <c r="E104" i="22"/>
  <c r="AN102" i="22"/>
  <c r="G102" i="22"/>
  <c r="BN102" i="22"/>
  <c r="AD102" i="22"/>
  <c r="BA102" i="22"/>
  <c r="BN104" i="22"/>
  <c r="BG102" i="22"/>
  <c r="AY104" i="22"/>
  <c r="I104" i="22"/>
  <c r="CC102" i="22"/>
  <c r="CG102" i="22"/>
  <c r="P104" i="22"/>
  <c r="BH102" i="22"/>
  <c r="CG104" i="22"/>
  <c r="BX102" i="22"/>
  <c r="AW102" i="22"/>
  <c r="C102" i="22"/>
  <c r="BV102" i="22"/>
  <c r="BB102" i="22"/>
  <c r="CE104" i="22"/>
  <c r="BS104" i="22"/>
  <c r="AI104" i="22"/>
  <c r="W104" i="22"/>
  <c r="AL104" i="22"/>
  <c r="BG104" i="22"/>
  <c r="AA104" i="22"/>
  <c r="I102" i="22"/>
  <c r="BD102" i="22"/>
  <c r="AK102" i="22"/>
  <c r="BF104" i="22"/>
  <c r="CA104" i="22"/>
  <c r="AM104" i="22"/>
  <c r="CD102" i="22"/>
  <c r="BC102" i="22"/>
  <c r="BX104" i="22"/>
  <c r="BL104" i="22"/>
  <c r="AO104" i="22"/>
  <c r="E90" i="22"/>
  <c r="BF102" i="22"/>
  <c r="BU102" i="22"/>
  <c r="V104" i="22"/>
  <c r="AP104" i="22"/>
  <c r="AP102" i="22"/>
  <c r="CF104" i="22"/>
  <c r="BV104" i="22"/>
  <c r="BY102" i="22"/>
  <c r="AG104" i="22"/>
  <c r="CC104" i="22"/>
  <c r="BW104" i="22"/>
  <c r="Z102" i="22"/>
  <c r="Q104" i="22"/>
  <c r="BI102" i="22"/>
  <c r="V102" i="22"/>
  <c r="AJ102" i="22"/>
  <c r="Q102" i="22"/>
  <c r="K102" i="22"/>
  <c r="BZ102" i="22"/>
  <c r="J104" i="22"/>
  <c r="R104" i="22"/>
  <c r="BJ102" i="22"/>
  <c r="AN104" i="22"/>
  <c r="U104" i="22"/>
  <c r="AR104" i="22"/>
  <c r="AY102" i="22"/>
  <c r="AS104" i="22"/>
  <c r="R102" i="22"/>
  <c r="AX104" i="22"/>
  <c r="BJ104" i="22"/>
  <c r="BB104" i="22"/>
  <c r="Y104" i="22"/>
  <c r="AU104" i="22"/>
  <c r="CH104" i="22"/>
  <c r="O104" i="22"/>
  <c r="C104" i="22"/>
  <c r="C38" i="25"/>
  <c r="C37" i="25"/>
  <c r="E37" i="25"/>
  <c r="E42" i="25"/>
  <c r="E36" i="25"/>
  <c r="AC102" i="22"/>
  <c r="E102" i="22"/>
  <c r="CH102" i="22"/>
  <c r="BH104" i="22"/>
  <c r="AB104" i="22"/>
  <c r="W102" i="22"/>
  <c r="P102" i="22"/>
  <c r="AF102" i="22"/>
  <c r="AS102" i="22"/>
  <c r="N104" i="22"/>
  <c r="BQ102" i="22"/>
  <c r="AJ104" i="22"/>
  <c r="X104" i="22"/>
  <c r="AE102" i="22"/>
  <c r="BI104" i="22"/>
  <c r="AH104" i="22"/>
  <c r="G104" i="22"/>
  <c r="AI102" i="22"/>
  <c r="AM102" i="22"/>
  <c r="AW104" i="22"/>
  <c r="D104" i="22"/>
  <c r="AX102" i="22"/>
  <c r="CD104" i="22"/>
  <c r="H104" i="22"/>
  <c r="CA102" i="22"/>
  <c r="F102" i="22"/>
  <c r="AZ104" i="22"/>
  <c r="BM102" i="22"/>
  <c r="AC104" i="22"/>
  <c r="AR102" i="22"/>
  <c r="N102" i="22"/>
  <c r="BZ104" i="22"/>
  <c r="BC104" i="22"/>
  <c r="M104" i="22"/>
  <c r="AT102" i="22"/>
  <c r="CF102" i="22"/>
  <c r="BU104" i="22"/>
  <c r="AD104" i="22"/>
  <c r="H102" i="22"/>
  <c r="L104" i="22"/>
  <c r="O102" i="22"/>
  <c r="AF104" i="22"/>
  <c r="S104" i="22"/>
  <c r="BY104" i="22"/>
  <c r="BT104" i="22"/>
  <c r="AL102" i="22"/>
  <c r="AK104" i="22"/>
  <c r="BR104" i="22"/>
  <c r="AH102" i="22"/>
  <c r="CB102" i="22"/>
  <c r="X102" i="22"/>
  <c r="C56" i="22"/>
  <c r="E87" i="4"/>
  <c r="C59" i="22"/>
  <c r="E88" i="4"/>
  <c r="G139" i="4"/>
  <c r="H135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EH157" i="4"/>
  <c r="EI155" i="4"/>
  <c r="L33" i="46"/>
  <c r="L38" i="46"/>
  <c r="K27" i="4"/>
  <c r="I55" i="45"/>
  <c r="N9" i="45"/>
  <c r="E27" i="4"/>
  <c r="O91" i="4"/>
  <c r="O113" i="4"/>
  <c r="O138" i="4"/>
  <c r="D55" i="27"/>
  <c r="C17" i="34"/>
  <c r="C50" i="34" s="1"/>
  <c r="J9" i="27"/>
  <c r="D17" i="27" s="1"/>
  <c r="D50" i="27" s="1"/>
  <c r="F55" i="27"/>
  <c r="D55" i="33"/>
  <c r="C11" i="22"/>
  <c r="D15" i="22"/>
  <c r="F55" i="4"/>
  <c r="F150" i="4"/>
  <c r="E59" i="4"/>
  <c r="C9" i="8"/>
  <c r="C12" i="8" s="1"/>
  <c r="C13" i="8" s="1"/>
  <c r="D77" i="22"/>
  <c r="C57" i="22"/>
  <c r="E86" i="4"/>
  <c r="E92" i="4"/>
  <c r="C9" i="24"/>
  <c r="C12" i="24" s="1"/>
  <c r="C13" i="24" s="1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C103" i="22"/>
  <c r="E110" i="4"/>
  <c r="C100" i="22"/>
  <c r="E109" i="4"/>
  <c r="I135" i="4"/>
  <c r="H139" i="4"/>
  <c r="EI157" i="4"/>
  <c r="EJ155" i="4"/>
  <c r="P138" i="4"/>
  <c r="P91" i="4"/>
  <c r="Q58" i="4"/>
  <c r="N38" i="46"/>
  <c r="M33" i="46"/>
  <c r="M38" i="46"/>
  <c r="K33" i="46"/>
  <c r="K38" i="46"/>
  <c r="O9" i="45"/>
  <c r="K55" i="45" s="1"/>
  <c r="J55" i="45"/>
  <c r="I12" i="45"/>
  <c r="I13" i="45"/>
  <c r="E55" i="45"/>
  <c r="E56" i="45"/>
  <c r="D12" i="22"/>
  <c r="E34" i="4"/>
  <c r="E36" i="4" s="1"/>
  <c r="C12" i="27"/>
  <c r="C13" i="27"/>
  <c r="K9" i="27"/>
  <c r="C101" i="22"/>
  <c r="E108" i="4"/>
  <c r="E114" i="4"/>
  <c r="C9" i="25"/>
  <c r="C12" i="25"/>
  <c r="C13" i="25"/>
  <c r="C55" i="22"/>
  <c r="D59" i="22"/>
  <c r="F88" i="4"/>
  <c r="E81" i="22"/>
  <c r="E78" i="22"/>
  <c r="E146" i="4"/>
  <c r="I139" i="4"/>
  <c r="J135" i="4"/>
  <c r="G150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EJ157" i="4"/>
  <c r="EK155" i="4"/>
  <c r="P113" i="4"/>
  <c r="Q138" i="4"/>
  <c r="Q91" i="4"/>
  <c r="R58" i="4"/>
  <c r="P9" i="45"/>
  <c r="L55" i="45" s="1"/>
  <c r="D13" i="22"/>
  <c r="F53" i="4"/>
  <c r="F54" i="4"/>
  <c r="I12" i="27"/>
  <c r="G55" i="27"/>
  <c r="D56" i="22"/>
  <c r="D57" i="22"/>
  <c r="C99" i="22"/>
  <c r="D103" i="22"/>
  <c r="F110" i="4"/>
  <c r="C17" i="27"/>
  <c r="C50" i="27" s="1"/>
  <c r="L9" i="27"/>
  <c r="H55" i="27"/>
  <c r="E79" i="22"/>
  <c r="H150" i="4"/>
  <c r="K135" i="4"/>
  <c r="J139" i="4"/>
  <c r="AU141" i="4"/>
  <c r="AV141" i="4"/>
  <c r="AW141" i="4"/>
  <c r="AX141" i="4"/>
  <c r="AY141" i="4"/>
  <c r="AZ141" i="4"/>
  <c r="EL155" i="4"/>
  <c r="EK157" i="4"/>
  <c r="Q113" i="4"/>
  <c r="R138" i="4"/>
  <c r="R91" i="4"/>
  <c r="S58" i="4"/>
  <c r="Q9" i="45"/>
  <c r="D11" i="22"/>
  <c r="E15" i="22"/>
  <c r="G55" i="4"/>
  <c r="I150" i="4"/>
  <c r="E55" i="27"/>
  <c r="D100" i="22"/>
  <c r="F109" i="4"/>
  <c r="F59" i="4"/>
  <c r="D9" i="8"/>
  <c r="F87" i="4"/>
  <c r="M9" i="27"/>
  <c r="I55" i="27" s="1"/>
  <c r="E77" i="22"/>
  <c r="L135" i="4"/>
  <c r="K139" i="4"/>
  <c r="D55" i="22"/>
  <c r="F86" i="4"/>
  <c r="EL157" i="4"/>
  <c r="EM155" i="4"/>
  <c r="R113" i="4"/>
  <c r="S138" i="4"/>
  <c r="S91" i="4"/>
  <c r="BB137" i="4"/>
  <c r="T58" i="4"/>
  <c r="BC57" i="4"/>
  <c r="R9" i="45"/>
  <c r="N55" i="45"/>
  <c r="E12" i="22"/>
  <c r="E13" i="22"/>
  <c r="G53" i="4"/>
  <c r="M55" i="45"/>
  <c r="F92" i="4"/>
  <c r="D9" i="24"/>
  <c r="D101" i="22"/>
  <c r="D99" i="22"/>
  <c r="N9" i="27"/>
  <c r="J55" i="27" s="1"/>
  <c r="F81" i="22"/>
  <c r="F78" i="22"/>
  <c r="E59" i="22"/>
  <c r="G88" i="4"/>
  <c r="E56" i="22"/>
  <c r="L139" i="4"/>
  <c r="M135" i="4"/>
  <c r="EN155" i="4"/>
  <c r="EM157" i="4"/>
  <c r="S113" i="4"/>
  <c r="T138" i="4"/>
  <c r="T91" i="4"/>
  <c r="BC137" i="4"/>
  <c r="BC90" i="4"/>
  <c r="U58" i="4"/>
  <c r="BD57" i="4"/>
  <c r="S9" i="45"/>
  <c r="P22" i="45"/>
  <c r="G54" i="4"/>
  <c r="G59" i="4"/>
  <c r="E9" i="8"/>
  <c r="F108" i="4"/>
  <c r="F114" i="4"/>
  <c r="D9" i="25"/>
  <c r="O9" i="27"/>
  <c r="F79" i="22"/>
  <c r="M139" i="4"/>
  <c r="N135" i="4"/>
  <c r="E11" i="22"/>
  <c r="E103" i="22"/>
  <c r="G110" i="4"/>
  <c r="E100" i="22"/>
  <c r="G87" i="4"/>
  <c r="E57" i="22"/>
  <c r="EN157" i="4"/>
  <c r="EO155" i="4"/>
  <c r="BC112" i="4"/>
  <c r="T113" i="4"/>
  <c r="BD137" i="4"/>
  <c r="BD90" i="4"/>
  <c r="BD112" i="4"/>
  <c r="U138" i="4"/>
  <c r="U91" i="4"/>
  <c r="V58" i="4"/>
  <c r="BE57" i="4"/>
  <c r="C122" i="27"/>
  <c r="T9" i="45"/>
  <c r="P55" i="45" s="1"/>
  <c r="C122" i="45"/>
  <c r="O55" i="45"/>
  <c r="K55" i="27"/>
  <c r="F77" i="22"/>
  <c r="G109" i="4"/>
  <c r="E101" i="22"/>
  <c r="G86" i="4"/>
  <c r="G92" i="4"/>
  <c r="E9" i="24"/>
  <c r="E55" i="22"/>
  <c r="F12" i="22"/>
  <c r="F15" i="22"/>
  <c r="H55" i="4"/>
  <c r="O135" i="4"/>
  <c r="N139" i="4"/>
  <c r="EO157" i="4"/>
  <c r="EP155" i="4"/>
  <c r="U113" i="4"/>
  <c r="BE137" i="4"/>
  <c r="BE90" i="4"/>
  <c r="I100" i="4"/>
  <c r="V138" i="4"/>
  <c r="V91" i="4"/>
  <c r="W58" i="4"/>
  <c r="BF57" i="4"/>
  <c r="H54" i="4"/>
  <c r="D38" i="45"/>
  <c r="D43" i="45"/>
  <c r="D45" i="45"/>
  <c r="D38" i="33"/>
  <c r="D43" i="33"/>
  <c r="D45" i="33"/>
  <c r="D38" i="34"/>
  <c r="D43" i="34"/>
  <c r="D45" i="34"/>
  <c r="D38" i="27"/>
  <c r="D43" i="27"/>
  <c r="D45" i="27"/>
  <c r="G81" i="22"/>
  <c r="G78" i="22"/>
  <c r="G79" i="22"/>
  <c r="F56" i="22"/>
  <c r="F59" i="22"/>
  <c r="H88" i="4"/>
  <c r="P135" i="4"/>
  <c r="O139" i="4"/>
  <c r="D37" i="24"/>
  <c r="D42" i="24"/>
  <c r="D44" i="24"/>
  <c r="F13" i="22"/>
  <c r="H53" i="4"/>
  <c r="D37" i="8"/>
  <c r="D42" i="8"/>
  <c r="D44" i="8"/>
  <c r="D37" i="25"/>
  <c r="D42" i="25"/>
  <c r="D44" i="25"/>
  <c r="G108" i="4"/>
  <c r="G114" i="4"/>
  <c r="E9" i="25"/>
  <c r="E99" i="22"/>
  <c r="EQ155" i="4"/>
  <c r="EP157" i="4"/>
  <c r="BE112" i="4"/>
  <c r="V113" i="4"/>
  <c r="W138" i="4"/>
  <c r="W91" i="4"/>
  <c r="BF137" i="4"/>
  <c r="BF90" i="4"/>
  <c r="X58" i="4"/>
  <c r="BG57" i="4"/>
  <c r="BG90" i="4"/>
  <c r="BG112" i="4"/>
  <c r="G77" i="22"/>
  <c r="F103" i="22"/>
  <c r="H110" i="4"/>
  <c r="F100" i="22"/>
  <c r="F11" i="22"/>
  <c r="H59" i="4"/>
  <c r="F9" i="8"/>
  <c r="Q135" i="4"/>
  <c r="P139" i="4"/>
  <c r="F57" i="22"/>
  <c r="H87" i="4"/>
  <c r="EQ157" i="4"/>
  <c r="ER155" i="4"/>
  <c r="BF112" i="4"/>
  <c r="W113" i="4"/>
  <c r="X138" i="4"/>
  <c r="X91" i="4"/>
  <c r="BG137" i="4"/>
  <c r="Y58" i="4"/>
  <c r="BH57" i="4"/>
  <c r="H78" i="22"/>
  <c r="H79" i="22"/>
  <c r="H77" i="22"/>
  <c r="H81" i="22"/>
  <c r="R135" i="4"/>
  <c r="Q139" i="4"/>
  <c r="G15" i="22"/>
  <c r="G12" i="22"/>
  <c r="I54" i="4"/>
  <c r="H109" i="4"/>
  <c r="F101" i="22"/>
  <c r="F55" i="22"/>
  <c r="H86" i="4"/>
  <c r="H92" i="4"/>
  <c r="F9" i="24"/>
  <c r="ER157" i="4"/>
  <c r="ES155" i="4"/>
  <c r="X113" i="4"/>
  <c r="BH137" i="4"/>
  <c r="BH90" i="4"/>
  <c r="Y138" i="4"/>
  <c r="Y91" i="4"/>
  <c r="Z58" i="4"/>
  <c r="BI57" i="4"/>
  <c r="I55" i="4"/>
  <c r="E81" i="4"/>
  <c r="I78" i="22"/>
  <c r="I79" i="22"/>
  <c r="I77" i="22"/>
  <c r="I81" i="22"/>
  <c r="G56" i="22"/>
  <c r="G59" i="22"/>
  <c r="I88" i="4"/>
  <c r="E80" i="4"/>
  <c r="G13" i="22"/>
  <c r="I53" i="4"/>
  <c r="H108" i="4"/>
  <c r="H114" i="4"/>
  <c r="F9" i="25"/>
  <c r="F99" i="22"/>
  <c r="S135" i="4"/>
  <c r="R139" i="4"/>
  <c r="ET155" i="4"/>
  <c r="ES157" i="4"/>
  <c r="BH112" i="4"/>
  <c r="Y113" i="4"/>
  <c r="BI137" i="4"/>
  <c r="BI90" i="4"/>
  <c r="BI112" i="4"/>
  <c r="Z138" i="4"/>
  <c r="Z91" i="4"/>
  <c r="AA58" i="4"/>
  <c r="BJ57" i="4"/>
  <c r="J78" i="22"/>
  <c r="J79" i="22"/>
  <c r="J77" i="22"/>
  <c r="J81" i="22"/>
  <c r="G100" i="22"/>
  <c r="G103" i="22"/>
  <c r="I110" i="4"/>
  <c r="G11" i="22"/>
  <c r="T135" i="4"/>
  <c r="S139" i="4"/>
  <c r="I87" i="4"/>
  <c r="G57" i="22"/>
  <c r="EU155" i="4"/>
  <c r="ET157" i="4"/>
  <c r="Z113" i="4"/>
  <c r="BJ137" i="4"/>
  <c r="BJ90" i="4"/>
  <c r="BJ112" i="4"/>
  <c r="AA138" i="4"/>
  <c r="AA91" i="4"/>
  <c r="AB58" i="4"/>
  <c r="BK57" i="4"/>
  <c r="K78" i="22"/>
  <c r="K79" i="22"/>
  <c r="K77" i="22"/>
  <c r="K81" i="22"/>
  <c r="E76" i="4"/>
  <c r="E75" i="4" s="1"/>
  <c r="I59" i="4"/>
  <c r="U135" i="4"/>
  <c r="T139" i="4"/>
  <c r="H15" i="22"/>
  <c r="J55" i="4"/>
  <c r="H12" i="22"/>
  <c r="I86" i="4"/>
  <c r="I92" i="4"/>
  <c r="G9" i="24"/>
  <c r="G55" i="22"/>
  <c r="G101" i="22"/>
  <c r="I109" i="4"/>
  <c r="E124" i="4"/>
  <c r="EU157" i="4"/>
  <c r="EV155" i="4"/>
  <c r="AA113" i="4"/>
  <c r="AB138" i="4"/>
  <c r="AB91" i="4"/>
  <c r="BK137" i="4"/>
  <c r="BK90" i="4"/>
  <c r="BK112" i="4"/>
  <c r="AC58" i="4"/>
  <c r="BL57" i="4"/>
  <c r="L78" i="22"/>
  <c r="L79" i="22"/>
  <c r="L77" i="22"/>
  <c r="L81" i="22"/>
  <c r="H59" i="22"/>
  <c r="J88" i="4"/>
  <c r="H56" i="22"/>
  <c r="V135" i="4"/>
  <c r="U139" i="4"/>
  <c r="G99" i="22"/>
  <c r="I108" i="4"/>
  <c r="H13" i="22"/>
  <c r="J54" i="4"/>
  <c r="G9" i="8"/>
  <c r="EV157" i="4"/>
  <c r="EW155" i="4"/>
  <c r="AB113" i="4"/>
  <c r="BL137" i="4"/>
  <c r="BL90" i="4"/>
  <c r="BL112" i="4"/>
  <c r="AC138" i="4"/>
  <c r="AC91" i="4"/>
  <c r="AD58" i="4"/>
  <c r="BM57" i="4"/>
  <c r="M81" i="22"/>
  <c r="M78" i="22"/>
  <c r="M79" i="22"/>
  <c r="M77" i="22"/>
  <c r="I114" i="4"/>
  <c r="G9" i="25"/>
  <c r="C17" i="25"/>
  <c r="E120" i="4"/>
  <c r="E119" i="4" s="1"/>
  <c r="W135" i="4"/>
  <c r="V139" i="4"/>
  <c r="J87" i="4"/>
  <c r="H57" i="22"/>
  <c r="H11" i="22"/>
  <c r="J53" i="4"/>
  <c r="J59" i="4"/>
  <c r="H9" i="8"/>
  <c r="D17" i="8" s="1"/>
  <c r="H103" i="22"/>
  <c r="J110" i="4"/>
  <c r="H100" i="22"/>
  <c r="EX155" i="4"/>
  <c r="EW157" i="4"/>
  <c r="AC113" i="4"/>
  <c r="BM137" i="4"/>
  <c r="BM90" i="4"/>
  <c r="BM112" i="4"/>
  <c r="AD138" i="4"/>
  <c r="AD91" i="4"/>
  <c r="AE58" i="4"/>
  <c r="BN57" i="4"/>
  <c r="N78" i="22"/>
  <c r="N79" i="22"/>
  <c r="N77" i="22"/>
  <c r="N81" i="22"/>
  <c r="J109" i="4"/>
  <c r="H101" i="22"/>
  <c r="I12" i="22"/>
  <c r="I15" i="22"/>
  <c r="K55" i="4"/>
  <c r="H55" i="22"/>
  <c r="J86" i="4"/>
  <c r="J92" i="4"/>
  <c r="H9" i="24"/>
  <c r="W139" i="4"/>
  <c r="X135" i="4"/>
  <c r="EY155" i="4"/>
  <c r="EX157" i="4"/>
  <c r="AD113" i="4"/>
  <c r="BN137" i="4"/>
  <c r="BN90" i="4"/>
  <c r="BN112" i="4"/>
  <c r="AE138" i="4"/>
  <c r="AE91" i="4"/>
  <c r="AF58" i="4"/>
  <c r="BO57" i="4"/>
  <c r="O78" i="22"/>
  <c r="O79" i="22"/>
  <c r="O77" i="22"/>
  <c r="O81" i="22"/>
  <c r="I59" i="22"/>
  <c r="K88" i="4"/>
  <c r="I56" i="22"/>
  <c r="H99" i="22"/>
  <c r="J108" i="4"/>
  <c r="J114" i="4"/>
  <c r="H9" i="25"/>
  <c r="D17" i="25" s="1"/>
  <c r="Y135" i="4"/>
  <c r="X139" i="4"/>
  <c r="K54" i="4"/>
  <c r="I13" i="22"/>
  <c r="EY157" i="4"/>
  <c r="EZ155" i="4"/>
  <c r="AE113" i="4"/>
  <c r="BO137" i="4"/>
  <c r="BO90" i="4"/>
  <c r="BO112" i="4"/>
  <c r="AF138" i="4"/>
  <c r="AF91" i="4"/>
  <c r="AG58" i="4"/>
  <c r="BP57" i="4"/>
  <c r="P78" i="22"/>
  <c r="P79" i="22"/>
  <c r="P77" i="22"/>
  <c r="P81" i="22"/>
  <c r="I100" i="22"/>
  <c r="I103" i="22"/>
  <c r="K110" i="4"/>
  <c r="I11" i="22"/>
  <c r="K53" i="4"/>
  <c r="K59" i="4"/>
  <c r="I9" i="8"/>
  <c r="Y139" i="4"/>
  <c r="Z135" i="4"/>
  <c r="I57" i="22"/>
  <c r="K87" i="4"/>
  <c r="EZ157" i="4"/>
  <c r="FA155" i="4"/>
  <c r="AF113" i="4"/>
  <c r="BP137" i="4"/>
  <c r="BP90" i="4"/>
  <c r="BP112" i="4"/>
  <c r="AG138" i="4"/>
  <c r="AG91" i="4"/>
  <c r="AH58" i="4"/>
  <c r="BQ57" i="4"/>
  <c r="B57" i="4"/>
  <c r="Q78" i="22"/>
  <c r="Q79" i="22"/>
  <c r="Q77" i="22"/>
  <c r="Q81" i="22"/>
  <c r="AA135" i="4"/>
  <c r="Z139" i="4"/>
  <c r="I55" i="22"/>
  <c r="K86" i="4"/>
  <c r="K92" i="4"/>
  <c r="I9" i="24"/>
  <c r="J12" i="22"/>
  <c r="J15" i="22"/>
  <c r="L55" i="4"/>
  <c r="K109" i="4"/>
  <c r="I101" i="22"/>
  <c r="FA157" i="4"/>
  <c r="FB155" i="4"/>
  <c r="AG113" i="4"/>
  <c r="BQ137" i="4"/>
  <c r="BQ90" i="4"/>
  <c r="BQ112" i="4"/>
  <c r="AH138" i="4"/>
  <c r="AH91" i="4"/>
  <c r="AI58" i="4"/>
  <c r="BR57" i="4"/>
  <c r="R78" i="22"/>
  <c r="R79" i="22"/>
  <c r="R77" i="22"/>
  <c r="R81" i="22"/>
  <c r="K108" i="4"/>
  <c r="K114" i="4"/>
  <c r="I9" i="25"/>
  <c r="I99" i="22"/>
  <c r="J13" i="22"/>
  <c r="L54" i="4"/>
  <c r="J56" i="22"/>
  <c r="J59" i="22"/>
  <c r="L88" i="4"/>
  <c r="AA139" i="4"/>
  <c r="AB135" i="4"/>
  <c r="FB157" i="4"/>
  <c r="FC155" i="4"/>
  <c r="AH113" i="4"/>
  <c r="BR137" i="4"/>
  <c r="BR90" i="4"/>
  <c r="AI138" i="4"/>
  <c r="AI91" i="4"/>
  <c r="AJ58" i="4"/>
  <c r="BS57" i="4"/>
  <c r="S78" i="22"/>
  <c r="S79" i="22"/>
  <c r="S77" i="22"/>
  <c r="S81" i="22"/>
  <c r="AC135" i="4"/>
  <c r="AB139" i="4"/>
  <c r="J103" i="22"/>
  <c r="L110" i="4"/>
  <c r="J100" i="22"/>
  <c r="L87" i="4"/>
  <c r="J57" i="22"/>
  <c r="L53" i="4"/>
  <c r="L59" i="4"/>
  <c r="J9" i="8"/>
  <c r="J11" i="22"/>
  <c r="FC157" i="4"/>
  <c r="FD155" i="4"/>
  <c r="BR112" i="4"/>
  <c r="AI113" i="4"/>
  <c r="AJ138" i="4"/>
  <c r="AJ91" i="4"/>
  <c r="BS137" i="4"/>
  <c r="BS90" i="4"/>
  <c r="BS112" i="4"/>
  <c r="AK58" i="4"/>
  <c r="BT57" i="4"/>
  <c r="T78" i="22"/>
  <c r="T79" i="22"/>
  <c r="T77" i="22"/>
  <c r="T81" i="22"/>
  <c r="K15" i="22"/>
  <c r="M55" i="4"/>
  <c r="K12" i="22"/>
  <c r="J55" i="22"/>
  <c r="L86" i="4"/>
  <c r="L92" i="4"/>
  <c r="J9" i="24"/>
  <c r="L109" i="4"/>
  <c r="J101" i="22"/>
  <c r="AD135" i="4"/>
  <c r="AC139" i="4"/>
  <c r="FE155" i="4"/>
  <c r="FD157" i="4"/>
  <c r="AJ113" i="4"/>
  <c r="BT137" i="4"/>
  <c r="BT90" i="4"/>
  <c r="AK138" i="4"/>
  <c r="AK91" i="4"/>
  <c r="AL58" i="4"/>
  <c r="BU57" i="4"/>
  <c r="U78" i="22"/>
  <c r="U79" i="22"/>
  <c r="U77" i="22"/>
  <c r="U81" i="22"/>
  <c r="AE135" i="4"/>
  <c r="AD139" i="4"/>
  <c r="J99" i="22"/>
  <c r="L108" i="4"/>
  <c r="L114" i="4"/>
  <c r="J9" i="25"/>
  <c r="M54" i="4"/>
  <c r="K13" i="22"/>
  <c r="K59" i="22"/>
  <c r="M88" i="4"/>
  <c r="K56" i="22"/>
  <c r="FF155" i="4"/>
  <c r="FE157" i="4"/>
  <c r="BT112" i="4"/>
  <c r="AK113" i="4"/>
  <c r="BU137" i="4"/>
  <c r="BU90" i="4"/>
  <c r="BU112" i="4"/>
  <c r="AL138" i="4"/>
  <c r="AL91" i="4"/>
  <c r="AM58" i="4"/>
  <c r="BV57" i="4"/>
  <c r="V81" i="22"/>
  <c r="V78" i="22"/>
  <c r="V79" i="22"/>
  <c r="V77" i="22"/>
  <c r="M87" i="4"/>
  <c r="K57" i="22"/>
  <c r="M53" i="4"/>
  <c r="M59" i="4"/>
  <c r="K11" i="22"/>
  <c r="K100" i="22"/>
  <c r="K103" i="22"/>
  <c r="M110" i="4"/>
  <c r="AE139" i="4"/>
  <c r="AF135" i="4"/>
  <c r="FG155" i="4"/>
  <c r="FF157" i="4"/>
  <c r="AL113" i="4"/>
  <c r="AM138" i="4"/>
  <c r="AM91" i="4"/>
  <c r="BV137" i="4"/>
  <c r="BV90" i="4"/>
  <c r="BV112" i="4"/>
  <c r="AN58" i="4"/>
  <c r="BW57" i="4"/>
  <c r="W81" i="22"/>
  <c r="W78" i="22"/>
  <c r="W79" i="22"/>
  <c r="W77" i="22"/>
  <c r="K9" i="8"/>
  <c r="AG135" i="4"/>
  <c r="AF139" i="4"/>
  <c r="K101" i="22"/>
  <c r="M109" i="4"/>
  <c r="L15" i="22"/>
  <c r="N55" i="4"/>
  <c r="L12" i="22"/>
  <c r="M86" i="4"/>
  <c r="M92" i="4"/>
  <c r="K9" i="24"/>
  <c r="K55" i="22"/>
  <c r="FG157" i="4"/>
  <c r="FH155" i="4"/>
  <c r="AM113" i="4"/>
  <c r="AN138" i="4"/>
  <c r="AN91" i="4"/>
  <c r="BW137" i="4"/>
  <c r="BW90" i="4"/>
  <c r="AO58" i="4"/>
  <c r="BX57" i="4"/>
  <c r="X81" i="22"/>
  <c r="X78" i="22"/>
  <c r="X79" i="22"/>
  <c r="X77" i="22"/>
  <c r="L59" i="22"/>
  <c r="N88" i="4"/>
  <c r="L56" i="22"/>
  <c r="L13" i="22"/>
  <c r="N54" i="4"/>
  <c r="M108" i="4"/>
  <c r="M114" i="4"/>
  <c r="K9" i="25"/>
  <c r="K99" i="22"/>
  <c r="AH135" i="4"/>
  <c r="AG139" i="4"/>
  <c r="FH157" i="4"/>
  <c r="FI155" i="4"/>
  <c r="BW112" i="4"/>
  <c r="AN113" i="4"/>
  <c r="BX137" i="4"/>
  <c r="BX90" i="4"/>
  <c r="BX112" i="4"/>
  <c r="AO138" i="4"/>
  <c r="AO91" i="4"/>
  <c r="AP58" i="4"/>
  <c r="BY57" i="4"/>
  <c r="Y78" i="22"/>
  <c r="Y79" i="22"/>
  <c r="Y77" i="22"/>
  <c r="Y81" i="22"/>
  <c r="AH139" i="4"/>
  <c r="AI135" i="4"/>
  <c r="L57" i="22"/>
  <c r="N87" i="4"/>
  <c r="L100" i="22"/>
  <c r="L103" i="22"/>
  <c r="N110" i="4"/>
  <c r="N53" i="4"/>
  <c r="N59" i="4"/>
  <c r="L11" i="22"/>
  <c r="FJ155" i="4"/>
  <c r="FI157" i="4"/>
  <c r="AO113" i="4"/>
  <c r="AP138" i="4"/>
  <c r="AP91" i="4"/>
  <c r="BY137" i="4"/>
  <c r="BY90" i="4"/>
  <c r="BY112" i="4"/>
  <c r="AQ58" i="4"/>
  <c r="BZ57" i="4"/>
  <c r="L9" i="8"/>
  <c r="Z78" i="22"/>
  <c r="Z79" i="22"/>
  <c r="Z77" i="22"/>
  <c r="Z81" i="22"/>
  <c r="N109" i="4"/>
  <c r="L101" i="22"/>
  <c r="AI139" i="4"/>
  <c r="AJ135" i="4"/>
  <c r="M15" i="22"/>
  <c r="O55" i="4"/>
  <c r="M12" i="22"/>
  <c r="L55" i="22"/>
  <c r="N86" i="4"/>
  <c r="N92" i="4"/>
  <c r="L9" i="24"/>
  <c r="FK155" i="4"/>
  <c r="FJ157" i="4"/>
  <c r="AP113" i="4"/>
  <c r="BZ137" i="4"/>
  <c r="BZ90" i="4"/>
  <c r="BZ112" i="4"/>
  <c r="AQ138" i="4"/>
  <c r="AQ91" i="4"/>
  <c r="AR58" i="4"/>
  <c r="CA57" i="4"/>
  <c r="AA81" i="22"/>
  <c r="AA78" i="22"/>
  <c r="AA79" i="22"/>
  <c r="AA77" i="22"/>
  <c r="M56" i="22"/>
  <c r="M59" i="22"/>
  <c r="O88" i="4"/>
  <c r="O54" i="4"/>
  <c r="M13" i="22"/>
  <c r="AK135" i="4"/>
  <c r="AJ139" i="4"/>
  <c r="L99" i="22"/>
  <c r="N108" i="4"/>
  <c r="N114" i="4"/>
  <c r="L9" i="25"/>
  <c r="FL155" i="4"/>
  <c r="FK157" i="4"/>
  <c r="AQ113" i="4"/>
  <c r="CA137" i="4"/>
  <c r="CA90" i="4"/>
  <c r="CA112" i="4"/>
  <c r="AR138" i="4"/>
  <c r="AR91" i="4"/>
  <c r="F146" i="4"/>
  <c r="G146" i="4"/>
  <c r="AS58" i="4"/>
  <c r="CB57" i="4"/>
  <c r="AB81" i="22"/>
  <c r="AB78" i="22"/>
  <c r="AB79" i="22"/>
  <c r="AB77" i="22"/>
  <c r="M103" i="22"/>
  <c r="O110" i="4"/>
  <c r="M100" i="22"/>
  <c r="AL135" i="4"/>
  <c r="AK139" i="4"/>
  <c r="O53" i="4"/>
  <c r="O59" i="4"/>
  <c r="M11" i="22"/>
  <c r="M57" i="22"/>
  <c r="O87" i="4"/>
  <c r="FM155" i="4"/>
  <c r="FL157" i="4"/>
  <c r="AR113" i="4"/>
  <c r="CB137" i="4"/>
  <c r="CB90" i="4"/>
  <c r="CB112" i="4"/>
  <c r="AS138" i="4"/>
  <c r="AS91" i="4"/>
  <c r="AT58" i="4"/>
  <c r="C17" i="8"/>
  <c r="CC57" i="4"/>
  <c r="AC81" i="22"/>
  <c r="AC78" i="22"/>
  <c r="AC79" i="22"/>
  <c r="AC77" i="22"/>
  <c r="M55" i="22"/>
  <c r="O86" i="4"/>
  <c r="O92" i="4"/>
  <c r="M9" i="24"/>
  <c r="N12" i="22"/>
  <c r="N15" i="22"/>
  <c r="P55" i="4"/>
  <c r="O109" i="4"/>
  <c r="M101" i="22"/>
  <c r="M9" i="8"/>
  <c r="AM135" i="4"/>
  <c r="AL139" i="4"/>
  <c r="FN155" i="4"/>
  <c r="FM157" i="4"/>
  <c r="AS113" i="4"/>
  <c r="AT138" i="4"/>
  <c r="AT91" i="4"/>
  <c r="CC137" i="4"/>
  <c r="CC90" i="4"/>
  <c r="CC112" i="4"/>
  <c r="AU58" i="4"/>
  <c r="CD57" i="4"/>
  <c r="AD78" i="22"/>
  <c r="AD79" i="22"/>
  <c r="AD77" i="22"/>
  <c r="AD81" i="22"/>
  <c r="O108" i="4"/>
  <c r="O114" i="4"/>
  <c r="M9" i="25"/>
  <c r="M99" i="22"/>
  <c r="AN135" i="4"/>
  <c r="AM139" i="4"/>
  <c r="N13" i="22"/>
  <c r="P54" i="4"/>
  <c r="N59" i="22"/>
  <c r="P88" i="4"/>
  <c r="N56" i="22"/>
  <c r="FO155" i="4"/>
  <c r="FN157" i="4"/>
  <c r="AT113" i="4"/>
  <c r="CD137" i="4"/>
  <c r="CD90" i="4"/>
  <c r="AU138" i="4"/>
  <c r="AU91" i="4"/>
  <c r="AV58" i="4"/>
  <c r="CE57" i="4"/>
  <c r="AE81" i="22"/>
  <c r="AE78" i="22"/>
  <c r="AE79" i="22"/>
  <c r="AE77" i="22"/>
  <c r="AO135" i="4"/>
  <c r="AN139" i="4"/>
  <c r="N11" i="22"/>
  <c r="P53" i="4"/>
  <c r="P59" i="4"/>
  <c r="N103" i="22"/>
  <c r="P110" i="4"/>
  <c r="N100" i="22"/>
  <c r="N57" i="22"/>
  <c r="P87" i="4"/>
  <c r="FP155" i="4"/>
  <c r="FO157" i="4"/>
  <c r="CD112" i="4"/>
  <c r="AU113" i="4"/>
  <c r="AV138" i="4"/>
  <c r="AV91" i="4"/>
  <c r="CE137" i="4"/>
  <c r="CE90" i="4"/>
  <c r="CE112" i="4"/>
  <c r="AW58" i="4"/>
  <c r="CF57" i="4"/>
  <c r="AF81" i="22"/>
  <c r="AF78" i="22"/>
  <c r="AF79" i="22"/>
  <c r="AF77" i="22"/>
  <c r="P109" i="4"/>
  <c r="N101" i="22"/>
  <c r="P86" i="4"/>
  <c r="P92" i="4"/>
  <c r="N9" i="24"/>
  <c r="N55" i="22"/>
  <c r="N9" i="8"/>
  <c r="O12" i="22"/>
  <c r="O15" i="22"/>
  <c r="Q55" i="4"/>
  <c r="AP135" i="4"/>
  <c r="AO139" i="4"/>
  <c r="FP157" i="4"/>
  <c r="FQ155" i="4"/>
  <c r="AV113" i="4"/>
  <c r="CF137" i="4"/>
  <c r="CF90" i="4"/>
  <c r="AW138" i="4"/>
  <c r="AW91" i="4"/>
  <c r="AX58" i="4"/>
  <c r="CG57" i="4"/>
  <c r="AG78" i="22"/>
  <c r="AG79" i="22"/>
  <c r="AG77" i="22"/>
  <c r="AG81" i="22"/>
  <c r="AQ135" i="4"/>
  <c r="AP139" i="4"/>
  <c r="O56" i="22"/>
  <c r="O59" i="22"/>
  <c r="Q88" i="4"/>
  <c r="Q54" i="4"/>
  <c r="O13" i="22"/>
  <c r="P108" i="4"/>
  <c r="P114" i="4"/>
  <c r="N9" i="25"/>
  <c r="N99" i="22"/>
  <c r="FQ157" i="4"/>
  <c r="FR155" i="4"/>
  <c r="CF112" i="4"/>
  <c r="AW113" i="4"/>
  <c r="CG137" i="4"/>
  <c r="CG90" i="4"/>
  <c r="CG112" i="4"/>
  <c r="AX138" i="4"/>
  <c r="AX91" i="4"/>
  <c r="AY58" i="4"/>
  <c r="CH57" i="4"/>
  <c r="AH78" i="22"/>
  <c r="AH79" i="22"/>
  <c r="AH77" i="22"/>
  <c r="AH81" i="22"/>
  <c r="O11" i="22"/>
  <c r="Q53" i="4"/>
  <c r="Q59" i="4"/>
  <c r="O100" i="22"/>
  <c r="O103" i="22"/>
  <c r="Q110" i="4"/>
  <c r="O57" i="22"/>
  <c r="Q87" i="4"/>
  <c r="AR135" i="4"/>
  <c r="AQ139" i="4"/>
  <c r="FS155" i="4"/>
  <c r="FR157" i="4"/>
  <c r="AX113" i="4"/>
  <c r="CH137" i="4"/>
  <c r="CH90" i="4"/>
  <c r="CH112" i="4"/>
  <c r="AY138" i="4"/>
  <c r="AY91" i="4"/>
  <c r="AZ58" i="4"/>
  <c r="CI57" i="4"/>
  <c r="AI78" i="22"/>
  <c r="AI79" i="22"/>
  <c r="AI77" i="22"/>
  <c r="AI81" i="22"/>
  <c r="AS135" i="4"/>
  <c r="H146" i="4"/>
  <c r="AR139" i="4"/>
  <c r="Q86" i="4"/>
  <c r="Q92" i="4"/>
  <c r="O9" i="24"/>
  <c r="O55" i="22"/>
  <c r="O101" i="22"/>
  <c r="Q109" i="4"/>
  <c r="O9" i="8"/>
  <c r="P15" i="22"/>
  <c r="R55" i="4"/>
  <c r="P12" i="22"/>
  <c r="FS157" i="4"/>
  <c r="FT155" i="4"/>
  <c r="AY113" i="4"/>
  <c r="CI137" i="4"/>
  <c r="CI90" i="4"/>
  <c r="CI112" i="4"/>
  <c r="AZ138" i="4"/>
  <c r="AZ91" i="4"/>
  <c r="BA58" i="4"/>
  <c r="CJ57" i="4"/>
  <c r="AJ78" i="22"/>
  <c r="AJ79" i="22"/>
  <c r="AJ77" i="22"/>
  <c r="AJ81" i="22"/>
  <c r="P13" i="22"/>
  <c r="R54" i="4"/>
  <c r="Q108" i="4"/>
  <c r="Q114" i="4"/>
  <c r="O9" i="25"/>
  <c r="O99" i="22"/>
  <c r="P56" i="22"/>
  <c r="P59" i="22"/>
  <c r="R88" i="4"/>
  <c r="AT135" i="4"/>
  <c r="AS139" i="4"/>
  <c r="FT157" i="4"/>
  <c r="FU155" i="4"/>
  <c r="AZ113" i="4"/>
  <c r="CJ137" i="4"/>
  <c r="CJ90" i="4"/>
  <c r="CJ112" i="4"/>
  <c r="BA138" i="4"/>
  <c r="BA139" i="4"/>
  <c r="BA91" i="4"/>
  <c r="BB58" i="4"/>
  <c r="BB91" i="4"/>
  <c r="BA59" i="4"/>
  <c r="CK57" i="4"/>
  <c r="AK78" i="22"/>
  <c r="AK79" i="22"/>
  <c r="AK77" i="22"/>
  <c r="AK81" i="22"/>
  <c r="AU135" i="4"/>
  <c r="AT139" i="4"/>
  <c r="R87" i="4"/>
  <c r="P57" i="22"/>
  <c r="P103" i="22"/>
  <c r="R110" i="4"/>
  <c r="P100" i="22"/>
  <c r="P11" i="22"/>
  <c r="R53" i="4"/>
  <c r="R59" i="4"/>
  <c r="FV155" i="4"/>
  <c r="FU157" i="4"/>
  <c r="BB113" i="4"/>
  <c r="BA113" i="4"/>
  <c r="CK137" i="4"/>
  <c r="CK90" i="4"/>
  <c r="CK112" i="4"/>
  <c r="BB138" i="4"/>
  <c r="BB139" i="4"/>
  <c r="BB59" i="4"/>
  <c r="AY9" i="8"/>
  <c r="BC58" i="4"/>
  <c r="CL57" i="4"/>
  <c r="AL78" i="22"/>
  <c r="AL79" i="22"/>
  <c r="AL77" i="22"/>
  <c r="AL81" i="22"/>
  <c r="P9" i="8"/>
  <c r="Q15" i="22"/>
  <c r="S55" i="4"/>
  <c r="Q12" i="22"/>
  <c r="R109" i="4"/>
  <c r="P101" i="22"/>
  <c r="P55" i="22"/>
  <c r="R86" i="4"/>
  <c r="R92" i="4"/>
  <c r="P9" i="24"/>
  <c r="AV135" i="4"/>
  <c r="AU139" i="4"/>
  <c r="FV157" i="4"/>
  <c r="FW155" i="4"/>
  <c r="CL137" i="4"/>
  <c r="CL90" i="4"/>
  <c r="CL112" i="4"/>
  <c r="BC138" i="4"/>
  <c r="BC139" i="4"/>
  <c r="BC91" i="4"/>
  <c r="AZ9" i="8"/>
  <c r="BD58" i="4"/>
  <c r="BC59" i="4"/>
  <c r="CM57" i="4"/>
  <c r="AM81" i="22"/>
  <c r="AM78" i="22"/>
  <c r="AM79" i="22"/>
  <c r="AM77" i="22"/>
  <c r="AW135" i="4"/>
  <c r="AV139" i="4"/>
  <c r="Q56" i="22"/>
  <c r="Q59" i="22"/>
  <c r="S88" i="4"/>
  <c r="R108" i="4"/>
  <c r="R114" i="4"/>
  <c r="P9" i="25"/>
  <c r="P99" i="22"/>
  <c r="S54" i="4"/>
  <c r="Q13" i="22"/>
  <c r="FW157" i="4"/>
  <c r="FX155" i="4"/>
  <c r="BC113" i="4"/>
  <c r="CM137" i="4"/>
  <c r="CM90" i="4"/>
  <c r="CM112" i="4"/>
  <c r="BD138" i="4"/>
  <c r="BD139" i="4"/>
  <c r="BD91" i="4"/>
  <c r="BA9" i="8"/>
  <c r="BE58" i="4"/>
  <c r="BD59" i="4"/>
  <c r="CN57" i="4"/>
  <c r="AN78" i="22"/>
  <c r="AN79" i="22"/>
  <c r="AN77" i="22"/>
  <c r="AN81" i="22"/>
  <c r="Q11" i="22"/>
  <c r="S53" i="4"/>
  <c r="S59" i="4"/>
  <c r="Q100" i="22"/>
  <c r="Q103" i="22"/>
  <c r="S110" i="4"/>
  <c r="Q57" i="22"/>
  <c r="S87" i="4"/>
  <c r="AX135" i="4"/>
  <c r="AW139" i="4"/>
  <c r="FY155" i="4"/>
  <c r="FX157" i="4"/>
  <c r="BD113" i="4"/>
  <c r="CN137" i="4"/>
  <c r="CN90" i="4"/>
  <c r="CN112" i="4"/>
  <c r="BE138" i="4"/>
  <c r="BE139" i="4"/>
  <c r="BE91" i="4"/>
  <c r="BB9" i="8"/>
  <c r="BF58" i="4"/>
  <c r="BE59" i="4"/>
  <c r="CO57" i="4"/>
  <c r="AO81" i="22"/>
  <c r="AO78" i="22"/>
  <c r="AO79" i="22"/>
  <c r="AO77" i="22"/>
  <c r="AY135" i="4"/>
  <c r="AX139" i="4"/>
  <c r="S86" i="4"/>
  <c r="S92" i="4"/>
  <c r="Q9" i="24"/>
  <c r="Q55" i="22"/>
  <c r="Q101" i="22"/>
  <c r="S109" i="4"/>
  <c r="Q9" i="8"/>
  <c r="R12" i="22"/>
  <c r="R15" i="22"/>
  <c r="T55" i="4"/>
  <c r="FZ155" i="4"/>
  <c r="FY157" i="4"/>
  <c r="BE113" i="4"/>
  <c r="CO137" i="4"/>
  <c r="CO90" i="4"/>
  <c r="CO112" i="4"/>
  <c r="BF138" i="4"/>
  <c r="BF139" i="4"/>
  <c r="BF91" i="4"/>
  <c r="BC9" i="8"/>
  <c r="BG58" i="4"/>
  <c r="BG91" i="4"/>
  <c r="BF59" i="4"/>
  <c r="CP57" i="4"/>
  <c r="AP81" i="22"/>
  <c r="AP78" i="22"/>
  <c r="AP79" i="22"/>
  <c r="AP77" i="22"/>
  <c r="R56" i="22"/>
  <c r="R59" i="22"/>
  <c r="T88" i="4"/>
  <c r="T54" i="4"/>
  <c r="R13" i="22"/>
  <c r="S108" i="4"/>
  <c r="S114" i="4"/>
  <c r="Q9" i="25"/>
  <c r="Q99" i="22"/>
  <c r="AZ135" i="4"/>
  <c r="AZ139" i="4"/>
  <c r="AY139" i="4"/>
  <c r="GA155" i="4"/>
  <c r="FZ157" i="4"/>
  <c r="BF113" i="4"/>
  <c r="BG113" i="4"/>
  <c r="CP137" i="4"/>
  <c r="CP90" i="4"/>
  <c r="BG138" i="4"/>
  <c r="BG139" i="4"/>
  <c r="BG59" i="4"/>
  <c r="BD9" i="8"/>
  <c r="BH58" i="4"/>
  <c r="CQ57" i="4"/>
  <c r="I146" i="4"/>
  <c r="AQ78" i="22"/>
  <c r="AQ79" i="22"/>
  <c r="AQ77" i="22"/>
  <c r="AQ81" i="22"/>
  <c r="R103" i="22"/>
  <c r="T110" i="4"/>
  <c r="R100" i="22"/>
  <c r="T53" i="4"/>
  <c r="T59" i="4"/>
  <c r="R11" i="22"/>
  <c r="T87" i="4"/>
  <c r="R57" i="22"/>
  <c r="GB155" i="4"/>
  <c r="GA157" i="4"/>
  <c r="CP112" i="4"/>
  <c r="CQ137" i="4"/>
  <c r="CQ90" i="4"/>
  <c r="CQ112" i="4"/>
  <c r="BH138" i="4"/>
  <c r="BH139" i="4"/>
  <c r="BH91" i="4"/>
  <c r="BE9" i="8"/>
  <c r="BI58" i="4"/>
  <c r="BH59" i="4"/>
  <c r="CR57" i="4"/>
  <c r="AR81" i="22"/>
  <c r="AR78" i="22"/>
  <c r="AR79" i="22"/>
  <c r="AR77" i="22"/>
  <c r="R55" i="22"/>
  <c r="T86" i="4"/>
  <c r="T92" i="4"/>
  <c r="R9" i="24"/>
  <c r="S12" i="22"/>
  <c r="S15" i="22"/>
  <c r="U55" i="4"/>
  <c r="R101" i="22"/>
  <c r="T109" i="4"/>
  <c r="R9" i="8"/>
  <c r="GC155" i="4"/>
  <c r="GB157" i="4"/>
  <c r="BH113" i="4"/>
  <c r="BI138" i="4"/>
  <c r="BI139" i="4"/>
  <c r="BI91" i="4"/>
  <c r="CR137" i="4"/>
  <c r="CR90" i="4"/>
  <c r="BJ58" i="4"/>
  <c r="BI59" i="4"/>
  <c r="BF9" i="8"/>
  <c r="CS57" i="4"/>
  <c r="AS81" i="22"/>
  <c r="AS78" i="22"/>
  <c r="AS79" i="22"/>
  <c r="AS77" i="22"/>
  <c r="U54" i="4"/>
  <c r="S13" i="22"/>
  <c r="R99" i="22"/>
  <c r="T108" i="4"/>
  <c r="T114" i="4"/>
  <c r="R9" i="25"/>
  <c r="S59" i="22"/>
  <c r="U88" i="4"/>
  <c r="S56" i="22"/>
  <c r="GD155" i="4"/>
  <c r="GC157" i="4"/>
  <c r="CR112" i="4"/>
  <c r="BI113" i="4"/>
  <c r="BJ138" i="4"/>
  <c r="BJ139" i="4"/>
  <c r="BJ91" i="4"/>
  <c r="CS137" i="4"/>
  <c r="CS90" i="4"/>
  <c r="CS112" i="4"/>
  <c r="BK58" i="4"/>
  <c r="BJ59" i="4"/>
  <c r="BG9" i="8"/>
  <c r="CT57" i="4"/>
  <c r="AT78" i="22"/>
  <c r="AT79" i="22"/>
  <c r="AT77" i="22"/>
  <c r="AT81" i="22"/>
  <c r="S57" i="22"/>
  <c r="U87" i="4"/>
  <c r="S11" i="22"/>
  <c r="U53" i="4"/>
  <c r="U59" i="4"/>
  <c r="S100" i="22"/>
  <c r="S103" i="22"/>
  <c r="U110" i="4"/>
  <c r="GE155" i="4"/>
  <c r="GD157" i="4"/>
  <c r="BJ113" i="4"/>
  <c r="CT137" i="4"/>
  <c r="CT90" i="4"/>
  <c r="BK138" i="4"/>
  <c r="BK139" i="4"/>
  <c r="BK91" i="4"/>
  <c r="BH9" i="8"/>
  <c r="BL58" i="4"/>
  <c r="BK59" i="4"/>
  <c r="CU57" i="4"/>
  <c r="AU78" i="22"/>
  <c r="AU79" i="22"/>
  <c r="AU77" i="22"/>
  <c r="AU81" i="22"/>
  <c r="S9" i="8"/>
  <c r="S101" i="22"/>
  <c r="U109" i="4"/>
  <c r="T12" i="22"/>
  <c r="T15" i="22"/>
  <c r="V55" i="4"/>
  <c r="U86" i="4"/>
  <c r="U92" i="4"/>
  <c r="S9" i="24"/>
  <c r="S55" i="22"/>
  <c r="GF155" i="4"/>
  <c r="GE157" i="4"/>
  <c r="CT112" i="4"/>
  <c r="BK113" i="4"/>
  <c r="BL138" i="4"/>
  <c r="BL139" i="4"/>
  <c r="BL91" i="4"/>
  <c r="CU137" i="4"/>
  <c r="CU90" i="4"/>
  <c r="CU112" i="4"/>
  <c r="BI9" i="8"/>
  <c r="BM58" i="4"/>
  <c r="BL59" i="4"/>
  <c r="CV57" i="4"/>
  <c r="AV78" i="22"/>
  <c r="AV79" i="22"/>
  <c r="AV77" i="22"/>
  <c r="AV81" i="22"/>
  <c r="T56" i="22"/>
  <c r="T59" i="22"/>
  <c r="V88" i="4"/>
  <c r="T13" i="22"/>
  <c r="V54" i="4"/>
  <c r="U108" i="4"/>
  <c r="U114" i="4"/>
  <c r="S9" i="25"/>
  <c r="S99" i="22"/>
  <c r="GF157" i="4"/>
  <c r="GG155" i="4"/>
  <c r="BL113" i="4"/>
  <c r="CV137" i="4"/>
  <c r="CV90" i="4"/>
  <c r="CV112" i="4"/>
  <c r="BM138" i="4"/>
  <c r="BM139" i="4"/>
  <c r="BM91" i="4"/>
  <c r="BJ9" i="8"/>
  <c r="BN58" i="4"/>
  <c r="BM59" i="4"/>
  <c r="CW57" i="4"/>
  <c r="AW78" i="22"/>
  <c r="AW79" i="22"/>
  <c r="AW77" i="22"/>
  <c r="AW81" i="22"/>
  <c r="T103" i="22"/>
  <c r="V110" i="4"/>
  <c r="T100" i="22"/>
  <c r="T11" i="22"/>
  <c r="V53" i="4"/>
  <c r="V59" i="4"/>
  <c r="V87" i="4"/>
  <c r="T57" i="22"/>
  <c r="GH155" i="4"/>
  <c r="GG157" i="4"/>
  <c r="BM113" i="4"/>
  <c r="BN138" i="4"/>
  <c r="BN139" i="4"/>
  <c r="BN91" i="4"/>
  <c r="CW137" i="4"/>
  <c r="CW90" i="4"/>
  <c r="CW112" i="4"/>
  <c r="BK9" i="8"/>
  <c r="BO58" i="4"/>
  <c r="BN59" i="4"/>
  <c r="CX57" i="4"/>
  <c r="AX81" i="22"/>
  <c r="AX78" i="22"/>
  <c r="AX79" i="22"/>
  <c r="AX77" i="22"/>
  <c r="T9" i="8"/>
  <c r="T101" i="22"/>
  <c r="V109" i="4"/>
  <c r="V86" i="4"/>
  <c r="V92" i="4"/>
  <c r="T9" i="24"/>
  <c r="E17" i="24" s="1"/>
  <c r="T55" i="22"/>
  <c r="U15" i="22"/>
  <c r="W55" i="4"/>
  <c r="U12" i="22"/>
  <c r="GI155" i="4"/>
  <c r="GH157" i="4"/>
  <c r="BN113" i="4"/>
  <c r="CX137" i="4"/>
  <c r="CX90" i="4"/>
  <c r="CX112" i="4"/>
  <c r="BO138" i="4"/>
  <c r="BO139" i="4"/>
  <c r="BO91" i="4"/>
  <c r="BL9" i="8"/>
  <c r="BP58" i="4"/>
  <c r="BO59" i="4"/>
  <c r="CY57" i="4"/>
  <c r="AY81" i="22"/>
  <c r="AY78" i="22"/>
  <c r="AY79" i="22"/>
  <c r="AY77" i="22"/>
  <c r="W54" i="4"/>
  <c r="U13" i="22"/>
  <c r="U59" i="22"/>
  <c r="W88" i="4"/>
  <c r="U56" i="22"/>
  <c r="T99" i="22"/>
  <c r="V108" i="4"/>
  <c r="V114" i="4"/>
  <c r="T9" i="25"/>
  <c r="GJ155" i="4"/>
  <c r="GI157" i="4"/>
  <c r="BO113" i="4"/>
  <c r="CY137" i="4"/>
  <c r="CY90" i="4"/>
  <c r="CY112" i="4"/>
  <c r="BP138" i="4"/>
  <c r="BP139" i="4"/>
  <c r="BP91" i="4"/>
  <c r="BQ58" i="4"/>
  <c r="B58" i="4"/>
  <c r="BP59" i="4"/>
  <c r="BM9" i="8"/>
  <c r="CZ57" i="4"/>
  <c r="AZ78" i="22"/>
  <c r="AZ79" i="22"/>
  <c r="AZ77" i="22"/>
  <c r="AZ81" i="22"/>
  <c r="U103" i="22"/>
  <c r="W110" i="4"/>
  <c r="U100" i="22"/>
  <c r="W87" i="4"/>
  <c r="U57" i="22"/>
  <c r="U11" i="22"/>
  <c r="W53" i="4"/>
  <c r="W59" i="4"/>
  <c r="U9" i="8"/>
  <c r="GK155" i="4"/>
  <c r="GJ157" i="4"/>
  <c r="BP113" i="4"/>
  <c r="BQ138" i="4"/>
  <c r="BQ139" i="4"/>
  <c r="BQ91" i="4"/>
  <c r="CZ137" i="4"/>
  <c r="CZ90" i="4"/>
  <c r="CZ112" i="4"/>
  <c r="BN9" i="8"/>
  <c r="BR58" i="4"/>
  <c r="BQ59" i="4"/>
  <c r="DA57" i="4"/>
  <c r="BA78" i="22"/>
  <c r="BA79" i="22"/>
  <c r="BA77" i="22"/>
  <c r="BA81" i="22"/>
  <c r="U101" i="22"/>
  <c r="W109" i="4"/>
  <c r="V12" i="22"/>
  <c r="V15" i="22"/>
  <c r="X55" i="4"/>
  <c r="U55" i="22"/>
  <c r="W86" i="4"/>
  <c r="W92" i="4"/>
  <c r="U9" i="24"/>
  <c r="GK157" i="4"/>
  <c r="GL155" i="4"/>
  <c r="BQ113" i="4"/>
  <c r="BR138" i="4"/>
  <c r="BR139" i="4"/>
  <c r="BR91" i="4"/>
  <c r="DA137" i="4"/>
  <c r="DA90" i="4"/>
  <c r="DA112" i="4"/>
  <c r="BO9" i="8"/>
  <c r="BS58" i="4"/>
  <c r="BR59" i="4"/>
  <c r="DB57" i="4"/>
  <c r="BB81" i="22"/>
  <c r="BB78" i="22"/>
  <c r="BB79" i="22"/>
  <c r="BB77" i="22"/>
  <c r="V56" i="22"/>
  <c r="V59" i="22"/>
  <c r="X88" i="4"/>
  <c r="X54" i="4"/>
  <c r="V13" i="22"/>
  <c r="W108" i="4"/>
  <c r="W114" i="4"/>
  <c r="U9" i="25"/>
  <c r="U99" i="22"/>
  <c r="GM155" i="4"/>
  <c r="GL157" i="4"/>
  <c r="BR113" i="4"/>
  <c r="BS138" i="4"/>
  <c r="BS139" i="4"/>
  <c r="BS91" i="4"/>
  <c r="DB137" i="4"/>
  <c r="DB90" i="4"/>
  <c r="BP9" i="8"/>
  <c r="I17" i="8" s="1"/>
  <c r="BT58" i="4"/>
  <c r="BS59" i="4"/>
  <c r="DC57" i="4"/>
  <c r="D17" i="45"/>
  <c r="D50" i="45" s="1"/>
  <c r="C5" i="33"/>
  <c r="C5" i="34"/>
  <c r="C7" i="7"/>
  <c r="BC81" i="22"/>
  <c r="BC78" i="22"/>
  <c r="BC79" i="22"/>
  <c r="BC77" i="22"/>
  <c r="X87" i="4"/>
  <c r="V57" i="22"/>
  <c r="V103" i="22"/>
  <c r="X110" i="4"/>
  <c r="V100" i="22"/>
  <c r="V11" i="22"/>
  <c r="X53" i="4"/>
  <c r="X59" i="4"/>
  <c r="V9" i="8"/>
  <c r="GN155" i="4"/>
  <c r="GM157" i="4"/>
  <c r="DB112" i="4"/>
  <c r="BS113" i="4"/>
  <c r="BT138" i="4"/>
  <c r="BT139" i="4"/>
  <c r="BT91" i="4"/>
  <c r="DC137" i="4"/>
  <c r="DC90" i="4"/>
  <c r="DC112" i="4"/>
  <c r="BQ9" i="8"/>
  <c r="BU58" i="4"/>
  <c r="BT59" i="4"/>
  <c r="DD57" i="4"/>
  <c r="D33" i="7"/>
  <c r="C35" i="34"/>
  <c r="C35" i="33"/>
  <c r="BD81" i="22"/>
  <c r="BD78" i="22"/>
  <c r="BD79" i="22"/>
  <c r="BD77" i="22"/>
  <c r="W15" i="22"/>
  <c r="Y55" i="4"/>
  <c r="W12" i="22"/>
  <c r="V101" i="22"/>
  <c r="X109" i="4"/>
  <c r="X86" i="4"/>
  <c r="X92" i="4"/>
  <c r="V9" i="24"/>
  <c r="V55" i="22"/>
  <c r="GN157" i="4"/>
  <c r="GO155" i="4"/>
  <c r="BT113" i="4"/>
  <c r="DD137" i="4"/>
  <c r="DD90" i="4"/>
  <c r="BU138" i="4"/>
  <c r="BU139" i="4"/>
  <c r="BU91" i="4"/>
  <c r="BR9" i="8"/>
  <c r="BV58" i="4"/>
  <c r="BU59" i="4"/>
  <c r="DE57" i="4"/>
  <c r="BE78" i="22"/>
  <c r="BE79" i="22"/>
  <c r="BE77" i="22"/>
  <c r="BE81" i="22"/>
  <c r="V99" i="22"/>
  <c r="X108" i="4"/>
  <c r="X114" i="4"/>
  <c r="V9" i="25"/>
  <c r="W59" i="22"/>
  <c r="Y88" i="4"/>
  <c r="W56" i="22"/>
  <c r="W13" i="22"/>
  <c r="Y54" i="4"/>
  <c r="GP155" i="4"/>
  <c r="GO157" i="4"/>
  <c r="DD112" i="4"/>
  <c r="BU113" i="4"/>
  <c r="DE137" i="4"/>
  <c r="DE90" i="4"/>
  <c r="DE112" i="4"/>
  <c r="BV138" i="4"/>
  <c r="BV139" i="4"/>
  <c r="BV91" i="4"/>
  <c r="BV113" i="4"/>
  <c r="BS9" i="8"/>
  <c r="BW58" i="4"/>
  <c r="BV59" i="4"/>
  <c r="DF57" i="4"/>
  <c r="BF78" i="22"/>
  <c r="BF79" i="22"/>
  <c r="BF77" i="22"/>
  <c r="BF81" i="22"/>
  <c r="Y53" i="4"/>
  <c r="Y59" i="4"/>
  <c r="W9" i="8"/>
  <c r="W11" i="22"/>
  <c r="Y87" i="4"/>
  <c r="W57" i="22"/>
  <c r="W103" i="22"/>
  <c r="Y110" i="4"/>
  <c r="W100" i="22"/>
  <c r="GQ155" i="4"/>
  <c r="GP157" i="4"/>
  <c r="BW138" i="4"/>
  <c r="BW139" i="4"/>
  <c r="BW91" i="4"/>
  <c r="BW113" i="4"/>
  <c r="DF137" i="4"/>
  <c r="DF90" i="4"/>
  <c r="DF112" i="4"/>
  <c r="BT9" i="8"/>
  <c r="BX58" i="4"/>
  <c r="BW59" i="4"/>
  <c r="DG57" i="4"/>
  <c r="BG78" i="22"/>
  <c r="BG79" i="22"/>
  <c r="BG77" i="22"/>
  <c r="BG81" i="22"/>
  <c r="Y109" i="4"/>
  <c r="W101" i="22"/>
  <c r="X15" i="22"/>
  <c r="Z55" i="4"/>
  <c r="X12" i="22"/>
  <c r="W55" i="22"/>
  <c r="Y86" i="4"/>
  <c r="Y92" i="4"/>
  <c r="W9" i="24"/>
  <c r="GR155" i="4"/>
  <c r="GQ157" i="4"/>
  <c r="BX138" i="4"/>
  <c r="BX139" i="4"/>
  <c r="BX91" i="4"/>
  <c r="BX113" i="4"/>
  <c r="DG137" i="4"/>
  <c r="DG90" i="4"/>
  <c r="DG112" i="4"/>
  <c r="BU9" i="8"/>
  <c r="BY58" i="4"/>
  <c r="BX59" i="4"/>
  <c r="DH57" i="4"/>
  <c r="BH81" i="22"/>
  <c r="BH78" i="22"/>
  <c r="BH79" i="22"/>
  <c r="BH77" i="22"/>
  <c r="X13" i="22"/>
  <c r="Z54" i="4"/>
  <c r="X56" i="22"/>
  <c r="X59" i="22"/>
  <c r="Z88" i="4"/>
  <c r="Y108" i="4"/>
  <c r="Y114" i="4"/>
  <c r="W9" i="25"/>
  <c r="W99" i="22"/>
  <c r="GS155" i="4"/>
  <c r="GR157" i="4"/>
  <c r="DH137" i="4"/>
  <c r="DH90" i="4"/>
  <c r="DH112" i="4"/>
  <c r="BY138" i="4"/>
  <c r="BY139" i="4"/>
  <c r="BY91" i="4"/>
  <c r="BV9" i="8"/>
  <c r="BZ58" i="4"/>
  <c r="BY59" i="4"/>
  <c r="DI57" i="4"/>
  <c r="DI90" i="4"/>
  <c r="DI112" i="4"/>
  <c r="BI81" i="22"/>
  <c r="BI78" i="22"/>
  <c r="BI79" i="22"/>
  <c r="BI77" i="22"/>
  <c r="X100" i="22"/>
  <c r="X103" i="22"/>
  <c r="Z110" i="4"/>
  <c r="Z87" i="4"/>
  <c r="X57" i="22"/>
  <c r="Z53" i="4"/>
  <c r="Z59" i="4"/>
  <c r="X9" i="8"/>
  <c r="X11" i="22"/>
  <c r="GT155" i="4"/>
  <c r="GS157" i="4"/>
  <c r="BY92" i="4"/>
  <c r="BW9" i="24"/>
  <c r="BY113" i="4"/>
  <c r="BZ138" i="4"/>
  <c r="BZ139" i="4"/>
  <c r="BZ91" i="4"/>
  <c r="DI137" i="4"/>
  <c r="BW9" i="8"/>
  <c r="CA58" i="4"/>
  <c r="BZ59" i="4"/>
  <c r="DJ57" i="4"/>
  <c r="BJ81" i="22"/>
  <c r="BJ78" i="22"/>
  <c r="BJ79" i="22"/>
  <c r="BJ77" i="22"/>
  <c r="Y15" i="22"/>
  <c r="AA55" i="4"/>
  <c r="Y12" i="22"/>
  <c r="X55" i="22"/>
  <c r="Z86" i="4"/>
  <c r="Z92" i="4"/>
  <c r="X9" i="24"/>
  <c r="Z109" i="4"/>
  <c r="X101" i="22"/>
  <c r="GT157" i="4"/>
  <c r="GU155" i="4"/>
  <c r="BZ92" i="4"/>
  <c r="BX9" i="24"/>
  <c r="BZ113" i="4"/>
  <c r="DJ137" i="4"/>
  <c r="DJ90" i="4"/>
  <c r="DJ112" i="4"/>
  <c r="CA138" i="4"/>
  <c r="CA139" i="4"/>
  <c r="CA91" i="4"/>
  <c r="BX9" i="8"/>
  <c r="CB58" i="4"/>
  <c r="CA59" i="4"/>
  <c r="DK57" i="4"/>
  <c r="BK78" i="22"/>
  <c r="BK79" i="22"/>
  <c r="BK77" i="22"/>
  <c r="BK81" i="22"/>
  <c r="Z108" i="4"/>
  <c r="Z114" i="4"/>
  <c r="X9" i="25"/>
  <c r="X99" i="22"/>
  <c r="AA54" i="4"/>
  <c r="Y13" i="22"/>
  <c r="Y56" i="22"/>
  <c r="Y59" i="22"/>
  <c r="AA88" i="4"/>
  <c r="GV155" i="4"/>
  <c r="GU157" i="4"/>
  <c r="E98" i="4"/>
  <c r="E97" i="4" s="1"/>
  <c r="F98" i="4"/>
  <c r="F97" i="4" s="1"/>
  <c r="CA92" i="4"/>
  <c r="BY9" i="24"/>
  <c r="CA113" i="4"/>
  <c r="DK137" i="4"/>
  <c r="DK90" i="4"/>
  <c r="DK112" i="4"/>
  <c r="CB138" i="4"/>
  <c r="CB139" i="4"/>
  <c r="CB91" i="4"/>
  <c r="BY9" i="8"/>
  <c r="CC58" i="4"/>
  <c r="CB59" i="4"/>
  <c r="DL57" i="4"/>
  <c r="BL81" i="22"/>
  <c r="BL78" i="22"/>
  <c r="BL79" i="22"/>
  <c r="BL77" i="22"/>
  <c r="AA87" i="4"/>
  <c r="Y57" i="22"/>
  <c r="Y103" i="22"/>
  <c r="AA110" i="4"/>
  <c r="Y100" i="22"/>
  <c r="Y11" i="22"/>
  <c r="AA53" i="4"/>
  <c r="AA59" i="4"/>
  <c r="GV157" i="4"/>
  <c r="GW155" i="4"/>
  <c r="CB92" i="4"/>
  <c r="BZ9" i="24"/>
  <c r="CB113" i="4"/>
  <c r="CC138" i="4"/>
  <c r="CC139" i="4"/>
  <c r="CC91" i="4"/>
  <c r="DL137" i="4"/>
  <c r="DL90" i="4"/>
  <c r="DL112" i="4"/>
  <c r="BZ9" i="8"/>
  <c r="CD58" i="4"/>
  <c r="CC59" i="4"/>
  <c r="DM57" i="4"/>
  <c r="BM78" i="22"/>
  <c r="BM79" i="22"/>
  <c r="BM77" i="22"/>
  <c r="BM81" i="22"/>
  <c r="Y9" i="8"/>
  <c r="Z15" i="22"/>
  <c r="AB55" i="4"/>
  <c r="Z12" i="22"/>
  <c r="AA109" i="4"/>
  <c r="Y101" i="22"/>
  <c r="AA86" i="4"/>
  <c r="AA92" i="4"/>
  <c r="Y9" i="24"/>
  <c r="Y55" i="22"/>
  <c r="GX155" i="4"/>
  <c r="GW157" i="4"/>
  <c r="CC92" i="4"/>
  <c r="CA9" i="24"/>
  <c r="CC113" i="4"/>
  <c r="DM137" i="4"/>
  <c r="DM90" i="4"/>
  <c r="DM112" i="4"/>
  <c r="CD138" i="4"/>
  <c r="CD139" i="4"/>
  <c r="CD91" i="4"/>
  <c r="CA9" i="8"/>
  <c r="CE58" i="4"/>
  <c r="CD59" i="4"/>
  <c r="DN57" i="4"/>
  <c r="BN78" i="22"/>
  <c r="BN79" i="22"/>
  <c r="BN77" i="22"/>
  <c r="BN81" i="22"/>
  <c r="Z56" i="22"/>
  <c r="Z59" i="22"/>
  <c r="AB88" i="4"/>
  <c r="AA108" i="4"/>
  <c r="AA114" i="4"/>
  <c r="Y9" i="25"/>
  <c r="Y99" i="22"/>
  <c r="Z13" i="22"/>
  <c r="AB54" i="4"/>
  <c r="GY155" i="4"/>
  <c r="GX157" i="4"/>
  <c r="CD92" i="4"/>
  <c r="CB9" i="24"/>
  <c r="CD113" i="4"/>
  <c r="DN137" i="4"/>
  <c r="DN90" i="4"/>
  <c r="CE138" i="4"/>
  <c r="CE139" i="4"/>
  <c r="CE91" i="4"/>
  <c r="CB9" i="8"/>
  <c r="J17" i="8" s="1"/>
  <c r="CF58" i="4"/>
  <c r="CE59" i="4"/>
  <c r="DO57" i="4"/>
  <c r="BO78" i="22"/>
  <c r="BO79" i="22"/>
  <c r="BO77" i="22"/>
  <c r="BO81" i="22"/>
  <c r="Z11" i="22"/>
  <c r="AB53" i="4"/>
  <c r="AB59" i="4"/>
  <c r="Z103" i="22"/>
  <c r="AB110" i="4"/>
  <c r="Z100" i="22"/>
  <c r="AB87" i="4"/>
  <c r="Z57" i="22"/>
  <c r="GZ155" i="4"/>
  <c r="GY157" i="4"/>
  <c r="DN112" i="4"/>
  <c r="CE92" i="4"/>
  <c r="CC9" i="24"/>
  <c r="CE113" i="4"/>
  <c r="DO137" i="4"/>
  <c r="DO90" i="4"/>
  <c r="DO112" i="4"/>
  <c r="CF138" i="4"/>
  <c r="CF139" i="4"/>
  <c r="CF91" i="4"/>
  <c r="CC9" i="8"/>
  <c r="CG58" i="4"/>
  <c r="CF59" i="4"/>
  <c r="DP57" i="4"/>
  <c r="BP78" i="22"/>
  <c r="BP79" i="22"/>
  <c r="BP77" i="22"/>
  <c r="BP81" i="22"/>
  <c r="Z55" i="22"/>
  <c r="AB86" i="4"/>
  <c r="AB92" i="4"/>
  <c r="Z9" i="24"/>
  <c r="Z101" i="22"/>
  <c r="AB109" i="4"/>
  <c r="Z9" i="8"/>
  <c r="AA15" i="22"/>
  <c r="AC55" i="4"/>
  <c r="AA12" i="22"/>
  <c r="HA155" i="4"/>
  <c r="GZ157" i="4"/>
  <c r="CF92" i="4"/>
  <c r="CD9" i="24"/>
  <c r="CF113" i="4"/>
  <c r="DP137" i="4"/>
  <c r="DP90" i="4"/>
  <c r="CG138" i="4"/>
  <c r="CG139" i="4"/>
  <c r="CG91" i="4"/>
  <c r="CD9" i="8"/>
  <c r="CH58" i="4"/>
  <c r="CG59" i="4"/>
  <c r="DQ57" i="4"/>
  <c r="BQ78" i="22"/>
  <c r="BQ79" i="22"/>
  <c r="BQ77" i="22"/>
  <c r="BQ81" i="22"/>
  <c r="AA13" i="22"/>
  <c r="AC54" i="4"/>
  <c r="Z99" i="22"/>
  <c r="AB108" i="4"/>
  <c r="AB114" i="4"/>
  <c r="Z9" i="25"/>
  <c r="AA59" i="22"/>
  <c r="AC88" i="4"/>
  <c r="AA56" i="22"/>
  <c r="HA157" i="4"/>
  <c r="HB155" i="4"/>
  <c r="DP112" i="4"/>
  <c r="CG92" i="4"/>
  <c r="CE9" i="24"/>
  <c r="CG113" i="4"/>
  <c r="DQ137" i="4"/>
  <c r="DQ90" i="4"/>
  <c r="DQ112" i="4"/>
  <c r="CH138" i="4"/>
  <c r="CH139" i="4"/>
  <c r="CH91" i="4"/>
  <c r="CE9" i="8"/>
  <c r="CI58" i="4"/>
  <c r="CH59" i="4"/>
  <c r="DR57" i="4"/>
  <c r="BR81" i="22"/>
  <c r="BR78" i="22"/>
  <c r="BR79" i="22"/>
  <c r="BR77" i="22"/>
  <c r="AA57" i="22"/>
  <c r="AC87" i="4"/>
  <c r="AA103" i="22"/>
  <c r="AC110" i="4"/>
  <c r="AA100" i="22"/>
  <c r="AC53" i="4"/>
  <c r="AC59" i="4"/>
  <c r="AA11" i="22"/>
  <c r="HB157" i="4"/>
  <c r="HC155" i="4"/>
  <c r="CH92" i="4"/>
  <c r="CF9" i="24"/>
  <c r="CH113" i="4"/>
  <c r="DR137" i="4"/>
  <c r="DR90" i="4"/>
  <c r="CI138" i="4"/>
  <c r="CI139" i="4"/>
  <c r="CI91" i="4"/>
  <c r="CF9" i="8"/>
  <c r="CJ58" i="4"/>
  <c r="CI59" i="4"/>
  <c r="DS57" i="4"/>
  <c r="F65" i="4"/>
  <c r="F67" i="4" s="1"/>
  <c r="J65" i="4"/>
  <c r="J67" i="4" s="1"/>
  <c r="BS78" i="22"/>
  <c r="BS79" i="22"/>
  <c r="BS77" i="22"/>
  <c r="BS81" i="22"/>
  <c r="AB12" i="22"/>
  <c r="AB15" i="22"/>
  <c r="AD55" i="4"/>
  <c r="AA9" i="8"/>
  <c r="AA101" i="22"/>
  <c r="AC109" i="4"/>
  <c r="AC86" i="4"/>
  <c r="AC92" i="4"/>
  <c r="AA9" i="24"/>
  <c r="AA55" i="22"/>
  <c r="HC157" i="4"/>
  <c r="HD155" i="4"/>
  <c r="DR112" i="4"/>
  <c r="CI92" i="4"/>
  <c r="CG9" i="24"/>
  <c r="CI113" i="4"/>
  <c r="CJ138" i="4"/>
  <c r="CJ139" i="4"/>
  <c r="CJ91" i="4"/>
  <c r="DS137" i="4"/>
  <c r="DS90" i="4"/>
  <c r="DS112" i="4"/>
  <c r="CG9" i="8"/>
  <c r="CK58" i="4"/>
  <c r="CJ59" i="4"/>
  <c r="DT57" i="4"/>
  <c r="DT90" i="4"/>
  <c r="DT112" i="4"/>
  <c r="H17" i="8"/>
  <c r="BT78" i="22"/>
  <c r="BT79" i="22"/>
  <c r="BT77" i="22"/>
  <c r="BT81" i="22"/>
  <c r="AB56" i="22"/>
  <c r="AB59" i="22"/>
  <c r="AD88" i="4"/>
  <c r="AC108" i="4"/>
  <c r="AC114" i="4"/>
  <c r="AA9" i="25"/>
  <c r="AA99" i="22"/>
  <c r="AB13" i="22"/>
  <c r="AD54" i="4"/>
  <c r="HD157" i="4"/>
  <c r="HE155" i="4"/>
  <c r="CJ92" i="4"/>
  <c r="CH9" i="24"/>
  <c r="CJ113" i="4"/>
  <c r="CK138" i="4"/>
  <c r="CK139" i="4"/>
  <c r="CK91" i="4"/>
  <c r="DT137" i="4"/>
  <c r="DU57" i="4"/>
  <c r="CH9" i="8"/>
  <c r="CL58" i="4"/>
  <c r="CK59" i="4"/>
  <c r="BU78" i="22"/>
  <c r="BU79" i="22"/>
  <c r="BU77" i="22"/>
  <c r="BU81" i="22"/>
  <c r="AB11" i="22"/>
  <c r="AD53" i="4"/>
  <c r="AD59" i="4"/>
  <c r="AB100" i="22"/>
  <c r="AB103" i="22"/>
  <c r="AD110" i="4"/>
  <c r="AB57" i="22"/>
  <c r="AD87" i="4"/>
  <c r="HF155" i="4"/>
  <c r="HE157" i="4"/>
  <c r="CK92" i="4"/>
  <c r="CI9" i="24"/>
  <c r="CK113" i="4"/>
  <c r="CK114" i="4"/>
  <c r="CI9" i="25"/>
  <c r="CL138" i="4"/>
  <c r="CL139" i="4"/>
  <c r="CL91" i="4"/>
  <c r="DU137" i="4"/>
  <c r="DU90" i="4"/>
  <c r="DU112" i="4"/>
  <c r="DV57" i="4"/>
  <c r="CM58" i="4"/>
  <c r="CL59" i="4"/>
  <c r="CI9" i="8"/>
  <c r="BV78" i="22"/>
  <c r="BV81" i="22"/>
  <c r="B86" i="22"/>
  <c r="AB101" i="22"/>
  <c r="AD109" i="4"/>
  <c r="AD86" i="4"/>
  <c r="AD92" i="4"/>
  <c r="AB9" i="24"/>
  <c r="AB55" i="22"/>
  <c r="AB9" i="8"/>
  <c r="AC15" i="22"/>
  <c r="AE55" i="4"/>
  <c r="AC12" i="22"/>
  <c r="HG155" i="4"/>
  <c r="HF157" i="4"/>
  <c r="CL92" i="4"/>
  <c r="CJ9" i="24"/>
  <c r="CL113" i="4"/>
  <c r="CL114" i="4"/>
  <c r="CJ9" i="25"/>
  <c r="CM138" i="4"/>
  <c r="CM139" i="4"/>
  <c r="CM91" i="4"/>
  <c r="DV137" i="4"/>
  <c r="DV90" i="4"/>
  <c r="DV112" i="4"/>
  <c r="DW57" i="4"/>
  <c r="CJ9" i="8"/>
  <c r="CN58" i="4"/>
  <c r="CM59" i="4"/>
  <c r="BV79" i="22"/>
  <c r="B85" i="22"/>
  <c r="AC13" i="22"/>
  <c r="AE54" i="4"/>
  <c r="AC56" i="22"/>
  <c r="AC59" i="22"/>
  <c r="AE88" i="4"/>
  <c r="AB99" i="22"/>
  <c r="AD108" i="4"/>
  <c r="AD114" i="4"/>
  <c r="AB9" i="25"/>
  <c r="HH155" i="4"/>
  <c r="HG157" i="4"/>
  <c r="CM92" i="4"/>
  <c r="CK9" i="24"/>
  <c r="CM113" i="4"/>
  <c r="CM114" i="4"/>
  <c r="CK9" i="25"/>
  <c r="CN138" i="4"/>
  <c r="CN139" i="4"/>
  <c r="CN91" i="4"/>
  <c r="DW137" i="4"/>
  <c r="DW90" i="4"/>
  <c r="DW112" i="4"/>
  <c r="DX57" i="4"/>
  <c r="CK9" i="8"/>
  <c r="CO58" i="4"/>
  <c r="CN59" i="4"/>
  <c r="BV77" i="22"/>
  <c r="B84" i="22"/>
  <c r="AC100" i="22"/>
  <c r="AC103" i="22"/>
  <c r="AE110" i="4"/>
  <c r="AE87" i="4"/>
  <c r="AC57" i="22"/>
  <c r="AE53" i="4"/>
  <c r="AE59" i="4"/>
  <c r="AC11" i="22"/>
  <c r="HI155" i="4"/>
  <c r="HH157" i="4"/>
  <c r="CN92" i="4"/>
  <c r="CL9" i="24"/>
  <c r="CN113" i="4"/>
  <c r="CN114" i="4"/>
  <c r="CL9" i="25"/>
  <c r="CO138" i="4"/>
  <c r="CO139" i="4"/>
  <c r="CO91" i="4"/>
  <c r="CO113" i="4"/>
  <c r="CO114" i="4"/>
  <c r="CM9" i="25"/>
  <c r="DX137" i="4"/>
  <c r="DX90" i="4"/>
  <c r="DX112" i="4"/>
  <c r="DY57" i="4"/>
  <c r="CL9" i="8"/>
  <c r="CP58" i="4"/>
  <c r="CO59" i="4"/>
  <c r="BW78" i="22"/>
  <c r="BW79" i="22"/>
  <c r="BW77" i="22"/>
  <c r="BW81" i="22"/>
  <c r="AC9" i="8"/>
  <c r="AD12" i="22"/>
  <c r="AD15" i="22"/>
  <c r="AF55" i="4"/>
  <c r="AE86" i="4"/>
  <c r="AE92" i="4"/>
  <c r="AC9" i="24"/>
  <c r="AC55" i="22"/>
  <c r="AE109" i="4"/>
  <c r="AC101" i="22"/>
  <c r="HI157" i="4"/>
  <c r="HJ155" i="4"/>
  <c r="DY137" i="4"/>
  <c r="DY90" i="4"/>
  <c r="CO92" i="4"/>
  <c r="CP138" i="4"/>
  <c r="CP139" i="4"/>
  <c r="CP91" i="4"/>
  <c r="DZ57" i="4"/>
  <c r="CM9" i="8"/>
  <c r="CQ58" i="4"/>
  <c r="CP59" i="4"/>
  <c r="BX78" i="22"/>
  <c r="BX79" i="22"/>
  <c r="BX77" i="22"/>
  <c r="BX81" i="22"/>
  <c r="AC99" i="22"/>
  <c r="AE108" i="4"/>
  <c r="AE114" i="4"/>
  <c r="AC9" i="25"/>
  <c r="AD59" i="22"/>
  <c r="AF88" i="4"/>
  <c r="AD56" i="22"/>
  <c r="AD13" i="22"/>
  <c r="AF54" i="4"/>
  <c r="HJ157" i="4"/>
  <c r="HK155" i="4"/>
  <c r="CP92" i="4"/>
  <c r="CN9" i="24"/>
  <c r="CP113" i="4"/>
  <c r="DY112" i="4"/>
  <c r="B90" i="4"/>
  <c r="CM9" i="24"/>
  <c r="CQ138" i="4"/>
  <c r="CQ139" i="4"/>
  <c r="CQ91" i="4"/>
  <c r="DZ137" i="4"/>
  <c r="DZ90" i="4"/>
  <c r="EA57" i="4"/>
  <c r="CR58" i="4"/>
  <c r="CQ59" i="4"/>
  <c r="CN9" i="8"/>
  <c r="BY78" i="22"/>
  <c r="BY79" i="22"/>
  <c r="BY77" i="22"/>
  <c r="BY81" i="22"/>
  <c r="AF53" i="4"/>
  <c r="AF59" i="4"/>
  <c r="AD11" i="22"/>
  <c r="AF87" i="4"/>
  <c r="AD57" i="22"/>
  <c r="AD103" i="22"/>
  <c r="AF110" i="4"/>
  <c r="AD100" i="22"/>
  <c r="HK157" i="4"/>
  <c r="HL155" i="4"/>
  <c r="CP114" i="4"/>
  <c r="CN9" i="25"/>
  <c r="DZ112" i="4"/>
  <c r="CQ92" i="4"/>
  <c r="CO9" i="24"/>
  <c r="CQ113" i="4"/>
  <c r="CQ114" i="4"/>
  <c r="CO9" i="25"/>
  <c r="CR138" i="4"/>
  <c r="CR139" i="4"/>
  <c r="CR91" i="4"/>
  <c r="EA137" i="4"/>
  <c r="EA90" i="4"/>
  <c r="EA112" i="4"/>
  <c r="EB57" i="4"/>
  <c r="CS58" i="4"/>
  <c r="CR59" i="4"/>
  <c r="CO9" i="8"/>
  <c r="BZ78" i="22"/>
  <c r="BZ79" i="22"/>
  <c r="BZ77" i="22"/>
  <c r="BZ81" i="22"/>
  <c r="AD101" i="22"/>
  <c r="AF109" i="4"/>
  <c r="AF86" i="4"/>
  <c r="AF92" i="4"/>
  <c r="AD9" i="24"/>
  <c r="AD55" i="22"/>
  <c r="AE15" i="22"/>
  <c r="AG55" i="4"/>
  <c r="AE12" i="22"/>
  <c r="AD9" i="8"/>
  <c r="HL157" i="4"/>
  <c r="HM155" i="4"/>
  <c r="CR92" i="4"/>
  <c r="CP9" i="24"/>
  <c r="CR113" i="4"/>
  <c r="CS138" i="4"/>
  <c r="CS139" i="4"/>
  <c r="CS91" i="4"/>
  <c r="EB137" i="4"/>
  <c r="EB90" i="4"/>
  <c r="EC57" i="4"/>
  <c r="CP9" i="8"/>
  <c r="CT58" i="4"/>
  <c r="CS59" i="4"/>
  <c r="CA78" i="22"/>
  <c r="CA79" i="22"/>
  <c r="CA77" i="22"/>
  <c r="CA81" i="22"/>
  <c r="AE56" i="22"/>
  <c r="AE59" i="22"/>
  <c r="AG88" i="4"/>
  <c r="AG54" i="4"/>
  <c r="AE13" i="22"/>
  <c r="AF108" i="4"/>
  <c r="AF114" i="4"/>
  <c r="AD9" i="25"/>
  <c r="AD99" i="22"/>
  <c r="HN155" i="4"/>
  <c r="HM157" i="4"/>
  <c r="CR114" i="4"/>
  <c r="CP9" i="25"/>
  <c r="EB112" i="4"/>
  <c r="CS92" i="4"/>
  <c r="CQ9" i="24"/>
  <c r="CS113" i="4"/>
  <c r="CS114" i="4"/>
  <c r="CQ9" i="25"/>
  <c r="EC137" i="4"/>
  <c r="EC90" i="4"/>
  <c r="EC112" i="4"/>
  <c r="CT138" i="4"/>
  <c r="CT139" i="4"/>
  <c r="CT91" i="4"/>
  <c r="ED57" i="4"/>
  <c r="CU58" i="4"/>
  <c r="CT59" i="4"/>
  <c r="CQ9" i="8"/>
  <c r="CB78" i="22"/>
  <c r="CB79" i="22"/>
  <c r="CB77" i="22"/>
  <c r="CB81" i="22"/>
  <c r="AE103" i="22"/>
  <c r="AG110" i="4"/>
  <c r="AE100" i="22"/>
  <c r="AG53" i="4"/>
  <c r="AG59" i="4"/>
  <c r="AE11" i="22"/>
  <c r="AG87" i="4"/>
  <c r="AE57" i="22"/>
  <c r="HO155" i="4"/>
  <c r="HN157" i="4"/>
  <c r="CT92" i="4"/>
  <c r="CR9" i="24"/>
  <c r="CT113" i="4"/>
  <c r="CU138" i="4"/>
  <c r="CU139" i="4"/>
  <c r="CU91" i="4"/>
  <c r="ED137" i="4"/>
  <c r="ED90" i="4"/>
  <c r="EE57" i="4"/>
  <c r="CV58" i="4"/>
  <c r="CU59" i="4"/>
  <c r="CR9" i="8"/>
  <c r="CC78" i="22"/>
  <c r="CC79" i="22"/>
  <c r="CC77" i="22"/>
  <c r="CC81" i="22"/>
  <c r="AE9" i="8"/>
  <c r="G65" i="4"/>
  <c r="G67" i="4" s="1"/>
  <c r="AG109" i="4"/>
  <c r="AE101" i="22"/>
  <c r="AG86" i="4"/>
  <c r="AG92" i="4"/>
  <c r="AE9" i="24"/>
  <c r="AE55" i="22"/>
  <c r="AF12" i="22"/>
  <c r="AF15" i="22"/>
  <c r="AH55" i="4"/>
  <c r="HP155" i="4"/>
  <c r="HO157" i="4"/>
  <c r="CT114" i="4"/>
  <c r="CR9" i="25"/>
  <c r="ED112" i="4"/>
  <c r="CU92" i="4"/>
  <c r="CS9" i="24"/>
  <c r="CU113" i="4"/>
  <c r="CU114" i="4"/>
  <c r="CS9" i="25"/>
  <c r="EE137" i="4"/>
  <c r="EE90" i="4"/>
  <c r="EE112" i="4"/>
  <c r="CV138" i="4"/>
  <c r="CV139" i="4"/>
  <c r="CV91" i="4"/>
  <c r="EF57" i="4"/>
  <c r="CW58" i="4"/>
  <c r="CV59" i="4"/>
  <c r="CS9" i="8"/>
  <c r="CD81" i="22"/>
  <c r="CD78" i="22"/>
  <c r="CD79" i="22"/>
  <c r="CD77" i="22"/>
  <c r="AF13" i="22"/>
  <c r="AH54" i="4"/>
  <c r="AG108" i="4"/>
  <c r="AG114" i="4"/>
  <c r="AE9" i="25"/>
  <c r="AE99" i="22"/>
  <c r="AF56" i="22"/>
  <c r="AF59" i="22"/>
  <c r="AH88" i="4"/>
  <c r="HQ155" i="4"/>
  <c r="HP157" i="4"/>
  <c r="CV92" i="4"/>
  <c r="CT9" i="24"/>
  <c r="CV113" i="4"/>
  <c r="CW138" i="4"/>
  <c r="CW139" i="4"/>
  <c r="CW91" i="4"/>
  <c r="EF137" i="4"/>
  <c r="EF90" i="4"/>
  <c r="EG57" i="4"/>
  <c r="CX58" i="4"/>
  <c r="CW59" i="4"/>
  <c r="CT9" i="8"/>
  <c r="CE81" i="22"/>
  <c r="CE78" i="22"/>
  <c r="CE79" i="22"/>
  <c r="CE77" i="22"/>
  <c r="AF100" i="22"/>
  <c r="AF103" i="22"/>
  <c r="AH110" i="4"/>
  <c r="AH87" i="4"/>
  <c r="AF57" i="22"/>
  <c r="AH53" i="4"/>
  <c r="AH59" i="4"/>
  <c r="AF11" i="22"/>
  <c r="HR155" i="4"/>
  <c r="HQ157" i="4"/>
  <c r="CV114" i="4"/>
  <c r="CT9" i="25"/>
  <c r="EF112" i="4"/>
  <c r="CW92" i="4"/>
  <c r="CU9" i="24"/>
  <c r="CW113" i="4"/>
  <c r="CW114" i="4"/>
  <c r="CU9" i="25"/>
  <c r="CX138" i="4"/>
  <c r="CX139" i="4"/>
  <c r="CX91" i="4"/>
  <c r="EG137" i="4"/>
  <c r="EG90" i="4"/>
  <c r="EG112" i="4"/>
  <c r="EH57" i="4"/>
  <c r="CU9" i="8"/>
  <c r="CY58" i="4"/>
  <c r="CX59" i="4"/>
  <c r="AF9" i="8"/>
  <c r="F17" i="8" s="1"/>
  <c r="CF81" i="22"/>
  <c r="CF78" i="22"/>
  <c r="CF79" i="22"/>
  <c r="CF77" i="22"/>
  <c r="AG15" i="22"/>
  <c r="AI55" i="4"/>
  <c r="AG12" i="22"/>
  <c r="AF55" i="22"/>
  <c r="AH86" i="4"/>
  <c r="AH92" i="4"/>
  <c r="AF9" i="24"/>
  <c r="AH109" i="4"/>
  <c r="AF101" i="22"/>
  <c r="HR157" i="4"/>
  <c r="HS155" i="4"/>
  <c r="CX92" i="4"/>
  <c r="CV9" i="24"/>
  <c r="CX113" i="4"/>
  <c r="CX114" i="4"/>
  <c r="CV9" i="25"/>
  <c r="CY138" i="4"/>
  <c r="CY139" i="4"/>
  <c r="CY91" i="4"/>
  <c r="EH137" i="4"/>
  <c r="EH90" i="4"/>
  <c r="EH112" i="4"/>
  <c r="EI57" i="4"/>
  <c r="CV9" i="8"/>
  <c r="CZ58" i="4"/>
  <c r="CY59" i="4"/>
  <c r="CG78" i="22"/>
  <c r="CG79" i="22"/>
  <c r="CG77" i="22"/>
  <c r="CG81" i="22"/>
  <c r="AG59" i="22"/>
  <c r="AI88" i="4"/>
  <c r="AG56" i="22"/>
  <c r="AF99" i="22"/>
  <c r="AH108" i="4"/>
  <c r="AH114" i="4"/>
  <c r="AF9" i="25"/>
  <c r="F17" i="25" s="1"/>
  <c r="AI54" i="4"/>
  <c r="AG13" i="22"/>
  <c r="HS157" i="4"/>
  <c r="HT155" i="4"/>
  <c r="CY92" i="4"/>
  <c r="CW9" i="24"/>
  <c r="CY113" i="4"/>
  <c r="CY114" i="4"/>
  <c r="CW9" i="25"/>
  <c r="CZ138" i="4"/>
  <c r="CZ139" i="4"/>
  <c r="CZ91" i="4"/>
  <c r="EI137" i="4"/>
  <c r="EI90" i="4"/>
  <c r="EI112" i="4"/>
  <c r="EJ57" i="4"/>
  <c r="CW9" i="8"/>
  <c r="DA58" i="4"/>
  <c r="CZ59" i="4"/>
  <c r="CH81" i="22"/>
  <c r="CH78" i="22"/>
  <c r="CH79" i="22"/>
  <c r="CH77" i="22"/>
  <c r="AI87" i="4"/>
  <c r="AG57" i="22"/>
  <c r="AG11" i="22"/>
  <c r="AI53" i="4"/>
  <c r="AI59" i="4"/>
  <c r="AG9" i="8"/>
  <c r="AG100" i="22"/>
  <c r="AG103" i="22"/>
  <c r="AI110" i="4"/>
  <c r="HT157" i="4"/>
  <c r="HU155" i="4"/>
  <c r="CZ92" i="4"/>
  <c r="CX9" i="24"/>
  <c r="CZ113" i="4"/>
  <c r="CZ114" i="4"/>
  <c r="CX9" i="25"/>
  <c r="DA138" i="4"/>
  <c r="DA139" i="4"/>
  <c r="DA91" i="4"/>
  <c r="EJ137" i="4"/>
  <c r="EJ90" i="4"/>
  <c r="EJ112" i="4"/>
  <c r="EK57" i="4"/>
  <c r="CX9" i="8"/>
  <c r="DB58" i="4"/>
  <c r="DA59" i="4"/>
  <c r="AG101" i="22"/>
  <c r="AI109" i="4"/>
  <c r="AH12" i="22"/>
  <c r="AH15" i="22"/>
  <c r="AJ55" i="4"/>
  <c r="AI86" i="4"/>
  <c r="AI92" i="4"/>
  <c r="AG9" i="24"/>
  <c r="AG55" i="22"/>
  <c r="HV155" i="4"/>
  <c r="HU157" i="4"/>
  <c r="DA92" i="4"/>
  <c r="CY9" i="24"/>
  <c r="DA113" i="4"/>
  <c r="DA114" i="4"/>
  <c r="CY9" i="25"/>
  <c r="DB138" i="4"/>
  <c r="DB139" i="4"/>
  <c r="DB91" i="4"/>
  <c r="EK137" i="4"/>
  <c r="EK90" i="4"/>
  <c r="EK112" i="4"/>
  <c r="EL57" i="4"/>
  <c r="CY9" i="8"/>
  <c r="DC58" i="4"/>
  <c r="DB59" i="4"/>
  <c r="AH59" i="22"/>
  <c r="AJ88" i="4"/>
  <c r="AH56" i="22"/>
  <c r="AH13" i="22"/>
  <c r="AJ54" i="4"/>
  <c r="AI108" i="4"/>
  <c r="AI114" i="4"/>
  <c r="AG9" i="25"/>
  <c r="AG99" i="22"/>
  <c r="HW155" i="4"/>
  <c r="HV157" i="4"/>
  <c r="DB92" i="4"/>
  <c r="CZ9" i="24"/>
  <c r="DB113" i="4"/>
  <c r="DC138" i="4"/>
  <c r="DC139" i="4"/>
  <c r="DC91" i="4"/>
  <c r="EL137" i="4"/>
  <c r="EL90" i="4"/>
  <c r="EM57" i="4"/>
  <c r="CZ9" i="8"/>
  <c r="L17" i="8" s="1"/>
  <c r="DD58" i="4"/>
  <c r="DC59" i="4"/>
  <c r="AH100" i="22"/>
  <c r="AH103" i="22"/>
  <c r="AJ110" i="4"/>
  <c r="AH11" i="22"/>
  <c r="AJ53" i="4"/>
  <c r="AJ59" i="4"/>
  <c r="AJ87" i="4"/>
  <c r="AH57" i="22"/>
  <c r="HX155" i="4"/>
  <c r="HW157" i="4"/>
  <c r="DB114" i="4"/>
  <c r="CZ9" i="25"/>
  <c r="EL112" i="4"/>
  <c r="DC92" i="4"/>
  <c r="DA9" i="24"/>
  <c r="DC113" i="4"/>
  <c r="DC114" i="4"/>
  <c r="DA9" i="25"/>
  <c r="DD138" i="4"/>
  <c r="DD139" i="4"/>
  <c r="DD91" i="4"/>
  <c r="EM137" i="4"/>
  <c r="EM90" i="4"/>
  <c r="EM112" i="4"/>
  <c r="EN57" i="4"/>
  <c r="DA9" i="8"/>
  <c r="DE58" i="4"/>
  <c r="DD59" i="4"/>
  <c r="AH9" i="8"/>
  <c r="AI15" i="22"/>
  <c r="AK55" i="4"/>
  <c r="AI12" i="22"/>
  <c r="AH55" i="22"/>
  <c r="AJ86" i="4"/>
  <c r="AJ92" i="4"/>
  <c r="AH9" i="24"/>
  <c r="AH101" i="22"/>
  <c r="AJ109" i="4"/>
  <c r="HY155" i="4"/>
  <c r="HX157" i="4"/>
  <c r="DD92" i="4"/>
  <c r="DB9" i="24"/>
  <c r="DD113" i="4"/>
  <c r="DD114" i="4"/>
  <c r="DB9" i="25"/>
  <c r="EN137" i="4"/>
  <c r="EN90" i="4"/>
  <c r="DE138" i="4"/>
  <c r="DE139" i="4"/>
  <c r="DE91" i="4"/>
  <c r="EO57" i="4"/>
  <c r="DB9" i="8"/>
  <c r="DF58" i="4"/>
  <c r="DE59" i="4"/>
  <c r="AJ108" i="4"/>
  <c r="AJ114" i="4"/>
  <c r="AH9" i="25"/>
  <c r="AH99" i="22"/>
  <c r="AI13" i="22"/>
  <c r="AK54" i="4"/>
  <c r="AI56" i="22"/>
  <c r="AI59" i="22"/>
  <c r="AK88" i="4"/>
  <c r="HY157" i="4"/>
  <c r="HZ155" i="4"/>
  <c r="EN112" i="4"/>
  <c r="DE92" i="4"/>
  <c r="DC9" i="24"/>
  <c r="DE113" i="4"/>
  <c r="DE114" i="4"/>
  <c r="DC9" i="25"/>
  <c r="DF138" i="4"/>
  <c r="DF139" i="4"/>
  <c r="DF91" i="4"/>
  <c r="EO137" i="4"/>
  <c r="EO90" i="4"/>
  <c r="EO112" i="4"/>
  <c r="EP57" i="4"/>
  <c r="DC9" i="8"/>
  <c r="DG58" i="4"/>
  <c r="DF59" i="4"/>
  <c r="AK87" i="4"/>
  <c r="AI57" i="22"/>
  <c r="AK53" i="4"/>
  <c r="AK59" i="4"/>
  <c r="AI9" i="8"/>
  <c r="AI11" i="22"/>
  <c r="AI100" i="22"/>
  <c r="AI103" i="22"/>
  <c r="AK110" i="4"/>
  <c r="HZ157" i="4"/>
  <c r="IA155" i="4"/>
  <c r="DF92" i="4"/>
  <c r="DD9" i="24"/>
  <c r="DF113" i="4"/>
  <c r="DF114" i="4"/>
  <c r="DD9" i="25"/>
  <c r="EP137" i="4"/>
  <c r="EP90" i="4"/>
  <c r="DG138" i="4"/>
  <c r="DG139" i="4"/>
  <c r="DG91" i="4"/>
  <c r="EQ57" i="4"/>
  <c r="DD9" i="8"/>
  <c r="DH58" i="4"/>
  <c r="DG59" i="4"/>
  <c r="AI101" i="22"/>
  <c r="AK109" i="4"/>
  <c r="AI55" i="22"/>
  <c r="AK86" i="4"/>
  <c r="AK92" i="4"/>
  <c r="AI9" i="24"/>
  <c r="AJ15" i="22"/>
  <c r="AL55" i="4"/>
  <c r="AJ12" i="22"/>
  <c r="IB155" i="4"/>
  <c r="IA157" i="4"/>
  <c r="EP112" i="4"/>
  <c r="DG92" i="4"/>
  <c r="DE9" i="24"/>
  <c r="DG113" i="4"/>
  <c r="DG114" i="4"/>
  <c r="DE9" i="25"/>
  <c r="DH138" i="4"/>
  <c r="DH139" i="4"/>
  <c r="DH91" i="4"/>
  <c r="EQ137" i="4"/>
  <c r="EQ90" i="4"/>
  <c r="EQ112" i="4"/>
  <c r="ER57" i="4"/>
  <c r="DE9" i="8"/>
  <c r="DI58" i="4"/>
  <c r="DI91" i="4"/>
  <c r="DH59" i="4"/>
  <c r="AJ13" i="22"/>
  <c r="AL54" i="4"/>
  <c r="AJ59" i="22"/>
  <c r="AL88" i="4"/>
  <c r="AJ56" i="22"/>
  <c r="AI99" i="22"/>
  <c r="AK108" i="4"/>
  <c r="AK114" i="4"/>
  <c r="AI9" i="25"/>
  <c r="IB157" i="4"/>
  <c r="IC155" i="4"/>
  <c r="DH92" i="4"/>
  <c r="DH113" i="4"/>
  <c r="DH114" i="4"/>
  <c r="DF9" i="25"/>
  <c r="DI92" i="4"/>
  <c r="DG9" i="24"/>
  <c r="DI113" i="4"/>
  <c r="DI114" i="4"/>
  <c r="DG9" i="25"/>
  <c r="ER137" i="4"/>
  <c r="ER90" i="4"/>
  <c r="DI138" i="4"/>
  <c r="DI139" i="4"/>
  <c r="DI59" i="4"/>
  <c r="ES57" i="4"/>
  <c r="DF9" i="8"/>
  <c r="DJ58" i="4"/>
  <c r="AJ103" i="22"/>
  <c r="AL110" i="4"/>
  <c r="AJ100" i="22"/>
  <c r="AL87" i="4"/>
  <c r="AJ57" i="22"/>
  <c r="AL53" i="4"/>
  <c r="AL59" i="4"/>
  <c r="AJ11" i="22"/>
  <c r="ID155" i="4"/>
  <c r="IC157" i="4"/>
  <c r="ER112" i="4"/>
  <c r="DF9" i="24"/>
  <c r="DJ138" i="4"/>
  <c r="DJ139" i="4"/>
  <c r="DJ91" i="4"/>
  <c r="ES137" i="4"/>
  <c r="ES90" i="4"/>
  <c r="ES112" i="4"/>
  <c r="ET57" i="4"/>
  <c r="DG9" i="8"/>
  <c r="DK58" i="4"/>
  <c r="DJ59" i="4"/>
  <c r="AJ9" i="8"/>
  <c r="AL109" i="4"/>
  <c r="AJ101" i="22"/>
  <c r="AK12" i="22"/>
  <c r="AK15" i="22"/>
  <c r="AM55" i="4"/>
  <c r="AL86" i="4"/>
  <c r="AL92" i="4"/>
  <c r="AJ9" i="24"/>
  <c r="AJ55" i="22"/>
  <c r="ID157" i="4"/>
  <c r="IE155" i="4"/>
  <c r="DJ92" i="4"/>
  <c r="DJ113" i="4"/>
  <c r="DJ114" i="4"/>
  <c r="DH9" i="25"/>
  <c r="DK138" i="4"/>
  <c r="DK139" i="4"/>
  <c r="DK91" i="4"/>
  <c r="ET137" i="4"/>
  <c r="ET90" i="4"/>
  <c r="ET112" i="4"/>
  <c r="EU57" i="4"/>
  <c r="DL58" i="4"/>
  <c r="DK59" i="4"/>
  <c r="DH9" i="8"/>
  <c r="AK56" i="22"/>
  <c r="AK59" i="22"/>
  <c r="AM88" i="4"/>
  <c r="AJ99" i="22"/>
  <c r="AL108" i="4"/>
  <c r="AL114" i="4"/>
  <c r="AJ9" i="25"/>
  <c r="AM54" i="4"/>
  <c r="AK13" i="22"/>
  <c r="IF155" i="4"/>
  <c r="IE157" i="4"/>
  <c r="DH9" i="24"/>
  <c r="DK92" i="4"/>
  <c r="DI9" i="24"/>
  <c r="DK113" i="4"/>
  <c r="DK114" i="4"/>
  <c r="DI9" i="25"/>
  <c r="DL138" i="4"/>
  <c r="DL139" i="4"/>
  <c r="DL91" i="4"/>
  <c r="EU137" i="4"/>
  <c r="EU90" i="4"/>
  <c r="EU112" i="4"/>
  <c r="EV57" i="4"/>
  <c r="DI9" i="8"/>
  <c r="DM58" i="4"/>
  <c r="DL59" i="4"/>
  <c r="AK100" i="22"/>
  <c r="AK103" i="22"/>
  <c r="AM110" i="4"/>
  <c r="AK11" i="22"/>
  <c r="AM53" i="4"/>
  <c r="AM59" i="4"/>
  <c r="AK57" i="22"/>
  <c r="AM87" i="4"/>
  <c r="IF157" i="4"/>
  <c r="IG155" i="4"/>
  <c r="DL92" i="4"/>
  <c r="DJ9" i="24"/>
  <c r="DL113" i="4"/>
  <c r="DL114" i="4"/>
  <c r="DJ9" i="25"/>
  <c r="DM138" i="4"/>
  <c r="DM139" i="4"/>
  <c r="DM91" i="4"/>
  <c r="EV137" i="4"/>
  <c r="EV90" i="4"/>
  <c r="EV112" i="4"/>
  <c r="EW57" i="4"/>
  <c r="EW90" i="4"/>
  <c r="EW112" i="4"/>
  <c r="DJ9" i="8"/>
  <c r="DN58" i="4"/>
  <c r="DM59" i="4"/>
  <c r="AK9" i="8"/>
  <c r="AM86" i="4"/>
  <c r="AM92" i="4"/>
  <c r="AK9" i="24"/>
  <c r="AK55" i="22"/>
  <c r="AL12" i="22"/>
  <c r="AL15" i="22"/>
  <c r="AN55" i="4"/>
  <c r="AM109" i="4"/>
  <c r="AK101" i="22"/>
  <c r="IG157" i="4"/>
  <c r="IH155" i="4"/>
  <c r="DM92" i="4"/>
  <c r="DK9" i="24"/>
  <c r="DM113" i="4"/>
  <c r="DM114" i="4"/>
  <c r="DK9" i="25"/>
  <c r="DN138" i="4"/>
  <c r="DN139" i="4"/>
  <c r="DN91" i="4"/>
  <c r="EW137" i="4"/>
  <c r="EX57" i="4"/>
  <c r="DK9" i="8"/>
  <c r="DO58" i="4"/>
  <c r="DN59" i="4"/>
  <c r="AK99" i="22"/>
  <c r="AM108" i="4"/>
  <c r="AM114" i="4"/>
  <c r="AK9" i="25"/>
  <c r="AN54" i="4"/>
  <c r="AL13" i="22"/>
  <c r="AL56" i="22"/>
  <c r="AL59" i="22"/>
  <c r="AN88" i="4"/>
  <c r="II155" i="4"/>
  <c r="IH157" i="4"/>
  <c r="DN92" i="4"/>
  <c r="DL9" i="24"/>
  <c r="M17" i="24" s="1"/>
  <c r="DN113" i="4"/>
  <c r="EX137" i="4"/>
  <c r="EX90" i="4"/>
  <c r="DO138" i="4"/>
  <c r="DO139" i="4"/>
  <c r="DO91" i="4"/>
  <c r="EY57" i="4"/>
  <c r="DL9" i="8"/>
  <c r="DP58" i="4"/>
  <c r="DO59" i="4"/>
  <c r="AN87" i="4"/>
  <c r="AL57" i="22"/>
  <c r="AL11" i="22"/>
  <c r="AN53" i="4"/>
  <c r="AN59" i="4"/>
  <c r="AL100" i="22"/>
  <c r="AL103" i="22"/>
  <c r="AN110" i="4"/>
  <c r="IJ155" i="4"/>
  <c r="II157" i="4"/>
  <c r="DN114" i="4"/>
  <c r="DL9" i="25"/>
  <c r="EX112" i="4"/>
  <c r="DO92" i="4"/>
  <c r="DM9" i="24"/>
  <c r="DO113" i="4"/>
  <c r="DO114" i="4"/>
  <c r="DM9" i="25"/>
  <c r="EY137" i="4"/>
  <c r="EY90" i="4"/>
  <c r="EY112" i="4"/>
  <c r="DP138" i="4"/>
  <c r="DP139" i="4"/>
  <c r="DP91" i="4"/>
  <c r="EZ57" i="4"/>
  <c r="DM9" i="8"/>
  <c r="DQ58" i="4"/>
  <c r="DP59" i="4"/>
  <c r="AL101" i="22"/>
  <c r="AN109" i="4"/>
  <c r="AL9" i="8"/>
  <c r="AM15" i="22"/>
  <c r="AO55" i="4"/>
  <c r="AM12" i="22"/>
  <c r="AN86" i="4"/>
  <c r="AN92" i="4"/>
  <c r="AL9" i="24"/>
  <c r="AL55" i="22"/>
  <c r="IJ157" i="4"/>
  <c r="IK155" i="4"/>
  <c r="DP92" i="4"/>
  <c r="DN9" i="24"/>
  <c r="DP113" i="4"/>
  <c r="DP114" i="4"/>
  <c r="DN9" i="25"/>
  <c r="DQ138" i="4"/>
  <c r="DQ139" i="4"/>
  <c r="DQ91" i="4"/>
  <c r="EZ137" i="4"/>
  <c r="EZ90" i="4"/>
  <c r="FA57" i="4"/>
  <c r="DN9" i="8"/>
  <c r="DR58" i="4"/>
  <c r="DQ59" i="4"/>
  <c r="AM59" i="22"/>
  <c r="AO88" i="4"/>
  <c r="AM56" i="22"/>
  <c r="AO54" i="4"/>
  <c r="AM13" i="22"/>
  <c r="AN108" i="4"/>
  <c r="AN114" i="4"/>
  <c r="AL9" i="25"/>
  <c r="AL99" i="22"/>
  <c r="IL155" i="4"/>
  <c r="IK157" i="4"/>
  <c r="EZ112" i="4"/>
  <c r="DQ92" i="4"/>
  <c r="DO9" i="24"/>
  <c r="DQ113" i="4"/>
  <c r="DQ114" i="4"/>
  <c r="DO9" i="25"/>
  <c r="FA137" i="4"/>
  <c r="FA90" i="4"/>
  <c r="FA112" i="4"/>
  <c r="DR138" i="4"/>
  <c r="DR139" i="4"/>
  <c r="DR91" i="4"/>
  <c r="FB57" i="4"/>
  <c r="DO9" i="8"/>
  <c r="DS58" i="4"/>
  <c r="DR59" i="4"/>
  <c r="AM100" i="22"/>
  <c r="AM103" i="22"/>
  <c r="AO110" i="4"/>
  <c r="AM11" i="22"/>
  <c r="AO53" i="4"/>
  <c r="AO59" i="4"/>
  <c r="AM57" i="22"/>
  <c r="AO87" i="4"/>
  <c r="IM155" i="4"/>
  <c r="IL157" i="4"/>
  <c r="DR92" i="4"/>
  <c r="DP9" i="24"/>
  <c r="DR113" i="4"/>
  <c r="DR114" i="4"/>
  <c r="DP9" i="25"/>
  <c r="DS138" i="4"/>
  <c r="DS139" i="4"/>
  <c r="DS91" i="4"/>
  <c r="FB137" i="4"/>
  <c r="FB90" i="4"/>
  <c r="FC57" i="4"/>
  <c r="DP9" i="8"/>
  <c r="DT58" i="4"/>
  <c r="DT91" i="4"/>
  <c r="DS59" i="4"/>
  <c r="AM9" i="8"/>
  <c r="AN15" i="22"/>
  <c r="AP55" i="4"/>
  <c r="AN12" i="22"/>
  <c r="AO86" i="4"/>
  <c r="AO92" i="4"/>
  <c r="AM9" i="24"/>
  <c r="AM55" i="22"/>
  <c r="AM101" i="22"/>
  <c r="AO109" i="4"/>
  <c r="IN155" i="4"/>
  <c r="IM157" i="4"/>
  <c r="FB112" i="4"/>
  <c r="DS92" i="4"/>
  <c r="DQ9" i="24"/>
  <c r="DS113" i="4"/>
  <c r="DS114" i="4"/>
  <c r="DQ9" i="25"/>
  <c r="DT92" i="4"/>
  <c r="DR9" i="24"/>
  <c r="DT113" i="4"/>
  <c r="DT114" i="4"/>
  <c r="DR9" i="25"/>
  <c r="FC137" i="4"/>
  <c r="FC90" i="4"/>
  <c r="FC112" i="4"/>
  <c r="DT138" i="4"/>
  <c r="DT139" i="4"/>
  <c r="DU58" i="4"/>
  <c r="DT59" i="4"/>
  <c r="FD57" i="4"/>
  <c r="F149" i="4"/>
  <c r="G149" i="4"/>
  <c r="H149" i="4"/>
  <c r="I149" i="4"/>
  <c r="J149" i="4"/>
  <c r="K149" i="4"/>
  <c r="L149" i="4"/>
  <c r="M149" i="4"/>
  <c r="N149" i="4"/>
  <c r="DQ9" i="8"/>
  <c r="AO108" i="4"/>
  <c r="AO114" i="4"/>
  <c r="AM9" i="25"/>
  <c r="AM99" i="22"/>
  <c r="AN56" i="22"/>
  <c r="AN59" i="22"/>
  <c r="AP88" i="4"/>
  <c r="AP54" i="4"/>
  <c r="AN13" i="22"/>
  <c r="IO155" i="4"/>
  <c r="IO157" i="4"/>
  <c r="IN157" i="4"/>
  <c r="FD137" i="4"/>
  <c r="FD90" i="4"/>
  <c r="FD112" i="4"/>
  <c r="DU138" i="4"/>
  <c r="DU139" i="4"/>
  <c r="DU91" i="4"/>
  <c r="DR9" i="8"/>
  <c r="DV58" i="4"/>
  <c r="DU59" i="4"/>
  <c r="FE57" i="4"/>
  <c r="F145" i="4"/>
  <c r="F151" i="4"/>
  <c r="G145" i="4"/>
  <c r="G151" i="4"/>
  <c r="H145" i="4"/>
  <c r="H151" i="4"/>
  <c r="I145" i="4"/>
  <c r="I151" i="4"/>
  <c r="J145" i="4"/>
  <c r="J151" i="4"/>
  <c r="K145" i="4"/>
  <c r="K151" i="4"/>
  <c r="L145" i="4"/>
  <c r="L151" i="4"/>
  <c r="M145" i="4"/>
  <c r="M151" i="4"/>
  <c r="N145" i="4"/>
  <c r="N151" i="4"/>
  <c r="E65" i="4"/>
  <c r="K65" i="4"/>
  <c r="K67" i="4" s="1"/>
  <c r="L65" i="4"/>
  <c r="L67" i="4" s="1"/>
  <c r="M65" i="4"/>
  <c r="M67" i="4" s="1"/>
  <c r="N65" i="4"/>
  <c r="N67" i="4" s="1"/>
  <c r="AN11" i="22"/>
  <c r="AP53" i="4"/>
  <c r="AP59" i="4"/>
  <c r="AP87" i="4"/>
  <c r="AN57" i="22"/>
  <c r="AN100" i="22"/>
  <c r="AN103" i="22"/>
  <c r="AP110" i="4"/>
  <c r="G161" i="4"/>
  <c r="H161" i="4"/>
  <c r="I161" i="4"/>
  <c r="P161" i="4"/>
  <c r="Q161" i="4"/>
  <c r="R161" i="4"/>
  <c r="S161" i="4"/>
  <c r="T161" i="4"/>
  <c r="U161" i="4"/>
  <c r="V161" i="4"/>
  <c r="W161" i="4"/>
  <c r="X161" i="4"/>
  <c r="Y161" i="4"/>
  <c r="DU92" i="4"/>
  <c r="DS9" i="24"/>
  <c r="DU113" i="4"/>
  <c r="DU114" i="4"/>
  <c r="DS9" i="25"/>
  <c r="FE137" i="4"/>
  <c r="FE90" i="4"/>
  <c r="FE112" i="4"/>
  <c r="DV138" i="4"/>
  <c r="DV139" i="4"/>
  <c r="DV91" i="4"/>
  <c r="FF57" i="4"/>
  <c r="DS9" i="8"/>
  <c r="DW58" i="4"/>
  <c r="DV59" i="4"/>
  <c r="K17" i="8"/>
  <c r="AN101" i="22"/>
  <c r="AP109" i="4"/>
  <c r="AN55" i="22"/>
  <c r="AP86" i="4"/>
  <c r="AP92" i="4"/>
  <c r="AN9" i="24"/>
  <c r="AN9" i="8"/>
  <c r="AO15" i="22"/>
  <c r="AQ55" i="4"/>
  <c r="AO12" i="22"/>
  <c r="DV92" i="4"/>
  <c r="DT9" i="24"/>
  <c r="DV113" i="4"/>
  <c r="DV114" i="4"/>
  <c r="DT9" i="25"/>
  <c r="FF137" i="4"/>
  <c r="FF90" i="4"/>
  <c r="FF112" i="4"/>
  <c r="DW138" i="4"/>
  <c r="DW139" i="4"/>
  <c r="DW91" i="4"/>
  <c r="DX58" i="4"/>
  <c r="DW59" i="4"/>
  <c r="DT9" i="8"/>
  <c r="FG57" i="4"/>
  <c r="AO56" i="22"/>
  <c r="AO59" i="22"/>
  <c r="AQ88" i="4"/>
  <c r="AQ54" i="4"/>
  <c r="AO13" i="22"/>
  <c r="AN99" i="22"/>
  <c r="AP108" i="4"/>
  <c r="AP114" i="4"/>
  <c r="AN9" i="25"/>
  <c r="DW92" i="4"/>
  <c r="DU9" i="24"/>
  <c r="DW113" i="4"/>
  <c r="DW114" i="4"/>
  <c r="DU9" i="25"/>
  <c r="FG137" i="4"/>
  <c r="FG90" i="4"/>
  <c r="FG112" i="4"/>
  <c r="DX138" i="4"/>
  <c r="DX139" i="4"/>
  <c r="DX91" i="4"/>
  <c r="DU9" i="8"/>
  <c r="FH57" i="4"/>
  <c r="DY58" i="4"/>
  <c r="DX59" i="4"/>
  <c r="AO11" i="22"/>
  <c r="AQ53" i="4"/>
  <c r="AQ59" i="4"/>
  <c r="AO100" i="22"/>
  <c r="AO103" i="22"/>
  <c r="AQ110" i="4"/>
  <c r="AQ87" i="4"/>
  <c r="AO57" i="22"/>
  <c r="DX92" i="4"/>
  <c r="DV9" i="24"/>
  <c r="DX113" i="4"/>
  <c r="DX114" i="4"/>
  <c r="DV9" i="25"/>
  <c r="DY138" i="4"/>
  <c r="DY139" i="4"/>
  <c r="DY91" i="4"/>
  <c r="FH137" i="4"/>
  <c r="FH90" i="4"/>
  <c r="FH112" i="4"/>
  <c r="DV9" i="8"/>
  <c r="DZ58" i="4"/>
  <c r="DY59" i="4"/>
  <c r="FI57" i="4"/>
  <c r="FI90" i="4"/>
  <c r="FI112" i="4"/>
  <c r="AQ86" i="4"/>
  <c r="AQ92" i="4"/>
  <c r="AO9" i="24"/>
  <c r="AO55" i="22"/>
  <c r="AO9" i="8"/>
  <c r="AQ109" i="4"/>
  <c r="AO101" i="22"/>
  <c r="AP15" i="22"/>
  <c r="AR55" i="4"/>
  <c r="AP12" i="22"/>
  <c r="DY92" i="4"/>
  <c r="DY113" i="4"/>
  <c r="DY114" i="4"/>
  <c r="DW9" i="25"/>
  <c r="B91" i="4"/>
  <c r="DZ138" i="4"/>
  <c r="DZ139" i="4"/>
  <c r="DZ91" i="4"/>
  <c r="O149" i="4"/>
  <c r="FI137" i="4"/>
  <c r="FJ57" i="4"/>
  <c r="O65" i="4"/>
  <c r="O67" i="4" s="1"/>
  <c r="DW9" i="8"/>
  <c r="EA58" i="4"/>
  <c r="DZ59" i="4"/>
  <c r="AP13" i="22"/>
  <c r="AR54" i="4"/>
  <c r="AP59" i="22"/>
  <c r="AR88" i="4"/>
  <c r="AP56" i="22"/>
  <c r="AO99" i="22"/>
  <c r="AQ108" i="4"/>
  <c r="AQ114" i="4"/>
  <c r="AO9" i="25"/>
  <c r="DW9" i="24"/>
  <c r="DZ92" i="4"/>
  <c r="DX9" i="24"/>
  <c r="N17" i="24" s="1"/>
  <c r="DZ113" i="4"/>
  <c r="EA138" i="4"/>
  <c r="EA139" i="4"/>
  <c r="EA91" i="4"/>
  <c r="FJ137" i="4"/>
  <c r="FJ90" i="4"/>
  <c r="DX9" i="8"/>
  <c r="EB58" i="4"/>
  <c r="EA59" i="4"/>
  <c r="FK57" i="4"/>
  <c r="AP103" i="22"/>
  <c r="AR110" i="4"/>
  <c r="AP100" i="22"/>
  <c r="AR87" i="4"/>
  <c r="AP57" i="22"/>
  <c r="AR53" i="4"/>
  <c r="AR59" i="4"/>
  <c r="AP11" i="22"/>
  <c r="DZ114" i="4"/>
  <c r="DX9" i="25"/>
  <c r="FJ112" i="4"/>
  <c r="EA92" i="4"/>
  <c r="DY9" i="24"/>
  <c r="EA113" i="4"/>
  <c r="EA114" i="4"/>
  <c r="DY9" i="25"/>
  <c r="FK137" i="4"/>
  <c r="FK90" i="4"/>
  <c r="FK112" i="4"/>
  <c r="EB138" i="4"/>
  <c r="EB139" i="4"/>
  <c r="EB91" i="4"/>
  <c r="FL57" i="4"/>
  <c r="DY9" i="8"/>
  <c r="EC58" i="4"/>
  <c r="EB59" i="4"/>
  <c r="AP9" i="8"/>
  <c r="AP101" i="22"/>
  <c r="AR109" i="4"/>
  <c r="AQ12" i="22"/>
  <c r="AQ15" i="22"/>
  <c r="AS55" i="4"/>
  <c r="AP55" i="22"/>
  <c r="AR86" i="4"/>
  <c r="AR92" i="4"/>
  <c r="AP9" i="24"/>
  <c r="EB92" i="4"/>
  <c r="DZ9" i="24"/>
  <c r="EB113" i="4"/>
  <c r="EB114" i="4"/>
  <c r="DZ9" i="25"/>
  <c r="EC138" i="4"/>
  <c r="EC139" i="4"/>
  <c r="EC91" i="4"/>
  <c r="FL137" i="4"/>
  <c r="FL90" i="4"/>
  <c r="DZ9" i="8"/>
  <c r="ED58" i="4"/>
  <c r="EC59" i="4"/>
  <c r="FM57" i="4"/>
  <c r="AP99" i="22"/>
  <c r="AR108" i="4"/>
  <c r="AR114" i="4"/>
  <c r="AP9" i="25"/>
  <c r="AQ56" i="22"/>
  <c r="AQ59" i="22"/>
  <c r="AS88" i="4"/>
  <c r="AQ13" i="22"/>
  <c r="AS54" i="4"/>
  <c r="FL112" i="4"/>
  <c r="EC92" i="4"/>
  <c r="EA9" i="24"/>
  <c r="EC113" i="4"/>
  <c r="EC114" i="4"/>
  <c r="EA9" i="25"/>
  <c r="FM137" i="4"/>
  <c r="FM90" i="4"/>
  <c r="FM112" i="4"/>
  <c r="ED138" i="4"/>
  <c r="ED139" i="4"/>
  <c r="ED91" i="4"/>
  <c r="FN57" i="4"/>
  <c r="EA9" i="8"/>
  <c r="EE58" i="4"/>
  <c r="ED59" i="4"/>
  <c r="AQ57" i="22"/>
  <c r="AS87" i="4"/>
  <c r="AS53" i="4"/>
  <c r="AS59" i="4"/>
  <c r="AQ11" i="22"/>
  <c r="AQ100" i="22"/>
  <c r="AQ103" i="22"/>
  <c r="AS110" i="4"/>
  <c r="ED92" i="4"/>
  <c r="EB9" i="24"/>
  <c r="ED113" i="4"/>
  <c r="ED114" i="4"/>
  <c r="EB9" i="25"/>
  <c r="EE138" i="4"/>
  <c r="EE139" i="4"/>
  <c r="EE91" i="4"/>
  <c r="FN137" i="4"/>
  <c r="FN90" i="4"/>
  <c r="EB9" i="8"/>
  <c r="EF58" i="4"/>
  <c r="EE59" i="4"/>
  <c r="FO57" i="4"/>
  <c r="FP57" i="4"/>
  <c r="AR15" i="22"/>
  <c r="AT55" i="4"/>
  <c r="AR12" i="22"/>
  <c r="AQ101" i="22"/>
  <c r="AS109" i="4"/>
  <c r="AQ9" i="8"/>
  <c r="AQ55" i="22"/>
  <c r="AS86" i="4"/>
  <c r="AS92" i="4"/>
  <c r="AQ9" i="24"/>
  <c r="FN112" i="4"/>
  <c r="I78" i="4"/>
  <c r="J78" i="4"/>
  <c r="K78" i="4"/>
  <c r="L78" i="4"/>
  <c r="M78" i="4"/>
  <c r="N78" i="4"/>
  <c r="O78" i="4"/>
  <c r="P78" i="4"/>
  <c r="Q78" i="4"/>
  <c r="R78" i="4"/>
  <c r="S78" i="4"/>
  <c r="EE92" i="4"/>
  <c r="EC9" i="24"/>
  <c r="EE113" i="4"/>
  <c r="EE114" i="4"/>
  <c r="EC9" i="25"/>
  <c r="FO137" i="4"/>
  <c r="FO90" i="4"/>
  <c r="FO112" i="4"/>
  <c r="EF138" i="4"/>
  <c r="EF139" i="4"/>
  <c r="EF91" i="4"/>
  <c r="FP90" i="4"/>
  <c r="EC9" i="8"/>
  <c r="EG58" i="4"/>
  <c r="EF59" i="4"/>
  <c r="AR59" i="22"/>
  <c r="AT88" i="4"/>
  <c r="AR56" i="22"/>
  <c r="AQ99" i="22"/>
  <c r="AS108" i="4"/>
  <c r="AS114" i="4"/>
  <c r="AQ9" i="25"/>
  <c r="AT54" i="4"/>
  <c r="AR13" i="22"/>
  <c r="FP112" i="4"/>
  <c r="FQ112" i="4"/>
  <c r="FR112" i="4"/>
  <c r="FS112" i="4"/>
  <c r="FT112" i="4"/>
  <c r="FU112" i="4"/>
  <c r="FV112" i="4"/>
  <c r="J100" i="4"/>
  <c r="K100" i="4"/>
  <c r="L100" i="4"/>
  <c r="M100" i="4"/>
  <c r="N100" i="4"/>
  <c r="O100" i="4"/>
  <c r="P100" i="4"/>
  <c r="Q100" i="4"/>
  <c r="R100" i="4"/>
  <c r="S100" i="4"/>
  <c r="EF92" i="4"/>
  <c r="ED9" i="24"/>
  <c r="EF113" i="4"/>
  <c r="EF114" i="4"/>
  <c r="ED9" i="25"/>
  <c r="EG138" i="4"/>
  <c r="EG139" i="4"/>
  <c r="EG91" i="4"/>
  <c r="FP137" i="4"/>
  <c r="S148" i="4"/>
  <c r="I148" i="4"/>
  <c r="J148" i="4"/>
  <c r="K148" i="4"/>
  <c r="L148" i="4"/>
  <c r="M148" i="4"/>
  <c r="N148" i="4"/>
  <c r="O148" i="4"/>
  <c r="P148" i="4"/>
  <c r="Q148" i="4"/>
  <c r="R148" i="4"/>
  <c r="ED9" i="8"/>
  <c r="EH58" i="4"/>
  <c r="EG59" i="4"/>
  <c r="AR11" i="22"/>
  <c r="AT53" i="4"/>
  <c r="AT59" i="4"/>
  <c r="AR100" i="22"/>
  <c r="AR103" i="22"/>
  <c r="AT110" i="4"/>
  <c r="AR57" i="22"/>
  <c r="AT87" i="4"/>
  <c r="FW112" i="4"/>
  <c r="FX112" i="4"/>
  <c r="FY112" i="4"/>
  <c r="FZ112" i="4"/>
  <c r="GA112" i="4"/>
  <c r="GB112" i="4"/>
  <c r="GC112" i="4"/>
  <c r="GD112" i="4"/>
  <c r="GE112" i="4"/>
  <c r="GF112" i="4"/>
  <c r="GG112" i="4"/>
  <c r="EG92" i="4"/>
  <c r="EE9" i="24"/>
  <c r="EG113" i="4"/>
  <c r="EG114" i="4"/>
  <c r="EE9" i="25"/>
  <c r="EH138" i="4"/>
  <c r="EH139" i="4"/>
  <c r="EH91" i="4"/>
  <c r="EE9" i="8"/>
  <c r="EI58" i="4"/>
  <c r="EH59" i="4"/>
  <c r="AR9" i="8"/>
  <c r="G17" i="8" s="1"/>
  <c r="AT86" i="4"/>
  <c r="AT92" i="4"/>
  <c r="AR9" i="24"/>
  <c r="G17" i="24" s="1"/>
  <c r="AR55" i="22"/>
  <c r="AR101" i="22"/>
  <c r="AT109" i="4"/>
  <c r="AS12" i="22"/>
  <c r="AS15" i="22"/>
  <c r="AU55" i="4"/>
  <c r="T122" i="4"/>
  <c r="I122" i="4"/>
  <c r="J122" i="4"/>
  <c r="K122" i="4"/>
  <c r="L122" i="4"/>
  <c r="M122" i="4"/>
  <c r="N122" i="4"/>
  <c r="O122" i="4"/>
  <c r="P122" i="4"/>
  <c r="Q122" i="4"/>
  <c r="R122" i="4"/>
  <c r="S122" i="4"/>
  <c r="B112" i="4"/>
  <c r="EH92" i="4"/>
  <c r="EF9" i="24"/>
  <c r="EH113" i="4"/>
  <c r="EH114" i="4"/>
  <c r="EF9" i="25"/>
  <c r="EI138" i="4"/>
  <c r="EI139" i="4"/>
  <c r="EI91" i="4"/>
  <c r="EF9" i="8"/>
  <c r="EJ58" i="4"/>
  <c r="EI59" i="4"/>
  <c r="AU54" i="4"/>
  <c r="AS13" i="22"/>
  <c r="AT108" i="4"/>
  <c r="AT114" i="4"/>
  <c r="AR9" i="25"/>
  <c r="G17" i="25" s="1"/>
  <c r="AR99" i="22"/>
  <c r="AS56" i="22"/>
  <c r="AS59" i="22"/>
  <c r="AU88" i="4"/>
  <c r="EI92" i="4"/>
  <c r="EG9" i="24"/>
  <c r="EI113" i="4"/>
  <c r="EI114" i="4"/>
  <c r="EG9" i="25"/>
  <c r="EJ138" i="4"/>
  <c r="EJ139" i="4"/>
  <c r="EJ91" i="4"/>
  <c r="EG9" i="8"/>
  <c r="EK58" i="4"/>
  <c r="EJ59" i="4"/>
  <c r="AU87" i="4"/>
  <c r="AS57" i="22"/>
  <c r="AS103" i="22"/>
  <c r="AU110" i="4"/>
  <c r="AS100" i="22"/>
  <c r="AU53" i="4"/>
  <c r="AU59" i="4"/>
  <c r="AS9" i="8"/>
  <c r="AS11" i="22"/>
  <c r="EJ92" i="4"/>
  <c r="EH9" i="24"/>
  <c r="EJ113" i="4"/>
  <c r="EJ114" i="4"/>
  <c r="EH9" i="25"/>
  <c r="EK138" i="4"/>
  <c r="EK139" i="4"/>
  <c r="EK91" i="4"/>
  <c r="EH9" i="8"/>
  <c r="EL58" i="4"/>
  <c r="EK59" i="4"/>
  <c r="AT15" i="22"/>
  <c r="AV55" i="4"/>
  <c r="AT12" i="22"/>
  <c r="AU86" i="4"/>
  <c r="AU92" i="4"/>
  <c r="AS9" i="24"/>
  <c r="AS55" i="22"/>
  <c r="AU109" i="4"/>
  <c r="AS101" i="22"/>
  <c r="EK92" i="4"/>
  <c r="EI9" i="24"/>
  <c r="EK113" i="4"/>
  <c r="EK114" i="4"/>
  <c r="EI9" i="25"/>
  <c r="EL138" i="4"/>
  <c r="EL139" i="4"/>
  <c r="EL91" i="4"/>
  <c r="EI9" i="8"/>
  <c r="EM58" i="4"/>
  <c r="EL59" i="4"/>
  <c r="AT56" i="22"/>
  <c r="AT59" i="22"/>
  <c r="AV88" i="4"/>
  <c r="AT13" i="22"/>
  <c r="AV54" i="4"/>
  <c r="AS99" i="22"/>
  <c r="AU108" i="4"/>
  <c r="AU114" i="4"/>
  <c r="AS9" i="25"/>
  <c r="EL92" i="4"/>
  <c r="EJ9" i="24"/>
  <c r="O17" i="24" s="1"/>
  <c r="EL113" i="4"/>
  <c r="EM138" i="4"/>
  <c r="EM139" i="4"/>
  <c r="EM91" i="4"/>
  <c r="EJ9" i="8"/>
  <c r="O17" i="8" s="1"/>
  <c r="EN58" i="4"/>
  <c r="EM59" i="4"/>
  <c r="AT100" i="22"/>
  <c r="AT103" i="22"/>
  <c r="AV110" i="4"/>
  <c r="AT11" i="22"/>
  <c r="AV53" i="4"/>
  <c r="AV59" i="4"/>
  <c r="AT57" i="22"/>
  <c r="AV87" i="4"/>
  <c r="EL114" i="4"/>
  <c r="EJ9" i="25"/>
  <c r="O17" i="25" s="1"/>
  <c r="EM92" i="4"/>
  <c r="EK9" i="24"/>
  <c r="EM113" i="4"/>
  <c r="EM114" i="4"/>
  <c r="EK9" i="25"/>
  <c r="EN138" i="4"/>
  <c r="EN139" i="4"/>
  <c r="EN91" i="4"/>
  <c r="EK9" i="8"/>
  <c r="EO58" i="4"/>
  <c r="EN59" i="4"/>
  <c r="AT9" i="8"/>
  <c r="AT55" i="22"/>
  <c r="AV86" i="4"/>
  <c r="AV92" i="4"/>
  <c r="AT9" i="24"/>
  <c r="AU12" i="22"/>
  <c r="AU15" i="22"/>
  <c r="AW55" i="4"/>
  <c r="AV109" i="4"/>
  <c r="AT101" i="22"/>
  <c r="EN92" i="4"/>
  <c r="EL9" i="24"/>
  <c r="EN113" i="4"/>
  <c r="EO138" i="4"/>
  <c r="EO139" i="4"/>
  <c r="EO91" i="4"/>
  <c r="EP58" i="4"/>
  <c r="EO59" i="4"/>
  <c r="EL9" i="8"/>
  <c r="AT99" i="22"/>
  <c r="AV108" i="4"/>
  <c r="AV114" i="4"/>
  <c r="AT9" i="25"/>
  <c r="AW54" i="4"/>
  <c r="AU13" i="22"/>
  <c r="AU59" i="22"/>
  <c r="AW88" i="4"/>
  <c r="AU56" i="22"/>
  <c r="EN114" i="4"/>
  <c r="EL9" i="25"/>
  <c r="EO92" i="4"/>
  <c r="EM9" i="24"/>
  <c r="EO113" i="4"/>
  <c r="EO114" i="4"/>
  <c r="EM9" i="25"/>
  <c r="EP138" i="4"/>
  <c r="EP139" i="4"/>
  <c r="EP91" i="4"/>
  <c r="EM9" i="8"/>
  <c r="EQ58" i="4"/>
  <c r="EP59" i="4"/>
  <c r="AU11" i="22"/>
  <c r="AW53" i="4"/>
  <c r="AW59" i="4"/>
  <c r="AU9" i="8"/>
  <c r="AW87" i="4"/>
  <c r="AU57" i="22"/>
  <c r="AU100" i="22"/>
  <c r="AU103" i="22"/>
  <c r="AW110" i="4"/>
  <c r="EP92" i="4"/>
  <c r="EN9" i="24"/>
  <c r="EP113" i="4"/>
  <c r="EQ138" i="4"/>
  <c r="EQ139" i="4"/>
  <c r="EQ91" i="4"/>
  <c r="EN9" i="8"/>
  <c r="ER58" i="4"/>
  <c r="EQ59" i="4"/>
  <c r="AU101" i="22"/>
  <c r="AW109" i="4"/>
  <c r="AW86" i="4"/>
  <c r="AW92" i="4"/>
  <c r="AU9" i="24"/>
  <c r="AU55" i="22"/>
  <c r="AV12" i="22"/>
  <c r="AV15" i="22"/>
  <c r="AX55" i="4"/>
  <c r="EP114" i="4"/>
  <c r="EN9" i="25"/>
  <c r="EQ92" i="4"/>
  <c r="EO9" i="24"/>
  <c r="EQ113" i="4"/>
  <c r="EQ114" i="4"/>
  <c r="EO9" i="25"/>
  <c r="ER138" i="4"/>
  <c r="ER139" i="4"/>
  <c r="ER91" i="4"/>
  <c r="EO9" i="8"/>
  <c r="ES58" i="4"/>
  <c r="ER59" i="4"/>
  <c r="AX54" i="4"/>
  <c r="AV13" i="22"/>
  <c r="AV56" i="22"/>
  <c r="AV59" i="22"/>
  <c r="AX88" i="4"/>
  <c r="AW108" i="4"/>
  <c r="AW114" i="4"/>
  <c r="AU9" i="25"/>
  <c r="AU99" i="22"/>
  <c r="ER92" i="4"/>
  <c r="EP9" i="24"/>
  <c r="ER113" i="4"/>
  <c r="ES138" i="4"/>
  <c r="ES139" i="4"/>
  <c r="ES91" i="4"/>
  <c r="EP9" i="8"/>
  <c r="ET58" i="4"/>
  <c r="ES59" i="4"/>
  <c r="AX53" i="4"/>
  <c r="AX59" i="4"/>
  <c r="AV11" i="22"/>
  <c r="AV103" i="22"/>
  <c r="AX110" i="4"/>
  <c r="AV100" i="22"/>
  <c r="AX87" i="4"/>
  <c r="AV57" i="22"/>
  <c r="ER114" i="4"/>
  <c r="EP9" i="25"/>
  <c r="ES92" i="4"/>
  <c r="EQ9" i="24"/>
  <c r="ES113" i="4"/>
  <c r="ES114" i="4"/>
  <c r="EQ9" i="25"/>
  <c r="ET138" i="4"/>
  <c r="ET139" i="4"/>
  <c r="ET91" i="4"/>
  <c r="EQ9" i="8"/>
  <c r="EU58" i="4"/>
  <c r="ET59" i="4"/>
  <c r="AV9" i="8"/>
  <c r="AW12" i="22"/>
  <c r="AW15" i="22"/>
  <c r="AY55" i="4"/>
  <c r="AX86" i="4"/>
  <c r="AX92" i="4"/>
  <c r="AV9" i="24"/>
  <c r="AV55" i="22"/>
  <c r="AX109" i="4"/>
  <c r="AV101" i="22"/>
  <c r="ET92" i="4"/>
  <c r="ER9" i="24"/>
  <c r="ET113" i="4"/>
  <c r="ET114" i="4"/>
  <c r="ER9" i="25"/>
  <c r="EU138" i="4"/>
  <c r="EU139" i="4"/>
  <c r="EU91" i="4"/>
  <c r="EV58" i="4"/>
  <c r="EU59" i="4"/>
  <c r="ER9" i="8"/>
  <c r="AX108" i="4"/>
  <c r="AX114" i="4"/>
  <c r="AV9" i="25"/>
  <c r="AV99" i="22"/>
  <c r="AW59" i="22"/>
  <c r="AY88" i="4"/>
  <c r="AW56" i="22"/>
  <c r="AY54" i="4"/>
  <c r="AW13" i="22"/>
  <c r="EU92" i="4"/>
  <c r="ES9" i="24"/>
  <c r="EU113" i="4"/>
  <c r="EU114" i="4"/>
  <c r="ES9" i="25"/>
  <c r="EV138" i="4"/>
  <c r="EV139" i="4"/>
  <c r="EV91" i="4"/>
  <c r="ES9" i="8"/>
  <c r="EW58" i="4"/>
  <c r="EV59" i="4"/>
  <c r="AY87" i="4"/>
  <c r="AW57" i="22"/>
  <c r="AW100" i="22"/>
  <c r="AW103" i="22"/>
  <c r="AY110" i="4"/>
  <c r="AW11" i="22"/>
  <c r="AY53" i="4"/>
  <c r="AY59" i="4"/>
  <c r="EV92" i="4"/>
  <c r="ET9" i="24"/>
  <c r="EV113" i="4"/>
  <c r="EV114" i="4"/>
  <c r="ET9" i="25"/>
  <c r="EW138" i="4"/>
  <c r="EW139" i="4"/>
  <c r="EW91" i="4"/>
  <c r="EX58" i="4"/>
  <c r="EW59" i="4"/>
  <c r="ET9" i="8"/>
  <c r="AW9" i="8"/>
  <c r="AX15" i="22"/>
  <c r="AX12" i="22"/>
  <c r="AY86" i="4"/>
  <c r="AY92" i="4"/>
  <c r="AW9" i="24"/>
  <c r="AW55" i="22"/>
  <c r="AY109" i="4"/>
  <c r="AW101" i="22"/>
  <c r="F80" i="4"/>
  <c r="G80" i="4"/>
  <c r="H80" i="4"/>
  <c r="F81" i="4"/>
  <c r="G81" i="4"/>
  <c r="H81" i="4"/>
  <c r="EW92" i="4"/>
  <c r="EU9" i="24"/>
  <c r="EW113" i="4"/>
  <c r="EW114" i="4"/>
  <c r="EU9" i="25"/>
  <c r="EX138" i="4"/>
  <c r="EX139" i="4"/>
  <c r="EX91" i="4"/>
  <c r="EU9" i="8"/>
  <c r="EY58" i="4"/>
  <c r="EX59" i="4"/>
  <c r="AX56" i="22"/>
  <c r="AX59" i="22"/>
  <c r="AZ88" i="4"/>
  <c r="AZ54" i="4"/>
  <c r="AX13" i="22"/>
  <c r="B19" i="22"/>
  <c r="AY108" i="4"/>
  <c r="AY114" i="4"/>
  <c r="AW9" i="25"/>
  <c r="AW99" i="22"/>
  <c r="AZ55" i="4"/>
  <c r="B20" i="22"/>
  <c r="F76" i="4"/>
  <c r="F75" i="4" s="1"/>
  <c r="G76" i="4"/>
  <c r="G75" i="4" s="1"/>
  <c r="H76" i="4"/>
  <c r="H75" i="4" s="1"/>
  <c r="EX92" i="4"/>
  <c r="EV9" i="24"/>
  <c r="P17" i="24" s="1"/>
  <c r="EX113" i="4"/>
  <c r="EY138" i="4"/>
  <c r="EY139" i="4"/>
  <c r="EY91" i="4"/>
  <c r="EV9" i="8"/>
  <c r="EZ58" i="4"/>
  <c r="EY59" i="4"/>
  <c r="I81" i="4"/>
  <c r="B55" i="4"/>
  <c r="AX100" i="22"/>
  <c r="AX103" i="22"/>
  <c r="AZ110" i="4"/>
  <c r="AZ53" i="4"/>
  <c r="AX11" i="22"/>
  <c r="B18" i="22"/>
  <c r="I80" i="4"/>
  <c r="B54" i="4"/>
  <c r="AZ87" i="4"/>
  <c r="AX57" i="22"/>
  <c r="EX114" i="4"/>
  <c r="EV9" i="25"/>
  <c r="P17" i="25" s="1"/>
  <c r="EY92" i="4"/>
  <c r="EW9" i="24"/>
  <c r="EY113" i="4"/>
  <c r="EY114" i="4"/>
  <c r="EW9" i="25"/>
  <c r="EZ138" i="4"/>
  <c r="EZ139" i="4"/>
  <c r="EZ91" i="4"/>
  <c r="EW9" i="8"/>
  <c r="FA58" i="4"/>
  <c r="EZ59" i="4"/>
  <c r="AZ86" i="4"/>
  <c r="AZ92" i="4"/>
  <c r="AX9" i="24"/>
  <c r="AX55" i="22"/>
  <c r="I76" i="4"/>
  <c r="I75" i="4" s="1"/>
  <c r="AZ59" i="4"/>
  <c r="B53" i="4"/>
  <c r="AZ109" i="4"/>
  <c r="AX101" i="22"/>
  <c r="EZ92" i="4"/>
  <c r="EX9" i="24"/>
  <c r="EZ113" i="4"/>
  <c r="FA138" i="4"/>
  <c r="FA139" i="4"/>
  <c r="FA91" i="4"/>
  <c r="FB58" i="4"/>
  <c r="FA59" i="4"/>
  <c r="EX9" i="8"/>
  <c r="AZ108" i="4"/>
  <c r="AZ114" i="4"/>
  <c r="AX9" i="25"/>
  <c r="AX99" i="22"/>
  <c r="B59" i="4"/>
  <c r="AX9" i="8"/>
  <c r="AY59" i="22"/>
  <c r="BA88" i="4"/>
  <c r="AY56" i="22"/>
  <c r="EZ114" i="4"/>
  <c r="EX9" i="25"/>
  <c r="FA92" i="4"/>
  <c r="EY9" i="24"/>
  <c r="FA113" i="4"/>
  <c r="FA114" i="4"/>
  <c r="EY9" i="25"/>
  <c r="FB138" i="4"/>
  <c r="FB139" i="4"/>
  <c r="FB91" i="4"/>
  <c r="EY9" i="8"/>
  <c r="FC58" i="4"/>
  <c r="FB59" i="4"/>
  <c r="AY57" i="22"/>
  <c r="BA87" i="4"/>
  <c r="C56" i="4"/>
  <c r="C55" i="4"/>
  <c r="C53" i="4"/>
  <c r="C57" i="4"/>
  <c r="C54" i="4"/>
  <c r="C58" i="4"/>
  <c r="AY100" i="22"/>
  <c r="AY103" i="22"/>
  <c r="BA110" i="4"/>
  <c r="FB92" i="4"/>
  <c r="EZ9" i="24"/>
  <c r="FB113" i="4"/>
  <c r="FC138" i="4"/>
  <c r="FC139" i="4"/>
  <c r="FC91" i="4"/>
  <c r="EZ9" i="8"/>
  <c r="FD58" i="4"/>
  <c r="FC59" i="4"/>
  <c r="C5" i="8"/>
  <c r="AY101" i="22"/>
  <c r="BA109" i="4"/>
  <c r="AY55" i="22"/>
  <c r="BA86" i="4"/>
  <c r="BA92" i="4"/>
  <c r="AY9" i="24"/>
  <c r="FB114" i="4"/>
  <c r="EZ9" i="25"/>
  <c r="FC92" i="4"/>
  <c r="FA9" i="24"/>
  <c r="FC113" i="4"/>
  <c r="FC114" i="4"/>
  <c r="FA9" i="25"/>
  <c r="FD138" i="4"/>
  <c r="FD139" i="4"/>
  <c r="FD91" i="4"/>
  <c r="FA9" i="8"/>
  <c r="FE58" i="4"/>
  <c r="FD59" i="4"/>
  <c r="D8" i="27"/>
  <c r="B31" i="27"/>
  <c r="C35" i="27"/>
  <c r="AZ56" i="22"/>
  <c r="AZ59" i="22"/>
  <c r="BB88" i="4"/>
  <c r="AY99" i="22"/>
  <c r="BA108" i="4"/>
  <c r="BA114" i="4"/>
  <c r="AY9" i="25"/>
  <c r="FD92" i="4"/>
  <c r="FB9" i="24"/>
  <c r="FD113" i="4"/>
  <c r="FE138" i="4"/>
  <c r="FE139" i="4"/>
  <c r="FE91" i="4"/>
  <c r="FB9" i="8"/>
  <c r="FF58" i="4"/>
  <c r="FE59" i="4"/>
  <c r="D12" i="27"/>
  <c r="D13" i="27"/>
  <c r="AZ103" i="22"/>
  <c r="BB110" i="4"/>
  <c r="AZ100" i="22"/>
  <c r="BB87" i="4"/>
  <c r="AZ57" i="22"/>
  <c r="FD114" i="4"/>
  <c r="FB9" i="25"/>
  <c r="FE92" i="4"/>
  <c r="FC9" i="24"/>
  <c r="FE113" i="4"/>
  <c r="FE114" i="4"/>
  <c r="FC9" i="25"/>
  <c r="FF138" i="4"/>
  <c r="FF139" i="4"/>
  <c r="FF91" i="4"/>
  <c r="FC9" i="8"/>
  <c r="FG58" i="4"/>
  <c r="FF59" i="4"/>
  <c r="AZ101" i="22"/>
  <c r="BB109" i="4"/>
  <c r="BB86" i="4"/>
  <c r="BB92" i="4"/>
  <c r="AZ9" i="24"/>
  <c r="AZ55" i="22"/>
  <c r="FF92" i="4"/>
  <c r="FD9" i="24"/>
  <c r="FF113" i="4"/>
  <c r="FF114" i="4"/>
  <c r="FD9" i="25"/>
  <c r="FG138" i="4"/>
  <c r="FG139" i="4"/>
  <c r="FG91" i="4"/>
  <c r="FH58" i="4"/>
  <c r="FG59" i="4"/>
  <c r="FD9" i="8"/>
  <c r="BA56" i="22"/>
  <c r="BA59" i="22"/>
  <c r="BC88" i="4"/>
  <c r="AZ99" i="22"/>
  <c r="BB108" i="4"/>
  <c r="BB114" i="4"/>
  <c r="AZ9" i="25"/>
  <c r="FG92" i="4"/>
  <c r="FE9" i="24"/>
  <c r="FG113" i="4"/>
  <c r="FG114" i="4"/>
  <c r="FE9" i="25"/>
  <c r="FH138" i="4"/>
  <c r="FH139" i="4"/>
  <c r="FH91" i="4"/>
  <c r="FE9" i="8"/>
  <c r="FI58" i="4"/>
  <c r="FH59" i="4"/>
  <c r="BA100" i="22"/>
  <c r="BA103" i="22"/>
  <c r="BC110" i="4"/>
  <c r="BC87" i="4"/>
  <c r="BA57" i="22"/>
  <c r="FH92" i="4"/>
  <c r="FF9" i="24"/>
  <c r="FH113" i="4"/>
  <c r="FH114" i="4"/>
  <c r="FF9" i="25"/>
  <c r="FI138" i="4"/>
  <c r="FI139" i="4"/>
  <c r="FI91" i="4"/>
  <c r="FF9" i="8"/>
  <c r="FJ58" i="4"/>
  <c r="FI59" i="4"/>
  <c r="BA55" i="22"/>
  <c r="BC86" i="4"/>
  <c r="BC92" i="4"/>
  <c r="BA9" i="24"/>
  <c r="BA101" i="22"/>
  <c r="BC109" i="4"/>
  <c r="FI92" i="4"/>
  <c r="FG9" i="24"/>
  <c r="FI113" i="4"/>
  <c r="FI114" i="4"/>
  <c r="FG9" i="25"/>
  <c r="FJ138" i="4"/>
  <c r="FJ139" i="4"/>
  <c r="FJ91" i="4"/>
  <c r="FG9" i="8"/>
  <c r="FK58" i="4"/>
  <c r="FJ59" i="4"/>
  <c r="BC108" i="4"/>
  <c r="BC114" i="4"/>
  <c r="BA9" i="25"/>
  <c r="BA99" i="22"/>
  <c r="BB56" i="22"/>
  <c r="BB59" i="22"/>
  <c r="BD88" i="4"/>
  <c r="FJ92" i="4"/>
  <c r="FH9" i="24"/>
  <c r="FJ113" i="4"/>
  <c r="FK138" i="4"/>
  <c r="FK139" i="4"/>
  <c r="FK91" i="4"/>
  <c r="FH9" i="8"/>
  <c r="Q17" i="8" s="1"/>
  <c r="FL58" i="4"/>
  <c r="FK59" i="4"/>
  <c r="BD87" i="4"/>
  <c r="BB57" i="22"/>
  <c r="BB103" i="22"/>
  <c r="BD110" i="4"/>
  <c r="BB100" i="22"/>
  <c r="FJ114" i="4"/>
  <c r="FH9" i="25"/>
  <c r="FK92" i="4"/>
  <c r="FI9" i="24"/>
  <c r="FK113" i="4"/>
  <c r="FK114" i="4"/>
  <c r="FI9" i="25"/>
  <c r="FL138" i="4"/>
  <c r="FL139" i="4"/>
  <c r="FL91" i="4"/>
  <c r="FI9" i="8"/>
  <c r="FM58" i="4"/>
  <c r="FL59" i="4"/>
  <c r="BB101" i="22"/>
  <c r="BD109" i="4"/>
  <c r="BD86" i="4"/>
  <c r="BD92" i="4"/>
  <c r="BB9" i="24"/>
  <c r="BB55" i="22"/>
  <c r="FL92" i="4"/>
  <c r="FJ9" i="24"/>
  <c r="FL113" i="4"/>
  <c r="FM138" i="4"/>
  <c r="FM139" i="4"/>
  <c r="FM91" i="4"/>
  <c r="FJ9" i="8"/>
  <c r="FN58" i="4"/>
  <c r="FM59" i="4"/>
  <c r="BC56" i="22"/>
  <c r="BC59" i="22"/>
  <c r="BE88" i="4"/>
  <c r="BB99" i="22"/>
  <c r="BD108" i="4"/>
  <c r="BD114" i="4"/>
  <c r="BB9" i="25"/>
  <c r="FL114" i="4"/>
  <c r="FJ9" i="25"/>
  <c r="FM92" i="4"/>
  <c r="FK9" i="24"/>
  <c r="FM113" i="4"/>
  <c r="FM114" i="4"/>
  <c r="FK9" i="25"/>
  <c r="FN138" i="4"/>
  <c r="FN139" i="4"/>
  <c r="FN91" i="4"/>
  <c r="FK9" i="8"/>
  <c r="FO58" i="4"/>
  <c r="FN59" i="4"/>
  <c r="BC100" i="22"/>
  <c r="BC103" i="22"/>
  <c r="BE110" i="4"/>
  <c r="BC57" i="22"/>
  <c r="BE87" i="4"/>
  <c r="FN92" i="4"/>
  <c r="FL9" i="24"/>
  <c r="FN113" i="4"/>
  <c r="FN114" i="4"/>
  <c r="FL9" i="25"/>
  <c r="FO138" i="4"/>
  <c r="FO139" i="4"/>
  <c r="FO91" i="4"/>
  <c r="FP58" i="4"/>
  <c r="FP91" i="4"/>
  <c r="FO59" i="4"/>
  <c r="FL9" i="8"/>
  <c r="BC55" i="22"/>
  <c r="BE86" i="4"/>
  <c r="BE92" i="4"/>
  <c r="BC9" i="24"/>
  <c r="BC101" i="22"/>
  <c r="BE109" i="4"/>
  <c r="FP92" i="4"/>
  <c r="FN9" i="24"/>
  <c r="C17" i="24"/>
  <c r="FP113" i="4"/>
  <c r="FP114" i="4"/>
  <c r="FN9" i="25"/>
  <c r="FO92" i="4"/>
  <c r="FM9" i="24"/>
  <c r="FO113" i="4"/>
  <c r="FO114" i="4"/>
  <c r="FM9" i="25"/>
  <c r="FP138" i="4"/>
  <c r="FP139" i="4"/>
  <c r="FP59" i="4"/>
  <c r="FM9" i="8"/>
  <c r="FQ58" i="4"/>
  <c r="BE108" i="4"/>
  <c r="BE114" i="4"/>
  <c r="BC9" i="25"/>
  <c r="BC99" i="22"/>
  <c r="BD59" i="22"/>
  <c r="BF88" i="4"/>
  <c r="BD56" i="22"/>
  <c r="H65" i="4"/>
  <c r="H67" i="4" s="1"/>
  <c r="I65" i="4"/>
  <c r="I67" i="4" s="1"/>
  <c r="FQ138" i="4"/>
  <c r="FQ139" i="4"/>
  <c r="FQ91" i="4"/>
  <c r="FN9" i="8"/>
  <c r="E17" i="8"/>
  <c r="FR58" i="4"/>
  <c r="FQ59" i="4"/>
  <c r="BD57" i="22"/>
  <c r="BF87" i="4"/>
  <c r="BD103" i="22"/>
  <c r="BF110" i="4"/>
  <c r="BD100" i="22"/>
  <c r="FQ92" i="4"/>
  <c r="FO9" i="24"/>
  <c r="FQ113" i="4"/>
  <c r="FQ114" i="4"/>
  <c r="FR138" i="4"/>
  <c r="FR139" i="4"/>
  <c r="FR91" i="4"/>
  <c r="FO9" i="8"/>
  <c r="FS58" i="4"/>
  <c r="FR59" i="4"/>
  <c r="BD101" i="22"/>
  <c r="BF109" i="4"/>
  <c r="BF86" i="4"/>
  <c r="BF92" i="4"/>
  <c r="BD9" i="24"/>
  <c r="BD55" i="22"/>
  <c r="FO9" i="25"/>
  <c r="FR92" i="4"/>
  <c r="FP9" i="24"/>
  <c r="FR113" i="4"/>
  <c r="FR114" i="4"/>
  <c r="FP9" i="25"/>
  <c r="FS138" i="4"/>
  <c r="FS139" i="4"/>
  <c r="FS91" i="4"/>
  <c r="FP9" i="8"/>
  <c r="FT58" i="4"/>
  <c r="FS59" i="4"/>
  <c r="BE56" i="22"/>
  <c r="BE59" i="22"/>
  <c r="BG88" i="4"/>
  <c r="BD99" i="22"/>
  <c r="BF108" i="4"/>
  <c r="BF114" i="4"/>
  <c r="BD9" i="25"/>
  <c r="H17" i="25" s="1"/>
  <c r="FS92" i="4"/>
  <c r="FQ9" i="24"/>
  <c r="FS113" i="4"/>
  <c r="FS114" i="4"/>
  <c r="FQ9" i="25"/>
  <c r="FT138" i="4"/>
  <c r="FT139" i="4"/>
  <c r="FT91" i="4"/>
  <c r="FQ9" i="8"/>
  <c r="FU58" i="4"/>
  <c r="FT59" i="4"/>
  <c r="BE100" i="22"/>
  <c r="BE103" i="22"/>
  <c r="BG110" i="4"/>
  <c r="BG87" i="4"/>
  <c r="BE57" i="22"/>
  <c r="FT92" i="4"/>
  <c r="FR9" i="24"/>
  <c r="FT113" i="4"/>
  <c r="FT114" i="4"/>
  <c r="FR9" i="25"/>
  <c r="FU138" i="4"/>
  <c r="FU139" i="4"/>
  <c r="FU91" i="4"/>
  <c r="FR9" i="8"/>
  <c r="FV58" i="4"/>
  <c r="FU59" i="4"/>
  <c r="BG86" i="4"/>
  <c r="BG92" i="4"/>
  <c r="BE9" i="24"/>
  <c r="BE55" i="22"/>
  <c r="BE101" i="22"/>
  <c r="BG109" i="4"/>
  <c r="FU92" i="4"/>
  <c r="FS9" i="24"/>
  <c r="FU113" i="4"/>
  <c r="FU114" i="4"/>
  <c r="FS9" i="25"/>
  <c r="FV138" i="4"/>
  <c r="FV139" i="4"/>
  <c r="FV91" i="4"/>
  <c r="FS9" i="8"/>
  <c r="FW58" i="4"/>
  <c r="FV59" i="4"/>
  <c r="BF56" i="22"/>
  <c r="BF59" i="22"/>
  <c r="BH88" i="4"/>
  <c r="BE99" i="22"/>
  <c r="BG108" i="4"/>
  <c r="BG114" i="4"/>
  <c r="BE9" i="25"/>
  <c r="FV92" i="4"/>
  <c r="FT9" i="24"/>
  <c r="FV113" i="4"/>
  <c r="FW138" i="4"/>
  <c r="FW139" i="4"/>
  <c r="FW91" i="4"/>
  <c r="FT9" i="8"/>
  <c r="R17" i="8" s="1"/>
  <c r="FX58" i="4"/>
  <c r="FW59" i="4"/>
  <c r="BF100" i="22"/>
  <c r="BF103" i="22"/>
  <c r="BH110" i="4"/>
  <c r="BF57" i="22"/>
  <c r="BH87" i="4"/>
  <c r="FV114" i="4"/>
  <c r="FT9" i="25"/>
  <c r="FW92" i="4"/>
  <c r="FU9" i="24"/>
  <c r="FW113" i="4"/>
  <c r="FW114" i="4"/>
  <c r="FU9" i="25"/>
  <c r="FX138" i="4"/>
  <c r="FX139" i="4"/>
  <c r="FX91" i="4"/>
  <c r="FU9" i="8"/>
  <c r="FY58" i="4"/>
  <c r="FX59" i="4"/>
  <c r="BH86" i="4"/>
  <c r="BH92" i="4"/>
  <c r="BF9" i="24"/>
  <c r="BF55" i="22"/>
  <c r="BF101" i="22"/>
  <c r="BH109" i="4"/>
  <c r="FX92" i="4"/>
  <c r="FV9" i="24"/>
  <c r="FX113" i="4"/>
  <c r="FY138" i="4"/>
  <c r="FY139" i="4"/>
  <c r="FY91" i="4"/>
  <c r="FV9" i="8"/>
  <c r="FZ58" i="4"/>
  <c r="FY59" i="4"/>
  <c r="BF99" i="22"/>
  <c r="BH108" i="4"/>
  <c r="BH114" i="4"/>
  <c r="BF9" i="25"/>
  <c r="BG56" i="22"/>
  <c r="BG59" i="22"/>
  <c r="BI88" i="4"/>
  <c r="FX114" i="4"/>
  <c r="FV9" i="25"/>
  <c r="FY92" i="4"/>
  <c r="FW9" i="24"/>
  <c r="FY113" i="4"/>
  <c r="FY114" i="4"/>
  <c r="FW9" i="25"/>
  <c r="FZ138" i="4"/>
  <c r="FZ139" i="4"/>
  <c r="FZ91" i="4"/>
  <c r="FW9" i="8"/>
  <c r="GA58" i="4"/>
  <c r="FZ59" i="4"/>
  <c r="BI87" i="4"/>
  <c r="BG57" i="22"/>
  <c r="BG103" i="22"/>
  <c r="BI110" i="4"/>
  <c r="BG100" i="22"/>
  <c r="FZ92" i="4"/>
  <c r="FX9" i="24"/>
  <c r="FZ113" i="4"/>
  <c r="GA138" i="4"/>
  <c r="GA139" i="4"/>
  <c r="GA91" i="4"/>
  <c r="FX9" i="8"/>
  <c r="GB58" i="4"/>
  <c r="GA59" i="4"/>
  <c r="BG101" i="22"/>
  <c r="BI109" i="4"/>
  <c r="BI86" i="4"/>
  <c r="BI92" i="4"/>
  <c r="BG9" i="24"/>
  <c r="BG55" i="22"/>
  <c r="FZ114" i="4"/>
  <c r="FX9" i="25"/>
  <c r="GA92" i="4"/>
  <c r="FY9" i="24"/>
  <c r="GA113" i="4"/>
  <c r="GA114" i="4"/>
  <c r="FY9" i="25"/>
  <c r="GB138" i="4"/>
  <c r="GB139" i="4"/>
  <c r="GB91" i="4"/>
  <c r="FY9" i="8"/>
  <c r="GC58" i="4"/>
  <c r="GB59" i="4"/>
  <c r="BH59" i="22"/>
  <c r="BJ88" i="4"/>
  <c r="BH56" i="22"/>
  <c r="BI108" i="4"/>
  <c r="BI114" i="4"/>
  <c r="BG9" i="25"/>
  <c r="BG99" i="22"/>
  <c r="GB92" i="4"/>
  <c r="FZ9" i="24"/>
  <c r="GB113" i="4"/>
  <c r="GB114" i="4"/>
  <c r="FZ9" i="25"/>
  <c r="GC138" i="4"/>
  <c r="GC139" i="4"/>
  <c r="GC91" i="4"/>
  <c r="FZ9" i="8"/>
  <c r="GD58" i="4"/>
  <c r="GC59" i="4"/>
  <c r="BH100" i="22"/>
  <c r="BH103" i="22"/>
  <c r="BJ110" i="4"/>
  <c r="BH57" i="22"/>
  <c r="BJ87" i="4"/>
  <c r="GC92" i="4"/>
  <c r="GA9" i="24"/>
  <c r="GC113" i="4"/>
  <c r="GC114" i="4"/>
  <c r="GA9" i="25"/>
  <c r="GD138" i="4"/>
  <c r="GD139" i="4"/>
  <c r="GD91" i="4"/>
  <c r="GA9" i="8"/>
  <c r="GE58" i="4"/>
  <c r="GD59" i="4"/>
  <c r="BJ86" i="4"/>
  <c r="BJ92" i="4"/>
  <c r="BH9" i="24"/>
  <c r="BH55" i="22"/>
  <c r="BH101" i="22"/>
  <c r="BJ109" i="4"/>
  <c r="GD92" i="4"/>
  <c r="GB9" i="24"/>
  <c r="GD113" i="4"/>
  <c r="GD114" i="4"/>
  <c r="GB9" i="25"/>
  <c r="GE138" i="4"/>
  <c r="GE139" i="4"/>
  <c r="GE91" i="4"/>
  <c r="GB9" i="8"/>
  <c r="GF58" i="4"/>
  <c r="GE59" i="4"/>
  <c r="BI59" i="22"/>
  <c r="BK88" i="4"/>
  <c r="BI56" i="22"/>
  <c r="BJ108" i="4"/>
  <c r="BJ114" i="4"/>
  <c r="BH9" i="25"/>
  <c r="BH99" i="22"/>
  <c r="GE92" i="4"/>
  <c r="GC9" i="24"/>
  <c r="GE113" i="4"/>
  <c r="GE114" i="4"/>
  <c r="GC9" i="25"/>
  <c r="GF138" i="4"/>
  <c r="GF139" i="4"/>
  <c r="GF91" i="4"/>
  <c r="GC9" i="8"/>
  <c r="GG58" i="4"/>
  <c r="GF59" i="4"/>
  <c r="BI100" i="22"/>
  <c r="BI103" i="22"/>
  <c r="BK110" i="4"/>
  <c r="BK87" i="4"/>
  <c r="BI57" i="22"/>
  <c r="GF92" i="4"/>
  <c r="GD9" i="24"/>
  <c r="GF113" i="4"/>
  <c r="GF114" i="4"/>
  <c r="GD9" i="25"/>
  <c r="GG138" i="4"/>
  <c r="GG139" i="4"/>
  <c r="GG91" i="4"/>
  <c r="GD9" i="8"/>
  <c r="GH58" i="4"/>
  <c r="GG59" i="4"/>
  <c r="BK86" i="4"/>
  <c r="BK92" i="4"/>
  <c r="BI9" i="24"/>
  <c r="BI55" i="22"/>
  <c r="BI101" i="22"/>
  <c r="BK109" i="4"/>
  <c r="GG92" i="4"/>
  <c r="GE9" i="24"/>
  <c r="GG113" i="4"/>
  <c r="GH138" i="4"/>
  <c r="GH139" i="4"/>
  <c r="GH91" i="4"/>
  <c r="GE9" i="8"/>
  <c r="GI58" i="4"/>
  <c r="GH59" i="4"/>
  <c r="BK108" i="4"/>
  <c r="BK114" i="4"/>
  <c r="BI9" i="25"/>
  <c r="BI99" i="22"/>
  <c r="BJ59" i="22"/>
  <c r="BL88" i="4"/>
  <c r="BJ56" i="22"/>
  <c r="GG114" i="4"/>
  <c r="B113" i="4"/>
  <c r="GH92" i="4"/>
  <c r="GF9" i="24"/>
  <c r="S17" i="24" s="1"/>
  <c r="GH113" i="4"/>
  <c r="GI138" i="4"/>
  <c r="GI139" i="4"/>
  <c r="GI91" i="4"/>
  <c r="GF9" i="8"/>
  <c r="GJ58" i="4"/>
  <c r="GI59" i="4"/>
  <c r="BL87" i="4"/>
  <c r="BJ57" i="22"/>
  <c r="BJ103" i="22"/>
  <c r="BL110" i="4"/>
  <c r="BJ100" i="22"/>
  <c r="GH114" i="4"/>
  <c r="GF9" i="25"/>
  <c r="S17" i="25" s="1"/>
  <c r="GE9" i="25"/>
  <c r="GI92" i="4"/>
  <c r="GG9" i="24"/>
  <c r="GI113" i="4"/>
  <c r="GI114" i="4"/>
  <c r="GG9" i="25"/>
  <c r="GJ138" i="4"/>
  <c r="GJ139" i="4"/>
  <c r="GJ91" i="4"/>
  <c r="GG9" i="8"/>
  <c r="GK58" i="4"/>
  <c r="GJ59" i="4"/>
  <c r="BJ101" i="22"/>
  <c r="BL109" i="4"/>
  <c r="BL86" i="4"/>
  <c r="BL92" i="4"/>
  <c r="BJ9" i="24"/>
  <c r="BJ55" i="22"/>
  <c r="E17" i="25"/>
  <c r="GJ92" i="4"/>
  <c r="GH9" i="24"/>
  <c r="GJ113" i="4"/>
  <c r="GJ114" i="4"/>
  <c r="GH9" i="25"/>
  <c r="GK138" i="4"/>
  <c r="GK139" i="4"/>
  <c r="GK91" i="4"/>
  <c r="GH9" i="8"/>
  <c r="GL58" i="4"/>
  <c r="GK59" i="4"/>
  <c r="BK56" i="22"/>
  <c r="BK59" i="22"/>
  <c r="BM88" i="4"/>
  <c r="BL108" i="4"/>
  <c r="BL114" i="4"/>
  <c r="BJ9" i="25"/>
  <c r="BJ99" i="22"/>
  <c r="GK92" i="4"/>
  <c r="GI9" i="24"/>
  <c r="GK113" i="4"/>
  <c r="GK114" i="4"/>
  <c r="GI9" i="25"/>
  <c r="GL138" i="4"/>
  <c r="GL139" i="4"/>
  <c r="GL91" i="4"/>
  <c r="GI9" i="8"/>
  <c r="GM58" i="4"/>
  <c r="GL59" i="4"/>
  <c r="BK100" i="22"/>
  <c r="BK103" i="22"/>
  <c r="BM110" i="4"/>
  <c r="BM87" i="4"/>
  <c r="BK57" i="22"/>
  <c r="GL92" i="4"/>
  <c r="GJ9" i="24"/>
  <c r="GL113" i="4"/>
  <c r="GL114" i="4"/>
  <c r="GJ9" i="25"/>
  <c r="GM138" i="4"/>
  <c r="GM139" i="4"/>
  <c r="GM91" i="4"/>
  <c r="GJ9" i="8"/>
  <c r="GN58" i="4"/>
  <c r="GM59" i="4"/>
  <c r="BM86" i="4"/>
  <c r="BM92" i="4"/>
  <c r="BK9" i="24"/>
  <c r="BK55" i="22"/>
  <c r="BK101" i="22"/>
  <c r="BM109" i="4"/>
  <c r="GM92" i="4"/>
  <c r="GK9" i="24"/>
  <c r="GM113" i="4"/>
  <c r="GM114" i="4"/>
  <c r="GK9" i="25"/>
  <c r="GN138" i="4"/>
  <c r="GN139" i="4"/>
  <c r="GN91" i="4"/>
  <c r="GK9" i="8"/>
  <c r="GO58" i="4"/>
  <c r="GN59" i="4"/>
  <c r="BK99" i="22"/>
  <c r="BM108" i="4"/>
  <c r="BM114" i="4"/>
  <c r="BK9" i="25"/>
  <c r="BL56" i="22"/>
  <c r="BL59" i="22"/>
  <c r="BN88" i="4"/>
  <c r="GN92" i="4"/>
  <c r="GL9" i="24"/>
  <c r="GN113" i="4"/>
  <c r="GN114" i="4"/>
  <c r="GL9" i="25"/>
  <c r="GO138" i="4"/>
  <c r="GO139" i="4"/>
  <c r="GO91" i="4"/>
  <c r="GL9" i="8"/>
  <c r="GP58" i="4"/>
  <c r="GO59" i="4"/>
  <c r="BN87" i="4"/>
  <c r="BL57" i="22"/>
  <c r="BL100" i="22"/>
  <c r="BL103" i="22"/>
  <c r="BN110" i="4"/>
  <c r="GO92" i="4"/>
  <c r="GM9" i="24"/>
  <c r="GO113" i="4"/>
  <c r="GO114" i="4"/>
  <c r="GM9" i="25"/>
  <c r="GP138" i="4"/>
  <c r="GP139" i="4"/>
  <c r="GP91" i="4"/>
  <c r="GM9" i="8"/>
  <c r="GQ58" i="4"/>
  <c r="GP59" i="4"/>
  <c r="BL101" i="22"/>
  <c r="BN109" i="4"/>
  <c r="BL55" i="22"/>
  <c r="BN86" i="4"/>
  <c r="BN92" i="4"/>
  <c r="BL9" i="24"/>
  <c r="GP92" i="4"/>
  <c r="GN9" i="24"/>
  <c r="GP113" i="4"/>
  <c r="GP114" i="4"/>
  <c r="GN9" i="25"/>
  <c r="GQ138" i="4"/>
  <c r="GQ139" i="4"/>
  <c r="GQ91" i="4"/>
  <c r="GN9" i="8"/>
  <c r="GR58" i="4"/>
  <c r="GQ59" i="4"/>
  <c r="BM59" i="22"/>
  <c r="BO88" i="4"/>
  <c r="BM56" i="22"/>
  <c r="BL99" i="22"/>
  <c r="BN108" i="4"/>
  <c r="BN114" i="4"/>
  <c r="BL9" i="25"/>
  <c r="GQ92" i="4"/>
  <c r="GO9" i="24"/>
  <c r="GQ113" i="4"/>
  <c r="GQ114" i="4"/>
  <c r="GO9" i="25"/>
  <c r="GR138" i="4"/>
  <c r="GR139" i="4"/>
  <c r="GR91" i="4"/>
  <c r="GO9" i="8"/>
  <c r="GS58" i="4"/>
  <c r="GR59" i="4"/>
  <c r="BM57" i="22"/>
  <c r="BO87" i="4"/>
  <c r="BM100" i="22"/>
  <c r="BM103" i="22"/>
  <c r="BO110" i="4"/>
  <c r="GR92" i="4"/>
  <c r="GP9" i="24"/>
  <c r="GR113" i="4"/>
  <c r="GR114" i="4"/>
  <c r="GP9" i="25"/>
  <c r="GS138" i="4"/>
  <c r="GS139" i="4"/>
  <c r="GS91" i="4"/>
  <c r="GP9" i="8"/>
  <c r="GT58" i="4"/>
  <c r="GS59" i="4"/>
  <c r="BO109" i="4"/>
  <c r="BM101" i="22"/>
  <c r="BO86" i="4"/>
  <c r="BO92" i="4"/>
  <c r="BM9" i="24"/>
  <c r="BM55" i="22"/>
  <c r="GS92" i="4"/>
  <c r="GQ9" i="24"/>
  <c r="GS113" i="4"/>
  <c r="GS114" i="4"/>
  <c r="GQ9" i="25"/>
  <c r="GT138" i="4"/>
  <c r="GT139" i="4"/>
  <c r="GT91" i="4"/>
  <c r="GQ9" i="8"/>
  <c r="GU58" i="4"/>
  <c r="GT59" i="4"/>
  <c r="BN59" i="22"/>
  <c r="BP88" i="4"/>
  <c r="BN56" i="22"/>
  <c r="BM99" i="22"/>
  <c r="BO108" i="4"/>
  <c r="BO114" i="4"/>
  <c r="BM9" i="25"/>
  <c r="GT92" i="4"/>
  <c r="GR9" i="24"/>
  <c r="T17" i="24" s="1"/>
  <c r="GT113" i="4"/>
  <c r="GU138" i="4"/>
  <c r="GU139" i="4"/>
  <c r="GU91" i="4"/>
  <c r="GR9" i="8"/>
  <c r="GV58" i="4"/>
  <c r="GU59" i="4"/>
  <c r="BN100" i="22"/>
  <c r="BN103" i="22"/>
  <c r="BP110" i="4"/>
  <c r="BN57" i="22"/>
  <c r="BP87" i="4"/>
  <c r="GT114" i="4"/>
  <c r="GR9" i="25"/>
  <c r="T17" i="25" s="1"/>
  <c r="GU92" i="4"/>
  <c r="GS9" i="24"/>
  <c r="GU113" i="4"/>
  <c r="GU114" i="4"/>
  <c r="GS9" i="25"/>
  <c r="GV138" i="4"/>
  <c r="GV139" i="4"/>
  <c r="GV91" i="4"/>
  <c r="GS9" i="8"/>
  <c r="GW58" i="4"/>
  <c r="GV59" i="4"/>
  <c r="BP86" i="4"/>
  <c r="BP92" i="4"/>
  <c r="BN9" i="24"/>
  <c r="BN55" i="22"/>
  <c r="BN101" i="22"/>
  <c r="BP109" i="4"/>
  <c r="GV92" i="4"/>
  <c r="GT9" i="24"/>
  <c r="GV113" i="4"/>
  <c r="GW138" i="4"/>
  <c r="GW139" i="4"/>
  <c r="GW91" i="4"/>
  <c r="GT9" i="8"/>
  <c r="GX58" i="4"/>
  <c r="GW59" i="4"/>
  <c r="BN99" i="22"/>
  <c r="BP108" i="4"/>
  <c r="BP114" i="4"/>
  <c r="BN9" i="25"/>
  <c r="BO56" i="22"/>
  <c r="BO59" i="22"/>
  <c r="BQ88" i="4"/>
  <c r="GV114" i="4"/>
  <c r="GT9" i="25"/>
  <c r="GW92" i="4"/>
  <c r="GU9" i="24"/>
  <c r="GW113" i="4"/>
  <c r="GW114" i="4"/>
  <c r="GU9" i="25"/>
  <c r="GX138" i="4"/>
  <c r="GX139" i="4"/>
  <c r="GX91" i="4"/>
  <c r="GU9" i="8"/>
  <c r="GY58" i="4"/>
  <c r="GX59" i="4"/>
  <c r="BQ87" i="4"/>
  <c r="BO57" i="22"/>
  <c r="BO103" i="22"/>
  <c r="BQ110" i="4"/>
  <c r="BO100" i="22"/>
  <c r="GX92" i="4"/>
  <c r="GV9" i="24"/>
  <c r="GX113" i="4"/>
  <c r="GX114" i="4"/>
  <c r="GV9" i="25"/>
  <c r="GY138" i="4"/>
  <c r="GY139" i="4"/>
  <c r="GY91" i="4"/>
  <c r="GV9" i="8"/>
  <c r="GZ58" i="4"/>
  <c r="GY59" i="4"/>
  <c r="BQ109" i="4"/>
  <c r="BO101" i="22"/>
  <c r="BQ86" i="4"/>
  <c r="BQ92" i="4"/>
  <c r="BO9" i="24"/>
  <c r="BO55" i="22"/>
  <c r="GY92" i="4"/>
  <c r="GW9" i="24"/>
  <c r="GY113" i="4"/>
  <c r="GY114" i="4"/>
  <c r="GW9" i="25"/>
  <c r="GZ138" i="4"/>
  <c r="GZ139" i="4"/>
  <c r="GZ91" i="4"/>
  <c r="GW9" i="8"/>
  <c r="HA58" i="4"/>
  <c r="GZ59" i="4"/>
  <c r="BP56" i="22"/>
  <c r="BP59" i="22"/>
  <c r="BR88" i="4"/>
  <c r="BO99" i="22"/>
  <c r="BQ108" i="4"/>
  <c r="BQ114" i="4"/>
  <c r="BO9" i="25"/>
  <c r="GZ92" i="4"/>
  <c r="GX9" i="24"/>
  <c r="GZ113" i="4"/>
  <c r="GZ114" i="4"/>
  <c r="GX9" i="25"/>
  <c r="HA138" i="4"/>
  <c r="HA139" i="4"/>
  <c r="HA91" i="4"/>
  <c r="GX9" i="8"/>
  <c r="HB58" i="4"/>
  <c r="HA59" i="4"/>
  <c r="BP103" i="22"/>
  <c r="BR110" i="4"/>
  <c r="BP100" i="22"/>
  <c r="BR87" i="4"/>
  <c r="BP57" i="22"/>
  <c r="HA92" i="4"/>
  <c r="GY9" i="24"/>
  <c r="HA113" i="4"/>
  <c r="HA114" i="4"/>
  <c r="GY9" i="25"/>
  <c r="HB138" i="4"/>
  <c r="HB139" i="4"/>
  <c r="HB91" i="4"/>
  <c r="GY9" i="8"/>
  <c r="HC58" i="4"/>
  <c r="HB59" i="4"/>
  <c r="BP55" i="22"/>
  <c r="BR86" i="4"/>
  <c r="BR92" i="4"/>
  <c r="BP9" i="24"/>
  <c r="BR109" i="4"/>
  <c r="BP101" i="22"/>
  <c r="HB92" i="4"/>
  <c r="GZ9" i="24"/>
  <c r="HB113" i="4"/>
  <c r="HB114" i="4"/>
  <c r="GZ9" i="25"/>
  <c r="HC138" i="4"/>
  <c r="HC139" i="4"/>
  <c r="HC91" i="4"/>
  <c r="GZ9" i="8"/>
  <c r="HD58" i="4"/>
  <c r="HC59" i="4"/>
  <c r="BP99" i="22"/>
  <c r="BR108" i="4"/>
  <c r="BR114" i="4"/>
  <c r="BP9" i="25"/>
  <c r="BQ59" i="22"/>
  <c r="BS88" i="4"/>
  <c r="BQ56" i="22"/>
  <c r="HC92" i="4"/>
  <c r="HA9" i="24"/>
  <c r="HC113" i="4"/>
  <c r="HC114" i="4"/>
  <c r="HA9" i="25"/>
  <c r="HD138" i="4"/>
  <c r="HD139" i="4"/>
  <c r="HD91" i="4"/>
  <c r="HA9" i="8"/>
  <c r="HE58" i="4"/>
  <c r="HD59" i="4"/>
  <c r="BQ57" i="22"/>
  <c r="BS87" i="4"/>
  <c r="BQ100" i="22"/>
  <c r="BQ103" i="22"/>
  <c r="BS110" i="4"/>
  <c r="HD92" i="4"/>
  <c r="HB9" i="24"/>
  <c r="HD113" i="4"/>
  <c r="HD114" i="4"/>
  <c r="HB9" i="25"/>
  <c r="HE138" i="4"/>
  <c r="HE139" i="4"/>
  <c r="HE91" i="4"/>
  <c r="HB9" i="8"/>
  <c r="HF58" i="4"/>
  <c r="HE59" i="4"/>
  <c r="BQ101" i="22"/>
  <c r="BS109" i="4"/>
  <c r="BS86" i="4"/>
  <c r="BS92" i="4"/>
  <c r="BQ9" i="24"/>
  <c r="BQ55" i="22"/>
  <c r="HE92" i="4"/>
  <c r="HC9" i="24"/>
  <c r="HE113" i="4"/>
  <c r="HE114" i="4"/>
  <c r="HC9" i="25"/>
  <c r="HF138" i="4"/>
  <c r="HF139" i="4"/>
  <c r="HF91" i="4"/>
  <c r="HC9" i="8"/>
  <c r="HG58" i="4"/>
  <c r="HF59" i="4"/>
  <c r="BR56" i="22"/>
  <c r="BR59" i="22"/>
  <c r="BT88" i="4"/>
  <c r="BQ99" i="22"/>
  <c r="BS108" i="4"/>
  <c r="BS114" i="4"/>
  <c r="BQ9" i="25"/>
  <c r="HF92" i="4"/>
  <c r="HD9" i="24"/>
  <c r="U17" i="24" s="1"/>
  <c r="HF113" i="4"/>
  <c r="HG138" i="4"/>
  <c r="HG139" i="4"/>
  <c r="HG91" i="4"/>
  <c r="HD9" i="8"/>
  <c r="HH58" i="4"/>
  <c r="HG59" i="4"/>
  <c r="BR103" i="22"/>
  <c r="BT110" i="4"/>
  <c r="BR100" i="22"/>
  <c r="BT87" i="4"/>
  <c r="BR57" i="22"/>
  <c r="HF114" i="4"/>
  <c r="HD9" i="25"/>
  <c r="U17" i="25" s="1"/>
  <c r="HG92" i="4"/>
  <c r="HE9" i="24"/>
  <c r="HG113" i="4"/>
  <c r="HG114" i="4"/>
  <c r="HE9" i="25"/>
  <c r="HH138" i="4"/>
  <c r="HH139" i="4"/>
  <c r="HH91" i="4"/>
  <c r="HE9" i="8"/>
  <c r="HI58" i="4"/>
  <c r="HH59" i="4"/>
  <c r="BT109" i="4"/>
  <c r="BR101" i="22"/>
  <c r="BT86" i="4"/>
  <c r="BT92" i="4"/>
  <c r="BR9" i="24"/>
  <c r="BR55" i="22"/>
  <c r="HH92" i="4"/>
  <c r="HF9" i="24"/>
  <c r="HH113" i="4"/>
  <c r="HH114" i="4"/>
  <c r="HF9" i="25"/>
  <c r="HI138" i="4"/>
  <c r="HI139" i="4"/>
  <c r="HI91" i="4"/>
  <c r="HF9" i="8"/>
  <c r="HJ58" i="4"/>
  <c r="HI59" i="4"/>
  <c r="BS56" i="22"/>
  <c r="BS59" i="22"/>
  <c r="BU88" i="4"/>
  <c r="BT108" i="4"/>
  <c r="BT114" i="4"/>
  <c r="BR9" i="25"/>
  <c r="BR99" i="22"/>
  <c r="HI92" i="4"/>
  <c r="HG9" i="24"/>
  <c r="HI113" i="4"/>
  <c r="HI114" i="4"/>
  <c r="HG9" i="25"/>
  <c r="HJ138" i="4"/>
  <c r="HJ139" i="4"/>
  <c r="HJ91" i="4"/>
  <c r="HG9" i="8"/>
  <c r="HK58" i="4"/>
  <c r="HJ59" i="4"/>
  <c r="BS103" i="22"/>
  <c r="BU110" i="4"/>
  <c r="BS100" i="22"/>
  <c r="BS57" i="22"/>
  <c r="BU87" i="4"/>
  <c r="HJ92" i="4"/>
  <c r="HH9" i="24"/>
  <c r="HJ113" i="4"/>
  <c r="HJ114" i="4"/>
  <c r="HH9" i="25"/>
  <c r="HK138" i="4"/>
  <c r="HK139" i="4"/>
  <c r="HK91" i="4"/>
  <c r="HH9" i="8"/>
  <c r="HL58" i="4"/>
  <c r="HK59" i="4"/>
  <c r="BU86" i="4"/>
  <c r="BU92" i="4"/>
  <c r="BS9" i="24"/>
  <c r="BS55" i="22"/>
  <c r="BS101" i="22"/>
  <c r="BU109" i="4"/>
  <c r="HK92" i="4"/>
  <c r="HI9" i="24"/>
  <c r="HK113" i="4"/>
  <c r="HK114" i="4"/>
  <c r="HI9" i="25"/>
  <c r="HL138" i="4"/>
  <c r="HL139" i="4"/>
  <c r="HL91" i="4"/>
  <c r="HI9" i="8"/>
  <c r="HM58" i="4"/>
  <c r="HL59" i="4"/>
  <c r="BU108" i="4"/>
  <c r="BU114" i="4"/>
  <c r="BS9" i="25"/>
  <c r="BS99" i="22"/>
  <c r="BT56" i="22"/>
  <c r="BT59" i="22"/>
  <c r="BV88" i="4"/>
  <c r="HL92" i="4"/>
  <c r="HJ9" i="24"/>
  <c r="HL113" i="4"/>
  <c r="HL114" i="4"/>
  <c r="HJ9" i="25"/>
  <c r="HM138" i="4"/>
  <c r="HM139" i="4"/>
  <c r="HM91" i="4"/>
  <c r="HJ9" i="8"/>
  <c r="HN58" i="4"/>
  <c r="HM59" i="4"/>
  <c r="BT57" i="22"/>
  <c r="BV87" i="4"/>
  <c r="BT103" i="22"/>
  <c r="BV110" i="4"/>
  <c r="BT100" i="22"/>
  <c r="HM92" i="4"/>
  <c r="HK9" i="24"/>
  <c r="HM113" i="4"/>
  <c r="HM114" i="4"/>
  <c r="HK9" i="25"/>
  <c r="HN138" i="4"/>
  <c r="HN139" i="4"/>
  <c r="HN91" i="4"/>
  <c r="HK9" i="8"/>
  <c r="HO58" i="4"/>
  <c r="HN59" i="4"/>
  <c r="BT101" i="22"/>
  <c r="BV109" i="4"/>
  <c r="BT55" i="22"/>
  <c r="BV86" i="4"/>
  <c r="BV92" i="4"/>
  <c r="BT9" i="24"/>
  <c r="HN92" i="4"/>
  <c r="HL9" i="24"/>
  <c r="HN113" i="4"/>
  <c r="HN114" i="4"/>
  <c r="HL9" i="25"/>
  <c r="HO138" i="4"/>
  <c r="HO139" i="4"/>
  <c r="HO91" i="4"/>
  <c r="HL9" i="8"/>
  <c r="HP58" i="4"/>
  <c r="HO59" i="4"/>
  <c r="BU56" i="22"/>
  <c r="BU59" i="22"/>
  <c r="BW88" i="4"/>
  <c r="BT99" i="22"/>
  <c r="BV108" i="4"/>
  <c r="BV114" i="4"/>
  <c r="BT9" i="25"/>
  <c r="HO92" i="4"/>
  <c r="HM9" i="24"/>
  <c r="HO113" i="4"/>
  <c r="HO114" i="4"/>
  <c r="HM9" i="25"/>
  <c r="HP138" i="4"/>
  <c r="HP139" i="4"/>
  <c r="HP91" i="4"/>
  <c r="HM9" i="8"/>
  <c r="HQ58" i="4"/>
  <c r="HP59" i="4"/>
  <c r="BU100" i="22"/>
  <c r="BU103" i="22"/>
  <c r="BW110" i="4"/>
  <c r="BW87" i="4"/>
  <c r="BU57" i="22"/>
  <c r="HP92" i="4"/>
  <c r="HN9" i="24"/>
  <c r="HP113" i="4"/>
  <c r="HP114" i="4"/>
  <c r="HN9" i="25"/>
  <c r="HQ138" i="4"/>
  <c r="HQ139" i="4"/>
  <c r="HQ91" i="4"/>
  <c r="HN9" i="8"/>
  <c r="HR58" i="4"/>
  <c r="HQ59" i="4"/>
  <c r="BU55" i="22"/>
  <c r="BW86" i="4"/>
  <c r="BW92" i="4"/>
  <c r="BU9" i="24"/>
  <c r="BW109" i="4"/>
  <c r="BU101" i="22"/>
  <c r="E103" i="4"/>
  <c r="F103" i="4"/>
  <c r="G103" i="4"/>
  <c r="H103" i="4"/>
  <c r="I103" i="4"/>
  <c r="J103" i="4"/>
  <c r="E102" i="4"/>
  <c r="F102" i="4"/>
  <c r="G102" i="4"/>
  <c r="H102" i="4"/>
  <c r="I102" i="4"/>
  <c r="J102" i="4"/>
  <c r="HQ92" i="4"/>
  <c r="HO9" i="24"/>
  <c r="HQ113" i="4"/>
  <c r="HQ114" i="4"/>
  <c r="HO9" i="25"/>
  <c r="HR138" i="4"/>
  <c r="HR139" i="4"/>
  <c r="HR91" i="4"/>
  <c r="HO9" i="8"/>
  <c r="HS58" i="4"/>
  <c r="HR59" i="4"/>
  <c r="BU99" i="22"/>
  <c r="BW108" i="4"/>
  <c r="BW114" i="4"/>
  <c r="BU9" i="25"/>
  <c r="BV56" i="22"/>
  <c r="BV59" i="22"/>
  <c r="G98" i="4"/>
  <c r="G97" i="4" s="1"/>
  <c r="H98" i="4"/>
  <c r="H97" i="4" s="1"/>
  <c r="I98" i="4"/>
  <c r="I97" i="4" s="1"/>
  <c r="J98" i="4"/>
  <c r="J97" i="4" s="1"/>
  <c r="HR92" i="4"/>
  <c r="HP9" i="24"/>
  <c r="HR113" i="4"/>
  <c r="HS138" i="4"/>
  <c r="HS139" i="4"/>
  <c r="HS91" i="4"/>
  <c r="HP9" i="8"/>
  <c r="HT58" i="4"/>
  <c r="HS59" i="4"/>
  <c r="B64" i="22"/>
  <c r="BX88" i="4"/>
  <c r="BX87" i="4"/>
  <c r="BV57" i="22"/>
  <c r="B63" i="22"/>
  <c r="BV103" i="22"/>
  <c r="BX110" i="4"/>
  <c r="BV100" i="22"/>
  <c r="HR114" i="4"/>
  <c r="HP9" i="25"/>
  <c r="HS92" i="4"/>
  <c r="HQ9" i="24"/>
  <c r="HS113" i="4"/>
  <c r="HS114" i="4"/>
  <c r="HQ9" i="25"/>
  <c r="HT138" i="4"/>
  <c r="HT139" i="4"/>
  <c r="HT91" i="4"/>
  <c r="HU58" i="4"/>
  <c r="HT59" i="4"/>
  <c r="HQ9" i="8"/>
  <c r="B62" i="22"/>
  <c r="BX86" i="4"/>
  <c r="BV55" i="22"/>
  <c r="B88" i="4"/>
  <c r="K103" i="4"/>
  <c r="BV101" i="22"/>
  <c r="BX109" i="4"/>
  <c r="B87" i="4"/>
  <c r="K102" i="4"/>
  <c r="HT92" i="4"/>
  <c r="HR9" i="24"/>
  <c r="HT113" i="4"/>
  <c r="HU138" i="4"/>
  <c r="HU139" i="4"/>
  <c r="HU91" i="4"/>
  <c r="HR9" i="8"/>
  <c r="HV58" i="4"/>
  <c r="HU59" i="4"/>
  <c r="BX108" i="4"/>
  <c r="BX114" i="4"/>
  <c r="BV9" i="25"/>
  <c r="BV99" i="22"/>
  <c r="B86" i="4"/>
  <c r="BX92" i="4"/>
  <c r="K98" i="4"/>
  <c r="K97" i="4" s="1"/>
  <c r="HT114" i="4"/>
  <c r="HR9" i="25"/>
  <c r="HU92" i="4"/>
  <c r="HS9" i="24"/>
  <c r="HU113" i="4"/>
  <c r="HU114" i="4"/>
  <c r="HS9" i="25"/>
  <c r="HV138" i="4"/>
  <c r="HV139" i="4"/>
  <c r="HV91" i="4"/>
  <c r="HS9" i="8"/>
  <c r="HW58" i="4"/>
  <c r="HV59" i="4"/>
  <c r="BV9" i="24"/>
  <c r="B92" i="4"/>
  <c r="C86" i="4"/>
  <c r="BW100" i="22"/>
  <c r="BW103" i="22"/>
  <c r="BY110" i="4"/>
  <c r="HV92" i="4"/>
  <c r="HT9" i="24"/>
  <c r="HV113" i="4"/>
  <c r="HV114" i="4"/>
  <c r="HT9" i="25"/>
  <c r="HW138" i="4"/>
  <c r="HW139" i="4"/>
  <c r="HW91" i="4"/>
  <c r="HT9" i="8"/>
  <c r="HX58" i="4"/>
  <c r="HW59" i="4"/>
  <c r="BW101" i="22"/>
  <c r="BY109" i="4"/>
  <c r="C89" i="4"/>
  <c r="C90" i="4"/>
  <c r="C91" i="4"/>
  <c r="C88" i="4"/>
  <c r="C87" i="4"/>
  <c r="HW92" i="4"/>
  <c r="HU9" i="24"/>
  <c r="HW113" i="4"/>
  <c r="HW114" i="4"/>
  <c r="HU9" i="25"/>
  <c r="HX138" i="4"/>
  <c r="HX139" i="4"/>
  <c r="HX91" i="4"/>
  <c r="HU9" i="8"/>
  <c r="HY58" i="4"/>
  <c r="HX59" i="4"/>
  <c r="BW99" i="22"/>
  <c r="BY108" i="4"/>
  <c r="BY114" i="4"/>
  <c r="BW9" i="25"/>
  <c r="HX92" i="4"/>
  <c r="HV9" i="24"/>
  <c r="HX113" i="4"/>
  <c r="HX114" i="4"/>
  <c r="HV9" i="25"/>
  <c r="HY138" i="4"/>
  <c r="HY139" i="4"/>
  <c r="HY91" i="4"/>
  <c r="HV9" i="8"/>
  <c r="HZ58" i="4"/>
  <c r="HY59" i="4"/>
  <c r="BX100" i="22"/>
  <c r="BX103" i="22"/>
  <c r="BZ110" i="4"/>
  <c r="HY92" i="4"/>
  <c r="HW9" i="24"/>
  <c r="HY113" i="4"/>
  <c r="HY114" i="4"/>
  <c r="HW9" i="25"/>
  <c r="HZ138" i="4"/>
  <c r="HZ139" i="4"/>
  <c r="HZ91" i="4"/>
  <c r="HW9" i="8"/>
  <c r="IA58" i="4"/>
  <c r="HZ59" i="4"/>
  <c r="BZ109" i="4"/>
  <c r="BX101" i="22"/>
  <c r="HZ92" i="4"/>
  <c r="HX9" i="24"/>
  <c r="HZ113" i="4"/>
  <c r="HZ114" i="4"/>
  <c r="HX9" i="25"/>
  <c r="IA138" i="4"/>
  <c r="IA139" i="4"/>
  <c r="IA91" i="4"/>
  <c r="HX9" i="8"/>
  <c r="IB58" i="4"/>
  <c r="IA59" i="4"/>
  <c r="BZ108" i="4"/>
  <c r="BZ114" i="4"/>
  <c r="BX9" i="25"/>
  <c r="BX99" i="22"/>
  <c r="IA92" i="4"/>
  <c r="HY9" i="24"/>
  <c r="IA113" i="4"/>
  <c r="IA114" i="4"/>
  <c r="HY9" i="25"/>
  <c r="IB138" i="4"/>
  <c r="IB139" i="4"/>
  <c r="IB91" i="4"/>
  <c r="HY9" i="8"/>
  <c r="IC58" i="4"/>
  <c r="IB59" i="4"/>
  <c r="BY103" i="22"/>
  <c r="CA110" i="4"/>
  <c r="BY100" i="22"/>
  <c r="IB92" i="4"/>
  <c r="HZ9" i="24"/>
  <c r="IB113" i="4"/>
  <c r="IB114" i="4"/>
  <c r="HZ9" i="25"/>
  <c r="IC138" i="4"/>
  <c r="IC139" i="4"/>
  <c r="IC91" i="4"/>
  <c r="HZ9" i="8"/>
  <c r="ID58" i="4"/>
  <c r="IC59" i="4"/>
  <c r="CA109" i="4"/>
  <c r="BY101" i="22"/>
  <c r="IC92" i="4"/>
  <c r="IA9" i="24"/>
  <c r="IC113" i="4"/>
  <c r="IC114" i="4"/>
  <c r="IA9" i="25"/>
  <c r="ID138" i="4"/>
  <c r="ID139" i="4"/>
  <c r="ID91" i="4"/>
  <c r="IA9" i="8"/>
  <c r="IE58" i="4"/>
  <c r="ID59" i="4"/>
  <c r="CA108" i="4"/>
  <c r="CA114" i="4"/>
  <c r="BY9" i="25"/>
  <c r="BY99" i="22"/>
  <c r="ID92" i="4"/>
  <c r="IB9" i="24"/>
  <c r="W17" i="24" s="1"/>
  <c r="ID113" i="4"/>
  <c r="IE138" i="4"/>
  <c r="IE139" i="4"/>
  <c r="IE91" i="4"/>
  <c r="IB9" i="8"/>
  <c r="IF58" i="4"/>
  <c r="IE59" i="4"/>
  <c r="BZ100" i="22"/>
  <c r="BZ103" i="22"/>
  <c r="CB110" i="4"/>
  <c r="ID114" i="4"/>
  <c r="IB9" i="25"/>
  <c r="IE92" i="4"/>
  <c r="IC9" i="24"/>
  <c r="IE113" i="4"/>
  <c r="IE114" i="4"/>
  <c r="IC9" i="25"/>
  <c r="IF138" i="4"/>
  <c r="IF139" i="4"/>
  <c r="IF91" i="4"/>
  <c r="IC9" i="8"/>
  <c r="IG58" i="4"/>
  <c r="IF59" i="4"/>
  <c r="BZ101" i="22"/>
  <c r="CB109" i="4"/>
  <c r="IF92" i="4"/>
  <c r="ID9" i="24"/>
  <c r="IF113" i="4"/>
  <c r="IG138" i="4"/>
  <c r="IG139" i="4"/>
  <c r="IG91" i="4"/>
  <c r="ID9" i="8"/>
  <c r="IH58" i="4"/>
  <c r="IH91" i="4"/>
  <c r="IG59" i="4"/>
  <c r="CB108" i="4"/>
  <c r="CB114" i="4"/>
  <c r="BZ9" i="25"/>
  <c r="BZ99" i="22"/>
  <c r="IF114" i="4"/>
  <c r="ID9" i="25"/>
  <c r="IH92" i="4"/>
  <c r="IF9" i="24"/>
  <c r="IH113" i="4"/>
  <c r="IH114" i="4"/>
  <c r="IF9" i="25"/>
  <c r="IG92" i="4"/>
  <c r="IE9" i="24"/>
  <c r="IG113" i="4"/>
  <c r="IG114" i="4"/>
  <c r="IE9" i="25"/>
  <c r="IH138" i="4"/>
  <c r="IH139" i="4"/>
  <c r="IH59" i="4"/>
  <c r="IE9" i="8"/>
  <c r="II58" i="4"/>
  <c r="CA103" i="22"/>
  <c r="CC110" i="4"/>
  <c r="CA100" i="22"/>
  <c r="II138" i="4"/>
  <c r="II139" i="4"/>
  <c r="II91" i="4"/>
  <c r="IF9" i="8"/>
  <c r="IJ58" i="4"/>
  <c r="IK58" i="4"/>
  <c r="II59" i="4"/>
  <c r="IK91" i="4"/>
  <c r="IK92" i="4"/>
  <c r="IL58" i="4"/>
  <c r="IK59" i="4"/>
  <c r="CA101" i="22"/>
  <c r="CC109" i="4"/>
  <c r="IJ91" i="4"/>
  <c r="IJ92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II92" i="4"/>
  <c r="IG9" i="24"/>
  <c r="II113" i="4"/>
  <c r="IJ59" i="4"/>
  <c r="IH9" i="8"/>
  <c r="B25" i="8"/>
  <c r="IJ138" i="4"/>
  <c r="IG9" i="8"/>
  <c r="P65" i="4"/>
  <c r="P67" i="4" s="1"/>
  <c r="Q65" i="4"/>
  <c r="Q67" i="4" s="1"/>
  <c r="R65" i="4"/>
  <c r="R67" i="4" s="1"/>
  <c r="T65" i="4"/>
  <c r="U65" i="4"/>
  <c r="V65" i="4"/>
  <c r="V67" i="4" s="1"/>
  <c r="W65" i="4"/>
  <c r="IL91" i="4"/>
  <c r="IL92" i="4"/>
  <c r="IM58" i="4"/>
  <c r="IL59" i="4"/>
  <c r="CC108" i="4"/>
  <c r="CC114" i="4"/>
  <c r="CA9" i="25"/>
  <c r="I17" i="25"/>
  <c r="CA99" i="22"/>
  <c r="II114" i="4"/>
  <c r="IG9" i="25"/>
  <c r="IJ113" i="4"/>
  <c r="Y123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IH9" i="24"/>
  <c r="S65" i="4"/>
  <c r="S67" i="4" s="1"/>
  <c r="X65" i="4"/>
  <c r="X67" i="4" s="1"/>
  <c r="IJ139" i="4"/>
  <c r="E145" i="4"/>
  <c r="E149" i="4"/>
  <c r="P149" i="4"/>
  <c r="Q149" i="4"/>
  <c r="R149" i="4"/>
  <c r="S149" i="4"/>
  <c r="T149" i="4"/>
  <c r="U149" i="4"/>
  <c r="V149" i="4"/>
  <c r="W149" i="4"/>
  <c r="X149" i="4"/>
  <c r="Y149" i="4"/>
  <c r="M17" i="8"/>
  <c r="N17" i="8"/>
  <c r="P17" i="8"/>
  <c r="S17" i="8"/>
  <c r="T17" i="8"/>
  <c r="U17" i="8"/>
  <c r="V17" i="8"/>
  <c r="W17" i="8"/>
  <c r="IN58" i="4"/>
  <c r="IM91" i="4"/>
  <c r="IM59" i="4"/>
  <c r="CB100" i="22"/>
  <c r="CB103" i="22"/>
  <c r="CD110" i="4"/>
  <c r="IJ114" i="4"/>
  <c r="IH9" i="25"/>
  <c r="W17" i="25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K17" i="25"/>
  <c r="L17" i="25"/>
  <c r="M17" i="25"/>
  <c r="N17" i="25"/>
  <c r="Q17" i="25"/>
  <c r="R17" i="25"/>
  <c r="V17" i="25"/>
  <c r="D17" i="24"/>
  <c r="F17" i="24"/>
  <c r="H17" i="24"/>
  <c r="I17" i="24"/>
  <c r="J17" i="24"/>
  <c r="K17" i="24"/>
  <c r="L17" i="24"/>
  <c r="Q17" i="24"/>
  <c r="R17" i="24"/>
  <c r="V17" i="24"/>
  <c r="E151" i="4"/>
  <c r="O145" i="4"/>
  <c r="O151" i="4"/>
  <c r="P145" i="4"/>
  <c r="P151" i="4"/>
  <c r="Q145" i="4"/>
  <c r="Q151" i="4"/>
  <c r="R145" i="4"/>
  <c r="R151" i="4"/>
  <c r="S145" i="4"/>
  <c r="S151" i="4"/>
  <c r="T145" i="4"/>
  <c r="T151" i="4"/>
  <c r="U145" i="4"/>
  <c r="U151" i="4"/>
  <c r="V145" i="4"/>
  <c r="V151" i="4"/>
  <c r="W145" i="4"/>
  <c r="W151" i="4"/>
  <c r="X145" i="4"/>
  <c r="X151" i="4"/>
  <c r="Y145" i="4"/>
  <c r="Y151" i="4"/>
  <c r="IM92" i="4"/>
  <c r="IN91" i="4"/>
  <c r="IN92" i="4"/>
  <c r="IO58" i="4"/>
  <c r="IN59" i="4"/>
  <c r="C7" i="23"/>
  <c r="C5" i="24"/>
  <c r="CB101" i="22"/>
  <c r="CD109" i="4"/>
  <c r="C25" i="24"/>
  <c r="B25" i="24"/>
  <c r="C34" i="8"/>
  <c r="C7" i="13"/>
  <c r="B92" i="11"/>
  <c r="B10" i="11"/>
  <c r="B6" i="44" s="1"/>
  <c r="B56" i="11"/>
  <c r="IO91" i="4"/>
  <c r="IO59" i="4"/>
  <c r="Y79" i="4"/>
  <c r="D7" i="23"/>
  <c r="D5" i="24"/>
  <c r="C34" i="24"/>
  <c r="D5" i="33"/>
  <c r="D5" i="34"/>
  <c r="E8" i="27"/>
  <c r="E12" i="27"/>
  <c r="E13" i="27"/>
  <c r="CD108" i="4"/>
  <c r="CD114" i="4"/>
  <c r="CB9" i="25"/>
  <c r="J17" i="25" s="1"/>
  <c r="CB99" i="22"/>
  <c r="D7" i="7"/>
  <c r="D5" i="8"/>
  <c r="C33" i="7"/>
  <c r="C38" i="7"/>
  <c r="C39" i="7"/>
  <c r="Y65" i="4"/>
  <c r="Y67" i="4" s="1"/>
  <c r="IO92" i="4"/>
  <c r="Y101" i="4"/>
  <c r="E5" i="24"/>
  <c r="E7" i="23"/>
  <c r="E5" i="34"/>
  <c r="E5" i="33"/>
  <c r="F8" i="27"/>
  <c r="F12" i="27"/>
  <c r="F13" i="27"/>
  <c r="CC103" i="22"/>
  <c r="CE110" i="4"/>
  <c r="CC100" i="22"/>
  <c r="E7" i="7"/>
  <c r="E5" i="8"/>
  <c r="D38" i="7"/>
  <c r="D39" i="7"/>
  <c r="F7" i="23"/>
  <c r="F5" i="24"/>
  <c r="F5" i="34"/>
  <c r="F5" i="33"/>
  <c r="G8" i="27"/>
  <c r="G12" i="27"/>
  <c r="G13" i="27"/>
  <c r="CE109" i="4"/>
  <c r="CC101" i="22"/>
  <c r="F5" i="8"/>
  <c r="E33" i="7"/>
  <c r="F7" i="7"/>
  <c r="G5" i="24"/>
  <c r="G7" i="23"/>
  <c r="E38" i="7"/>
  <c r="E39" i="7"/>
  <c r="G5" i="33"/>
  <c r="G5" i="34"/>
  <c r="C16" i="27"/>
  <c r="C49" i="27" s="1"/>
  <c r="H8" i="27"/>
  <c r="CE108" i="4"/>
  <c r="CE114" i="4"/>
  <c r="CC9" i="25"/>
  <c r="CC99" i="22"/>
  <c r="C17" i="10"/>
  <c r="G7" i="7"/>
  <c r="G5" i="8"/>
  <c r="F33" i="7"/>
  <c r="F38" i="7"/>
  <c r="F39" i="7"/>
  <c r="C36" i="7"/>
  <c r="H5" i="33"/>
  <c r="H5" i="34"/>
  <c r="D54" i="27"/>
  <c r="D56" i="27"/>
  <c r="H12" i="27"/>
  <c r="H13" i="27"/>
  <c r="I8" i="27"/>
  <c r="E54" i="27"/>
  <c r="E56" i="27"/>
  <c r="CD100" i="22"/>
  <c r="CD103" i="22"/>
  <c r="CF110" i="4"/>
  <c r="H5" i="8"/>
  <c r="H7" i="7"/>
  <c r="D15" i="14"/>
  <c r="D16" i="14"/>
  <c r="C15" i="14"/>
  <c r="C16" i="14"/>
  <c r="G33" i="7"/>
  <c r="G38" i="7"/>
  <c r="G39" i="7"/>
  <c r="D17" i="14"/>
  <c r="I13" i="27"/>
  <c r="CD101" i="22"/>
  <c r="CF109" i="4"/>
  <c r="C42" i="7"/>
  <c r="C43" i="7"/>
  <c r="H33" i="7"/>
  <c r="H38" i="7"/>
  <c r="H39" i="7"/>
  <c r="I33" i="7"/>
  <c r="I38" i="7"/>
  <c r="J33" i="7"/>
  <c r="C17" i="14"/>
  <c r="CF108" i="4"/>
  <c r="CF114" i="4"/>
  <c r="CD9" i="25"/>
  <c r="CD99" i="22"/>
  <c r="I39" i="7"/>
  <c r="CE103" i="22"/>
  <c r="CG110" i="4"/>
  <c r="CE100" i="22"/>
  <c r="J38" i="7"/>
  <c r="J39" i="7"/>
  <c r="K39" i="46"/>
  <c r="L39" i="46"/>
  <c r="CE101" i="22"/>
  <c r="CG109" i="4"/>
  <c r="M39" i="46"/>
  <c r="CG108" i="4"/>
  <c r="CG114" i="4"/>
  <c r="CE9" i="25"/>
  <c r="CE99" i="22"/>
  <c r="N39" i="46"/>
  <c r="CF100" i="22"/>
  <c r="CF103" i="22"/>
  <c r="CH110" i="4"/>
  <c r="CH109" i="4"/>
  <c r="CF101" i="22"/>
  <c r="CH108" i="4"/>
  <c r="CH114" i="4"/>
  <c r="CF9" i="25"/>
  <c r="CF99" i="22"/>
  <c r="CG103" i="22"/>
  <c r="CI110" i="4"/>
  <c r="CG100" i="22"/>
  <c r="CI109" i="4"/>
  <c r="CG101" i="22"/>
  <c r="CI108" i="4"/>
  <c r="CI114" i="4"/>
  <c r="CG9" i="25"/>
  <c r="CG99" i="22"/>
  <c r="CH103" i="22"/>
  <c r="CH100" i="22"/>
  <c r="E125" i="4"/>
  <c r="F125" i="4"/>
  <c r="G125" i="4"/>
  <c r="H125" i="4"/>
  <c r="I125" i="4"/>
  <c r="J125" i="4"/>
  <c r="K125" i="4"/>
  <c r="F124" i="4"/>
  <c r="G124" i="4"/>
  <c r="H124" i="4"/>
  <c r="I124" i="4"/>
  <c r="J124" i="4"/>
  <c r="K124" i="4"/>
  <c r="CH101" i="22"/>
  <c r="B107" i="22"/>
  <c r="CJ109" i="4"/>
  <c r="B108" i="22"/>
  <c r="CJ110" i="4"/>
  <c r="F120" i="4"/>
  <c r="F119" i="4" s="1"/>
  <c r="G120" i="4"/>
  <c r="G119" i="4" s="1"/>
  <c r="H120" i="4"/>
  <c r="H119" i="4" s="1"/>
  <c r="I120" i="4"/>
  <c r="I119" i="4" s="1"/>
  <c r="J120" i="4"/>
  <c r="J119" i="4" s="1"/>
  <c r="K120" i="4"/>
  <c r="K119" i="4" s="1"/>
  <c r="B109" i="4"/>
  <c r="L124" i="4"/>
  <c r="B110" i="4"/>
  <c r="L125" i="4"/>
  <c r="CJ108" i="4"/>
  <c r="B106" i="22"/>
  <c r="CH99" i="22"/>
  <c r="B108" i="4"/>
  <c r="CJ114" i="4"/>
  <c r="L120" i="4"/>
  <c r="L119" i="4" s="1"/>
  <c r="CH9" i="25"/>
  <c r="C25" i="25"/>
  <c r="B114" i="4"/>
  <c r="B25" i="25"/>
  <c r="D25" i="25"/>
  <c r="C109" i="4"/>
  <c r="C111" i="4"/>
  <c r="C112" i="4"/>
  <c r="C110" i="4"/>
  <c r="C113" i="4"/>
  <c r="C108" i="4"/>
  <c r="V69" i="10"/>
  <c r="D7" i="26"/>
  <c r="C7" i="26"/>
  <c r="W69" i="10"/>
  <c r="E7" i="26"/>
  <c r="D5" i="25"/>
  <c r="X69" i="10"/>
  <c r="F7" i="26"/>
  <c r="E5" i="25"/>
  <c r="F5" i="25"/>
  <c r="Y69" i="10"/>
  <c r="G7" i="26"/>
  <c r="C76" i="10"/>
  <c r="G5" i="25"/>
  <c r="C56" i="10"/>
  <c r="H44" i="11"/>
  <c r="F50" i="13"/>
  <c r="Q38" i="46"/>
  <c r="Q9" i="27"/>
  <c r="M55" i="27"/>
  <c r="S9" i="27"/>
  <c r="O55" i="27"/>
  <c r="B31" i="11"/>
  <c r="R38" i="46"/>
  <c r="R9" i="27"/>
  <c r="N55" i="27"/>
  <c r="O38" i="46"/>
  <c r="O39" i="46"/>
  <c r="S38" i="46"/>
  <c r="P38" i="46"/>
  <c r="B15" i="11"/>
  <c r="D42" i="46"/>
  <c r="P39" i="46"/>
  <c r="Q39" i="46"/>
  <c r="R39" i="46"/>
  <c r="S39" i="46"/>
  <c r="D36" i="46"/>
  <c r="P9" i="27"/>
  <c r="F34" i="4"/>
  <c r="F36" i="4" s="1"/>
  <c r="L55" i="27"/>
  <c r="E50" i="13"/>
  <c r="E51" i="13" s="1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C5" i="25"/>
  <c r="C34" i="25"/>
  <c r="C19" i="1"/>
  <c r="D3" i="21"/>
  <c r="D27" i="21" s="1"/>
  <c r="J72" i="21"/>
  <c r="H19" i="13"/>
  <c r="C11" i="14" s="1"/>
  <c r="H16" i="26"/>
  <c r="I17" i="26" s="1"/>
  <c r="I19" i="26" s="1"/>
  <c r="H16" i="23"/>
  <c r="I17" i="23" s="1"/>
  <c r="X69" i="21"/>
  <c r="X62" i="21" s="1"/>
  <c r="I18" i="26"/>
  <c r="X49" i="21"/>
  <c r="X46" i="21"/>
  <c r="X54" i="21"/>
  <c r="X66" i="21"/>
  <c r="X58" i="21"/>
  <c r="X61" i="21"/>
  <c r="H4" i="52"/>
  <c r="I4" i="52"/>
  <c r="D24" i="21"/>
  <c r="D16" i="21"/>
  <c r="D18" i="21"/>
  <c r="D20" i="21"/>
  <c r="D22" i="21"/>
  <c r="D21" i="21"/>
  <c r="D14" i="21"/>
  <c r="D26" i="21"/>
  <c r="D12" i="21"/>
  <c r="B30" i="21"/>
  <c r="D10" i="21"/>
  <c r="D23" i="21"/>
  <c r="D13" i="21"/>
  <c r="D28" i="21"/>
  <c r="D15" i="21"/>
  <c r="D19" i="21"/>
  <c r="D9" i="21"/>
  <c r="D17" i="21"/>
  <c r="D29" i="21"/>
  <c r="D8" i="21"/>
  <c r="N7" i="1"/>
  <c r="AA6" i="1"/>
  <c r="AB6" i="1" s="1"/>
  <c r="B2" i="54"/>
  <c r="B4" i="54"/>
  <c r="D7" i="20"/>
  <c r="D5" i="20"/>
  <c r="D4" i="20"/>
  <c r="D8" i="20"/>
  <c r="D3" i="20"/>
  <c r="G26" i="54"/>
  <c r="C3" i="54"/>
  <c r="U9" i="45"/>
  <c r="Q55" i="45" s="1"/>
  <c r="V9" i="45"/>
  <c r="E3" i="20"/>
  <c r="D6" i="20"/>
  <c r="D9" i="20"/>
  <c r="C7" i="54"/>
  <c r="F3" i="54"/>
  <c r="F10" i="54"/>
  <c r="F7" i="54"/>
  <c r="F19" i="54"/>
  <c r="G19" i="54"/>
  <c r="F18" i="54"/>
  <c r="G18" i="54"/>
  <c r="F14" i="54"/>
  <c r="G14" i="54"/>
  <c r="F13" i="54"/>
  <c r="G13" i="54"/>
  <c r="G10" i="54"/>
  <c r="F15" i="54"/>
  <c r="G15" i="54"/>
  <c r="F20" i="54"/>
  <c r="G20" i="54"/>
  <c r="F23" i="54"/>
  <c r="G23" i="54"/>
  <c r="G25" i="54"/>
  <c r="G27" i="54"/>
  <c r="K142" i="57"/>
  <c r="V46" i="13"/>
  <c r="D4" i="31"/>
  <c r="D4" i="32"/>
  <c r="U46" i="13"/>
  <c r="U47" i="13" s="1"/>
  <c r="T46" i="13"/>
  <c r="T47" i="13"/>
  <c r="V9" i="27"/>
  <c r="C120" i="27"/>
  <c r="U9" i="27"/>
  <c r="Q55" i="27"/>
  <c r="C121" i="27"/>
  <c r="T9" i="27"/>
  <c r="P55" i="27" s="1"/>
  <c r="Y119" i="4" l="1"/>
  <c r="P97" i="4"/>
  <c r="P104" i="4" s="1"/>
  <c r="R97" i="4"/>
  <c r="R104" i="4" s="1"/>
  <c r="P75" i="4"/>
  <c r="P82" i="4" s="1"/>
  <c r="C20" i="52"/>
  <c r="C18" i="52"/>
  <c r="C19" i="52"/>
  <c r="H6" i="52"/>
  <c r="E6" i="52"/>
  <c r="C21" i="52"/>
  <c r="C22" i="52"/>
  <c r="E7" i="52" s="1"/>
  <c r="K139" i="57"/>
  <c r="L139" i="57" s="1"/>
  <c r="M139" i="57" s="1"/>
  <c r="K137" i="57"/>
  <c r="L137" i="57" s="1"/>
  <c r="M137" i="57" s="1"/>
  <c r="K73" i="57"/>
  <c r="L73" i="57" s="1"/>
  <c r="M73" i="57" s="1"/>
  <c r="K140" i="57"/>
  <c r="L140" i="57" s="1"/>
  <c r="M140" i="57" s="1"/>
  <c r="V47" i="13"/>
  <c r="AQ24" i="4"/>
  <c r="M15" i="11"/>
  <c r="J15" i="11"/>
  <c r="J35" i="11" s="1"/>
  <c r="I15" i="11"/>
  <c r="N15" i="11"/>
  <c r="N35" i="11" s="1"/>
  <c r="K15" i="11"/>
  <c r="R22" i="11"/>
  <c r="J22" i="11"/>
  <c r="O15" i="11"/>
  <c r="P15" i="11"/>
  <c r="L15" i="11"/>
  <c r="O22" i="11"/>
  <c r="O35" i="11" s="1"/>
  <c r="M35" i="11"/>
  <c r="IN24" i="4"/>
  <c r="BQ24" i="4"/>
  <c r="E91" i="11"/>
  <c r="AV24" i="4"/>
  <c r="D53" i="21"/>
  <c r="P22" i="27"/>
  <c r="N19" i="26"/>
  <c r="D52" i="21"/>
  <c r="D63" i="21"/>
  <c r="D67" i="21"/>
  <c r="X57" i="21"/>
  <c r="Y17" i="23"/>
  <c r="Y19" i="23" s="1"/>
  <c r="D45" i="21"/>
  <c r="D51" i="21"/>
  <c r="D61" i="21"/>
  <c r="AM19" i="26"/>
  <c r="D57" i="21"/>
  <c r="AE19" i="23"/>
  <c r="D56" i="21"/>
  <c r="Y18" i="7"/>
  <c r="Y19" i="7" s="1"/>
  <c r="D47" i="21"/>
  <c r="D62" i="21"/>
  <c r="D48" i="21"/>
  <c r="R19" i="7"/>
  <c r="AA18" i="26"/>
  <c r="AA19" i="26" s="1"/>
  <c r="N17" i="7"/>
  <c r="N19" i="7" s="1"/>
  <c r="D49" i="21"/>
  <c r="D50" i="21"/>
  <c r="D55" i="21"/>
  <c r="D25" i="21"/>
  <c r="AR17" i="26"/>
  <c r="AR19" i="26" s="1"/>
  <c r="AL20" i="13"/>
  <c r="AL22" i="13" s="1"/>
  <c r="P62" i="21"/>
  <c r="AN63" i="21"/>
  <c r="O18" i="7"/>
  <c r="O19" i="7" s="1"/>
  <c r="D54" i="21"/>
  <c r="AR67" i="21"/>
  <c r="AL18" i="46"/>
  <c r="AL19" i="46" s="1"/>
  <c r="D11" i="21"/>
  <c r="X67" i="21"/>
  <c r="D6" i="21"/>
  <c r="AE21" i="13"/>
  <c r="AE22" i="13" s="1"/>
  <c r="L18" i="23"/>
  <c r="L19" i="23" s="1"/>
  <c r="D60" i="21"/>
  <c r="AR56" i="21"/>
  <c r="T19" i="26"/>
  <c r="D46" i="21"/>
  <c r="D59" i="21"/>
  <c r="AR62" i="21"/>
  <c r="O19" i="23"/>
  <c r="X47" i="21"/>
  <c r="D7" i="21"/>
  <c r="S18" i="23"/>
  <c r="N19" i="23"/>
  <c r="D66" i="21"/>
  <c r="AF46" i="21"/>
  <c r="X9" i="45"/>
  <c r="C54" i="11"/>
  <c r="T35" i="11"/>
  <c r="E30" i="14"/>
  <c r="W9" i="45"/>
  <c r="C90" i="11"/>
  <c r="S35" i="11"/>
  <c r="K35" i="11"/>
  <c r="K138" i="57"/>
  <c r="L138" i="57" s="1"/>
  <c r="M138" i="57" s="1"/>
  <c r="K71" i="57"/>
  <c r="L71" i="57" s="1"/>
  <c r="M71" i="57" s="1"/>
  <c r="K10" i="57"/>
  <c r="T10" i="57" s="1"/>
  <c r="K13" i="57"/>
  <c r="T13" i="57" s="1"/>
  <c r="K12" i="57"/>
  <c r="T12" i="57" s="1"/>
  <c r="K17" i="57"/>
  <c r="K14" i="57"/>
  <c r="L14" i="57" s="1"/>
  <c r="M14" i="57" s="1"/>
  <c r="K20" i="57"/>
  <c r="K147" i="57"/>
  <c r="L147" i="57" s="1"/>
  <c r="M147" i="57" s="1"/>
  <c r="K21" i="57"/>
  <c r="K18" i="57"/>
  <c r="K25" i="57"/>
  <c r="L25" i="57" s="1"/>
  <c r="M25" i="57" s="1"/>
  <c r="K19" i="57"/>
  <c r="K24" i="57"/>
  <c r="L24" i="57" s="1"/>
  <c r="M24" i="57" s="1"/>
  <c r="K120" i="57"/>
  <c r="L120" i="57" s="1"/>
  <c r="M120" i="57" s="1"/>
  <c r="K129" i="57"/>
  <c r="L129" i="57" s="1"/>
  <c r="M129" i="57" s="1"/>
  <c r="K34" i="57"/>
  <c r="L34" i="57" s="1"/>
  <c r="M34" i="57" s="1"/>
  <c r="K78" i="57"/>
  <c r="L78" i="57" s="1"/>
  <c r="M78" i="57" s="1"/>
  <c r="L134" i="57"/>
  <c r="K51" i="57"/>
  <c r="L51" i="57" s="1"/>
  <c r="M51" i="57" s="1"/>
  <c r="K31" i="57"/>
  <c r="L31" i="57" s="1"/>
  <c r="M31" i="57" s="1"/>
  <c r="K158" i="57"/>
  <c r="L158" i="57" s="1"/>
  <c r="M158" i="57" s="1"/>
  <c r="K96" i="57"/>
  <c r="L96" i="57" s="1"/>
  <c r="M96" i="57" s="1"/>
  <c r="K61" i="57"/>
  <c r="L61" i="57" s="1"/>
  <c r="M61" i="57" s="1"/>
  <c r="K91" i="57"/>
  <c r="L91" i="57" s="1"/>
  <c r="M91" i="57" s="1"/>
  <c r="K55" i="57"/>
  <c r="K126" i="57"/>
  <c r="L126" i="57" s="1"/>
  <c r="M126" i="57" s="1"/>
  <c r="L13" i="57"/>
  <c r="M13" i="57" s="1"/>
  <c r="K23" i="57"/>
  <c r="K15" i="57"/>
  <c r="L15" i="57" s="1"/>
  <c r="M15" i="57" s="1"/>
  <c r="J145" i="57"/>
  <c r="AB145" i="57" s="1"/>
  <c r="U97" i="4"/>
  <c r="U104" i="4" s="1"/>
  <c r="X75" i="4"/>
  <c r="X82" i="4" s="1"/>
  <c r="T97" i="4"/>
  <c r="T104" i="4" s="1"/>
  <c r="S97" i="4"/>
  <c r="S104" i="4" s="1"/>
  <c r="Y126" i="4"/>
  <c r="I136" i="57"/>
  <c r="J136" i="57"/>
  <c r="I41" i="57"/>
  <c r="J46" i="57"/>
  <c r="J41" i="57" s="1"/>
  <c r="AB41" i="57" s="1"/>
  <c r="J34" i="57"/>
  <c r="J30" i="57" s="1"/>
  <c r="AB30" i="57" s="1"/>
  <c r="I30" i="57"/>
  <c r="I26" i="57"/>
  <c r="J28" i="57"/>
  <c r="J26" i="57" s="1"/>
  <c r="AB26" i="57" s="1"/>
  <c r="L145" i="57"/>
  <c r="M146" i="57"/>
  <c r="K49" i="57"/>
  <c r="L49" i="57" s="1"/>
  <c r="M49" i="57" s="1"/>
  <c r="K112" i="57"/>
  <c r="L112" i="57" s="1"/>
  <c r="M112" i="57" s="1"/>
  <c r="K76" i="57"/>
  <c r="L76" i="57" s="1"/>
  <c r="M76" i="57" s="1"/>
  <c r="K93" i="57"/>
  <c r="L93" i="57" s="1"/>
  <c r="M93" i="57" s="1"/>
  <c r="K98" i="57"/>
  <c r="L98" i="57" s="1"/>
  <c r="M98" i="57" s="1"/>
  <c r="K121" i="57"/>
  <c r="L121" i="57" s="1"/>
  <c r="M121" i="57" s="1"/>
  <c r="K56" i="57"/>
  <c r="K43" i="57"/>
  <c r="L43" i="57" s="1"/>
  <c r="M43" i="57" s="1"/>
  <c r="K39" i="57"/>
  <c r="L39" i="57" s="1"/>
  <c r="M39" i="57" s="1"/>
  <c r="K75" i="57"/>
  <c r="L75" i="57" s="1"/>
  <c r="M75" i="57" s="1"/>
  <c r="K95" i="57"/>
  <c r="L95" i="57" s="1"/>
  <c r="M95" i="57" s="1"/>
  <c r="K66" i="57"/>
  <c r="L66" i="57" s="1"/>
  <c r="M66" i="57" s="1"/>
  <c r="K28" i="57"/>
  <c r="L28" i="57" s="1"/>
  <c r="M28" i="57" s="1"/>
  <c r="K104" i="57"/>
  <c r="L104" i="57" s="1"/>
  <c r="M104" i="57" s="1"/>
  <c r="K122" i="57"/>
  <c r="L122" i="57" s="1"/>
  <c r="M122" i="57" s="1"/>
  <c r="K46" i="57"/>
  <c r="L46" i="57" s="1"/>
  <c r="M46" i="57" s="1"/>
  <c r="K101" i="57"/>
  <c r="L101" i="57" s="1"/>
  <c r="M101" i="57" s="1"/>
  <c r="K67" i="57"/>
  <c r="L67" i="57" s="1"/>
  <c r="M67" i="57" s="1"/>
  <c r="K72" i="57"/>
  <c r="L72" i="57" s="1"/>
  <c r="M72" i="57" s="1"/>
  <c r="K32" i="57"/>
  <c r="L32" i="57" s="1"/>
  <c r="M32" i="57" s="1"/>
  <c r="K58" i="57"/>
  <c r="L58" i="57" s="1"/>
  <c r="M58" i="57" s="1"/>
  <c r="K116" i="57"/>
  <c r="L116" i="57" s="1"/>
  <c r="M116" i="57" s="1"/>
  <c r="K79" i="57"/>
  <c r="L79" i="57" s="1"/>
  <c r="M79" i="57" s="1"/>
  <c r="K88" i="57"/>
  <c r="L88" i="57" s="1"/>
  <c r="M88" i="57" s="1"/>
  <c r="K48" i="57"/>
  <c r="L48" i="57" s="1"/>
  <c r="M48" i="57" s="1"/>
  <c r="K59" i="57"/>
  <c r="L59" i="57" s="1"/>
  <c r="M59" i="57" s="1"/>
  <c r="K110" i="57"/>
  <c r="L110" i="57" s="1"/>
  <c r="M110" i="57" s="1"/>
  <c r="K64" i="57"/>
  <c r="K52" i="57"/>
  <c r="L52" i="57" s="1"/>
  <c r="M52" i="57" s="1"/>
  <c r="K157" i="57"/>
  <c r="L157" i="57" s="1"/>
  <c r="K27" i="57"/>
  <c r="L27" i="57" s="1"/>
  <c r="M27" i="57" s="1"/>
  <c r="K90" i="57"/>
  <c r="L90" i="57" s="1"/>
  <c r="M90" i="57" s="1"/>
  <c r="K45" i="57"/>
  <c r="L45" i="57" s="1"/>
  <c r="M45" i="57" s="1"/>
  <c r="K86" i="57"/>
  <c r="L86" i="57" s="1"/>
  <c r="M86" i="57" s="1"/>
  <c r="K107" i="57"/>
  <c r="L107" i="57" s="1"/>
  <c r="M107" i="57" s="1"/>
  <c r="K42" i="57"/>
  <c r="L42" i="57" s="1"/>
  <c r="M42" i="57" s="1"/>
  <c r="K82" i="57"/>
  <c r="L82" i="57" s="1"/>
  <c r="M82" i="57" s="1"/>
  <c r="K85" i="57"/>
  <c r="K70" i="57"/>
  <c r="L70" i="57" s="1"/>
  <c r="M70" i="57" s="1"/>
  <c r="K81" i="57"/>
  <c r="L81" i="57" s="1"/>
  <c r="M81" i="57" s="1"/>
  <c r="K37" i="57"/>
  <c r="L37" i="57" s="1"/>
  <c r="M37" i="57" s="1"/>
  <c r="K106" i="57"/>
  <c r="K114" i="57"/>
  <c r="L114" i="57" s="1"/>
  <c r="M114" i="57" s="1"/>
  <c r="K99" i="57"/>
  <c r="L99" i="57" s="1"/>
  <c r="M99" i="57" s="1"/>
  <c r="K127" i="57"/>
  <c r="L127" i="57" s="1"/>
  <c r="M127" i="57" s="1"/>
  <c r="K36" i="57"/>
  <c r="L36" i="57" s="1"/>
  <c r="M36" i="57" s="1"/>
  <c r="K109" i="57"/>
  <c r="L109" i="57" s="1"/>
  <c r="M109" i="57" s="1"/>
  <c r="K92" i="57"/>
  <c r="L92" i="57" s="1"/>
  <c r="M92" i="57" s="1"/>
  <c r="K128" i="57"/>
  <c r="L128" i="57" s="1"/>
  <c r="M128" i="57" s="1"/>
  <c r="K11" i="57"/>
  <c r="I11" i="57"/>
  <c r="J11" i="57" s="1"/>
  <c r="S117" i="57"/>
  <c r="C25" i="45"/>
  <c r="D30" i="21"/>
  <c r="AD9" i="4"/>
  <c r="P16" i="7"/>
  <c r="P16" i="23"/>
  <c r="P19" i="13"/>
  <c r="P16" i="26"/>
  <c r="X64" i="21"/>
  <c r="X65" i="21"/>
  <c r="X51" i="21"/>
  <c r="X55" i="21"/>
  <c r="X45" i="21"/>
  <c r="X48" i="21"/>
  <c r="X68" i="21"/>
  <c r="X50" i="21"/>
  <c r="X56" i="21"/>
  <c r="X53" i="21"/>
  <c r="X52" i="21"/>
  <c r="X63" i="21"/>
  <c r="X60" i="21"/>
  <c r="D19" i="14"/>
  <c r="D18" i="14"/>
  <c r="X59" i="21"/>
  <c r="T17" i="7"/>
  <c r="T18" i="7"/>
  <c r="T17" i="23"/>
  <c r="T18" i="23"/>
  <c r="I18" i="23"/>
  <c r="I19" i="23" s="1"/>
  <c r="E18" i="14"/>
  <c r="AJ20" i="13"/>
  <c r="Q11" i="14"/>
  <c r="AJ21" i="13"/>
  <c r="AV46" i="21"/>
  <c r="AV55" i="21"/>
  <c r="AV61" i="21"/>
  <c r="AV49" i="21"/>
  <c r="AV56" i="21"/>
  <c r="AV66" i="21"/>
  <c r="AV50" i="21"/>
  <c r="AV54" i="21"/>
  <c r="AV48" i="21"/>
  <c r="AV52" i="21"/>
  <c r="AV64" i="21"/>
  <c r="AV68" i="21"/>
  <c r="AV47" i="21"/>
  <c r="AV59" i="21"/>
  <c r="AV62" i="21"/>
  <c r="AV63" i="21"/>
  <c r="AV67" i="21"/>
  <c r="AV53" i="21"/>
  <c r="AV65" i="21"/>
  <c r="AV57" i="21"/>
  <c r="AV60" i="21"/>
  <c r="AV51" i="21"/>
  <c r="AV58" i="21"/>
  <c r="S18" i="7"/>
  <c r="S17" i="7"/>
  <c r="S19" i="7" s="1"/>
  <c r="Y18" i="26"/>
  <c r="Y17" i="26"/>
  <c r="P18" i="7"/>
  <c r="P17" i="7"/>
  <c r="AA19" i="23"/>
  <c r="AM17" i="23"/>
  <c r="AM18" i="23"/>
  <c r="G11" i="14"/>
  <c r="S19" i="23"/>
  <c r="D17" i="23"/>
  <c r="D18" i="23"/>
  <c r="M18" i="23"/>
  <c r="M17" i="23"/>
  <c r="AN61" i="21"/>
  <c r="AN53" i="21"/>
  <c r="AN45" i="21"/>
  <c r="AN68" i="21"/>
  <c r="AN49" i="21"/>
  <c r="AN60" i="21"/>
  <c r="AN54" i="21"/>
  <c r="AN66" i="21"/>
  <c r="AN46" i="21"/>
  <c r="AN52" i="21"/>
  <c r="AN55" i="21"/>
  <c r="AN51" i="21"/>
  <c r="AN48" i="21"/>
  <c r="AN47" i="21"/>
  <c r="AN57" i="21"/>
  <c r="AN59" i="21"/>
  <c r="AN50" i="21"/>
  <c r="AN65" i="21"/>
  <c r="AN56" i="21"/>
  <c r="AN62" i="21"/>
  <c r="K18" i="26"/>
  <c r="K17" i="26"/>
  <c r="K19" i="26" s="1"/>
  <c r="G16" i="23"/>
  <c r="G16" i="26"/>
  <c r="I72" i="21"/>
  <c r="T69" i="21"/>
  <c r="G19" i="13"/>
  <c r="V16" i="26"/>
  <c r="AJ9" i="4"/>
  <c r="V16" i="23"/>
  <c r="E16" i="26"/>
  <c r="L69" i="21"/>
  <c r="E19" i="13"/>
  <c r="G72" i="21"/>
  <c r="D16" i="23"/>
  <c r="F72" i="21"/>
  <c r="D16" i="26"/>
  <c r="D19" i="13"/>
  <c r="H69" i="21"/>
  <c r="AD16" i="26"/>
  <c r="AD16" i="46"/>
  <c r="AD19" i="13"/>
  <c r="AD16" i="7"/>
  <c r="AR9" i="4"/>
  <c r="L11" i="14"/>
  <c r="W9" i="4"/>
  <c r="I19" i="13"/>
  <c r="D11" i="14" s="1"/>
  <c r="AB69" i="21"/>
  <c r="K72" i="21"/>
  <c r="I16" i="23"/>
  <c r="I16" i="26"/>
  <c r="T19" i="13"/>
  <c r="T16" i="7"/>
  <c r="AF63" i="21"/>
  <c r="AF51" i="21"/>
  <c r="AC9" i="4"/>
  <c r="O16" i="26"/>
  <c r="Q19" i="13"/>
  <c r="Q16" i="23"/>
  <c r="AE9" i="4"/>
  <c r="Q16" i="26"/>
  <c r="J19" i="13"/>
  <c r="AF45" i="21"/>
  <c r="P50" i="21"/>
  <c r="P59" i="21"/>
  <c r="P64" i="21"/>
  <c r="P57" i="21"/>
  <c r="P53" i="21"/>
  <c r="P52" i="21"/>
  <c r="P63" i="21"/>
  <c r="P60" i="21"/>
  <c r="P49" i="21"/>
  <c r="P54" i="21"/>
  <c r="P68" i="21"/>
  <c r="P51" i="21"/>
  <c r="P58" i="21"/>
  <c r="AQ16" i="46"/>
  <c r="BE9" i="4"/>
  <c r="AQ16" i="23"/>
  <c r="AQ16" i="7"/>
  <c r="Y9" i="4"/>
  <c r="AJ69" i="21"/>
  <c r="K19" i="13"/>
  <c r="K16" i="7"/>
  <c r="M72" i="21"/>
  <c r="AH9" i="4"/>
  <c r="T16" i="23"/>
  <c r="T16" i="26"/>
  <c r="AF56" i="21"/>
  <c r="AF58" i="21"/>
  <c r="AF50" i="21"/>
  <c r="AF52" i="21"/>
  <c r="AF64" i="21"/>
  <c r="AF57" i="21"/>
  <c r="AF55" i="21"/>
  <c r="AF65" i="21"/>
  <c r="AF61" i="21"/>
  <c r="AF68" i="21"/>
  <c r="AF53" i="21"/>
  <c r="AF66" i="21"/>
  <c r="AF49" i="21"/>
  <c r="AF60" i="21"/>
  <c r="AF59" i="21"/>
  <c r="AF54" i="21"/>
  <c r="J16" i="23"/>
  <c r="AR60" i="21"/>
  <c r="AR66" i="21"/>
  <c r="AV19" i="13"/>
  <c r="AV16" i="46"/>
  <c r="AV16" i="26"/>
  <c r="AV16" i="23"/>
  <c r="AR64" i="21"/>
  <c r="BJ9" i="4"/>
  <c r="AR61" i="21"/>
  <c r="AR50" i="21"/>
  <c r="AR45" i="21"/>
  <c r="AR58" i="21"/>
  <c r="AR51" i="21"/>
  <c r="AR52" i="21"/>
  <c r="AR48" i="21"/>
  <c r="AR63" i="21"/>
  <c r="AR57" i="21"/>
  <c r="AR65" i="21"/>
  <c r="AZ9" i="4"/>
  <c r="AE16" i="7"/>
  <c r="AE16" i="26"/>
  <c r="Y19" i="13"/>
  <c r="AM9" i="4"/>
  <c r="Y16" i="26"/>
  <c r="Y16" i="23"/>
  <c r="AJ16" i="46"/>
  <c r="X119" i="4"/>
  <c r="X126" i="4" s="1"/>
  <c r="F126" i="4"/>
  <c r="E126" i="4"/>
  <c r="V119" i="4"/>
  <c r="V126" i="4" s="1"/>
  <c r="Q97" i="4"/>
  <c r="Q104" i="4" s="1"/>
  <c r="O97" i="4"/>
  <c r="O104" i="4" s="1"/>
  <c r="Y97" i="4"/>
  <c r="Y104" i="4" s="1"/>
  <c r="J75" i="4"/>
  <c r="J82" i="4" s="1"/>
  <c r="F51" i="13"/>
  <c r="F52" i="13" s="1"/>
  <c r="I82" i="4"/>
  <c r="M75" i="4"/>
  <c r="M82" i="4" s="1"/>
  <c r="X97" i="4"/>
  <c r="X104" i="4" s="1"/>
  <c r="L75" i="4"/>
  <c r="L82" i="4" s="1"/>
  <c r="K104" i="4"/>
  <c r="W119" i="4"/>
  <c r="W126" i="4" s="1"/>
  <c r="G126" i="4"/>
  <c r="E82" i="4"/>
  <c r="L97" i="4"/>
  <c r="L104" i="4" s="1"/>
  <c r="C51" i="27"/>
  <c r="C53" i="14" s="1"/>
  <c r="I35" i="11"/>
  <c r="L35" i="11"/>
  <c r="J126" i="4"/>
  <c r="I126" i="4"/>
  <c r="H31" i="2"/>
  <c r="H26" i="2"/>
  <c r="N75" i="4"/>
  <c r="N82" i="4" s="1"/>
  <c r="K75" i="4"/>
  <c r="K82" i="4" s="1"/>
  <c r="Y75" i="4"/>
  <c r="Y82" i="4" s="1"/>
  <c r="W75" i="4"/>
  <c r="W82" i="4" s="1"/>
  <c r="Q75" i="4"/>
  <c r="Q82" i="4" s="1"/>
  <c r="R75" i="4"/>
  <c r="R82" i="4" s="1"/>
  <c r="S75" i="4"/>
  <c r="S82" i="4" s="1"/>
  <c r="U75" i="4"/>
  <c r="U82" i="4" s="1"/>
  <c r="V75" i="4"/>
  <c r="V82" i="4" s="1"/>
  <c r="W97" i="4"/>
  <c r="W104" i="4" s="1"/>
  <c r="V97" i="4"/>
  <c r="V104" i="4" s="1"/>
  <c r="N97" i="4"/>
  <c r="N104" i="4" s="1"/>
  <c r="O119" i="4"/>
  <c r="O126" i="4" s="1"/>
  <c r="S119" i="4"/>
  <c r="S126" i="4" s="1"/>
  <c r="U119" i="4"/>
  <c r="U126" i="4" s="1"/>
  <c r="R119" i="4"/>
  <c r="R126" i="4" s="1"/>
  <c r="Q119" i="4"/>
  <c r="Q126" i="4" s="1"/>
  <c r="K131" i="57"/>
  <c r="L131" i="57" s="1"/>
  <c r="M131" i="57" s="1"/>
  <c r="K130" i="57"/>
  <c r="L130" i="57" s="1"/>
  <c r="M130" i="57" s="1"/>
  <c r="K125" i="57"/>
  <c r="L125" i="57" s="1"/>
  <c r="M125" i="57" s="1"/>
  <c r="K119" i="57"/>
  <c r="L119" i="57" s="1"/>
  <c r="M119" i="57" s="1"/>
  <c r="K118" i="57"/>
  <c r="L118" i="57" s="1"/>
  <c r="M118" i="57" s="1"/>
  <c r="K117" i="57"/>
  <c r="K115" i="57"/>
  <c r="L115" i="57" s="1"/>
  <c r="M115" i="57" s="1"/>
  <c r="K111" i="57"/>
  <c r="L111" i="57" s="1"/>
  <c r="M111" i="57" s="1"/>
  <c r="K108" i="57"/>
  <c r="L108" i="57" s="1"/>
  <c r="M108" i="57" s="1"/>
  <c r="K105" i="57"/>
  <c r="K103" i="57"/>
  <c r="L103" i="57" s="1"/>
  <c r="M103" i="57" s="1"/>
  <c r="K102" i="57"/>
  <c r="L102" i="57" s="1"/>
  <c r="M102" i="57" s="1"/>
  <c r="K100" i="57"/>
  <c r="K97" i="57"/>
  <c r="L97" i="57" s="1"/>
  <c r="M97" i="57" s="1"/>
  <c r="K94" i="57"/>
  <c r="L94" i="57" s="1"/>
  <c r="M94" i="57" s="1"/>
  <c r="K89" i="57"/>
  <c r="L89" i="57" s="1"/>
  <c r="M89" i="57" s="1"/>
  <c r="K87" i="57"/>
  <c r="L87" i="57" s="1"/>
  <c r="M87" i="57" s="1"/>
  <c r="K84" i="57"/>
  <c r="K80" i="57"/>
  <c r="L80" i="57" s="1"/>
  <c r="M80" i="57" s="1"/>
  <c r="K77" i="57"/>
  <c r="L77" i="57" s="1"/>
  <c r="M77" i="57" s="1"/>
  <c r="K74" i="57"/>
  <c r="K69" i="57"/>
  <c r="L69" i="57" s="1"/>
  <c r="M69" i="57" s="1"/>
  <c r="K68" i="57"/>
  <c r="K65" i="57"/>
  <c r="L65" i="57" s="1"/>
  <c r="M65" i="57" s="1"/>
  <c r="K63" i="57"/>
  <c r="L63" i="57" s="1"/>
  <c r="M63" i="57" s="1"/>
  <c r="K62" i="57"/>
  <c r="L62" i="57" s="1"/>
  <c r="M62" i="57" s="1"/>
  <c r="K60" i="57"/>
  <c r="L60" i="57" s="1"/>
  <c r="M60" i="57" s="1"/>
  <c r="K57" i="57"/>
  <c r="L57" i="57" s="1"/>
  <c r="M57" i="57" s="1"/>
  <c r="K53" i="57"/>
  <c r="L53" i="57" s="1"/>
  <c r="M53" i="57" s="1"/>
  <c r="K44" i="57"/>
  <c r="L44" i="57" s="1"/>
  <c r="K40" i="57"/>
  <c r="L40" i="57" s="1"/>
  <c r="M40" i="57" s="1"/>
  <c r="K38" i="57"/>
  <c r="L38" i="57" s="1"/>
  <c r="M38" i="57" s="1"/>
  <c r="K35" i="57"/>
  <c r="L35" i="57" s="1"/>
  <c r="M35" i="57" s="1"/>
  <c r="K33" i="57"/>
  <c r="L33" i="57" s="1"/>
  <c r="K29" i="57"/>
  <c r="L29" i="57" s="1"/>
  <c r="K144" i="57"/>
  <c r="L144" i="57" s="1"/>
  <c r="M144" i="57" s="1"/>
  <c r="K143" i="57"/>
  <c r="L143" i="57" s="1"/>
  <c r="M143" i="57" s="1"/>
  <c r="I50" i="57"/>
  <c r="K50" i="57"/>
  <c r="L50" i="57" s="1"/>
  <c r="I71" i="57"/>
  <c r="J71" i="57" s="1"/>
  <c r="I90" i="57"/>
  <c r="J90" i="57" s="1"/>
  <c r="I91" i="57"/>
  <c r="J91" i="57" s="1"/>
  <c r="I92" i="57"/>
  <c r="J92" i="57" s="1"/>
  <c r="I120" i="57"/>
  <c r="J120" i="57" s="1"/>
  <c r="I132" i="57"/>
  <c r="J132" i="57" s="1"/>
  <c r="B35" i="11"/>
  <c r="B53" i="11"/>
  <c r="P35" i="11"/>
  <c r="Q35" i="11"/>
  <c r="R35" i="11"/>
  <c r="B89" i="11"/>
  <c r="D43" i="46"/>
  <c r="D44" i="46" s="1"/>
  <c r="F104" i="4"/>
  <c r="B3" i="44"/>
  <c r="B11" i="44" s="1"/>
  <c r="E104" i="4"/>
  <c r="D25" i="45"/>
  <c r="B25" i="45"/>
  <c r="J104" i="4"/>
  <c r="G104" i="4"/>
  <c r="H126" i="4"/>
  <c r="I104" i="4"/>
  <c r="T75" i="4"/>
  <c r="T82" i="4" s="1"/>
  <c r="M119" i="4"/>
  <c r="M126" i="4" s="1"/>
  <c r="G82" i="4"/>
  <c r="F82" i="4"/>
  <c r="H6" i="31"/>
  <c r="E67" i="4"/>
  <c r="C65" i="4"/>
  <c r="W67" i="4"/>
  <c r="U67" i="4"/>
  <c r="T67" i="4"/>
  <c r="K126" i="4"/>
  <c r="H104" i="4"/>
  <c r="H82" i="4"/>
  <c r="N119" i="4"/>
  <c r="N126" i="4" s="1"/>
  <c r="O75" i="4"/>
  <c r="O82" i="4" s="1"/>
  <c r="M97" i="4"/>
  <c r="M104" i="4" s="1"/>
  <c r="T119" i="4"/>
  <c r="T126" i="4" s="1"/>
  <c r="P119" i="4"/>
  <c r="P126" i="4" s="1"/>
  <c r="L126" i="4"/>
  <c r="C51" i="45"/>
  <c r="H5" i="31"/>
  <c r="H4" i="31"/>
  <c r="H5" i="32"/>
  <c r="D323" i="32" s="1"/>
  <c r="H4" i="32"/>
  <c r="H7" i="32"/>
  <c r="F40" i="4"/>
  <c r="E40" i="4"/>
  <c r="C18" i="27"/>
  <c r="C19" i="27" s="1"/>
  <c r="C18" i="45"/>
  <c r="C19" i="45" s="1"/>
  <c r="B7" i="11"/>
  <c r="U35" i="11"/>
  <c r="E12" i="52" l="1"/>
  <c r="I6" i="52"/>
  <c r="T14" i="57"/>
  <c r="M136" i="57"/>
  <c r="M145" i="57"/>
  <c r="AA145" i="57" s="1"/>
  <c r="L136" i="57"/>
  <c r="AT24" i="4"/>
  <c r="BT24" i="4"/>
  <c r="B25" i="4"/>
  <c r="C25" i="4" s="1"/>
  <c r="E55" i="11"/>
  <c r="E9" i="11"/>
  <c r="D90" i="11"/>
  <c r="D54" i="11"/>
  <c r="D8" i="11"/>
  <c r="AJ22" i="13"/>
  <c r="Q18" i="14" s="1"/>
  <c r="M19" i="23"/>
  <c r="L18" i="14"/>
  <c r="F30" i="14"/>
  <c r="E24" i="14"/>
  <c r="E25" i="14" s="1"/>
  <c r="Y9" i="45"/>
  <c r="G30" i="14"/>
  <c r="L12" i="57"/>
  <c r="M12" i="57" s="1"/>
  <c r="O167" i="57"/>
  <c r="J189" i="57"/>
  <c r="J190" i="57" s="1"/>
  <c r="J191" i="57"/>
  <c r="J192" i="57" s="1"/>
  <c r="L64" i="57"/>
  <c r="M64" i="57" s="1"/>
  <c r="K169" i="57"/>
  <c r="M157" i="57"/>
  <c r="M156" i="57" s="1"/>
  <c r="M159" i="57" s="1"/>
  <c r="L156" i="57"/>
  <c r="L159" i="57" s="1"/>
  <c r="T106" i="57"/>
  <c r="L106" i="57"/>
  <c r="M106" i="57" s="1"/>
  <c r="L11" i="57"/>
  <c r="M11" i="57" s="1"/>
  <c r="T11" i="57"/>
  <c r="U18" i="23"/>
  <c r="U17" i="23"/>
  <c r="U19" i="23" s="1"/>
  <c r="H68" i="21"/>
  <c r="H66" i="21"/>
  <c r="H62" i="21"/>
  <c r="H48" i="21"/>
  <c r="H45" i="21"/>
  <c r="H54" i="21"/>
  <c r="H67" i="21"/>
  <c r="H46" i="21"/>
  <c r="H51" i="21"/>
  <c r="H52" i="21"/>
  <c r="H49" i="21"/>
  <c r="H56" i="21"/>
  <c r="H50" i="21"/>
  <c r="H58" i="21"/>
  <c r="H61" i="21"/>
  <c r="H65" i="21"/>
  <c r="H53" i="21"/>
  <c r="H64" i="21"/>
  <c r="H63" i="21"/>
  <c r="H55" i="21"/>
  <c r="H47" i="21"/>
  <c r="H60" i="21"/>
  <c r="H59" i="21"/>
  <c r="H57" i="21"/>
  <c r="H18" i="26"/>
  <c r="H17" i="26"/>
  <c r="G18" i="14"/>
  <c r="AC16" i="7"/>
  <c r="AC16" i="26"/>
  <c r="AC16" i="23"/>
  <c r="AQ9" i="4"/>
  <c r="AC19" i="13"/>
  <c r="AP16" i="46"/>
  <c r="BD9" i="4"/>
  <c r="AP16" i="7"/>
  <c r="AP16" i="23"/>
  <c r="AP16" i="26"/>
  <c r="AP19" i="13"/>
  <c r="W17" i="26"/>
  <c r="W18" i="26"/>
  <c r="U18" i="26"/>
  <c r="U17" i="26"/>
  <c r="U19" i="26" s="1"/>
  <c r="AA16" i="26"/>
  <c r="AO9" i="4"/>
  <c r="AA16" i="23"/>
  <c r="AA19" i="13"/>
  <c r="AA16" i="7"/>
  <c r="AE18" i="26"/>
  <c r="AE17" i="26"/>
  <c r="T19" i="7"/>
  <c r="AF16" i="7"/>
  <c r="AT9" i="4"/>
  <c r="AF19" i="13"/>
  <c r="AF16" i="46"/>
  <c r="AF16" i="23"/>
  <c r="AF16" i="26"/>
  <c r="H18" i="23"/>
  <c r="H17" i="23"/>
  <c r="AJ17" i="46"/>
  <c r="AJ18" i="46"/>
  <c r="U17" i="7"/>
  <c r="U18" i="7"/>
  <c r="E17" i="26"/>
  <c r="E18" i="26"/>
  <c r="Q17" i="26"/>
  <c r="Q18" i="26"/>
  <c r="Z17" i="23"/>
  <c r="Z18" i="23"/>
  <c r="L18" i="7"/>
  <c r="L17" i="7"/>
  <c r="AM19" i="23"/>
  <c r="Z17" i="26"/>
  <c r="Z18" i="26"/>
  <c r="J18" i="26"/>
  <c r="J17" i="26"/>
  <c r="E18" i="23"/>
  <c r="E17" i="23"/>
  <c r="Q17" i="23"/>
  <c r="Q18" i="23"/>
  <c r="AV20" i="13"/>
  <c r="AV21" i="13"/>
  <c r="R17" i="23"/>
  <c r="R18" i="23"/>
  <c r="K18" i="23"/>
  <c r="K17" i="23"/>
  <c r="D19" i="23"/>
  <c r="P18" i="26"/>
  <c r="P17" i="26"/>
  <c r="AD18" i="46"/>
  <c r="AD17" i="46"/>
  <c r="T68" i="21"/>
  <c r="T47" i="21"/>
  <c r="T50" i="21"/>
  <c r="T48" i="21"/>
  <c r="T49" i="21"/>
  <c r="T57" i="21"/>
  <c r="T55" i="21"/>
  <c r="T51" i="21"/>
  <c r="T59" i="21"/>
  <c r="T62" i="21"/>
  <c r="T54" i="21"/>
  <c r="T58" i="21"/>
  <c r="T56" i="21"/>
  <c r="T66" i="21"/>
  <c r="T60" i="21"/>
  <c r="T61" i="21"/>
  <c r="T52" i="21"/>
  <c r="T46" i="21"/>
  <c r="T65" i="21"/>
  <c r="T63" i="21"/>
  <c r="T64" i="21"/>
  <c r="T53" i="21"/>
  <c r="T67" i="21"/>
  <c r="T45" i="21"/>
  <c r="AK16" i="26"/>
  <c r="AY9" i="4"/>
  <c r="AK16" i="46"/>
  <c r="AK19" i="13"/>
  <c r="AK16" i="7"/>
  <c r="AK16" i="23"/>
  <c r="BH16" i="46"/>
  <c r="BH16" i="26"/>
  <c r="BH19" i="13"/>
  <c r="BV9" i="4"/>
  <c r="BH16" i="23"/>
  <c r="BH16" i="7"/>
  <c r="AJ50" i="21"/>
  <c r="AJ67" i="21"/>
  <c r="AJ65" i="21"/>
  <c r="AJ66" i="21"/>
  <c r="AJ63" i="21"/>
  <c r="AJ62" i="21"/>
  <c r="AJ46" i="21"/>
  <c r="AJ55" i="21"/>
  <c r="AJ56" i="21"/>
  <c r="AJ61" i="21"/>
  <c r="AJ51" i="21"/>
  <c r="AJ60" i="21"/>
  <c r="AJ47" i="21"/>
  <c r="AJ68" i="21"/>
  <c r="AJ45" i="21"/>
  <c r="AJ64" i="21"/>
  <c r="AJ59" i="21"/>
  <c r="AJ53" i="21"/>
  <c r="AJ58" i="21"/>
  <c r="AJ54" i="21"/>
  <c r="AJ48" i="21"/>
  <c r="AJ52" i="21"/>
  <c r="AJ57" i="21"/>
  <c r="AJ49" i="21"/>
  <c r="J18" i="23"/>
  <c r="J17" i="23"/>
  <c r="Q17" i="7"/>
  <c r="Q18" i="7"/>
  <c r="AE18" i="7"/>
  <c r="AE17" i="7"/>
  <c r="AE19" i="7" s="1"/>
  <c r="T19" i="23"/>
  <c r="W16" i="26"/>
  <c r="W16" i="7"/>
  <c r="W19" i="13"/>
  <c r="AK9" i="4"/>
  <c r="W16" i="23"/>
  <c r="P19" i="7"/>
  <c r="AP9" i="4"/>
  <c r="AB16" i="26"/>
  <c r="AB16" i="23"/>
  <c r="AB16" i="7"/>
  <c r="AB19" i="13"/>
  <c r="AD21" i="13"/>
  <c r="K11" i="14"/>
  <c r="AD20" i="13"/>
  <c r="AD22" i="13" s="1"/>
  <c r="K18" i="14" s="1"/>
  <c r="F11" i="14"/>
  <c r="AR17" i="7"/>
  <c r="AR18" i="7"/>
  <c r="L55" i="21"/>
  <c r="L56" i="21"/>
  <c r="L50" i="21"/>
  <c r="L48" i="21"/>
  <c r="L57" i="21"/>
  <c r="L46" i="21"/>
  <c r="L60" i="21"/>
  <c r="L47" i="21"/>
  <c r="L52" i="21"/>
  <c r="L62" i="21"/>
  <c r="L49" i="21"/>
  <c r="L53" i="21"/>
  <c r="L63" i="21"/>
  <c r="L68" i="21"/>
  <c r="L51" i="21"/>
  <c r="L67" i="21"/>
  <c r="L65" i="21"/>
  <c r="L66" i="21"/>
  <c r="L58" i="21"/>
  <c r="L64" i="21"/>
  <c r="L54" i="21"/>
  <c r="L45" i="21"/>
  <c r="L61" i="21"/>
  <c r="L59" i="21"/>
  <c r="AR18" i="23"/>
  <c r="AR17" i="23"/>
  <c r="AX16" i="46"/>
  <c r="AX16" i="26"/>
  <c r="AX19" i="13"/>
  <c r="AX16" i="7"/>
  <c r="AX16" i="23"/>
  <c r="BL9" i="4"/>
  <c r="AQ18" i="46"/>
  <c r="AQ17" i="46"/>
  <c r="R18" i="26"/>
  <c r="R17" i="26"/>
  <c r="AH16" i="46"/>
  <c r="AH16" i="23"/>
  <c r="AV9" i="4"/>
  <c r="AH16" i="26"/>
  <c r="AH19" i="13"/>
  <c r="AH16" i="7"/>
  <c r="AW17" i="23"/>
  <c r="AW18" i="23"/>
  <c r="AB50" i="21"/>
  <c r="AB57" i="21"/>
  <c r="AB66" i="21"/>
  <c r="AB59" i="21"/>
  <c r="AB64" i="21"/>
  <c r="AB62" i="21"/>
  <c r="AB56" i="21"/>
  <c r="AB46" i="21"/>
  <c r="AB49" i="21"/>
  <c r="AB51" i="21"/>
  <c r="AB53" i="21"/>
  <c r="AB68" i="21"/>
  <c r="AB47" i="21"/>
  <c r="AB63" i="21"/>
  <c r="AB58" i="21"/>
  <c r="AB65" i="21"/>
  <c r="AB61" i="21"/>
  <c r="AB54" i="21"/>
  <c r="AB67" i="21"/>
  <c r="AB60" i="21"/>
  <c r="AB55" i="21"/>
  <c r="AB52" i="21"/>
  <c r="AB48" i="21"/>
  <c r="AB45" i="21"/>
  <c r="AF17" i="26"/>
  <c r="AF18" i="26"/>
  <c r="AW18" i="26"/>
  <c r="AW17" i="26"/>
  <c r="F18" i="26"/>
  <c r="F17" i="26"/>
  <c r="F19" i="26" s="1"/>
  <c r="AF17" i="7"/>
  <c r="AF18" i="7"/>
  <c r="AV17" i="46"/>
  <c r="AV18" i="46"/>
  <c r="BC16" i="7"/>
  <c r="BC16" i="26"/>
  <c r="BQ9" i="4"/>
  <c r="BC19" i="13"/>
  <c r="BC16" i="46"/>
  <c r="BC16" i="23"/>
  <c r="U16" i="7"/>
  <c r="U16" i="23"/>
  <c r="U19" i="13"/>
  <c r="U16" i="26"/>
  <c r="AI9" i="4"/>
  <c r="W17" i="23"/>
  <c r="W18" i="23"/>
  <c r="Y19" i="26"/>
  <c r="D1" i="2"/>
  <c r="H27" i="2"/>
  <c r="D54" i="2" s="1"/>
  <c r="K27" i="2"/>
  <c r="H32" i="2"/>
  <c r="K32" i="2"/>
  <c r="M50" i="57"/>
  <c r="M47" i="57" s="1"/>
  <c r="L47" i="57"/>
  <c r="J50" i="57"/>
  <c r="J47" i="57" s="1"/>
  <c r="I47" i="57"/>
  <c r="M29" i="57"/>
  <c r="M26" i="57" s="1"/>
  <c r="AA26" i="57" s="1"/>
  <c r="L26" i="57"/>
  <c r="M33" i="57"/>
  <c r="M30" i="57" s="1"/>
  <c r="AA30" i="57" s="1"/>
  <c r="L30" i="57"/>
  <c r="M44" i="57"/>
  <c r="M41" i="57" s="1"/>
  <c r="AA41" i="57" s="1"/>
  <c r="L41" i="57"/>
  <c r="L74" i="57"/>
  <c r="M74" i="57" s="1"/>
  <c r="O74" i="57"/>
  <c r="O100" i="57"/>
  <c r="L100" i="57"/>
  <c r="M100" i="57" s="1"/>
  <c r="L105" i="57"/>
  <c r="M105" i="57" s="1"/>
  <c r="O105" i="57"/>
  <c r="O32" i="57"/>
  <c r="O113" i="57"/>
  <c r="O49" i="57"/>
  <c r="O46" i="57"/>
  <c r="O9" i="57"/>
  <c r="O16" i="57"/>
  <c r="L117" i="57"/>
  <c r="M117" i="57" s="1"/>
  <c r="O117" i="57"/>
  <c r="P128" i="57"/>
  <c r="O36" i="57"/>
  <c r="O116" i="57"/>
  <c r="O109" i="57"/>
  <c r="O112" i="57"/>
  <c r="O98" i="57"/>
  <c r="F71" i="4"/>
  <c r="F72" i="4" s="1"/>
  <c r="E71" i="4"/>
  <c r="E72" i="4" s="1"/>
  <c r="K71" i="4"/>
  <c r="I71" i="4"/>
  <c r="I72" i="4" s="1"/>
  <c r="O71" i="4"/>
  <c r="N71" i="4"/>
  <c r="H71" i="4"/>
  <c r="H72" i="4" s="1"/>
  <c r="R71" i="4"/>
  <c r="X71" i="4"/>
  <c r="W71" i="4"/>
  <c r="V71" i="4"/>
  <c r="L71" i="4"/>
  <c r="P71" i="4"/>
  <c r="M71" i="4"/>
  <c r="J71" i="4"/>
  <c r="J72" i="4" s="1"/>
  <c r="Q71" i="4"/>
  <c r="S71" i="4"/>
  <c r="U71" i="4"/>
  <c r="T71" i="4"/>
  <c r="G71" i="4"/>
  <c r="G72" i="4" s="1"/>
  <c r="E291" i="31"/>
  <c r="F245" i="31"/>
  <c r="G329" i="31"/>
  <c r="D363" i="31"/>
  <c r="G228" i="31"/>
  <c r="H330" i="31"/>
  <c r="E81" i="31"/>
  <c r="B338" i="31"/>
  <c r="G210" i="31"/>
  <c r="H242" i="31"/>
  <c r="F55" i="31"/>
  <c r="D348" i="31"/>
  <c r="E276" i="31"/>
  <c r="B223" i="31"/>
  <c r="H262" i="31"/>
  <c r="C94" i="31"/>
  <c r="G24" i="31"/>
  <c r="C58" i="31"/>
  <c r="D281" i="31"/>
  <c r="F314" i="31"/>
  <c r="H358" i="31"/>
  <c r="E164" i="31"/>
  <c r="B286" i="31"/>
  <c r="B142" i="31"/>
  <c r="G264" i="31"/>
  <c r="F27" i="31"/>
  <c r="H319" i="31"/>
  <c r="C31" i="31"/>
  <c r="D279" i="31"/>
  <c r="B260" i="31"/>
  <c r="C341" i="31"/>
  <c r="G48" i="31"/>
  <c r="G325" i="31"/>
  <c r="B283" i="31"/>
  <c r="D217" i="31"/>
  <c r="B96" i="31"/>
  <c r="C228" i="31"/>
  <c r="H49" i="31"/>
  <c r="G166" i="31"/>
  <c r="G144" i="31"/>
  <c r="C109" i="31"/>
  <c r="B177" i="31"/>
  <c r="F159" i="31"/>
  <c r="B361" i="31"/>
  <c r="B55" i="31"/>
  <c r="C46" i="31"/>
  <c r="E30" i="31"/>
  <c r="F129" i="31"/>
  <c r="C96" i="31"/>
  <c r="H137" i="31"/>
  <c r="G175" i="31"/>
  <c r="C51" i="31"/>
  <c r="E253" i="31"/>
  <c r="C337" i="31"/>
  <c r="C261" i="31"/>
  <c r="B140" i="31"/>
  <c r="B106" i="31"/>
  <c r="F17" i="31"/>
  <c r="E263" i="31"/>
  <c r="E50" i="31"/>
  <c r="E65" i="31"/>
  <c r="G301" i="31"/>
  <c r="D60" i="31"/>
  <c r="G326" i="31"/>
  <c r="H127" i="31"/>
  <c r="D245" i="31"/>
  <c r="H113" i="31"/>
  <c r="B220" i="31"/>
  <c r="C157" i="31"/>
  <c r="B348" i="31"/>
  <c r="G46" i="31"/>
  <c r="C169" i="31"/>
  <c r="D80" i="31"/>
  <c r="F41" i="31"/>
  <c r="G68" i="31"/>
  <c r="E279" i="31"/>
  <c r="F190" i="31"/>
  <c r="F269" i="31"/>
  <c r="C303" i="31"/>
  <c r="H140" i="31"/>
  <c r="G313" i="31"/>
  <c r="C78" i="31"/>
  <c r="F323" i="31"/>
  <c r="G54" i="31"/>
  <c r="E340" i="31"/>
  <c r="E210" i="31"/>
  <c r="H214" i="31"/>
  <c r="D291" i="31"/>
  <c r="H353" i="31"/>
  <c r="F232" i="31"/>
  <c r="E188" i="31"/>
  <c r="D46" i="31"/>
  <c r="E356" i="31"/>
  <c r="F90" i="31"/>
  <c r="G353" i="31"/>
  <c r="H344" i="31"/>
  <c r="F202" i="31"/>
  <c r="F322" i="31"/>
  <c r="E123" i="31"/>
  <c r="F261" i="31"/>
  <c r="F283" i="31"/>
  <c r="C124" i="31"/>
  <c r="E12" i="31"/>
  <c r="E220" i="31"/>
  <c r="B43" i="31"/>
  <c r="C11" i="31"/>
  <c r="G365" i="31"/>
  <c r="B284" i="31"/>
  <c r="C317" i="31"/>
  <c r="G94" i="31"/>
  <c r="H341" i="31"/>
  <c r="G111" i="31"/>
  <c r="G31" i="31"/>
  <c r="D134" i="31"/>
  <c r="G165" i="31"/>
  <c r="E294" i="31"/>
  <c r="C106" i="31"/>
  <c r="F267" i="31"/>
  <c r="E140" i="31"/>
  <c r="B33" i="31"/>
  <c r="F291" i="31"/>
  <c r="H96" i="31"/>
  <c r="D235" i="31"/>
  <c r="F266" i="31"/>
  <c r="C22" i="31"/>
  <c r="H13" i="31"/>
  <c r="E272" i="31"/>
  <c r="D263" i="31"/>
  <c r="E252" i="31"/>
  <c r="H69" i="31"/>
  <c r="E184" i="31"/>
  <c r="F82" i="31"/>
  <c r="B135" i="31"/>
  <c r="D251" i="31"/>
  <c r="H216" i="31"/>
  <c r="D25" i="31"/>
  <c r="F162" i="31"/>
  <c r="H166" i="31"/>
  <c r="C193" i="31"/>
  <c r="D354" i="31"/>
  <c r="G64" i="31"/>
  <c r="H182" i="31"/>
  <c r="D159" i="31"/>
  <c r="C43" i="31"/>
  <c r="E97" i="31"/>
  <c r="F10" i="31"/>
  <c r="B302" i="31"/>
  <c r="G327" i="31"/>
  <c r="B22" i="31"/>
  <c r="H247" i="31"/>
  <c r="C178" i="31"/>
  <c r="H174" i="31"/>
  <c r="H326" i="31"/>
  <c r="E15" i="31"/>
  <c r="B359" i="31"/>
  <c r="C369" i="31"/>
  <c r="G344" i="31"/>
  <c r="G268" i="31"/>
  <c r="C62" i="31"/>
  <c r="F308" i="31"/>
  <c r="G25" i="31"/>
  <c r="G146" i="31"/>
  <c r="D187" i="31"/>
  <c r="E122" i="31"/>
  <c r="H227" i="31"/>
  <c r="F332" i="31"/>
  <c r="F236" i="31"/>
  <c r="F234" i="31"/>
  <c r="H351" i="31"/>
  <c r="B91" i="31"/>
  <c r="G53" i="31"/>
  <c r="C238" i="31"/>
  <c r="H138" i="31"/>
  <c r="H210" i="31"/>
  <c r="E152" i="31"/>
  <c r="C182" i="31"/>
  <c r="B269" i="31"/>
  <c r="H237" i="31"/>
  <c r="F183" i="31"/>
  <c r="H240" i="31"/>
  <c r="E325" i="31"/>
  <c r="E349" i="31"/>
  <c r="C122" i="31"/>
  <c r="F74" i="31"/>
  <c r="B209" i="31"/>
  <c r="C245" i="31"/>
  <c r="G139" i="31"/>
  <c r="G229" i="31"/>
  <c r="B273" i="31"/>
  <c r="E87" i="31"/>
  <c r="B62" i="31"/>
  <c r="H271" i="31"/>
  <c r="H103" i="31"/>
  <c r="G319" i="31"/>
  <c r="H26" i="31"/>
  <c r="C232" i="31"/>
  <c r="B164" i="31"/>
  <c r="G195" i="31"/>
  <c r="G104" i="31"/>
  <c r="E250" i="31"/>
  <c r="G201" i="31"/>
  <c r="C120" i="31"/>
  <c r="H345" i="31"/>
  <c r="D367" i="31"/>
  <c r="B118" i="31"/>
  <c r="E165" i="31"/>
  <c r="F174" i="31"/>
  <c r="H270" i="31"/>
  <c r="D51" i="31"/>
  <c r="G356" i="31"/>
  <c r="G14" i="31"/>
  <c r="H197" i="31"/>
  <c r="B225" i="31"/>
  <c r="D240" i="31"/>
  <c r="H94" i="31"/>
  <c r="B275" i="31"/>
  <c r="H243" i="31"/>
  <c r="H303" i="31"/>
  <c r="F353" i="31"/>
  <c r="E334" i="31"/>
  <c r="G208" i="31"/>
  <c r="E310" i="31"/>
  <c r="F147" i="31"/>
  <c r="G302" i="31"/>
  <c r="F272" i="31"/>
  <c r="B265" i="31"/>
  <c r="G198" i="31"/>
  <c r="F313" i="31"/>
  <c r="H231" i="31"/>
  <c r="D58" i="31"/>
  <c r="H257" i="31"/>
  <c r="H229" i="31"/>
  <c r="C326" i="31"/>
  <c r="C329" i="31"/>
  <c r="H83" i="31"/>
  <c r="H131" i="31"/>
  <c r="C159" i="31"/>
  <c r="G158" i="31"/>
  <c r="H335" i="31"/>
  <c r="E34" i="31"/>
  <c r="G41" i="31"/>
  <c r="D180" i="31"/>
  <c r="E243" i="31"/>
  <c r="F13" i="31"/>
  <c r="F358" i="31"/>
  <c r="D162" i="31"/>
  <c r="E324" i="31"/>
  <c r="G153" i="31"/>
  <c r="B95" i="31"/>
  <c r="G251" i="31"/>
  <c r="G339" i="31"/>
  <c r="C308" i="31"/>
  <c r="H75" i="31"/>
  <c r="E260" i="31"/>
  <c r="E315" i="31"/>
  <c r="C12" i="31"/>
  <c r="B355" i="31"/>
  <c r="G298" i="31"/>
  <c r="H119" i="31"/>
  <c r="C138" i="31"/>
  <c r="D254" i="31"/>
  <c r="H108" i="31"/>
  <c r="D361" i="31"/>
  <c r="H99" i="31"/>
  <c r="H331" i="31"/>
  <c r="C20" i="31"/>
  <c r="G283" i="31"/>
  <c r="G244" i="31"/>
  <c r="G320" i="31"/>
  <c r="D352" i="31"/>
  <c r="B110" i="31"/>
  <c r="G200" i="31"/>
  <c r="B345" i="31"/>
  <c r="B248" i="31"/>
  <c r="D248" i="31"/>
  <c r="B295" i="31"/>
  <c r="H58" i="31"/>
  <c r="B247" i="31"/>
  <c r="G91" i="31"/>
  <c r="C279" i="31"/>
  <c r="F141" i="31"/>
  <c r="C298" i="31"/>
  <c r="F184" i="31"/>
  <c r="H294" i="31"/>
  <c r="B341" i="31"/>
  <c r="G334" i="31"/>
  <c r="E359" i="31"/>
  <c r="B257" i="31"/>
  <c r="D149" i="31"/>
  <c r="E301" i="31"/>
  <c r="C368" i="31"/>
  <c r="H342" i="31"/>
  <c r="E73" i="31"/>
  <c r="B234" i="31"/>
  <c r="F128" i="31"/>
  <c r="B59" i="31"/>
  <c r="F191" i="31"/>
  <c r="D155" i="31"/>
  <c r="F138" i="31"/>
  <c r="F351" i="31"/>
  <c r="E66" i="31"/>
  <c r="H186" i="31"/>
  <c r="H359" i="31"/>
  <c r="G205" i="31"/>
  <c r="E95" i="31"/>
  <c r="B369" i="31"/>
  <c r="C196" i="31"/>
  <c r="B16" i="31"/>
  <c r="B240" i="31"/>
  <c r="B19" i="31"/>
  <c r="D295" i="31"/>
  <c r="C89" i="31"/>
  <c r="E285" i="31"/>
  <c r="F89" i="31"/>
  <c r="F211" i="31"/>
  <c r="E275" i="31"/>
  <c r="F188" i="31"/>
  <c r="F227" i="31"/>
  <c r="H47" i="31"/>
  <c r="E68" i="31"/>
  <c r="E135" i="31"/>
  <c r="F67" i="31"/>
  <c r="C206" i="31"/>
  <c r="H161" i="31"/>
  <c r="F11" i="31"/>
  <c r="E175" i="31"/>
  <c r="H59" i="31"/>
  <c r="G204" i="31"/>
  <c r="E224" i="31"/>
  <c r="H158" i="31"/>
  <c r="D335" i="31"/>
  <c r="F345" i="31"/>
  <c r="D198" i="31"/>
  <c r="F335" i="31"/>
  <c r="D213" i="31"/>
  <c r="B44" i="31"/>
  <c r="C208" i="31"/>
  <c r="E316" i="31"/>
  <c r="G343" i="31"/>
  <c r="E228" i="31"/>
  <c r="D131" i="31"/>
  <c r="H42" i="31"/>
  <c r="E82" i="31"/>
  <c r="E101" i="31"/>
  <c r="G163" i="31"/>
  <c r="G222" i="31"/>
  <c r="D369" i="31"/>
  <c r="H84" i="31"/>
  <c r="B138" i="31"/>
  <c r="F54" i="31"/>
  <c r="H63" i="31"/>
  <c r="C302" i="31"/>
  <c r="C305" i="31"/>
  <c r="D257" i="31"/>
  <c r="E77" i="31"/>
  <c r="E13" i="31"/>
  <c r="G234" i="31"/>
  <c r="B121" i="31"/>
  <c r="E137" i="31"/>
  <c r="H142" i="31"/>
  <c r="E20" i="31"/>
  <c r="G129" i="31"/>
  <c r="B330" i="31"/>
  <c r="F203" i="31"/>
  <c r="H225" i="31"/>
  <c r="F282" i="31"/>
  <c r="C218" i="31"/>
  <c r="G140" i="31"/>
  <c r="E258" i="31"/>
  <c r="H169" i="31"/>
  <c r="F161" i="31"/>
  <c r="G289" i="31"/>
  <c r="H258" i="31"/>
  <c r="C85" i="31"/>
  <c r="C105" i="31"/>
  <c r="B232" i="31"/>
  <c r="H269" i="31"/>
  <c r="D278" i="31"/>
  <c r="G312" i="31"/>
  <c r="C284" i="31"/>
  <c r="C290" i="31"/>
  <c r="F237" i="31"/>
  <c r="C26" i="31"/>
  <c r="E353" i="31"/>
  <c r="B30" i="31"/>
  <c r="E366" i="31"/>
  <c r="E351" i="31"/>
  <c r="C40" i="31"/>
  <c r="E199" i="31"/>
  <c r="B327" i="31"/>
  <c r="C256" i="31"/>
  <c r="G135" i="31"/>
  <c r="C299" i="31"/>
  <c r="H68" i="31"/>
  <c r="E56" i="31"/>
  <c r="C17" i="31"/>
  <c r="C76" i="31"/>
  <c r="F88" i="31"/>
  <c r="B250" i="31"/>
  <c r="B120" i="31"/>
  <c r="H322" i="31"/>
  <c r="E327" i="31"/>
  <c r="E312" i="31"/>
  <c r="G254" i="31"/>
  <c r="D344" i="31"/>
  <c r="D357" i="31"/>
  <c r="E147" i="31"/>
  <c r="B258" i="31"/>
  <c r="G311" i="31"/>
  <c r="B114" i="31"/>
  <c r="C195" i="31"/>
  <c r="G92" i="31"/>
  <c r="G321" i="31"/>
  <c r="B368" i="31"/>
  <c r="G286" i="31"/>
  <c r="B324" i="31"/>
  <c r="H98" i="31"/>
  <c r="E197" i="31"/>
  <c r="B71" i="31"/>
  <c r="F96" i="31"/>
  <c r="D227" i="31"/>
  <c r="B318" i="31"/>
  <c r="F108" i="31"/>
  <c r="C363" i="31"/>
  <c r="G237" i="31"/>
  <c r="H60" i="31"/>
  <c r="G206" i="31"/>
  <c r="D294" i="31"/>
  <c r="G19" i="31"/>
  <c r="D40" i="31"/>
  <c r="G180" i="31"/>
  <c r="G148" i="31"/>
  <c r="F63" i="31"/>
  <c r="D208" i="31"/>
  <c r="G240" i="31"/>
  <c r="D195" i="31"/>
  <c r="D259" i="31"/>
  <c r="F48" i="31"/>
  <c r="D52" i="31"/>
  <c r="E31" i="31"/>
  <c r="E298" i="31"/>
  <c r="E112" i="31"/>
  <c r="G346" i="31"/>
  <c r="D10" i="31"/>
  <c r="F79" i="31"/>
  <c r="C18" i="31"/>
  <c r="D341" i="31"/>
  <c r="E32" i="31"/>
  <c r="E203" i="31"/>
  <c r="D273" i="31"/>
  <c r="H184" i="31"/>
  <c r="C110" i="31"/>
  <c r="E226" i="31"/>
  <c r="G306" i="31"/>
  <c r="B313" i="31"/>
  <c r="H155" i="31"/>
  <c r="H72" i="31"/>
  <c r="G100" i="31"/>
  <c r="D100" i="31"/>
  <c r="E124" i="31"/>
  <c r="G59" i="31"/>
  <c r="B21" i="31"/>
  <c r="E240" i="31"/>
  <c r="H125" i="31"/>
  <c r="B326" i="31"/>
  <c r="G141" i="31"/>
  <c r="D50" i="31"/>
  <c r="H362" i="31"/>
  <c r="C60" i="31"/>
  <c r="E320" i="31"/>
  <c r="C97" i="31"/>
  <c r="G101" i="31"/>
  <c r="F342" i="31"/>
  <c r="B319" i="31"/>
  <c r="D305" i="31"/>
  <c r="H228" i="31"/>
  <c r="H172" i="31"/>
  <c r="D314" i="31"/>
  <c r="C307" i="31"/>
  <c r="C56" i="31"/>
  <c r="D343" i="31"/>
  <c r="D253" i="31"/>
  <c r="B112" i="31"/>
  <c r="F306" i="31"/>
  <c r="C42" i="31"/>
  <c r="G196" i="31"/>
  <c r="F250" i="31"/>
  <c r="C318" i="31"/>
  <c r="B216" i="31"/>
  <c r="E333" i="31"/>
  <c r="E161" i="31"/>
  <c r="F168" i="31"/>
  <c r="D200" i="31"/>
  <c r="G239" i="31"/>
  <c r="D321" i="31"/>
  <c r="D141" i="31"/>
  <c r="G211" i="31"/>
  <c r="H212" i="31"/>
  <c r="E134" i="31"/>
  <c r="G69" i="31"/>
  <c r="G295" i="31"/>
  <c r="D202" i="31"/>
  <c r="C145" i="31"/>
  <c r="C367" i="31"/>
  <c r="C360" i="31"/>
  <c r="B58" i="31"/>
  <c r="D184" i="31"/>
  <c r="G179" i="31"/>
  <c r="C57" i="31"/>
  <c r="C312" i="31"/>
  <c r="B360" i="31"/>
  <c r="D258" i="31"/>
  <c r="G350" i="31"/>
  <c r="F230" i="31"/>
  <c r="D179" i="31"/>
  <c r="C248" i="31"/>
  <c r="H87" i="31"/>
  <c r="G364" i="31"/>
  <c r="B159" i="31"/>
  <c r="H204" i="31"/>
  <c r="H317" i="31"/>
  <c r="F110" i="31"/>
  <c r="H88" i="31"/>
  <c r="F286" i="31"/>
  <c r="H315" i="31"/>
  <c r="D188" i="31"/>
  <c r="F337" i="31"/>
  <c r="B90" i="31"/>
  <c r="H64" i="31"/>
  <c r="H28" i="31"/>
  <c r="B304" i="31"/>
  <c r="H205" i="31"/>
  <c r="F368" i="31"/>
  <c r="G117" i="31"/>
  <c r="E350" i="31"/>
  <c r="H41" i="31"/>
  <c r="H333" i="31"/>
  <c r="H297" i="31"/>
  <c r="H321" i="31"/>
  <c r="G50" i="31"/>
  <c r="G137" i="31"/>
  <c r="B87" i="31"/>
  <c r="H337" i="31"/>
  <c r="E278" i="31"/>
  <c r="H268" i="31"/>
  <c r="B344" i="31"/>
  <c r="B12" i="31"/>
  <c r="G288" i="31"/>
  <c r="C13" i="31"/>
  <c r="H364" i="31"/>
  <c r="G151" i="31"/>
  <c r="F169" i="31"/>
  <c r="B287" i="31"/>
  <c r="E321" i="31"/>
  <c r="B290" i="31"/>
  <c r="F181" i="31"/>
  <c r="F259" i="31"/>
  <c r="H207" i="31"/>
  <c r="E216" i="31"/>
  <c r="B187" i="31"/>
  <c r="G338" i="31"/>
  <c r="H43" i="31"/>
  <c r="F339" i="31"/>
  <c r="F61" i="31"/>
  <c r="E344" i="31"/>
  <c r="D123" i="31"/>
  <c r="H116" i="31"/>
  <c r="E296" i="31"/>
  <c r="D163" i="31"/>
  <c r="C28" i="31"/>
  <c r="D137" i="31"/>
  <c r="E67" i="31"/>
  <c r="F43" i="31"/>
  <c r="D327" i="31"/>
  <c r="F20" i="31"/>
  <c r="D234" i="31"/>
  <c r="E196" i="31"/>
  <c r="H263" i="31"/>
  <c r="B148" i="31"/>
  <c r="E18" i="31"/>
  <c r="E172" i="31"/>
  <c r="E126" i="31"/>
  <c r="B204" i="31"/>
  <c r="D346" i="31"/>
  <c r="H40" i="31"/>
  <c r="D220" i="31"/>
  <c r="G352" i="31"/>
  <c r="G230" i="31"/>
  <c r="H198" i="31"/>
  <c r="D317" i="31"/>
  <c r="D336" i="31"/>
  <c r="F201" i="31"/>
  <c r="B76" i="31"/>
  <c r="B102" i="31"/>
  <c r="B160" i="31"/>
  <c r="B289" i="31"/>
  <c r="C168" i="31"/>
  <c r="D316" i="31"/>
  <c r="F122" i="31"/>
  <c r="D103" i="31"/>
  <c r="G219" i="31"/>
  <c r="D177" i="31"/>
  <c r="G291" i="31"/>
  <c r="E48" i="31"/>
  <c r="F189" i="31"/>
  <c r="C231" i="31"/>
  <c r="B321" i="31"/>
  <c r="D169" i="31"/>
  <c r="C186" i="31"/>
  <c r="H147" i="31"/>
  <c r="B241" i="31"/>
  <c r="C259" i="31"/>
  <c r="E277" i="31"/>
  <c r="D38" i="31"/>
  <c r="G257" i="31"/>
  <c r="G238" i="31"/>
  <c r="C223" i="31"/>
  <c r="C224" i="31"/>
  <c r="B132" i="31"/>
  <c r="E365" i="31"/>
  <c r="E62" i="31"/>
  <c r="B84" i="31"/>
  <c r="H143" i="31"/>
  <c r="F112" i="31"/>
  <c r="F301" i="31"/>
  <c r="B261" i="31"/>
  <c r="G214" i="31"/>
  <c r="D328" i="31"/>
  <c r="F192" i="31"/>
  <c r="H48" i="31"/>
  <c r="F72" i="31"/>
  <c r="F12" i="31"/>
  <c r="E270" i="31"/>
  <c r="F257" i="31"/>
  <c r="E248" i="31"/>
  <c r="D135" i="31"/>
  <c r="D138" i="31"/>
  <c r="B28" i="31"/>
  <c r="D331" i="31"/>
  <c r="D66" i="31"/>
  <c r="H102" i="31"/>
  <c r="B316" i="31"/>
  <c r="E190" i="31"/>
  <c r="G12" i="31"/>
  <c r="E36" i="31"/>
  <c r="D24" i="31"/>
  <c r="F92" i="31"/>
  <c r="C331" i="31"/>
  <c r="D329" i="31"/>
  <c r="B125" i="31"/>
  <c r="G67" i="31"/>
  <c r="C191" i="31"/>
  <c r="B11" i="31"/>
  <c r="G33" i="31"/>
  <c r="G76" i="31"/>
  <c r="G299" i="31"/>
  <c r="G149" i="31"/>
  <c r="D233" i="31"/>
  <c r="G66" i="31"/>
  <c r="H154" i="31"/>
  <c r="B180" i="31"/>
  <c r="D194" i="31"/>
  <c r="F349" i="31"/>
  <c r="D19" i="31"/>
  <c r="G341" i="31"/>
  <c r="B306" i="31"/>
  <c r="B277" i="31"/>
  <c r="E280" i="31"/>
  <c r="H20" i="31"/>
  <c r="B32" i="31"/>
  <c r="E193" i="31"/>
  <c r="D355" i="31"/>
  <c r="C146" i="31"/>
  <c r="E231" i="31"/>
  <c r="F231" i="31"/>
  <c r="G73" i="31"/>
  <c r="D84" i="31"/>
  <c r="G126" i="31"/>
  <c r="B351" i="31"/>
  <c r="C114" i="31"/>
  <c r="F78" i="31"/>
  <c r="C45" i="31"/>
  <c r="B336" i="31"/>
  <c r="D114" i="31"/>
  <c r="H208" i="31"/>
  <c r="G99" i="31"/>
  <c r="C310" i="31"/>
  <c r="F40" i="31"/>
  <c r="F175" i="31"/>
  <c r="D44" i="31"/>
  <c r="E189" i="31"/>
  <c r="D204" i="31"/>
  <c r="B329" i="31"/>
  <c r="F253" i="31"/>
  <c r="F26" i="31"/>
  <c r="B230" i="31"/>
  <c r="D41" i="31"/>
  <c r="F145" i="31"/>
  <c r="E223" i="31"/>
  <c r="E225" i="31"/>
  <c r="D181" i="31"/>
  <c r="C229" i="31"/>
  <c r="F238" i="31"/>
  <c r="E182" i="31"/>
  <c r="E355" i="31"/>
  <c r="C348" i="31"/>
  <c r="D176" i="31"/>
  <c r="F263" i="31"/>
  <c r="F271" i="31"/>
  <c r="B206" i="31"/>
  <c r="G57" i="31"/>
  <c r="G300" i="31"/>
  <c r="B39" i="31"/>
  <c r="E207" i="31"/>
  <c r="F151" i="31"/>
  <c r="G207" i="31"/>
  <c r="C170" i="31"/>
  <c r="E54" i="31"/>
  <c r="E290" i="31"/>
  <c r="G88" i="31"/>
  <c r="F93" i="31"/>
  <c r="G224" i="31"/>
  <c r="F24" i="31"/>
  <c r="B73" i="31"/>
  <c r="B238" i="31"/>
  <c r="F210" i="31"/>
  <c r="E300" i="31"/>
  <c r="D319" i="31"/>
  <c r="G119" i="31"/>
  <c r="F109" i="31"/>
  <c r="F254" i="31"/>
  <c r="G323" i="31"/>
  <c r="D255" i="31"/>
  <c r="F182" i="31"/>
  <c r="D158" i="31"/>
  <c r="E14" i="31"/>
  <c r="H10" i="31"/>
  <c r="E162" i="31"/>
  <c r="H280" i="31"/>
  <c r="C154" i="31"/>
  <c r="B197" i="31"/>
  <c r="E150" i="31"/>
  <c r="E109" i="31"/>
  <c r="B131" i="31"/>
  <c r="D112" i="31"/>
  <c r="D164" i="31"/>
  <c r="F164" i="31"/>
  <c r="H168" i="31"/>
  <c r="H286" i="31"/>
  <c r="F47" i="31"/>
  <c r="B236" i="31"/>
  <c r="E251" i="31"/>
  <c r="D318" i="31"/>
  <c r="H149" i="31"/>
  <c r="C185" i="31"/>
  <c r="B89" i="31"/>
  <c r="C55" i="31"/>
  <c r="F142" i="31"/>
  <c r="G132" i="31"/>
  <c r="F357" i="31"/>
  <c r="D308" i="31"/>
  <c r="E180" i="31"/>
  <c r="H346" i="31"/>
  <c r="E187" i="31"/>
  <c r="B24" i="31"/>
  <c r="G360" i="31"/>
  <c r="D342" i="31"/>
  <c r="B296" i="31"/>
  <c r="H77" i="31"/>
  <c r="D172" i="31"/>
  <c r="D61" i="31"/>
  <c r="D264" i="31"/>
  <c r="H152" i="31"/>
  <c r="B235" i="31"/>
  <c r="C127" i="31"/>
  <c r="E151" i="31"/>
  <c r="F240" i="31"/>
  <c r="G215" i="31"/>
  <c r="D32" i="31"/>
  <c r="H311" i="31"/>
  <c r="B256" i="31"/>
  <c r="B274" i="31"/>
  <c r="B221" i="31"/>
  <c r="D57" i="31"/>
  <c r="D271" i="31"/>
  <c r="D27" i="31"/>
  <c r="D215" i="31"/>
  <c r="C226" i="31"/>
  <c r="F279" i="31"/>
  <c r="D106" i="31"/>
  <c r="B173" i="31"/>
  <c r="H301" i="31"/>
  <c r="D85" i="31"/>
  <c r="E11" i="31"/>
  <c r="D153" i="31"/>
  <c r="G172" i="31"/>
  <c r="F15" i="31"/>
  <c r="D67" i="31"/>
  <c r="D165" i="31"/>
  <c r="G42" i="31"/>
  <c r="G55" i="31"/>
  <c r="H348" i="31"/>
  <c r="F49" i="31"/>
  <c r="B133" i="31"/>
  <c r="C140" i="31"/>
  <c r="B291" i="31"/>
  <c r="F167" i="31"/>
  <c r="B82" i="31"/>
  <c r="E86" i="31"/>
  <c r="F309" i="31"/>
  <c r="B93" i="31"/>
  <c r="H308" i="31"/>
  <c r="E282" i="31"/>
  <c r="D14" i="31"/>
  <c r="G29" i="31"/>
  <c r="E295" i="31"/>
  <c r="B297" i="31"/>
  <c r="B40" i="31"/>
  <c r="F60" i="31"/>
  <c r="C67" i="31"/>
  <c r="B75" i="31"/>
  <c r="D238" i="31"/>
  <c r="G235" i="31"/>
  <c r="H232" i="31"/>
  <c r="H288" i="31"/>
  <c r="C44" i="31"/>
  <c r="F299" i="31"/>
  <c r="H267" i="31"/>
  <c r="F196" i="31"/>
  <c r="E110" i="31"/>
  <c r="H15" i="31"/>
  <c r="D222" i="31"/>
  <c r="F206" i="31"/>
  <c r="G21" i="31"/>
  <c r="F204" i="31"/>
  <c r="C237" i="31"/>
  <c r="F42" i="31"/>
  <c r="B26" i="31"/>
  <c r="H122" i="31"/>
  <c r="B151" i="31"/>
  <c r="F30" i="31"/>
  <c r="E269" i="31"/>
  <c r="F218" i="31"/>
  <c r="E314" i="31"/>
  <c r="C50" i="31"/>
  <c r="H265" i="31"/>
  <c r="G342" i="31"/>
  <c r="B122" i="31"/>
  <c r="F346" i="31"/>
  <c r="D300" i="31"/>
  <c r="F117" i="31"/>
  <c r="C64" i="31"/>
  <c r="F359" i="31"/>
  <c r="F186" i="31"/>
  <c r="C152" i="31"/>
  <c r="D167" i="31"/>
  <c r="H62" i="31"/>
  <c r="F171" i="31"/>
  <c r="C340" i="31"/>
  <c r="E22" i="31"/>
  <c r="F367" i="31"/>
  <c r="D142" i="31"/>
  <c r="B49" i="31"/>
  <c r="F44" i="31"/>
  <c r="B15" i="31"/>
  <c r="C147" i="31"/>
  <c r="D82" i="31"/>
  <c r="D269" i="31"/>
  <c r="F148" i="31"/>
  <c r="C184" i="31"/>
  <c r="B78" i="31"/>
  <c r="E96" i="31"/>
  <c r="H30" i="31"/>
  <c r="E69" i="31"/>
  <c r="H19" i="31"/>
  <c r="C251" i="31"/>
  <c r="G82" i="31"/>
  <c r="F273" i="31"/>
  <c r="F125" i="31"/>
  <c r="E364" i="31"/>
  <c r="B36" i="31"/>
  <c r="C27" i="31"/>
  <c r="B231" i="31"/>
  <c r="B47" i="31"/>
  <c r="C158" i="31"/>
  <c r="C65" i="31"/>
  <c r="E98" i="31"/>
  <c r="G142" i="31"/>
  <c r="E43" i="31"/>
  <c r="E47" i="31"/>
  <c r="C260" i="31"/>
  <c r="H261" i="31"/>
  <c r="H309" i="31"/>
  <c r="D69" i="31"/>
  <c r="E91" i="31"/>
  <c r="E80" i="31"/>
  <c r="G351" i="31"/>
  <c r="C361" i="31"/>
  <c r="B298" i="31"/>
  <c r="H241" i="31"/>
  <c r="D75" i="31"/>
  <c r="D34" i="31"/>
  <c r="D309" i="31"/>
  <c r="B271" i="31"/>
  <c r="D266" i="31"/>
  <c r="G164" i="31"/>
  <c r="B244" i="31"/>
  <c r="B278" i="31"/>
  <c r="B77" i="31"/>
  <c r="C227" i="31"/>
  <c r="G131" i="31"/>
  <c r="D120" i="31"/>
  <c r="B334" i="31"/>
  <c r="B300" i="31"/>
  <c r="H338" i="31"/>
  <c r="D170" i="31"/>
  <c r="B270" i="31"/>
  <c r="F213" i="31"/>
  <c r="F256" i="31"/>
  <c r="D96" i="31"/>
  <c r="D302" i="31"/>
  <c r="H17" i="31"/>
  <c r="E39" i="31"/>
  <c r="C162" i="31"/>
  <c r="B107" i="31"/>
  <c r="B17" i="31"/>
  <c r="D113" i="31"/>
  <c r="H53" i="31"/>
  <c r="F156" i="31"/>
  <c r="H279" i="31"/>
  <c r="D286" i="31"/>
  <c r="G134" i="31"/>
  <c r="E218" i="31"/>
  <c r="C234" i="31"/>
  <c r="E38" i="31"/>
  <c r="C281" i="31"/>
  <c r="B233" i="31"/>
  <c r="D274" i="31"/>
  <c r="H287" i="31"/>
  <c r="F113" i="31"/>
  <c r="H234" i="31"/>
  <c r="G336" i="31"/>
  <c r="H130" i="31"/>
  <c r="C219" i="31"/>
  <c r="E368" i="31"/>
  <c r="F97" i="31"/>
  <c r="G261" i="31"/>
  <c r="B303" i="31"/>
  <c r="E202" i="31"/>
  <c r="G40" i="31"/>
  <c r="E246" i="31"/>
  <c r="F334" i="31"/>
  <c r="B333" i="31"/>
  <c r="F318" i="31"/>
  <c r="E170" i="31"/>
  <c r="G70" i="31"/>
  <c r="D293" i="31"/>
  <c r="D350" i="31"/>
  <c r="H22" i="31"/>
  <c r="H194" i="31"/>
  <c r="E233" i="31"/>
  <c r="C155" i="31"/>
  <c r="H105" i="31"/>
  <c r="G79" i="31"/>
  <c r="B305" i="31"/>
  <c r="E186" i="31"/>
  <c r="C19" i="31"/>
  <c r="G32" i="31"/>
  <c r="B85" i="31"/>
  <c r="G309" i="31"/>
  <c r="C301" i="31"/>
  <c r="D166" i="31"/>
  <c r="F292" i="31"/>
  <c r="H71" i="31"/>
  <c r="B315" i="31"/>
  <c r="C313" i="31"/>
  <c r="E235" i="31"/>
  <c r="C297" i="31"/>
  <c r="G241" i="31"/>
  <c r="G133" i="31"/>
  <c r="D154" i="31"/>
  <c r="E85" i="31"/>
  <c r="E79" i="31"/>
  <c r="F66" i="31"/>
  <c r="B163" i="31"/>
  <c r="D150" i="31"/>
  <c r="G183" i="31"/>
  <c r="E158" i="31"/>
  <c r="B165" i="31"/>
  <c r="H171" i="31"/>
  <c r="B242" i="31"/>
  <c r="B280" i="31"/>
  <c r="G52" i="31"/>
  <c r="G115" i="31"/>
  <c r="H189" i="31"/>
  <c r="C201" i="31"/>
  <c r="G118" i="31"/>
  <c r="C355" i="31"/>
  <c r="B178" i="31"/>
  <c r="C176" i="31"/>
  <c r="G354" i="31"/>
  <c r="D118" i="31"/>
  <c r="E130" i="31"/>
  <c r="D88" i="31"/>
  <c r="E201" i="31"/>
  <c r="G307" i="31"/>
  <c r="D157" i="31"/>
  <c r="F284" i="31"/>
  <c r="H145" i="31"/>
  <c r="F305" i="31"/>
  <c r="G267" i="31"/>
  <c r="C108" i="31"/>
  <c r="G74" i="31"/>
  <c r="F287" i="31"/>
  <c r="H86" i="31"/>
  <c r="E339" i="31"/>
  <c r="B237" i="31"/>
  <c r="E57" i="31"/>
  <c r="G51" i="31"/>
  <c r="G174" i="31"/>
  <c r="B343" i="31"/>
  <c r="H361" i="31"/>
  <c r="H95" i="31"/>
  <c r="B156" i="31"/>
  <c r="F172" i="31"/>
  <c r="H65" i="31"/>
  <c r="E271" i="31"/>
  <c r="G184" i="31"/>
  <c r="G190" i="31"/>
  <c r="D218" i="31"/>
  <c r="F296" i="31"/>
  <c r="G293" i="31"/>
  <c r="H259" i="31"/>
  <c r="D359" i="31"/>
  <c r="E337" i="31"/>
  <c r="B145" i="31"/>
  <c r="B193" i="31"/>
  <c r="D249" i="31"/>
  <c r="E52" i="31"/>
  <c r="B124" i="31"/>
  <c r="B245" i="31"/>
  <c r="F102" i="31"/>
  <c r="E338" i="31"/>
  <c r="F77" i="31"/>
  <c r="H32" i="31"/>
  <c r="B63" i="31"/>
  <c r="C32" i="31"/>
  <c r="G246" i="31"/>
  <c r="B337" i="31"/>
  <c r="G43" i="31"/>
  <c r="C311" i="31"/>
  <c r="C250" i="31"/>
  <c r="C16" i="31"/>
  <c r="E343" i="31"/>
  <c r="G358" i="31"/>
  <c r="B57" i="31"/>
  <c r="D262" i="31"/>
  <c r="D326" i="31"/>
  <c r="C80" i="31"/>
  <c r="G328" i="31"/>
  <c r="H202" i="31"/>
  <c r="E273" i="31"/>
  <c r="F328" i="31"/>
  <c r="G27" i="31"/>
  <c r="G186" i="31"/>
  <c r="C36" i="31"/>
  <c r="E144" i="31"/>
  <c r="B86" i="31"/>
  <c r="E336" i="31"/>
  <c r="F144" i="31"/>
  <c r="C173" i="31"/>
  <c r="G47" i="31"/>
  <c r="D207" i="31"/>
  <c r="G225" i="31"/>
  <c r="H238" i="31"/>
  <c r="G276" i="31"/>
  <c r="B210" i="31"/>
  <c r="C210" i="31"/>
  <c r="G38" i="31"/>
  <c r="G242" i="31"/>
  <c r="F369" i="31"/>
  <c r="G62" i="31"/>
  <c r="E267" i="31"/>
  <c r="E241" i="31"/>
  <c r="D73" i="31"/>
  <c r="D121" i="31"/>
  <c r="G357" i="31"/>
  <c r="D221" i="31"/>
  <c r="B342" i="31"/>
  <c r="H21" i="31"/>
  <c r="G202" i="31"/>
  <c r="H104" i="31"/>
  <c r="B367" i="31"/>
  <c r="F333" i="31"/>
  <c r="C350" i="31"/>
  <c r="E157" i="31"/>
  <c r="F200" i="31"/>
  <c r="H134" i="31"/>
  <c r="H313" i="31"/>
  <c r="B217" i="31"/>
  <c r="F76" i="31"/>
  <c r="D322" i="31"/>
  <c r="B101" i="31"/>
  <c r="F224" i="31"/>
  <c r="E289" i="31"/>
  <c r="H151" i="31"/>
  <c r="E307" i="31"/>
  <c r="D307" i="31"/>
  <c r="B149" i="31"/>
  <c r="F115" i="31"/>
  <c r="C342" i="31"/>
  <c r="E117" i="31"/>
  <c r="H217" i="31"/>
  <c r="F297" i="31"/>
  <c r="F153" i="31"/>
  <c r="E168" i="31"/>
  <c r="C129" i="31"/>
  <c r="C327" i="31"/>
  <c r="G193" i="31"/>
  <c r="G250" i="31"/>
  <c r="C316" i="31"/>
  <c r="E177" i="31"/>
  <c r="C104" i="31"/>
  <c r="D18" i="31"/>
  <c r="H101" i="31"/>
  <c r="G156" i="31"/>
  <c r="E281" i="31"/>
  <c r="F304" i="31"/>
  <c r="E329" i="31"/>
  <c r="B322" i="31"/>
  <c r="C314" i="31"/>
  <c r="B211" i="31"/>
  <c r="G107" i="31"/>
  <c r="E265" i="31"/>
  <c r="D232" i="31"/>
  <c r="H239" i="31"/>
  <c r="C243" i="31"/>
  <c r="D296" i="31"/>
  <c r="G310" i="31"/>
  <c r="C25" i="31"/>
  <c r="C163" i="31"/>
  <c r="E70" i="31"/>
  <c r="F173" i="31"/>
  <c r="E108" i="31"/>
  <c r="G26" i="31"/>
  <c r="H51" i="31"/>
  <c r="C333" i="31"/>
  <c r="C48" i="31"/>
  <c r="B272" i="31"/>
  <c r="G108" i="31"/>
  <c r="F160" i="31"/>
  <c r="C306" i="31"/>
  <c r="C177" i="31"/>
  <c r="E331" i="31"/>
  <c r="H159" i="31"/>
  <c r="E326" i="31"/>
  <c r="E181" i="31"/>
  <c r="B126" i="31"/>
  <c r="E236" i="31"/>
  <c r="H141" i="31"/>
  <c r="G187" i="31"/>
  <c r="D287" i="31"/>
  <c r="H23" i="31"/>
  <c r="H196" i="31"/>
  <c r="D13" i="31"/>
  <c r="D270" i="31"/>
  <c r="H55" i="31"/>
  <c r="G333" i="31"/>
  <c r="G90" i="31"/>
  <c r="D193" i="31"/>
  <c r="E89" i="31"/>
  <c r="E88" i="31"/>
  <c r="F319" i="31"/>
  <c r="D185" i="31"/>
  <c r="C330" i="31"/>
  <c r="G243" i="31"/>
  <c r="B212" i="31"/>
  <c r="B181" i="31"/>
  <c r="E230" i="31"/>
  <c r="C285" i="31"/>
  <c r="H291" i="31"/>
  <c r="G221" i="31"/>
  <c r="B364" i="31"/>
  <c r="B246" i="31"/>
  <c r="F57" i="31"/>
  <c r="F105" i="31"/>
  <c r="B98" i="31"/>
  <c r="E234" i="31"/>
  <c r="C24" i="31"/>
  <c r="D285" i="31"/>
  <c r="F25" i="31"/>
  <c r="F32" i="31"/>
  <c r="E215" i="31"/>
  <c r="H327" i="31"/>
  <c r="C258" i="31"/>
  <c r="F347" i="31"/>
  <c r="E209" i="31"/>
  <c r="F288" i="31"/>
  <c r="C117" i="31"/>
  <c r="H367" i="31"/>
  <c r="C175" i="31"/>
  <c r="F324" i="31"/>
  <c r="H213" i="31"/>
  <c r="E100" i="31"/>
  <c r="D231" i="31"/>
  <c r="C63" i="31"/>
  <c r="F179" i="31"/>
  <c r="E363" i="31"/>
  <c r="G11" i="31"/>
  <c r="D53" i="31"/>
  <c r="E245" i="31"/>
  <c r="F338" i="31"/>
  <c r="C230" i="31"/>
  <c r="D339" i="31"/>
  <c r="C151" i="31"/>
  <c r="C264" i="31"/>
  <c r="B174" i="31"/>
  <c r="H128" i="31"/>
  <c r="D280" i="31"/>
  <c r="B94" i="31"/>
  <c r="E352" i="31"/>
  <c r="F23" i="31"/>
  <c r="E173" i="31"/>
  <c r="B356" i="31"/>
  <c r="D49" i="31"/>
  <c r="B111" i="31"/>
  <c r="E299" i="31"/>
  <c r="B158" i="31"/>
  <c r="B166" i="31"/>
  <c r="D212" i="31"/>
  <c r="E369" i="31"/>
  <c r="F289" i="31"/>
  <c r="E118" i="31"/>
  <c r="C70" i="31"/>
  <c r="D190" i="31"/>
  <c r="F116" i="31"/>
  <c r="H264" i="31"/>
  <c r="F207" i="31"/>
  <c r="F126" i="31"/>
  <c r="D12" i="31"/>
  <c r="F137" i="31"/>
  <c r="D71" i="31"/>
  <c r="G266" i="31"/>
  <c r="B363" i="31"/>
  <c r="B61" i="31"/>
  <c r="C328" i="31"/>
  <c r="B150" i="31"/>
  <c r="E119" i="31"/>
  <c r="G181" i="31"/>
  <c r="G154" i="31"/>
  <c r="H298" i="31"/>
  <c r="G363" i="31"/>
  <c r="C54" i="31"/>
  <c r="H289" i="31"/>
  <c r="B183" i="31"/>
  <c r="E160" i="31"/>
  <c r="H39" i="31"/>
  <c r="E19" i="31"/>
  <c r="H295" i="31"/>
  <c r="C35" i="31"/>
  <c r="H25" i="31"/>
  <c r="H82" i="31"/>
  <c r="D174" i="31"/>
  <c r="D127" i="31"/>
  <c r="E367" i="31"/>
  <c r="D116" i="31"/>
  <c r="H115" i="31"/>
  <c r="E125" i="31"/>
  <c r="B143" i="31"/>
  <c r="D312" i="31"/>
  <c r="B179" i="31"/>
  <c r="B201" i="31"/>
  <c r="H11" i="31"/>
  <c r="D214" i="31"/>
  <c r="C86" i="31"/>
  <c r="G213" i="31"/>
  <c r="D353" i="31"/>
  <c r="D175" i="31"/>
  <c r="B251" i="31"/>
  <c r="B312" i="31"/>
  <c r="H33" i="31"/>
  <c r="E106" i="31"/>
  <c r="D109" i="31"/>
  <c r="B362" i="31"/>
  <c r="C188" i="31"/>
  <c r="C345" i="31"/>
  <c r="F260" i="31"/>
  <c r="F336" i="31"/>
  <c r="B195" i="31"/>
  <c r="D95" i="31"/>
  <c r="H221" i="31"/>
  <c r="H369" i="31"/>
  <c r="H73" i="31"/>
  <c r="C291" i="31"/>
  <c r="G361" i="31"/>
  <c r="F220" i="31"/>
  <c r="F127" i="31"/>
  <c r="D136" i="31"/>
  <c r="H57" i="31"/>
  <c r="D56" i="31"/>
  <c r="G359" i="31"/>
  <c r="H276" i="31"/>
  <c r="E103" i="31"/>
  <c r="B205" i="31"/>
  <c r="D237" i="31"/>
  <c r="B208" i="31"/>
  <c r="B207" i="31"/>
  <c r="C199" i="31"/>
  <c r="C289" i="31"/>
  <c r="G18" i="31"/>
  <c r="B243" i="31"/>
  <c r="G272" i="31"/>
  <c r="C358" i="31"/>
  <c r="H160" i="31"/>
  <c r="H38" i="31"/>
  <c r="F99" i="31"/>
  <c r="G93" i="31"/>
  <c r="G105" i="31"/>
  <c r="F325" i="31"/>
  <c r="F280" i="31"/>
  <c r="C220" i="31"/>
  <c r="F64" i="31"/>
  <c r="B325" i="31"/>
  <c r="F50" i="31"/>
  <c r="D55" i="31"/>
  <c r="B154" i="31"/>
  <c r="B42" i="31"/>
  <c r="D62" i="31"/>
  <c r="G285" i="31"/>
  <c r="E149" i="31"/>
  <c r="G212" i="31"/>
  <c r="D244" i="31"/>
  <c r="E131" i="31"/>
  <c r="G20" i="31"/>
  <c r="D37" i="31"/>
  <c r="H296" i="31"/>
  <c r="G304" i="31"/>
  <c r="D277" i="31"/>
  <c r="C354" i="31"/>
  <c r="E121" i="31"/>
  <c r="F135" i="31"/>
  <c r="G106" i="31"/>
  <c r="B352" i="31"/>
  <c r="F103" i="31"/>
  <c r="G36" i="31"/>
  <c r="D22" i="31"/>
  <c r="D104" i="31"/>
  <c r="F22" i="31"/>
  <c r="D261" i="31"/>
  <c r="F274" i="31"/>
  <c r="D20" i="31"/>
  <c r="H90" i="31"/>
  <c r="C271" i="31"/>
  <c r="C344" i="31"/>
  <c r="D119" i="31"/>
  <c r="B340" i="31"/>
  <c r="G16" i="31"/>
  <c r="E90" i="31"/>
  <c r="H50" i="31"/>
  <c r="F248" i="31"/>
  <c r="F300" i="31"/>
  <c r="E51" i="31"/>
  <c r="H24" i="31"/>
  <c r="F235" i="31"/>
  <c r="C359" i="31"/>
  <c r="F348" i="31"/>
  <c r="E345" i="31"/>
  <c r="B222" i="31"/>
  <c r="F100" i="31"/>
  <c r="E232" i="31"/>
  <c r="C123" i="31"/>
  <c r="F165" i="31"/>
  <c r="F177" i="31"/>
  <c r="B239" i="31"/>
  <c r="H148" i="31"/>
  <c r="H222" i="31"/>
  <c r="C74" i="31"/>
  <c r="E304" i="31"/>
  <c r="C324" i="31"/>
  <c r="E227" i="31"/>
  <c r="E288" i="31"/>
  <c r="E94" i="31"/>
  <c r="E167" i="31"/>
  <c r="H37" i="31"/>
  <c r="C68" i="31"/>
  <c r="G65" i="31"/>
  <c r="C171" i="31"/>
  <c r="B202" i="31"/>
  <c r="C336" i="31"/>
  <c r="E254" i="31"/>
  <c r="C242" i="31"/>
  <c r="C280" i="31"/>
  <c r="B288" i="31"/>
  <c r="D68" i="31"/>
  <c r="E284" i="31"/>
  <c r="H91" i="31"/>
  <c r="F106" i="31"/>
  <c r="B292" i="31"/>
  <c r="H285" i="31"/>
  <c r="H52" i="31"/>
  <c r="F310" i="31"/>
  <c r="D89" i="31"/>
  <c r="C225" i="31"/>
  <c r="H164" i="31"/>
  <c r="B153" i="31"/>
  <c r="C77" i="31"/>
  <c r="C134" i="31"/>
  <c r="H180" i="31"/>
  <c r="D65" i="31"/>
  <c r="C149" i="31"/>
  <c r="B65" i="31"/>
  <c r="C126" i="31"/>
  <c r="F16" i="31"/>
  <c r="E264" i="31"/>
  <c r="G110" i="31"/>
  <c r="D333" i="31"/>
  <c r="C338" i="31"/>
  <c r="D192" i="31"/>
  <c r="C132" i="31"/>
  <c r="H114" i="31"/>
  <c r="E153" i="31"/>
  <c r="H192" i="31"/>
  <c r="B191" i="31"/>
  <c r="F295" i="31"/>
  <c r="F185" i="31"/>
  <c r="F216" i="31"/>
  <c r="D236" i="31"/>
  <c r="E163" i="31"/>
  <c r="G157" i="31"/>
  <c r="C221" i="31"/>
  <c r="E194" i="31"/>
  <c r="G37" i="31"/>
  <c r="B13" i="31"/>
  <c r="B34" i="31"/>
  <c r="G87" i="31"/>
  <c r="H273" i="31"/>
  <c r="E185" i="31"/>
  <c r="H266" i="31"/>
  <c r="C125" i="31"/>
  <c r="H323" i="31"/>
  <c r="C198" i="31"/>
  <c r="E138" i="31"/>
  <c r="C14" i="31"/>
  <c r="G248" i="31"/>
  <c r="G216" i="31"/>
  <c r="H54" i="31"/>
  <c r="E244" i="31"/>
  <c r="B317" i="31"/>
  <c r="B100" i="31"/>
  <c r="B354" i="31"/>
  <c r="H110" i="31"/>
  <c r="D288" i="31"/>
  <c r="D183" i="31"/>
  <c r="C270" i="31"/>
  <c r="D133" i="31"/>
  <c r="C180" i="31"/>
  <c r="C156" i="31"/>
  <c r="B60" i="31"/>
  <c r="B253" i="31"/>
  <c r="F75" i="31"/>
  <c r="H44" i="31"/>
  <c r="H357" i="31"/>
  <c r="B37" i="31"/>
  <c r="E145" i="31"/>
  <c r="F249" i="31"/>
  <c r="C275" i="31"/>
  <c r="E360" i="31"/>
  <c r="B108" i="31"/>
  <c r="G366" i="31"/>
  <c r="F252" i="31"/>
  <c r="C59" i="31"/>
  <c r="F327" i="31"/>
  <c r="D216" i="31"/>
  <c r="G367" i="31"/>
  <c r="B203" i="31"/>
  <c r="D128" i="31"/>
  <c r="H112" i="31"/>
  <c r="C165" i="31"/>
  <c r="H226" i="31"/>
  <c r="E183" i="31"/>
  <c r="E347" i="31"/>
  <c r="C349" i="31"/>
  <c r="H133" i="31"/>
  <c r="D90" i="31"/>
  <c r="E302" i="31"/>
  <c r="C144" i="31"/>
  <c r="H363" i="31"/>
  <c r="H312" i="31"/>
  <c r="F56" i="31"/>
  <c r="G161" i="31"/>
  <c r="D168" i="31"/>
  <c r="D275" i="31"/>
  <c r="D283" i="31"/>
  <c r="G368" i="31"/>
  <c r="B199" i="31"/>
  <c r="H135" i="31"/>
  <c r="E155" i="31"/>
  <c r="G290" i="31"/>
  <c r="D334" i="31"/>
  <c r="E179" i="31"/>
  <c r="H124" i="31"/>
  <c r="E317" i="31"/>
  <c r="B147" i="31"/>
  <c r="B293" i="31"/>
  <c r="C183" i="31"/>
  <c r="G315" i="31"/>
  <c r="C143" i="31"/>
  <c r="D93" i="31"/>
  <c r="D242" i="31"/>
  <c r="H190" i="31"/>
  <c r="G178" i="31"/>
  <c r="D265" i="31"/>
  <c r="B255" i="31"/>
  <c r="H31" i="31"/>
  <c r="H274" i="31"/>
  <c r="E129" i="31"/>
  <c r="C265" i="31"/>
  <c r="C278" i="31"/>
  <c r="F65" i="31"/>
  <c r="C23" i="31"/>
  <c r="D360" i="31"/>
  <c r="D130" i="31"/>
  <c r="G95" i="31"/>
  <c r="H293" i="31"/>
  <c r="E44" i="31"/>
  <c r="C319" i="31"/>
  <c r="B266" i="31"/>
  <c r="C87" i="31"/>
  <c r="E141" i="31"/>
  <c r="G152" i="31"/>
  <c r="H299" i="31"/>
  <c r="F166" i="31"/>
  <c r="D140" i="31"/>
  <c r="C142" i="31"/>
  <c r="C81" i="31"/>
  <c r="E268" i="31"/>
  <c r="F33" i="31"/>
  <c r="F71" i="31"/>
  <c r="D29" i="31"/>
  <c r="F119" i="31"/>
  <c r="C203" i="31"/>
  <c r="C21" i="31"/>
  <c r="D224" i="31"/>
  <c r="C115" i="31"/>
  <c r="H56" i="31"/>
  <c r="H302" i="31"/>
  <c r="G85" i="31"/>
  <c r="B294" i="31"/>
  <c r="G127" i="31"/>
  <c r="E261" i="31"/>
  <c r="C213" i="31"/>
  <c r="F176" i="31"/>
  <c r="E104" i="31"/>
  <c r="G61" i="31"/>
  <c r="G203" i="31"/>
  <c r="E72" i="31"/>
  <c r="H181" i="31"/>
  <c r="F320" i="31"/>
  <c r="D230" i="31"/>
  <c r="H320" i="31"/>
  <c r="H246" i="31"/>
  <c r="B331" i="31"/>
  <c r="D304" i="31"/>
  <c r="G170" i="31"/>
  <c r="D299" i="31"/>
  <c r="G71" i="31"/>
  <c r="G30" i="31"/>
  <c r="H245" i="31"/>
  <c r="F195" i="31"/>
  <c r="C153" i="31"/>
  <c r="B69" i="31"/>
  <c r="B52" i="31"/>
  <c r="G345" i="31"/>
  <c r="B215" i="31"/>
  <c r="B188" i="31"/>
  <c r="D146" i="31"/>
  <c r="H195" i="31"/>
  <c r="H201" i="31"/>
  <c r="H349" i="31"/>
  <c r="G182" i="31"/>
  <c r="F214" i="31"/>
  <c r="D298" i="31"/>
  <c r="F149" i="31"/>
  <c r="C365" i="31"/>
  <c r="D272" i="31"/>
  <c r="H332" i="31"/>
  <c r="E111" i="31"/>
  <c r="G192" i="31"/>
  <c r="D182" i="31"/>
  <c r="B310" i="31"/>
  <c r="D111" i="31"/>
  <c r="H167" i="31"/>
  <c r="F215" i="31"/>
  <c r="E259" i="31"/>
  <c r="B20" i="31"/>
  <c r="C253" i="31"/>
  <c r="D292" i="31"/>
  <c r="H324" i="31"/>
  <c r="B276" i="31"/>
  <c r="E60" i="31"/>
  <c r="F241" i="31"/>
  <c r="G125" i="31"/>
  <c r="G98" i="31"/>
  <c r="B171" i="31"/>
  <c r="C160" i="31"/>
  <c r="E357" i="31"/>
  <c r="C61" i="31"/>
  <c r="F199" i="31"/>
  <c r="C52" i="31"/>
  <c r="H255" i="31"/>
  <c r="E178" i="31"/>
  <c r="F315" i="31"/>
  <c r="C200" i="31"/>
  <c r="D205" i="31"/>
  <c r="E354" i="31"/>
  <c r="C339" i="31"/>
  <c r="H106" i="31"/>
  <c r="B218" i="31"/>
  <c r="H249" i="31"/>
  <c r="F158" i="31"/>
  <c r="G226" i="31"/>
  <c r="D115" i="31"/>
  <c r="B184" i="31"/>
  <c r="D349" i="31"/>
  <c r="G167" i="31"/>
  <c r="E35" i="31"/>
  <c r="H120" i="31"/>
  <c r="B103" i="31"/>
  <c r="G273" i="31"/>
  <c r="F87" i="31"/>
  <c r="D23" i="31"/>
  <c r="D368" i="31"/>
  <c r="F134" i="31"/>
  <c r="D303" i="31"/>
  <c r="D324" i="31"/>
  <c r="H46" i="31"/>
  <c r="E221" i="31"/>
  <c r="B267" i="31"/>
  <c r="F73" i="31"/>
  <c r="B176" i="31"/>
  <c r="B41" i="31"/>
  <c r="D143" i="31"/>
  <c r="D39" i="31"/>
  <c r="B228" i="31"/>
  <c r="D81" i="31"/>
  <c r="C100" i="31"/>
  <c r="H177" i="31"/>
  <c r="C335" i="31"/>
  <c r="C37" i="31"/>
  <c r="G72" i="31"/>
  <c r="B53" i="31"/>
  <c r="D332" i="31"/>
  <c r="H283" i="31"/>
  <c r="H150" i="31"/>
  <c r="B23" i="31"/>
  <c r="B35" i="31"/>
  <c r="B56" i="31"/>
  <c r="F293" i="31"/>
  <c r="F121" i="31"/>
  <c r="D99" i="31"/>
  <c r="C262" i="31"/>
  <c r="D347" i="31"/>
  <c r="H187" i="31"/>
  <c r="H272" i="31"/>
  <c r="E78" i="31"/>
  <c r="F247" i="31"/>
  <c r="H136" i="31"/>
  <c r="G255" i="31"/>
  <c r="F132" i="31"/>
  <c r="B309" i="31"/>
  <c r="D74" i="31"/>
  <c r="C233" i="31"/>
  <c r="G10" i="31"/>
  <c r="E191" i="31"/>
  <c r="D126" i="31"/>
  <c r="B200" i="31"/>
  <c r="C131" i="31"/>
  <c r="G231" i="31"/>
  <c r="F53" i="31"/>
  <c r="B128" i="31"/>
  <c r="G348" i="31"/>
  <c r="F290" i="31"/>
  <c r="D42" i="31"/>
  <c r="C266" i="31"/>
  <c r="B105" i="31"/>
  <c r="F124" i="31"/>
  <c r="C277" i="31"/>
  <c r="B51" i="31"/>
  <c r="F362" i="31"/>
  <c r="C352" i="31"/>
  <c r="C66" i="31"/>
  <c r="C204" i="31"/>
  <c r="B350" i="31"/>
  <c r="B104" i="31"/>
  <c r="F229" i="31"/>
  <c r="G277" i="31"/>
  <c r="E171" i="31"/>
  <c r="F268" i="31"/>
  <c r="F86" i="31"/>
  <c r="G23" i="31"/>
  <c r="D87" i="31"/>
  <c r="E84" i="31"/>
  <c r="H85" i="31"/>
  <c r="E174" i="31"/>
  <c r="C304" i="31"/>
  <c r="G303" i="31"/>
  <c r="F187" i="31"/>
  <c r="F94" i="31"/>
  <c r="C39" i="31"/>
  <c r="B161" i="31"/>
  <c r="E335" i="31"/>
  <c r="H183" i="31"/>
  <c r="B214" i="31"/>
  <c r="C294" i="31"/>
  <c r="G155" i="31"/>
  <c r="E195" i="31"/>
  <c r="H100" i="31"/>
  <c r="B226" i="31"/>
  <c r="E287" i="31"/>
  <c r="C321" i="31"/>
  <c r="H219" i="31"/>
  <c r="G113" i="31"/>
  <c r="H343" i="31"/>
  <c r="G236" i="31"/>
  <c r="F275" i="31"/>
  <c r="H235" i="31"/>
  <c r="B10" i="31"/>
  <c r="H157" i="31"/>
  <c r="C148" i="31"/>
  <c r="B137" i="31"/>
  <c r="F341" i="31"/>
  <c r="F361" i="31"/>
  <c r="H292" i="31"/>
  <c r="E169" i="31"/>
  <c r="D48" i="31"/>
  <c r="E212" i="31"/>
  <c r="C92" i="31"/>
  <c r="G263" i="31"/>
  <c r="C274" i="31"/>
  <c r="H61" i="31"/>
  <c r="F255" i="31"/>
  <c r="E176" i="31"/>
  <c r="E115" i="31"/>
  <c r="B268" i="31"/>
  <c r="F226" i="31"/>
  <c r="F219" i="31"/>
  <c r="C362" i="31"/>
  <c r="E256" i="31"/>
  <c r="E214" i="31"/>
  <c r="G274" i="31"/>
  <c r="G114" i="31"/>
  <c r="C135" i="31"/>
  <c r="H175" i="31"/>
  <c r="D30" i="31"/>
  <c r="H318" i="31"/>
  <c r="E362" i="31"/>
  <c r="C315" i="31"/>
  <c r="B27" i="31"/>
  <c r="D160" i="31"/>
  <c r="G227" i="31"/>
  <c r="H368" i="31"/>
  <c r="B25" i="31"/>
  <c r="D83" i="31"/>
  <c r="F360" i="31"/>
  <c r="F36" i="31"/>
  <c r="F366" i="31"/>
  <c r="F104" i="31"/>
  <c r="H354" i="31"/>
  <c r="B54" i="31"/>
  <c r="C343" i="31"/>
  <c r="F146" i="31"/>
  <c r="C295" i="31"/>
  <c r="D247" i="31"/>
  <c r="C296" i="31"/>
  <c r="H307" i="31"/>
  <c r="E297" i="31"/>
  <c r="C273" i="31"/>
  <c r="E274" i="31"/>
  <c r="E33" i="31"/>
  <c r="G362" i="31"/>
  <c r="B353" i="31"/>
  <c r="F217" i="31"/>
  <c r="C107" i="31"/>
  <c r="D110" i="31"/>
  <c r="C130" i="31"/>
  <c r="D209" i="31"/>
  <c r="G220" i="31"/>
  <c r="E332" i="31"/>
  <c r="B139" i="31"/>
  <c r="B119" i="31"/>
  <c r="D256" i="31"/>
  <c r="C102" i="31"/>
  <c r="C174" i="31"/>
  <c r="E206" i="31"/>
  <c r="G245" i="31"/>
  <c r="E45" i="31"/>
  <c r="H300" i="31"/>
  <c r="B72" i="31"/>
  <c r="D151" i="31"/>
  <c r="F233" i="31"/>
  <c r="F38" i="31"/>
  <c r="B74" i="31"/>
  <c r="C239" i="31"/>
  <c r="C118" i="31"/>
  <c r="C212" i="31"/>
  <c r="G123" i="31"/>
  <c r="B262" i="31"/>
  <c r="H165" i="31"/>
  <c r="B358" i="31"/>
  <c r="F312" i="31"/>
  <c r="D239" i="31"/>
  <c r="C364" i="31"/>
  <c r="C71" i="31"/>
  <c r="D301" i="31"/>
  <c r="H81" i="31"/>
  <c r="F331" i="31"/>
  <c r="F251" i="31"/>
  <c r="H254" i="31"/>
  <c r="H70" i="31"/>
  <c r="C282" i="31"/>
  <c r="B109" i="31"/>
  <c r="D196" i="31"/>
  <c r="D147" i="31"/>
  <c r="B70" i="31"/>
  <c r="B83" i="31"/>
  <c r="H339" i="31"/>
  <c r="C181" i="31"/>
  <c r="G324" i="31"/>
  <c r="H178" i="31"/>
  <c r="H329" i="31"/>
  <c r="C252" i="31"/>
  <c r="D72" i="31"/>
  <c r="C292" i="31"/>
  <c r="B347" i="31"/>
  <c r="F163" i="31"/>
  <c r="G281" i="31"/>
  <c r="C320" i="31"/>
  <c r="H16" i="31"/>
  <c r="B29" i="31"/>
  <c r="C205" i="31"/>
  <c r="G197" i="31"/>
  <c r="D77" i="31"/>
  <c r="H253" i="31"/>
  <c r="H203" i="31"/>
  <c r="D16" i="31"/>
  <c r="C246" i="31"/>
  <c r="E192" i="31"/>
  <c r="D54" i="31"/>
  <c r="B185" i="31"/>
  <c r="G173" i="31"/>
  <c r="E63" i="31"/>
  <c r="G194" i="31"/>
  <c r="F154" i="31"/>
  <c r="F197" i="31"/>
  <c r="G78" i="31"/>
  <c r="D206" i="31"/>
  <c r="D76" i="31"/>
  <c r="B80" i="31"/>
  <c r="B281" i="31"/>
  <c r="C29" i="31"/>
  <c r="C346" i="31"/>
  <c r="H305" i="31"/>
  <c r="E113" i="31"/>
  <c r="E222" i="31"/>
  <c r="D267" i="31"/>
  <c r="D173" i="31"/>
  <c r="H78" i="31"/>
  <c r="H244" i="31"/>
  <c r="F311" i="31"/>
  <c r="B299" i="31"/>
  <c r="E305" i="31"/>
  <c r="C161" i="31"/>
  <c r="C207" i="31"/>
  <c r="D21" i="31"/>
  <c r="E286" i="31"/>
  <c r="F51" i="31"/>
  <c r="E23" i="31"/>
  <c r="E99" i="31"/>
  <c r="G188" i="31"/>
  <c r="D122" i="31"/>
  <c r="B46" i="31"/>
  <c r="D225" i="31"/>
  <c r="E26" i="31"/>
  <c r="F350" i="31"/>
  <c r="C244" i="31"/>
  <c r="B127" i="31"/>
  <c r="B259" i="31"/>
  <c r="F37" i="31"/>
  <c r="H360" i="31"/>
  <c r="H350" i="31"/>
  <c r="C255" i="31"/>
  <c r="B314" i="31"/>
  <c r="E313" i="31"/>
  <c r="H92" i="31"/>
  <c r="H139" i="31"/>
  <c r="D210" i="31"/>
  <c r="C103" i="31"/>
  <c r="H250" i="31"/>
  <c r="H76" i="31"/>
  <c r="C83" i="31"/>
  <c r="C179" i="31"/>
  <c r="F152" i="31"/>
  <c r="C325" i="31"/>
  <c r="D223" i="31"/>
  <c r="F352" i="31"/>
  <c r="G296" i="31"/>
  <c r="F28" i="31"/>
  <c r="H170" i="31"/>
  <c r="E361" i="31"/>
  <c r="C332" i="31"/>
  <c r="E107" i="31"/>
  <c r="G308" i="31"/>
  <c r="E346" i="31"/>
  <c r="D340" i="31"/>
  <c r="E71" i="31"/>
  <c r="F354" i="31"/>
  <c r="B186" i="31"/>
  <c r="F302" i="31"/>
  <c r="H45" i="31"/>
  <c r="D11" i="31"/>
  <c r="G80" i="31"/>
  <c r="E292" i="31"/>
  <c r="G109" i="31"/>
  <c r="C192" i="31"/>
  <c r="F107" i="31"/>
  <c r="E205" i="31"/>
  <c r="E59" i="31"/>
  <c r="B146" i="31"/>
  <c r="H316" i="31"/>
  <c r="G86" i="31"/>
  <c r="F262" i="31"/>
  <c r="G58" i="31"/>
  <c r="D320" i="31"/>
  <c r="B157" i="31"/>
  <c r="H74" i="31"/>
  <c r="D290" i="31"/>
  <c r="F52" i="31"/>
  <c r="D105" i="31"/>
  <c r="B81" i="31"/>
  <c r="F35" i="31"/>
  <c r="H153" i="31"/>
  <c r="D98" i="31"/>
  <c r="G112" i="31"/>
  <c r="C300" i="31"/>
  <c r="D129" i="31"/>
  <c r="D28" i="31"/>
  <c r="E128" i="31"/>
  <c r="E204" i="31"/>
  <c r="D152" i="31"/>
  <c r="G247" i="31"/>
  <c r="B249" i="31"/>
  <c r="H199" i="31"/>
  <c r="F303" i="31"/>
  <c r="B67" i="31"/>
  <c r="E116" i="31"/>
  <c r="F58" i="31"/>
  <c r="D47" i="31"/>
  <c r="F118" i="31"/>
  <c r="H224" i="31"/>
  <c r="E46" i="31"/>
  <c r="F265" i="31"/>
  <c r="C263" i="31"/>
  <c r="H163" i="31"/>
  <c r="B252" i="31"/>
  <c r="B167" i="31"/>
  <c r="F340" i="31"/>
  <c r="B38" i="31"/>
  <c r="H27" i="31"/>
  <c r="H310" i="31"/>
  <c r="F317" i="31"/>
  <c r="H107" i="31"/>
  <c r="G217" i="31"/>
  <c r="F139" i="31"/>
  <c r="G337" i="31"/>
  <c r="E133" i="31"/>
  <c r="F294" i="31"/>
  <c r="F205" i="31"/>
  <c r="D345" i="31"/>
  <c r="F223" i="31"/>
  <c r="D125" i="31"/>
  <c r="C69" i="31"/>
  <c r="D108" i="31"/>
  <c r="G331" i="31"/>
  <c r="D197" i="31"/>
  <c r="C247" i="31"/>
  <c r="H256" i="31"/>
  <c r="H233" i="31"/>
  <c r="E42" i="31"/>
  <c r="C222" i="31"/>
  <c r="D325" i="31"/>
  <c r="E208" i="31"/>
  <c r="G160" i="31"/>
  <c r="C112" i="31"/>
  <c r="E198" i="31"/>
  <c r="D313" i="31"/>
  <c r="F365" i="31"/>
  <c r="D229" i="31"/>
  <c r="D366" i="31"/>
  <c r="G122" i="31"/>
  <c r="E25" i="31"/>
  <c r="B152" i="31"/>
  <c r="C209" i="31"/>
  <c r="G292" i="31"/>
  <c r="E262" i="31"/>
  <c r="F131" i="31"/>
  <c r="B141" i="31"/>
  <c r="D338" i="31"/>
  <c r="D171" i="31"/>
  <c r="H126" i="31"/>
  <c r="E342" i="31"/>
  <c r="C334" i="31"/>
  <c r="H109" i="31"/>
  <c r="E330" i="31"/>
  <c r="G269" i="31"/>
  <c r="C113" i="31"/>
  <c r="F276" i="31"/>
  <c r="E348" i="31"/>
  <c r="F330" i="31"/>
  <c r="C347" i="31"/>
  <c r="D219" i="31"/>
  <c r="E311" i="31"/>
  <c r="B155" i="31"/>
  <c r="H215" i="31"/>
  <c r="F21" i="31"/>
  <c r="B365" i="31"/>
  <c r="B323" i="31"/>
  <c r="G120" i="31"/>
  <c r="D282" i="31"/>
  <c r="G44" i="31"/>
  <c r="D289" i="31"/>
  <c r="C269" i="31"/>
  <c r="G280" i="31"/>
  <c r="C72" i="31"/>
  <c r="G191" i="31"/>
  <c r="G287" i="31"/>
  <c r="F69" i="31"/>
  <c r="G39" i="31"/>
  <c r="E37" i="31"/>
  <c r="H328" i="31"/>
  <c r="H144" i="31"/>
  <c r="C351" i="31"/>
  <c r="C49" i="31"/>
  <c r="F298" i="31"/>
  <c r="G369" i="31"/>
  <c r="H251" i="31"/>
  <c r="F193" i="31"/>
  <c r="B264" i="31"/>
  <c r="G305" i="31"/>
  <c r="B366" i="31"/>
  <c r="C356" i="31"/>
  <c r="F222" i="31"/>
  <c r="F29" i="31"/>
  <c r="C99" i="31"/>
  <c r="E136" i="31"/>
  <c r="B116" i="31"/>
  <c r="B328" i="31"/>
  <c r="E49" i="31"/>
  <c r="B168" i="31"/>
  <c r="D203" i="31"/>
  <c r="D144" i="31"/>
  <c r="H230" i="31"/>
  <c r="E24" i="31"/>
  <c r="B346" i="31"/>
  <c r="F45" i="31"/>
  <c r="H97" i="31"/>
  <c r="B301" i="31"/>
  <c r="B254" i="31"/>
  <c r="F19" i="31"/>
  <c r="E309" i="31"/>
  <c r="C82" i="31"/>
  <c r="F31" i="31"/>
  <c r="D148" i="31"/>
  <c r="C98" i="31"/>
  <c r="E58" i="31"/>
  <c r="B113" i="31"/>
  <c r="G322" i="31"/>
  <c r="E200" i="31"/>
  <c r="E142" i="31"/>
  <c r="D297" i="31"/>
  <c r="H365" i="31"/>
  <c r="H66" i="31"/>
  <c r="G335" i="31"/>
  <c r="E17" i="31"/>
  <c r="D132" i="31"/>
  <c r="C241" i="31"/>
  <c r="C73" i="31"/>
  <c r="E55" i="31"/>
  <c r="B175" i="31"/>
  <c r="E92" i="31"/>
  <c r="D306" i="31"/>
  <c r="D156" i="31"/>
  <c r="G171" i="31"/>
  <c r="D102" i="31"/>
  <c r="C121" i="31"/>
  <c r="B172" i="31"/>
  <c r="E323" i="31"/>
  <c r="F363" i="31"/>
  <c r="C116" i="31"/>
  <c r="G317" i="31"/>
  <c r="C286" i="31"/>
  <c r="E53" i="31"/>
  <c r="B219" i="31"/>
  <c r="B279" i="31"/>
  <c r="E154" i="31"/>
  <c r="B66" i="31"/>
  <c r="E76" i="31"/>
  <c r="E217" i="31"/>
  <c r="C10" i="31"/>
  <c r="G143" i="31"/>
  <c r="E21" i="31"/>
  <c r="B198" i="31"/>
  <c r="C33" i="31"/>
  <c r="G258" i="31"/>
  <c r="E266" i="31"/>
  <c r="C235" i="31"/>
  <c r="G278" i="31"/>
  <c r="H188" i="31"/>
  <c r="G81" i="31"/>
  <c r="G124" i="31"/>
  <c r="B196" i="31"/>
  <c r="H117" i="31"/>
  <c r="G270" i="31"/>
  <c r="C95" i="31"/>
  <c r="E16" i="31"/>
  <c r="B162" i="31"/>
  <c r="F34" i="31"/>
  <c r="D124" i="31"/>
  <c r="D337" i="31"/>
  <c r="H121" i="31"/>
  <c r="B307" i="31"/>
  <c r="D228" i="31"/>
  <c r="H89" i="31"/>
  <c r="E283" i="31"/>
  <c r="F278" i="31"/>
  <c r="G355" i="31"/>
  <c r="E303" i="31"/>
  <c r="C90" i="31"/>
  <c r="G15" i="31"/>
  <c r="D226" i="31"/>
  <c r="H34" i="31"/>
  <c r="G83" i="31"/>
  <c r="C211" i="31"/>
  <c r="B14" i="31"/>
  <c r="G209" i="31"/>
  <c r="B129" i="31"/>
  <c r="G102" i="31"/>
  <c r="H118" i="31"/>
  <c r="C322" i="31"/>
  <c r="D311" i="31"/>
  <c r="D43" i="31"/>
  <c r="G340" i="31"/>
  <c r="B136" i="31"/>
  <c r="H325" i="31"/>
  <c r="G297" i="31"/>
  <c r="F281" i="31"/>
  <c r="C119" i="31"/>
  <c r="E139" i="31"/>
  <c r="F285" i="31"/>
  <c r="G130" i="31"/>
  <c r="E239" i="31"/>
  <c r="G22" i="31"/>
  <c r="C187" i="31"/>
  <c r="B88" i="31"/>
  <c r="G252" i="31"/>
  <c r="E318" i="31"/>
  <c r="C309" i="31"/>
  <c r="G150" i="31"/>
  <c r="D189" i="31"/>
  <c r="F307" i="31"/>
  <c r="B50" i="31"/>
  <c r="E159" i="31"/>
  <c r="B357" i="31"/>
  <c r="C288" i="31"/>
  <c r="H18" i="31"/>
  <c r="C164" i="31"/>
  <c r="D191" i="31"/>
  <c r="F91" i="31"/>
  <c r="E146" i="31"/>
  <c r="F85" i="31"/>
  <c r="F123" i="31"/>
  <c r="H278" i="31"/>
  <c r="C111" i="31"/>
  <c r="F120" i="31"/>
  <c r="C47" i="31"/>
  <c r="G253" i="31"/>
  <c r="H123" i="31"/>
  <c r="G56" i="31"/>
  <c r="B190" i="31"/>
  <c r="C353" i="31"/>
  <c r="B282" i="31"/>
  <c r="C79" i="31"/>
  <c r="D92" i="31"/>
  <c r="D211" i="31"/>
  <c r="B192" i="31"/>
  <c r="E156" i="31"/>
  <c r="H179" i="31"/>
  <c r="G256" i="31"/>
  <c r="F344" i="31"/>
  <c r="C214" i="31"/>
  <c r="E257" i="31"/>
  <c r="C137" i="31"/>
  <c r="H209" i="31"/>
  <c r="C189" i="31"/>
  <c r="D260" i="31"/>
  <c r="B115" i="31"/>
  <c r="C75" i="31"/>
  <c r="G176" i="31"/>
  <c r="D246" i="31"/>
  <c r="G145" i="31"/>
  <c r="F321" i="31"/>
  <c r="E61" i="31"/>
  <c r="D161" i="31"/>
  <c r="B48" i="31"/>
  <c r="G275" i="31"/>
  <c r="C93" i="31"/>
  <c r="B182" i="31"/>
  <c r="G223" i="31"/>
  <c r="F140" i="31"/>
  <c r="F130" i="31"/>
  <c r="D63" i="31"/>
  <c r="F246" i="31"/>
  <c r="C88" i="31"/>
  <c r="G147" i="31"/>
  <c r="G185" i="31"/>
  <c r="H334" i="31"/>
  <c r="E255" i="31"/>
  <c r="E29" i="31"/>
  <c r="D86" i="31"/>
  <c r="G34" i="31"/>
  <c r="E114" i="31"/>
  <c r="C101" i="31"/>
  <c r="G265" i="31"/>
  <c r="H29" i="31"/>
  <c r="E105" i="31"/>
  <c r="G260" i="31"/>
  <c r="F244" i="31"/>
  <c r="G279" i="31"/>
  <c r="G332" i="31"/>
  <c r="B285" i="31"/>
  <c r="B213" i="31"/>
  <c r="F114" i="31"/>
  <c r="E28" i="31"/>
  <c r="C366" i="31"/>
  <c r="D356" i="31"/>
  <c r="G89" i="31"/>
  <c r="C128" i="31"/>
  <c r="G168" i="31"/>
  <c r="G96" i="31"/>
  <c r="B144" i="31"/>
  <c r="C254" i="31"/>
  <c r="G271" i="31"/>
  <c r="F155" i="31"/>
  <c r="E211" i="31"/>
  <c r="D276" i="31"/>
  <c r="F170" i="31"/>
  <c r="E341" i="31"/>
  <c r="E238" i="31"/>
  <c r="B79" i="31"/>
  <c r="F212" i="31"/>
  <c r="F242" i="31"/>
  <c r="F180" i="31"/>
  <c r="F111" i="31"/>
  <c r="F343" i="31"/>
  <c r="H356" i="31"/>
  <c r="G136" i="31"/>
  <c r="F136" i="31"/>
  <c r="C283" i="31"/>
  <c r="B339" i="31"/>
  <c r="C267" i="31"/>
  <c r="C34" i="31"/>
  <c r="E41" i="31"/>
  <c r="F59" i="31"/>
  <c r="D35" i="31"/>
  <c r="G84" i="31"/>
  <c r="H162" i="31"/>
  <c r="F98" i="31"/>
  <c r="E143" i="31"/>
  <c r="E64" i="31"/>
  <c r="C133" i="31"/>
  <c r="H218" i="31"/>
  <c r="G97" i="31"/>
  <c r="C272" i="31"/>
  <c r="B130" i="31"/>
  <c r="D241" i="31"/>
  <c r="C141" i="31"/>
  <c r="C197" i="31"/>
  <c r="C215" i="31"/>
  <c r="G162" i="31"/>
  <c r="E93" i="31"/>
  <c r="F239" i="31"/>
  <c r="H306" i="31"/>
  <c r="F150" i="31"/>
  <c r="E132" i="31"/>
  <c r="B263" i="31"/>
  <c r="H277" i="31"/>
  <c r="H67" i="31"/>
  <c r="C323" i="31"/>
  <c r="H304" i="31"/>
  <c r="E10" i="31"/>
  <c r="E213" i="31"/>
  <c r="B189" i="31"/>
  <c r="F209" i="31"/>
  <c r="B320" i="31"/>
  <c r="F39" i="31"/>
  <c r="G294" i="31"/>
  <c r="E27" i="31"/>
  <c r="B64" i="31"/>
  <c r="H248" i="31"/>
  <c r="E249" i="31"/>
  <c r="H281" i="31"/>
  <c r="E242" i="31"/>
  <c r="B224" i="31"/>
  <c r="E308" i="31"/>
  <c r="F133" i="31"/>
  <c r="C172" i="31"/>
  <c r="E166" i="31"/>
  <c r="G45" i="31"/>
  <c r="F277" i="31"/>
  <c r="E102" i="31"/>
  <c r="H206" i="31"/>
  <c r="B311" i="31"/>
  <c r="F208" i="31"/>
  <c r="G318" i="31"/>
  <c r="H200" i="31"/>
  <c r="C194" i="31"/>
  <c r="G189" i="31"/>
  <c r="F46" i="31"/>
  <c r="H336" i="31"/>
  <c r="H193" i="31"/>
  <c r="F243" i="31"/>
  <c r="F316" i="31"/>
  <c r="E247" i="31"/>
  <c r="B45" i="31"/>
  <c r="C287" i="31"/>
  <c r="B117" i="31"/>
  <c r="B229" i="31"/>
  <c r="F62" i="31"/>
  <c r="F101" i="31"/>
  <c r="D145" i="31"/>
  <c r="D178" i="31"/>
  <c r="F14" i="31"/>
  <c r="H220" i="31"/>
  <c r="C15" i="31"/>
  <c r="F258" i="31"/>
  <c r="D139" i="31"/>
  <c r="E148" i="31"/>
  <c r="G121" i="31"/>
  <c r="H36" i="31"/>
  <c r="G232" i="31"/>
  <c r="H282" i="31"/>
  <c r="H156" i="31"/>
  <c r="G159" i="31"/>
  <c r="C38" i="31"/>
  <c r="H340" i="31"/>
  <c r="E75" i="31"/>
  <c r="G35" i="31"/>
  <c r="G63" i="31"/>
  <c r="D243" i="31"/>
  <c r="B194" i="31"/>
  <c r="H132" i="31"/>
  <c r="D268" i="31"/>
  <c r="G28" i="31"/>
  <c r="D358" i="31"/>
  <c r="H275" i="31"/>
  <c r="D117" i="31"/>
  <c r="F157" i="31"/>
  <c r="D201" i="31"/>
  <c r="F228" i="31"/>
  <c r="B169" i="31"/>
  <c r="D79" i="31"/>
  <c r="D310" i="31"/>
  <c r="E120" i="31"/>
  <c r="H352" i="31"/>
  <c r="C84" i="31"/>
  <c r="H176" i="31"/>
  <c r="D351" i="31"/>
  <c r="F326" i="31"/>
  <c r="H314" i="31"/>
  <c r="D330" i="31"/>
  <c r="F83" i="31"/>
  <c r="B349" i="31"/>
  <c r="G128" i="31"/>
  <c r="D70" i="31"/>
  <c r="H236" i="31"/>
  <c r="H111" i="31"/>
  <c r="E358" i="31"/>
  <c r="C249" i="31"/>
  <c r="H146" i="31"/>
  <c r="G116" i="31"/>
  <c r="B68" i="31"/>
  <c r="F225" i="31"/>
  <c r="F221" i="31"/>
  <c r="C150" i="31"/>
  <c r="D252" i="31"/>
  <c r="C136" i="31"/>
  <c r="H12" i="31"/>
  <c r="H79" i="31"/>
  <c r="G77" i="31"/>
  <c r="F198" i="31"/>
  <c r="H129" i="31"/>
  <c r="D31" i="31"/>
  <c r="C167" i="31"/>
  <c r="H252" i="31"/>
  <c r="G60" i="31"/>
  <c r="B123" i="31"/>
  <c r="D26" i="31"/>
  <c r="G314" i="31"/>
  <c r="G233" i="31"/>
  <c r="F95" i="31"/>
  <c r="H260" i="31"/>
  <c r="C41" i="31"/>
  <c r="G13" i="31"/>
  <c r="D199" i="31"/>
  <c r="F194" i="31"/>
  <c r="H290" i="31"/>
  <c r="D78" i="31"/>
  <c r="D91" i="31"/>
  <c r="D364" i="31"/>
  <c r="E127" i="31"/>
  <c r="D94" i="31"/>
  <c r="C139" i="31"/>
  <c r="G49" i="31"/>
  <c r="C257" i="31"/>
  <c r="C293" i="31"/>
  <c r="D323" i="31"/>
  <c r="G282" i="31"/>
  <c r="F356" i="31"/>
  <c r="G262" i="31"/>
  <c r="E306" i="31"/>
  <c r="E293" i="31"/>
  <c r="C268" i="31"/>
  <c r="B31" i="31"/>
  <c r="E40" i="31"/>
  <c r="C30" i="31"/>
  <c r="G103" i="31"/>
  <c r="G249" i="31"/>
  <c r="D365" i="31"/>
  <c r="B18" i="31"/>
  <c r="C216" i="31"/>
  <c r="H284" i="31"/>
  <c r="G177" i="31"/>
  <c r="F364" i="31"/>
  <c r="E322" i="31"/>
  <c r="G330" i="31"/>
  <c r="D59" i="31"/>
  <c r="G199" i="31"/>
  <c r="D15" i="31"/>
  <c r="D186" i="31"/>
  <c r="D17" i="31"/>
  <c r="F18" i="31"/>
  <c r="G347" i="31"/>
  <c r="G218" i="31"/>
  <c r="C53" i="31"/>
  <c r="G316" i="31"/>
  <c r="C276" i="31"/>
  <c r="H211" i="31"/>
  <c r="C240" i="31"/>
  <c r="D33" i="31"/>
  <c r="C202" i="31"/>
  <c r="B97" i="31"/>
  <c r="E328" i="31"/>
  <c r="G138" i="31"/>
  <c r="G284" i="31"/>
  <c r="B134" i="31"/>
  <c r="H14" i="31"/>
  <c r="B170" i="31"/>
  <c r="F355" i="31"/>
  <c r="B335" i="31"/>
  <c r="F68" i="31"/>
  <c r="B332" i="31"/>
  <c r="C91" i="31"/>
  <c r="F329" i="31"/>
  <c r="F80" i="31"/>
  <c r="H93" i="31"/>
  <c r="D45" i="31"/>
  <c r="B227" i="31"/>
  <c r="C236" i="31"/>
  <c r="E237" i="31"/>
  <c r="F270" i="31"/>
  <c r="H173" i="31"/>
  <c r="F178" i="31"/>
  <c r="G75" i="31"/>
  <c r="E319" i="31"/>
  <c r="E83" i="31"/>
  <c r="H80" i="31"/>
  <c r="H191" i="31"/>
  <c r="C190" i="31"/>
  <c r="H347" i="31"/>
  <c r="H223" i="31"/>
  <c r="D107" i="31"/>
  <c r="H35" i="31"/>
  <c r="C217" i="31"/>
  <c r="B99" i="31"/>
  <c r="F70" i="31"/>
  <c r="E219" i="31"/>
  <c r="C166" i="31"/>
  <c r="H355" i="31"/>
  <c r="D284" i="31"/>
  <c r="D36" i="31"/>
  <c r="B92" i="31"/>
  <c r="D250" i="31"/>
  <c r="H366" i="31"/>
  <c r="F143" i="31"/>
  <c r="D64" i="31"/>
  <c r="F264" i="31"/>
  <c r="C357" i="31"/>
  <c r="H185" i="31"/>
  <c r="D101" i="31"/>
  <c r="B308" i="31"/>
  <c r="G259" i="31"/>
  <c r="F84" i="31"/>
  <c r="E229" i="31"/>
  <c r="E74" i="31"/>
  <c r="G169" i="31"/>
  <c r="D315" i="31"/>
  <c r="D362" i="31"/>
  <c r="G349" i="31"/>
  <c r="F81" i="31"/>
  <c r="G17" i="31"/>
  <c r="D97" i="31"/>
  <c r="E131" i="32"/>
  <c r="E270" i="32"/>
  <c r="G194" i="32"/>
  <c r="H53" i="32"/>
  <c r="C79" i="32"/>
  <c r="C211" i="32"/>
  <c r="D25" i="32"/>
  <c r="E140" i="32"/>
  <c r="G65" i="32"/>
  <c r="H345" i="32"/>
  <c r="H237" i="32"/>
  <c r="G290" i="32"/>
  <c r="F259" i="32"/>
  <c r="H352" i="32"/>
  <c r="D271" i="32"/>
  <c r="E123" i="32"/>
  <c r="F101" i="32"/>
  <c r="F53" i="32"/>
  <c r="E107" i="32"/>
  <c r="C268" i="32"/>
  <c r="C262" i="32"/>
  <c r="F267" i="32"/>
  <c r="C173" i="32"/>
  <c r="F218" i="32"/>
  <c r="E145" i="32"/>
  <c r="C231" i="32"/>
  <c r="D103" i="32"/>
  <c r="G153" i="32"/>
  <c r="B169" i="32"/>
  <c r="H137" i="32"/>
  <c r="E141" i="32"/>
  <c r="H138" i="32"/>
  <c r="G148" i="32"/>
  <c r="D11" i="32"/>
  <c r="D122" i="32"/>
  <c r="B250" i="32"/>
  <c r="E351" i="32"/>
  <c r="G231" i="32"/>
  <c r="F364" i="32"/>
  <c r="H107" i="32"/>
  <c r="F177" i="32"/>
  <c r="B71" i="32"/>
  <c r="H108" i="32"/>
  <c r="B80" i="32"/>
  <c r="D17" i="32"/>
  <c r="H328" i="32"/>
  <c r="F33" i="32"/>
  <c r="G232" i="32"/>
  <c r="H113" i="32"/>
  <c r="H341" i="32"/>
  <c r="B296" i="32"/>
  <c r="C122" i="32"/>
  <c r="B81" i="32"/>
  <c r="G294" i="32"/>
  <c r="G338" i="32"/>
  <c r="G315" i="32"/>
  <c r="C48" i="32"/>
  <c r="F43" i="32"/>
  <c r="C250" i="32"/>
  <c r="F224" i="32"/>
  <c r="G11" i="32"/>
  <c r="E321" i="32"/>
  <c r="B266" i="32"/>
  <c r="C270" i="32"/>
  <c r="H179" i="32"/>
  <c r="H114" i="32"/>
  <c r="G13" i="32"/>
  <c r="G325" i="32"/>
  <c r="D282" i="32"/>
  <c r="E286" i="32"/>
  <c r="C76" i="32"/>
  <c r="F156" i="32"/>
  <c r="G115" i="32"/>
  <c r="E216" i="32"/>
  <c r="D24" i="32"/>
  <c r="G274" i="32"/>
  <c r="H314" i="32"/>
  <c r="C108" i="32"/>
  <c r="D270" i="32"/>
  <c r="B300" i="32"/>
  <c r="F333" i="32"/>
  <c r="H257" i="32"/>
  <c r="C114" i="32"/>
  <c r="G23" i="32"/>
  <c r="G321" i="32"/>
  <c r="H355" i="32"/>
  <c r="D63" i="32"/>
  <c r="F216" i="32"/>
  <c r="C87" i="32"/>
  <c r="D187" i="32"/>
  <c r="H220" i="32"/>
  <c r="G159" i="32"/>
  <c r="D98" i="32"/>
  <c r="E161" i="32"/>
  <c r="C123" i="32"/>
  <c r="E112" i="32"/>
  <c r="G272" i="32"/>
  <c r="G41" i="32"/>
  <c r="G281" i="32"/>
  <c r="B188" i="32"/>
  <c r="H144" i="32"/>
  <c r="E233" i="32"/>
  <c r="G302" i="32"/>
  <c r="B210" i="32"/>
  <c r="H255" i="32"/>
  <c r="G205" i="32"/>
  <c r="G172" i="32"/>
  <c r="E192" i="32"/>
  <c r="E36" i="32"/>
  <c r="C229" i="32"/>
  <c r="H181" i="32"/>
  <c r="B290" i="32"/>
  <c r="E113" i="32"/>
  <c r="B102" i="32"/>
  <c r="D116" i="32"/>
  <c r="D301" i="32"/>
  <c r="D163" i="32"/>
  <c r="G38" i="32"/>
  <c r="H353" i="32"/>
  <c r="E106" i="32"/>
  <c r="B282" i="32"/>
  <c r="D340" i="32"/>
  <c r="D329" i="32"/>
  <c r="B297" i="32"/>
  <c r="B47" i="32"/>
  <c r="C22" i="32"/>
  <c r="C160" i="32"/>
  <c r="H196" i="32"/>
  <c r="H79" i="32"/>
  <c r="E217" i="32"/>
  <c r="F366" i="32"/>
  <c r="G96" i="32"/>
  <c r="F296" i="32"/>
  <c r="D342" i="32"/>
  <c r="B267" i="32"/>
  <c r="D151" i="32"/>
  <c r="F206" i="32"/>
  <c r="D299" i="32"/>
  <c r="H315" i="32"/>
  <c r="F215" i="32"/>
  <c r="F68" i="32"/>
  <c r="C215" i="32"/>
  <c r="D26" i="32"/>
  <c r="H359" i="32"/>
  <c r="G122" i="32"/>
  <c r="G360" i="32"/>
  <c r="B200" i="32"/>
  <c r="B192" i="32"/>
  <c r="E102" i="32"/>
  <c r="D308" i="32"/>
  <c r="D352" i="32"/>
  <c r="F265" i="32"/>
  <c r="D149" i="32"/>
  <c r="D310" i="32"/>
  <c r="C127" i="32"/>
  <c r="G192" i="32"/>
  <c r="G266" i="32"/>
  <c r="E218" i="32"/>
  <c r="B124" i="32"/>
  <c r="H95" i="32"/>
  <c r="G323" i="32"/>
  <c r="D176" i="32"/>
  <c r="E147" i="32"/>
  <c r="B264" i="32"/>
  <c r="B329" i="32"/>
  <c r="C183" i="32"/>
  <c r="E86" i="32"/>
  <c r="D148" i="32"/>
  <c r="B163" i="32"/>
  <c r="H250" i="32"/>
  <c r="F256" i="32"/>
  <c r="C23" i="32"/>
  <c r="C286" i="32"/>
  <c r="G332" i="32"/>
  <c r="H299" i="32"/>
  <c r="B257" i="32"/>
  <c r="D313" i="32"/>
  <c r="B339" i="32"/>
  <c r="D68" i="32"/>
  <c r="B131" i="32"/>
  <c r="B97" i="32"/>
  <c r="C141" i="32"/>
  <c r="G157" i="32"/>
  <c r="H221" i="32"/>
  <c r="B207" i="32"/>
  <c r="F46" i="32"/>
  <c r="E207" i="32"/>
  <c r="F287" i="32"/>
  <c r="C25" i="32"/>
  <c r="F233" i="32"/>
  <c r="B133" i="32"/>
  <c r="G306" i="32"/>
  <c r="E27" i="32"/>
  <c r="D50" i="32"/>
  <c r="C368" i="32"/>
  <c r="B58" i="32"/>
  <c r="E23" i="32"/>
  <c r="B172" i="32"/>
  <c r="E356" i="32"/>
  <c r="B265" i="32"/>
  <c r="D135" i="32"/>
  <c r="C353" i="32"/>
  <c r="D129" i="32"/>
  <c r="C232" i="32"/>
  <c r="D111" i="32"/>
  <c r="D110" i="32"/>
  <c r="C28" i="32"/>
  <c r="B114" i="32"/>
  <c r="E73" i="32"/>
  <c r="F199" i="32"/>
  <c r="B256" i="32"/>
  <c r="H38" i="32"/>
  <c r="H354" i="32"/>
  <c r="G212" i="32"/>
  <c r="H72" i="32"/>
  <c r="B354" i="32"/>
  <c r="F200" i="32"/>
  <c r="E267" i="32"/>
  <c r="F60" i="32"/>
  <c r="F47" i="32"/>
  <c r="B19" i="32"/>
  <c r="F190" i="32"/>
  <c r="H129" i="32"/>
  <c r="F117" i="32"/>
  <c r="C133" i="32"/>
  <c r="H236" i="32"/>
  <c r="F99" i="32"/>
  <c r="D259" i="32"/>
  <c r="F340" i="32"/>
  <c r="H105" i="32"/>
  <c r="C255" i="32"/>
  <c r="C354" i="32"/>
  <c r="F192" i="32"/>
  <c r="H203" i="32"/>
  <c r="F230" i="32"/>
  <c r="B70" i="32"/>
  <c r="C241" i="32"/>
  <c r="H207" i="32"/>
  <c r="E300" i="32"/>
  <c r="G113" i="32"/>
  <c r="E195" i="32"/>
  <c r="B364" i="32"/>
  <c r="D178" i="32"/>
  <c r="B82" i="32"/>
  <c r="C67" i="32"/>
  <c r="H12" i="32"/>
  <c r="D85" i="32"/>
  <c r="D278" i="32"/>
  <c r="B343" i="32"/>
  <c r="F154" i="32"/>
  <c r="H86" i="32"/>
  <c r="G175" i="32"/>
  <c r="E126" i="32"/>
  <c r="G200" i="32"/>
  <c r="G58" i="32"/>
  <c r="C318" i="32"/>
  <c r="E324" i="32"/>
  <c r="E182" i="32"/>
  <c r="H30" i="32"/>
  <c r="H335" i="32"/>
  <c r="G261" i="32"/>
  <c r="C98" i="32"/>
  <c r="D354" i="32"/>
  <c r="H210" i="32"/>
  <c r="B157" i="32"/>
  <c r="F358" i="32"/>
  <c r="C302" i="32"/>
  <c r="C288" i="32"/>
  <c r="C125" i="32"/>
  <c r="F19" i="32"/>
  <c r="E166" i="32"/>
  <c r="F195" i="32"/>
  <c r="C287" i="32"/>
  <c r="G80" i="32"/>
  <c r="E89" i="32"/>
  <c r="E111" i="32"/>
  <c r="C199" i="32"/>
  <c r="B118" i="32"/>
  <c r="E247" i="32"/>
  <c r="C332" i="32"/>
  <c r="H330" i="32"/>
  <c r="E91" i="32"/>
  <c r="B221" i="32"/>
  <c r="B363" i="32"/>
  <c r="C36" i="32"/>
  <c r="H56" i="32"/>
  <c r="D254" i="32"/>
  <c r="C85" i="32"/>
  <c r="C51" i="32"/>
  <c r="C290" i="32"/>
  <c r="B308" i="32"/>
  <c r="H369" i="32"/>
  <c r="F181" i="32"/>
  <c r="D264" i="32"/>
  <c r="E367" i="32"/>
  <c r="C252" i="32"/>
  <c r="C236" i="32"/>
  <c r="E332" i="32"/>
  <c r="C50" i="32"/>
  <c r="F202" i="32"/>
  <c r="E177" i="32"/>
  <c r="F165" i="32"/>
  <c r="B20" i="32"/>
  <c r="G320" i="32"/>
  <c r="H331" i="32"/>
  <c r="H233" i="32"/>
  <c r="C349" i="32"/>
  <c r="D285" i="32"/>
  <c r="C144" i="32"/>
  <c r="H307" i="32"/>
  <c r="F167" i="32"/>
  <c r="G112" i="32"/>
  <c r="E302" i="32"/>
  <c r="B34" i="32"/>
  <c r="B86" i="32"/>
  <c r="C16" i="32"/>
  <c r="H60" i="32"/>
  <c r="D292" i="32"/>
  <c r="B349" i="32"/>
  <c r="F55" i="32"/>
  <c r="F118" i="32"/>
  <c r="G230" i="32"/>
  <c r="E272" i="32"/>
  <c r="C174" i="32"/>
  <c r="H223" i="32"/>
  <c r="D234" i="32"/>
  <c r="D83" i="32"/>
  <c r="G124" i="32"/>
  <c r="B218" i="32"/>
  <c r="D197" i="32"/>
  <c r="H133" i="32"/>
  <c r="E341" i="32"/>
  <c r="G353" i="32"/>
  <c r="G178" i="32"/>
  <c r="H337" i="32"/>
  <c r="E250" i="32"/>
  <c r="F11" i="32"/>
  <c r="C249" i="32"/>
  <c r="D220" i="32"/>
  <c r="F120" i="32"/>
  <c r="B350" i="32"/>
  <c r="H16" i="32"/>
  <c r="G311" i="32"/>
  <c r="C117" i="32"/>
  <c r="C300" i="32"/>
  <c r="C292" i="32"/>
  <c r="C362" i="32"/>
  <c r="F109" i="32"/>
  <c r="C37" i="32"/>
  <c r="H31" i="32"/>
  <c r="D16" i="32"/>
  <c r="H152" i="32"/>
  <c r="C60" i="32"/>
  <c r="H300" i="32"/>
  <c r="F105" i="32"/>
  <c r="B327" i="32"/>
  <c r="E211" i="32"/>
  <c r="B113" i="32"/>
  <c r="G346" i="32"/>
  <c r="C340" i="32"/>
  <c r="C157" i="32"/>
  <c r="G305" i="32"/>
  <c r="D341" i="32"/>
  <c r="C334" i="32"/>
  <c r="D215" i="32"/>
  <c r="B311" i="32"/>
  <c r="F159" i="32"/>
  <c r="H213" i="32"/>
  <c r="B191" i="32"/>
  <c r="F198" i="32"/>
  <c r="B120" i="32"/>
  <c r="H238" i="32"/>
  <c r="B223" i="32"/>
  <c r="D248" i="32"/>
  <c r="D84" i="32"/>
  <c r="C298" i="32"/>
  <c r="H240" i="32"/>
  <c r="F97" i="32"/>
  <c r="G82" i="32"/>
  <c r="E77" i="32"/>
  <c r="H252" i="32"/>
  <c r="B144" i="32"/>
  <c r="D294" i="32"/>
  <c r="H29" i="32"/>
  <c r="G282" i="32"/>
  <c r="G368" i="32"/>
  <c r="C331" i="32"/>
  <c r="C208" i="32"/>
  <c r="C100" i="32"/>
  <c r="D287" i="32"/>
  <c r="E268" i="32"/>
  <c r="E194" i="32"/>
  <c r="D366" i="32"/>
  <c r="F56" i="32"/>
  <c r="D223" i="32"/>
  <c r="C184" i="32"/>
  <c r="H106" i="32"/>
  <c r="C358" i="32"/>
  <c r="F183" i="32"/>
  <c r="E261" i="32"/>
  <c r="H316" i="32"/>
  <c r="E253" i="32"/>
  <c r="G240" i="32"/>
  <c r="D109" i="32"/>
  <c r="B46" i="32"/>
  <c r="F62" i="32"/>
  <c r="C230" i="32"/>
  <c r="D101" i="32"/>
  <c r="E304" i="32"/>
  <c r="G53" i="32"/>
  <c r="E200" i="32"/>
  <c r="E362" i="32"/>
  <c r="D365" i="32"/>
  <c r="F147" i="32"/>
  <c r="F93" i="32"/>
  <c r="G263" i="32"/>
  <c r="H266" i="32"/>
  <c r="G279" i="32"/>
  <c r="C11" i="32"/>
  <c r="G68" i="32"/>
  <c r="F163" i="32"/>
  <c r="F306" i="32"/>
  <c r="H346" i="32"/>
  <c r="D29" i="32"/>
  <c r="D238" i="32"/>
  <c r="E349" i="32"/>
  <c r="E319" i="32"/>
  <c r="B121" i="32"/>
  <c r="C165" i="32"/>
  <c r="H73" i="32"/>
  <c r="C263" i="32"/>
  <c r="F81" i="32"/>
  <c r="F32" i="32"/>
  <c r="E15" i="32"/>
  <c r="E71" i="32"/>
  <c r="G181" i="32"/>
  <c r="G73" i="32"/>
  <c r="G62" i="32"/>
  <c r="E184" i="32"/>
  <c r="F38" i="32"/>
  <c r="F63" i="32"/>
  <c r="F193" i="32"/>
  <c r="D127" i="32"/>
  <c r="F258" i="32"/>
  <c r="B351" i="32"/>
  <c r="C140" i="32"/>
  <c r="B38" i="32"/>
  <c r="B61" i="32"/>
  <c r="G42" i="32"/>
  <c r="B263" i="32"/>
  <c r="E43" i="32"/>
  <c r="G296" i="32"/>
  <c r="E175" i="32"/>
  <c r="C128" i="32"/>
  <c r="B135" i="32"/>
  <c r="B229" i="32"/>
  <c r="F34" i="32"/>
  <c r="B103" i="32"/>
  <c r="H308" i="32"/>
  <c r="G340" i="32"/>
  <c r="E143" i="32"/>
  <c r="E285" i="32"/>
  <c r="F360" i="32"/>
  <c r="D27" i="32"/>
  <c r="E169" i="32"/>
  <c r="E189" i="32"/>
  <c r="D21" i="32"/>
  <c r="D181" i="32"/>
  <c r="F143" i="32"/>
  <c r="C205" i="32"/>
  <c r="D213" i="32"/>
  <c r="G86" i="32"/>
  <c r="C10" i="32"/>
  <c r="D67" i="32"/>
  <c r="H311" i="32"/>
  <c r="D229" i="32"/>
  <c r="B194" i="32"/>
  <c r="F251" i="32"/>
  <c r="B159" i="32"/>
  <c r="D235" i="32"/>
  <c r="E170" i="32"/>
  <c r="F338" i="32"/>
  <c r="F57" i="32"/>
  <c r="H50" i="32"/>
  <c r="D317" i="32"/>
  <c r="C74" i="32"/>
  <c r="C301" i="32"/>
  <c r="G245" i="32"/>
  <c r="C88" i="32"/>
  <c r="B314" i="32"/>
  <c r="H93" i="32"/>
  <c r="D64" i="32"/>
  <c r="C361" i="32"/>
  <c r="G20" i="32"/>
  <c r="B357" i="32"/>
  <c r="H320" i="32"/>
  <c r="D185" i="32"/>
  <c r="G251" i="32"/>
  <c r="C103" i="32"/>
  <c r="F172" i="32"/>
  <c r="E22" i="32"/>
  <c r="D261" i="32"/>
  <c r="D300" i="32"/>
  <c r="E215" i="32"/>
  <c r="G183" i="32"/>
  <c r="B208" i="32"/>
  <c r="D256" i="32"/>
  <c r="E99" i="32"/>
  <c r="G16" i="32"/>
  <c r="E347" i="32"/>
  <c r="H116" i="32"/>
  <c r="H263" i="32"/>
  <c r="H249" i="32"/>
  <c r="E97" i="32"/>
  <c r="C146" i="32"/>
  <c r="C29" i="32"/>
  <c r="G201" i="32"/>
  <c r="F331" i="32"/>
  <c r="F152" i="32"/>
  <c r="C204" i="32"/>
  <c r="G244" i="32"/>
  <c r="E305" i="32"/>
  <c r="C307" i="32"/>
  <c r="G121" i="32"/>
  <c r="E198" i="32"/>
  <c r="E322" i="32"/>
  <c r="F37" i="32"/>
  <c r="G150" i="32"/>
  <c r="F285" i="32"/>
  <c r="C96" i="32"/>
  <c r="H208" i="32"/>
  <c r="F197" i="32"/>
  <c r="B204" i="32"/>
  <c r="H82" i="32"/>
  <c r="H258" i="32"/>
  <c r="F103" i="32"/>
  <c r="F132" i="32"/>
  <c r="C81" i="32"/>
  <c r="G312" i="32"/>
  <c r="C330" i="32"/>
  <c r="C321" i="32"/>
  <c r="C131" i="32"/>
  <c r="B39" i="32"/>
  <c r="F79" i="32"/>
  <c r="H215" i="32"/>
  <c r="E225" i="32"/>
  <c r="C181" i="32"/>
  <c r="C359" i="32"/>
  <c r="F194" i="32"/>
  <c r="C344" i="32"/>
  <c r="D357" i="32"/>
  <c r="E104" i="32"/>
  <c r="F332" i="32"/>
  <c r="G364" i="32"/>
  <c r="B299" i="32"/>
  <c r="B48" i="32"/>
  <c r="D196" i="32"/>
  <c r="G136" i="32"/>
  <c r="G214" i="32"/>
  <c r="D277" i="32"/>
  <c r="B310" i="32"/>
  <c r="H39" i="32"/>
  <c r="F223" i="32"/>
  <c r="F139" i="32"/>
  <c r="B302" i="32"/>
  <c r="E186" i="32"/>
  <c r="C101" i="32"/>
  <c r="F308" i="32"/>
  <c r="B238" i="32"/>
  <c r="F71" i="32"/>
  <c r="B173" i="32"/>
  <c r="D356" i="32"/>
  <c r="E114" i="32"/>
  <c r="F232" i="32"/>
  <c r="D89" i="32"/>
  <c r="D161" i="32"/>
  <c r="D32" i="32"/>
  <c r="G283" i="32"/>
  <c r="B170" i="32"/>
  <c r="E318" i="32"/>
  <c r="E160" i="32"/>
  <c r="D43" i="32"/>
  <c r="E45" i="32"/>
  <c r="B292" i="32"/>
  <c r="H268" i="32"/>
  <c r="H229" i="32"/>
  <c r="E78" i="32"/>
  <c r="H367" i="32"/>
  <c r="H291" i="32"/>
  <c r="B89" i="32"/>
  <c r="H286" i="32"/>
  <c r="E117" i="32"/>
  <c r="G222" i="32"/>
  <c r="E42" i="32"/>
  <c r="H214" i="32"/>
  <c r="B119" i="32"/>
  <c r="B54" i="32"/>
  <c r="F343" i="32"/>
  <c r="B112" i="32"/>
  <c r="F235" i="32"/>
  <c r="H324" i="32"/>
  <c r="D167" i="32"/>
  <c r="F145" i="32"/>
  <c r="F217" i="32"/>
  <c r="D289" i="32"/>
  <c r="F367" i="32"/>
  <c r="D55" i="32"/>
  <c r="G292" i="32"/>
  <c r="D227" i="32"/>
  <c r="F91" i="32"/>
  <c r="F368" i="32"/>
  <c r="C187" i="32"/>
  <c r="B132" i="32"/>
  <c r="H123" i="32"/>
  <c r="D183" i="32"/>
  <c r="H209" i="32"/>
  <c r="F329" i="32"/>
  <c r="D202" i="32"/>
  <c r="E13" i="32"/>
  <c r="E210" i="32"/>
  <c r="F44" i="32"/>
  <c r="C120" i="32"/>
  <c r="G15" i="32"/>
  <c r="G120" i="32"/>
  <c r="C234" i="32"/>
  <c r="F307" i="32"/>
  <c r="D363" i="32"/>
  <c r="G322" i="32"/>
  <c r="D157" i="32"/>
  <c r="E232" i="32"/>
  <c r="C337" i="32"/>
  <c r="C345" i="32"/>
  <c r="H182" i="32"/>
  <c r="B298" i="32"/>
  <c r="E239" i="32"/>
  <c r="F316" i="32"/>
  <c r="F210" i="32"/>
  <c r="E31" i="32"/>
  <c r="G198" i="32"/>
  <c r="B337" i="32"/>
  <c r="H91" i="32"/>
  <c r="D249" i="32"/>
  <c r="E315" i="32"/>
  <c r="H154" i="32"/>
  <c r="D209" i="32"/>
  <c r="C15" i="32"/>
  <c r="E134" i="32"/>
  <c r="B72" i="32"/>
  <c r="B111" i="32"/>
  <c r="H62" i="32"/>
  <c r="G27" i="32"/>
  <c r="G179" i="32"/>
  <c r="D319" i="32"/>
  <c r="H188" i="32"/>
  <c r="F173" i="32"/>
  <c r="E118" i="32"/>
  <c r="B303" i="32"/>
  <c r="F203" i="32"/>
  <c r="F212" i="32"/>
  <c r="C269" i="32"/>
  <c r="B312" i="32"/>
  <c r="G363" i="32"/>
  <c r="B307" i="32"/>
  <c r="G114" i="32"/>
  <c r="H198" i="32"/>
  <c r="B232" i="32"/>
  <c r="D45" i="32"/>
  <c r="F134" i="32"/>
  <c r="F234" i="32"/>
  <c r="D280" i="32"/>
  <c r="H261" i="32"/>
  <c r="B285" i="32"/>
  <c r="E278" i="32"/>
  <c r="E282" i="32"/>
  <c r="D362" i="32"/>
  <c r="F146" i="32"/>
  <c r="H68" i="32"/>
  <c r="D91" i="32"/>
  <c r="F182" i="32"/>
  <c r="H363" i="32"/>
  <c r="E317" i="32"/>
  <c r="G206" i="32"/>
  <c r="E342" i="32"/>
  <c r="E294" i="32"/>
  <c r="B313" i="32"/>
  <c r="D255" i="32"/>
  <c r="F363" i="32"/>
  <c r="F298" i="32"/>
  <c r="F106" i="32"/>
  <c r="C348" i="32"/>
  <c r="E74" i="32"/>
  <c r="B281" i="32"/>
  <c r="D321" i="32"/>
  <c r="C179" i="32"/>
  <c r="D284" i="32"/>
  <c r="F188" i="32"/>
  <c r="F67" i="32"/>
  <c r="B239" i="32"/>
  <c r="H277" i="32"/>
  <c r="F72" i="32"/>
  <c r="E65" i="32"/>
  <c r="B273" i="32"/>
  <c r="D77" i="32"/>
  <c r="D74" i="32"/>
  <c r="H197" i="32"/>
  <c r="H139" i="32"/>
  <c r="H366" i="32"/>
  <c r="E284" i="32"/>
  <c r="D65" i="32"/>
  <c r="G140" i="32"/>
  <c r="E150" i="32"/>
  <c r="D306" i="32"/>
  <c r="E352" i="32"/>
  <c r="E350" i="32"/>
  <c r="G196" i="32"/>
  <c r="G139" i="32"/>
  <c r="H327" i="32"/>
  <c r="H35" i="32"/>
  <c r="H84" i="32"/>
  <c r="B222" i="32"/>
  <c r="H349" i="32"/>
  <c r="C192" i="32"/>
  <c r="C283" i="32"/>
  <c r="F249" i="32"/>
  <c r="C296" i="32"/>
  <c r="H253" i="32"/>
  <c r="E153" i="32"/>
  <c r="F153" i="32"/>
  <c r="G51" i="32"/>
  <c r="H343" i="32"/>
  <c r="F138" i="32"/>
  <c r="G310" i="32"/>
  <c r="B271" i="32"/>
  <c r="C225" i="32"/>
  <c r="F299" i="32"/>
  <c r="E61" i="32"/>
  <c r="B348" i="32"/>
  <c r="G352" i="32"/>
  <c r="E44" i="32"/>
  <c r="F293" i="32"/>
  <c r="E76" i="32"/>
  <c r="F274" i="32"/>
  <c r="F49" i="32"/>
  <c r="F342" i="32"/>
  <c r="F238" i="32"/>
  <c r="F92" i="32"/>
  <c r="D364" i="32"/>
  <c r="H304" i="32"/>
  <c r="E260" i="32"/>
  <c r="C86" i="32"/>
  <c r="G253" i="32"/>
  <c r="E12" i="32"/>
  <c r="B215" i="32"/>
  <c r="B100" i="32"/>
  <c r="F341" i="32"/>
  <c r="G213" i="32"/>
  <c r="H309" i="32"/>
  <c r="G132" i="32"/>
  <c r="G100" i="32"/>
  <c r="E85" i="32"/>
  <c r="B325" i="32"/>
  <c r="E26" i="32"/>
  <c r="F271" i="32"/>
  <c r="D140" i="32"/>
  <c r="F52" i="32"/>
  <c r="H336" i="32"/>
  <c r="F272" i="32"/>
  <c r="F288" i="32"/>
  <c r="C242" i="32"/>
  <c r="D180" i="32"/>
  <c r="G197" i="32"/>
  <c r="H192" i="32"/>
  <c r="B43" i="32"/>
  <c r="D190" i="32"/>
  <c r="E327" i="32"/>
  <c r="B368" i="32"/>
  <c r="D42" i="32"/>
  <c r="H13" i="32"/>
  <c r="G359" i="32"/>
  <c r="C134" i="32"/>
  <c r="C289" i="32"/>
  <c r="F240" i="32"/>
  <c r="F51" i="32"/>
  <c r="G147" i="32"/>
  <c r="G301" i="32"/>
  <c r="C112" i="32"/>
  <c r="B56" i="32"/>
  <c r="G303" i="32"/>
  <c r="C170" i="32"/>
  <c r="H358" i="32"/>
  <c r="E241" i="32"/>
  <c r="F261" i="32"/>
  <c r="C277" i="32"/>
  <c r="C116" i="32"/>
  <c r="B24" i="32"/>
  <c r="D107" i="32"/>
  <c r="H90" i="32"/>
  <c r="H174" i="32"/>
  <c r="F207" i="32"/>
  <c r="H245" i="32"/>
  <c r="F110" i="32"/>
  <c r="B44" i="32"/>
  <c r="D269" i="32"/>
  <c r="G313" i="32"/>
  <c r="E162" i="32"/>
  <c r="H24" i="32"/>
  <c r="G250" i="32"/>
  <c r="F78" i="32"/>
  <c r="D35" i="32"/>
  <c r="H70" i="32"/>
  <c r="H306" i="32"/>
  <c r="D182" i="32"/>
  <c r="F115" i="32"/>
  <c r="D28" i="32"/>
  <c r="G355" i="32"/>
  <c r="H59" i="32"/>
  <c r="G243" i="32"/>
  <c r="H184" i="32"/>
  <c r="E201" i="32"/>
  <c r="B316" i="32"/>
  <c r="F349" i="32"/>
  <c r="E323" i="32"/>
  <c r="C251" i="32"/>
  <c r="D39" i="32"/>
  <c r="F242" i="32"/>
  <c r="G354" i="32"/>
  <c r="E337" i="32"/>
  <c r="B367" i="32"/>
  <c r="C200" i="32"/>
  <c r="B62" i="32"/>
  <c r="E205" i="32"/>
  <c r="F178" i="32"/>
  <c r="E129" i="32"/>
  <c r="D293" i="32"/>
  <c r="E220" i="32"/>
  <c r="B164" i="32"/>
  <c r="E221" i="32"/>
  <c r="H52" i="32"/>
  <c r="H88" i="32"/>
  <c r="H222" i="32"/>
  <c r="C248" i="32"/>
  <c r="E127" i="32"/>
  <c r="B330" i="32"/>
  <c r="F304" i="32"/>
  <c r="C314" i="32"/>
  <c r="F61" i="32"/>
  <c r="B182" i="32"/>
  <c r="E369" i="32"/>
  <c r="D113" i="32"/>
  <c r="B41" i="32"/>
  <c r="B234" i="32"/>
  <c r="E46" i="32"/>
  <c r="C180" i="32"/>
  <c r="C367" i="32"/>
  <c r="E183" i="32"/>
  <c r="B206" i="32"/>
  <c r="G85" i="32"/>
  <c r="H127" i="32"/>
  <c r="E197" i="32"/>
  <c r="D53" i="32"/>
  <c r="H282" i="32"/>
  <c r="C150" i="32"/>
  <c r="F263" i="32"/>
  <c r="B279" i="32"/>
  <c r="D143" i="32"/>
  <c r="B202" i="32"/>
  <c r="D314" i="32"/>
  <c r="F123" i="32"/>
  <c r="C203" i="32"/>
  <c r="G188" i="32"/>
  <c r="D359" i="32"/>
  <c r="C328" i="32"/>
  <c r="H134" i="32"/>
  <c r="H85" i="32"/>
  <c r="E203" i="32"/>
  <c r="H322" i="32"/>
  <c r="E176" i="32"/>
  <c r="F255" i="32"/>
  <c r="G176" i="32"/>
  <c r="C106" i="32"/>
  <c r="H212" i="32"/>
  <c r="G339" i="32"/>
  <c r="B115" i="32"/>
  <c r="G267" i="32"/>
  <c r="C218" i="32"/>
  <c r="G161" i="32"/>
  <c r="C99" i="32"/>
  <c r="B92" i="32"/>
  <c r="B341" i="32"/>
  <c r="D66" i="32"/>
  <c r="F244" i="32"/>
  <c r="C256" i="32"/>
  <c r="H17" i="32"/>
  <c r="H234" i="32"/>
  <c r="D216" i="32"/>
  <c r="H20" i="32"/>
  <c r="H342" i="32"/>
  <c r="B104" i="32"/>
  <c r="G285" i="32"/>
  <c r="D33" i="32"/>
  <c r="E190" i="32"/>
  <c r="E293" i="32"/>
  <c r="B241" i="32"/>
  <c r="F96" i="32"/>
  <c r="E32" i="32"/>
  <c r="C105" i="32"/>
  <c r="D263" i="32"/>
  <c r="H230" i="32"/>
  <c r="C210" i="32"/>
  <c r="D58" i="32"/>
  <c r="G333" i="32"/>
  <c r="D186" i="32"/>
  <c r="G348" i="32"/>
  <c r="C267" i="32"/>
  <c r="D351" i="32"/>
  <c r="B258" i="32"/>
  <c r="H279" i="32"/>
  <c r="G46" i="32"/>
  <c r="G166" i="32"/>
  <c r="H33" i="32"/>
  <c r="C207" i="32"/>
  <c r="C158" i="32"/>
  <c r="B187" i="32"/>
  <c r="H25" i="32"/>
  <c r="E94" i="32"/>
  <c r="G307" i="32"/>
  <c r="C195" i="32"/>
  <c r="H189" i="32"/>
  <c r="H321" i="32"/>
  <c r="B315" i="32"/>
  <c r="B209" i="32"/>
  <c r="B275" i="32"/>
  <c r="E279" i="32"/>
  <c r="D331" i="32"/>
  <c r="D154" i="32"/>
  <c r="G284" i="32"/>
  <c r="G223" i="32"/>
  <c r="B293" i="32"/>
  <c r="F75" i="32"/>
  <c r="D336" i="32"/>
  <c r="H94" i="32"/>
  <c r="B336" i="32"/>
  <c r="H289" i="32"/>
  <c r="G209" i="32"/>
  <c r="E291" i="32"/>
  <c r="G169" i="32"/>
  <c r="C213" i="32"/>
  <c r="D76" i="32"/>
  <c r="C355" i="32"/>
  <c r="D344" i="32"/>
  <c r="C27" i="32"/>
  <c r="G160" i="32"/>
  <c r="H148" i="32"/>
  <c r="B117" i="32"/>
  <c r="D158" i="32"/>
  <c r="E346" i="32"/>
  <c r="D179" i="32"/>
  <c r="C58" i="32"/>
  <c r="H150" i="32"/>
  <c r="D56" i="32"/>
  <c r="C33" i="32"/>
  <c r="E110" i="32"/>
  <c r="G203" i="32"/>
  <c r="H274" i="32"/>
  <c r="B286" i="32"/>
  <c r="G117" i="32"/>
  <c r="G269" i="32"/>
  <c r="H201" i="32"/>
  <c r="H43" i="32"/>
  <c r="G111" i="32"/>
  <c r="E283" i="32"/>
  <c r="D60" i="32"/>
  <c r="G207" i="32"/>
  <c r="D240" i="32"/>
  <c r="D37" i="32"/>
  <c r="H224" i="32"/>
  <c r="F26" i="32"/>
  <c r="G84" i="32"/>
  <c r="H350" i="32"/>
  <c r="H23" i="32"/>
  <c r="B359" i="32"/>
  <c r="F180" i="32"/>
  <c r="C104" i="32"/>
  <c r="B99" i="32"/>
  <c r="B158" i="32"/>
  <c r="D175" i="32"/>
  <c r="F228" i="32"/>
  <c r="F359" i="32"/>
  <c r="D243" i="32"/>
  <c r="H284" i="32"/>
  <c r="B123" i="32"/>
  <c r="F84" i="32"/>
  <c r="E135" i="32"/>
  <c r="B31" i="32"/>
  <c r="F160" i="32"/>
  <c r="D147" i="32"/>
  <c r="G202" i="32"/>
  <c r="F104" i="32"/>
  <c r="H239" i="32"/>
  <c r="C212" i="32"/>
  <c r="C95" i="32"/>
  <c r="C291" i="32"/>
  <c r="D168" i="32"/>
  <c r="B74" i="32"/>
  <c r="B59" i="32"/>
  <c r="C310" i="32"/>
  <c r="H45" i="32"/>
  <c r="H97" i="32"/>
  <c r="G191" i="32"/>
  <c r="G280" i="32"/>
  <c r="H71" i="32"/>
  <c r="D152" i="32"/>
  <c r="D119" i="32"/>
  <c r="F111" i="32"/>
  <c r="D132" i="32"/>
  <c r="D244" i="32"/>
  <c r="E244" i="32"/>
  <c r="H271" i="32"/>
  <c r="H285" i="32"/>
  <c r="E257" i="32"/>
  <c r="H303" i="32"/>
  <c r="B161" i="32"/>
  <c r="D97" i="32"/>
  <c r="E47" i="32"/>
  <c r="C154" i="32"/>
  <c r="B219" i="32"/>
  <c r="C226" i="32"/>
  <c r="C94" i="32"/>
  <c r="C295" i="32"/>
  <c r="E357" i="32"/>
  <c r="C240" i="32"/>
  <c r="E138" i="32"/>
  <c r="B177" i="32"/>
  <c r="F227" i="32"/>
  <c r="D360" i="32"/>
  <c r="H83" i="32"/>
  <c r="H130" i="32"/>
  <c r="E258" i="32"/>
  <c r="C64" i="32"/>
  <c r="E50" i="32"/>
  <c r="H272" i="32"/>
  <c r="F169" i="32"/>
  <c r="D320" i="32"/>
  <c r="B247" i="32"/>
  <c r="F219" i="32"/>
  <c r="D322" i="32"/>
  <c r="B51" i="32"/>
  <c r="D144" i="32"/>
  <c r="C196" i="32"/>
  <c r="E271" i="32"/>
  <c r="E108" i="32"/>
  <c r="C194" i="32"/>
  <c r="H58" i="32"/>
  <c r="B17" i="32"/>
  <c r="E235" i="32"/>
  <c r="H159" i="32"/>
  <c r="F16" i="32"/>
  <c r="F65" i="32"/>
  <c r="H264" i="32"/>
  <c r="G278" i="32"/>
  <c r="E212" i="32"/>
  <c r="C124" i="32"/>
  <c r="E144" i="32"/>
  <c r="D204" i="32"/>
  <c r="G366" i="32"/>
  <c r="B149" i="32"/>
  <c r="G324" i="32"/>
  <c r="H216" i="32"/>
  <c r="B318" i="32"/>
  <c r="C152" i="32"/>
  <c r="G152" i="32"/>
  <c r="E51" i="32"/>
  <c r="B342" i="32"/>
  <c r="F70" i="32"/>
  <c r="D86" i="32"/>
  <c r="F250" i="32"/>
  <c r="F184" i="32"/>
  <c r="H295" i="32"/>
  <c r="F140" i="32"/>
  <c r="D72" i="32"/>
  <c r="E297" i="32"/>
  <c r="E196" i="32"/>
  <c r="C220" i="32"/>
  <c r="C219" i="32"/>
  <c r="E187" i="32"/>
  <c r="B268" i="32"/>
  <c r="B136" i="32"/>
  <c r="G61" i="32"/>
  <c r="H122" i="32"/>
  <c r="E330" i="32"/>
  <c r="C342" i="32"/>
  <c r="C273" i="32"/>
  <c r="B91" i="32"/>
  <c r="E142" i="32"/>
  <c r="H357" i="32"/>
  <c r="E167" i="32"/>
  <c r="H101" i="32"/>
  <c r="D217" i="32"/>
  <c r="D192" i="32"/>
  <c r="D49" i="32"/>
  <c r="H339" i="32"/>
  <c r="B116" i="32"/>
  <c r="G199" i="32"/>
  <c r="F36" i="32"/>
  <c r="C193" i="32"/>
  <c r="F69" i="32"/>
  <c r="E34" i="32"/>
  <c r="F276" i="32"/>
  <c r="D15" i="32"/>
  <c r="G125" i="32"/>
  <c r="E49" i="32"/>
  <c r="E265" i="32"/>
  <c r="E168" i="32"/>
  <c r="B213" i="32"/>
  <c r="B27" i="32"/>
  <c r="F275" i="32"/>
  <c r="F284" i="32"/>
  <c r="B73" i="32"/>
  <c r="C52" i="32"/>
  <c r="B245" i="32"/>
  <c r="H226" i="32"/>
  <c r="E204" i="32"/>
  <c r="C282" i="32"/>
  <c r="F76" i="32"/>
  <c r="F170" i="32"/>
  <c r="H290" i="32"/>
  <c r="D30" i="32"/>
  <c r="E149" i="32"/>
  <c r="E326" i="32"/>
  <c r="H246" i="32"/>
  <c r="C32" i="32"/>
  <c r="H312" i="32"/>
  <c r="C266" i="32"/>
  <c r="G143" i="32"/>
  <c r="E40" i="32"/>
  <c r="F354" i="32"/>
  <c r="D112" i="32"/>
  <c r="D193" i="32"/>
  <c r="C176" i="32"/>
  <c r="C244" i="32"/>
  <c r="H69" i="32"/>
  <c r="D100" i="32"/>
  <c r="C188" i="32"/>
  <c r="C209" i="32"/>
  <c r="D184" i="32"/>
  <c r="D47" i="32"/>
  <c r="F286" i="32"/>
  <c r="F25" i="32"/>
  <c r="F31" i="32"/>
  <c r="G52" i="32"/>
  <c r="H269" i="32"/>
  <c r="B50" i="32"/>
  <c r="F83" i="32"/>
  <c r="B152" i="32"/>
  <c r="H55" i="32"/>
  <c r="C322" i="32"/>
  <c r="H280" i="32"/>
  <c r="F113" i="32"/>
  <c r="F102" i="32"/>
  <c r="D212" i="32"/>
  <c r="G234" i="32"/>
  <c r="F346" i="32"/>
  <c r="C221" i="32"/>
  <c r="E329" i="32"/>
  <c r="B110" i="32"/>
  <c r="E62" i="32"/>
  <c r="C107" i="32"/>
  <c r="E231" i="32"/>
  <c r="C82" i="32"/>
  <c r="D233" i="32"/>
  <c r="C294" i="32"/>
  <c r="D189" i="32"/>
  <c r="H156" i="32"/>
  <c r="C315" i="32"/>
  <c r="D339" i="32"/>
  <c r="C65" i="32"/>
  <c r="E29" i="32"/>
  <c r="B15" i="32"/>
  <c r="F142" i="32"/>
  <c r="E152" i="32"/>
  <c r="F129" i="32"/>
  <c r="G155" i="32"/>
  <c r="C63" i="32"/>
  <c r="C91" i="32"/>
  <c r="E281" i="32"/>
  <c r="D318" i="32"/>
  <c r="G218" i="32"/>
  <c r="D303" i="32"/>
  <c r="G264" i="32"/>
  <c r="D57" i="32"/>
  <c r="G137" i="32"/>
  <c r="G149" i="32"/>
  <c r="G331" i="32"/>
  <c r="G55" i="32"/>
  <c r="G91" i="32"/>
  <c r="F211" i="32"/>
  <c r="H317" i="32"/>
  <c r="G186" i="32"/>
  <c r="H147" i="32"/>
  <c r="C305" i="32"/>
  <c r="G228" i="32"/>
  <c r="D230" i="32"/>
  <c r="D241" i="32"/>
  <c r="B49" i="32"/>
  <c r="G347" i="32"/>
  <c r="C18" i="32"/>
  <c r="E273" i="32"/>
  <c r="F191" i="32"/>
  <c r="E310" i="32"/>
  <c r="D141" i="32"/>
  <c r="D52" i="32"/>
  <c r="E303" i="32"/>
  <c r="C172" i="32"/>
  <c r="F196" i="32"/>
  <c r="B151" i="32"/>
  <c r="C130" i="32"/>
  <c r="C276" i="32"/>
  <c r="D272" i="32"/>
  <c r="G182" i="32"/>
  <c r="G260" i="32"/>
  <c r="B252" i="32"/>
  <c r="H48" i="32"/>
  <c r="G60" i="32"/>
  <c r="H27" i="32"/>
  <c r="B235" i="32"/>
  <c r="B326" i="32"/>
  <c r="B242" i="32"/>
  <c r="D174" i="32"/>
  <c r="D155" i="32"/>
  <c r="F302" i="32"/>
  <c r="C38" i="32"/>
  <c r="F22" i="32"/>
  <c r="C303" i="32"/>
  <c r="G19" i="32"/>
  <c r="C164" i="32"/>
  <c r="G335" i="32"/>
  <c r="D335" i="32"/>
  <c r="G110" i="32"/>
  <c r="B146" i="32"/>
  <c r="C109" i="32"/>
  <c r="B259" i="32"/>
  <c r="C324" i="32"/>
  <c r="H242" i="32"/>
  <c r="C19" i="32"/>
  <c r="G328" i="32"/>
  <c r="F189" i="32"/>
  <c r="F209" i="32"/>
  <c r="E116" i="32"/>
  <c r="H117" i="32"/>
  <c r="D171" i="32"/>
  <c r="H168" i="32"/>
  <c r="C238" i="32"/>
  <c r="E240" i="32"/>
  <c r="E19" i="32"/>
  <c r="F294" i="32"/>
  <c r="C171" i="32"/>
  <c r="G129" i="32"/>
  <c r="D79" i="32"/>
  <c r="E136" i="32"/>
  <c r="D252" i="32"/>
  <c r="H76" i="32"/>
  <c r="F330" i="32"/>
  <c r="C237" i="32"/>
  <c r="E288" i="32"/>
  <c r="B147" i="32"/>
  <c r="C126" i="32"/>
  <c r="F277" i="32"/>
  <c r="D169" i="32"/>
  <c r="B183" i="32"/>
  <c r="B195" i="32"/>
  <c r="F243" i="32"/>
  <c r="C346" i="32"/>
  <c r="F205" i="32"/>
  <c r="H313" i="32"/>
  <c r="F313" i="32"/>
  <c r="C145" i="32"/>
  <c r="E276" i="32"/>
  <c r="B306" i="32"/>
  <c r="E254" i="32"/>
  <c r="B60" i="32"/>
  <c r="C339" i="32"/>
  <c r="F42" i="32"/>
  <c r="B261" i="32"/>
  <c r="F10" i="32"/>
  <c r="E57" i="32"/>
  <c r="D265" i="32"/>
  <c r="D324" i="32"/>
  <c r="C280" i="32"/>
  <c r="D95" i="32"/>
  <c r="G76" i="32"/>
  <c r="E237" i="32"/>
  <c r="D18" i="32"/>
  <c r="H120" i="32"/>
  <c r="E238" i="32"/>
  <c r="G195" i="32"/>
  <c r="E67" i="32"/>
  <c r="H167" i="32"/>
  <c r="G208" i="32"/>
  <c r="F77" i="32"/>
  <c r="H111" i="32"/>
  <c r="B178" i="32"/>
  <c r="E202" i="32"/>
  <c r="C185" i="32"/>
  <c r="E96" i="32"/>
  <c r="H18" i="32"/>
  <c r="D19" i="32"/>
  <c r="F326" i="32"/>
  <c r="B346" i="32"/>
  <c r="F278" i="32"/>
  <c r="D219" i="32"/>
  <c r="F95" i="32"/>
  <c r="D125" i="32"/>
  <c r="D142" i="32"/>
  <c r="G271" i="32"/>
  <c r="G344" i="32"/>
  <c r="E309" i="32"/>
  <c r="D134" i="32"/>
  <c r="C306" i="32"/>
  <c r="G45" i="32"/>
  <c r="B18" i="32"/>
  <c r="E132" i="32"/>
  <c r="H219" i="32"/>
  <c r="D38" i="32"/>
  <c r="F17" i="32"/>
  <c r="E208" i="32"/>
  <c r="B253" i="32"/>
  <c r="D173" i="32"/>
  <c r="E308" i="32"/>
  <c r="D153" i="32"/>
  <c r="F100" i="32"/>
  <c r="D242" i="32"/>
  <c r="C271" i="32"/>
  <c r="C55" i="32"/>
  <c r="B88" i="32"/>
  <c r="G144" i="32"/>
  <c r="C297" i="32"/>
  <c r="D159" i="32"/>
  <c r="B142" i="32"/>
  <c r="D358" i="32"/>
  <c r="G249" i="32"/>
  <c r="F74" i="32"/>
  <c r="H149" i="32"/>
  <c r="C137" i="32"/>
  <c r="H287" i="32"/>
  <c r="F164" i="32"/>
  <c r="B98" i="32"/>
  <c r="B369" i="32"/>
  <c r="G69" i="32"/>
  <c r="D82" i="32"/>
  <c r="E325" i="32"/>
  <c r="C299" i="32"/>
  <c r="C151" i="32"/>
  <c r="H191" i="32"/>
  <c r="H110" i="32"/>
  <c r="E95" i="32"/>
  <c r="H89" i="32"/>
  <c r="H259" i="32"/>
  <c r="G177" i="32"/>
  <c r="G350" i="32"/>
  <c r="G25" i="32"/>
  <c r="G107" i="32"/>
  <c r="D315" i="32"/>
  <c r="F266" i="32"/>
  <c r="B90" i="32"/>
  <c r="E259" i="32"/>
  <c r="H276" i="32"/>
  <c r="C69" i="32"/>
  <c r="B320" i="32"/>
  <c r="H118" i="32"/>
  <c r="G34" i="32"/>
  <c r="C75" i="32"/>
  <c r="D118" i="32"/>
  <c r="B225" i="32"/>
  <c r="D353" i="32"/>
  <c r="H121" i="32"/>
  <c r="B94" i="32"/>
  <c r="E163" i="32"/>
  <c r="D165" i="32"/>
  <c r="G35" i="32"/>
  <c r="G358" i="32"/>
  <c r="E54" i="32"/>
  <c r="H193" i="32"/>
  <c r="D80" i="32"/>
  <c r="E63" i="32"/>
  <c r="C113" i="32"/>
  <c r="D78" i="32"/>
  <c r="C143" i="32"/>
  <c r="H241" i="32"/>
  <c r="D105" i="32"/>
  <c r="D117" i="32"/>
  <c r="H15" i="32"/>
  <c r="E334" i="32"/>
  <c r="B333" i="32"/>
  <c r="B284" i="32"/>
  <c r="B317" i="32"/>
  <c r="E37" i="32"/>
  <c r="G33" i="32"/>
  <c r="F133" i="32"/>
  <c r="H348" i="32"/>
  <c r="E295" i="32"/>
  <c r="H310" i="32"/>
  <c r="F309" i="32"/>
  <c r="F347" i="32"/>
  <c r="D115" i="32"/>
  <c r="G57" i="32"/>
  <c r="E164" i="32"/>
  <c r="B345" i="32"/>
  <c r="D51" i="32"/>
  <c r="D258" i="32"/>
  <c r="F157" i="32"/>
  <c r="F282" i="32"/>
  <c r="B14" i="32"/>
  <c r="B331" i="32"/>
  <c r="H98" i="32"/>
  <c r="H57" i="32"/>
  <c r="H262" i="32"/>
  <c r="F292" i="32"/>
  <c r="B226" i="32"/>
  <c r="F136" i="32"/>
  <c r="D41" i="32"/>
  <c r="C369" i="32"/>
  <c r="C142" i="32"/>
  <c r="E344" i="32"/>
  <c r="E156" i="32"/>
  <c r="E16" i="32"/>
  <c r="G141" i="32"/>
  <c r="C169" i="32"/>
  <c r="G18" i="32"/>
  <c r="G204" i="32"/>
  <c r="H187" i="32"/>
  <c r="E122" i="32"/>
  <c r="C54" i="32"/>
  <c r="E81" i="32"/>
  <c r="F15" i="32"/>
  <c r="C239" i="32"/>
  <c r="B205" i="32"/>
  <c r="E178" i="32"/>
  <c r="H247" i="32"/>
  <c r="F289" i="32"/>
  <c r="C347" i="32"/>
  <c r="H146" i="32"/>
  <c r="D348" i="32"/>
  <c r="G31" i="32"/>
  <c r="D207" i="32"/>
  <c r="D343" i="32"/>
  <c r="F362" i="32"/>
  <c r="F262" i="32"/>
  <c r="B167" i="32"/>
  <c r="B319" i="32"/>
  <c r="E87" i="32"/>
  <c r="B196" i="32"/>
  <c r="B95" i="32"/>
  <c r="F325" i="32"/>
  <c r="C167" i="32"/>
  <c r="B328" i="32"/>
  <c r="E222" i="32"/>
  <c r="D334" i="32"/>
  <c r="F264" i="32"/>
  <c r="B280" i="32"/>
  <c r="D205" i="32"/>
  <c r="B335" i="32"/>
  <c r="B323" i="32"/>
  <c r="F204" i="32"/>
  <c r="C115" i="32"/>
  <c r="D14" i="32"/>
  <c r="H63" i="32"/>
  <c r="G246" i="32"/>
  <c r="E251" i="32"/>
  <c r="H102" i="32"/>
  <c r="C311" i="32"/>
  <c r="E137" i="32"/>
  <c r="C62" i="32"/>
  <c r="H365" i="32"/>
  <c r="G189" i="32"/>
  <c r="C149" i="32"/>
  <c r="F236" i="32"/>
  <c r="E306" i="32"/>
  <c r="C119" i="32"/>
  <c r="G217" i="32"/>
  <c r="D283" i="32"/>
  <c r="F155" i="32"/>
  <c r="G239" i="32"/>
  <c r="E33" i="32"/>
  <c r="C224" i="32"/>
  <c r="D102" i="32"/>
  <c r="F40" i="32"/>
  <c r="C246" i="32"/>
  <c r="C45" i="32"/>
  <c r="G336" i="32"/>
  <c r="B251" i="32"/>
  <c r="D130" i="32"/>
  <c r="G329" i="32"/>
  <c r="E354" i="32"/>
  <c r="G70" i="32"/>
  <c r="F28" i="32"/>
  <c r="D267" i="32"/>
  <c r="D93" i="32"/>
  <c r="H145" i="32"/>
  <c r="G109" i="32"/>
  <c r="B126" i="32"/>
  <c r="E101" i="32"/>
  <c r="F161" i="32"/>
  <c r="C97" i="32"/>
  <c r="C360" i="32"/>
  <c r="F98" i="32"/>
  <c r="F35" i="32"/>
  <c r="E275" i="32"/>
  <c r="F80" i="32"/>
  <c r="F260" i="32"/>
  <c r="B199" i="32"/>
  <c r="C66" i="32"/>
  <c r="B274" i="32"/>
  <c r="G241" i="32"/>
  <c r="G262" i="32"/>
  <c r="D276" i="32"/>
  <c r="G54" i="32"/>
  <c r="C197" i="32"/>
  <c r="E368" i="32"/>
  <c r="D274" i="32"/>
  <c r="B216" i="32"/>
  <c r="E316" i="32"/>
  <c r="E17" i="32"/>
  <c r="H104" i="32"/>
  <c r="B42" i="32"/>
  <c r="C235" i="32"/>
  <c r="C177" i="32"/>
  <c r="D59" i="32"/>
  <c r="H302" i="32"/>
  <c r="D273" i="32"/>
  <c r="B63" i="32"/>
  <c r="G138" i="32"/>
  <c r="F85" i="32"/>
  <c r="H281" i="32"/>
  <c r="C162" i="32"/>
  <c r="F328" i="32"/>
  <c r="F321" i="32"/>
  <c r="F186" i="32"/>
  <c r="E269" i="32"/>
  <c r="D326" i="32"/>
  <c r="E292" i="32"/>
  <c r="E20" i="32"/>
  <c r="H288" i="32"/>
  <c r="C12" i="32"/>
  <c r="B277" i="32"/>
  <c r="G102" i="32"/>
  <c r="B260" i="32"/>
  <c r="C228" i="32"/>
  <c r="F168" i="32"/>
  <c r="G314" i="32"/>
  <c r="H11" i="32"/>
  <c r="H21" i="32"/>
  <c r="D307" i="32"/>
  <c r="C40" i="32"/>
  <c r="C336" i="32"/>
  <c r="F45" i="32"/>
  <c r="C118" i="32"/>
  <c r="B230" i="32"/>
  <c r="E155" i="32"/>
  <c r="B107" i="32"/>
  <c r="F41" i="32"/>
  <c r="G36" i="32"/>
  <c r="C316" i="32"/>
  <c r="H265" i="32"/>
  <c r="C84" i="32"/>
  <c r="H125" i="32"/>
  <c r="B10" i="32"/>
  <c r="F59" i="32"/>
  <c r="B272" i="32"/>
  <c r="H199" i="32"/>
  <c r="C222" i="32"/>
  <c r="C92" i="32"/>
  <c r="F185" i="32"/>
  <c r="F246" i="32"/>
  <c r="B270" i="32"/>
  <c r="H293" i="32"/>
  <c r="G10" i="32"/>
  <c r="D295" i="32"/>
  <c r="F327" i="32"/>
  <c r="E80" i="32"/>
  <c r="H51" i="32"/>
  <c r="C304" i="32"/>
  <c r="G37" i="32"/>
  <c r="G237" i="32"/>
  <c r="C333" i="32"/>
  <c r="G17" i="32"/>
  <c r="H190" i="32"/>
  <c r="C14" i="32"/>
  <c r="G226" i="32"/>
  <c r="H32" i="32"/>
  <c r="G101" i="32"/>
  <c r="E158" i="32"/>
  <c r="G78" i="32"/>
  <c r="F87" i="32"/>
  <c r="G142" i="32"/>
  <c r="E280" i="32"/>
  <c r="H100" i="32"/>
  <c r="H231" i="32"/>
  <c r="E159" i="32"/>
  <c r="H362" i="32"/>
  <c r="H41" i="32"/>
  <c r="E185" i="32"/>
  <c r="B189" i="32"/>
  <c r="D156" i="32"/>
  <c r="B332" i="32"/>
  <c r="H211" i="32"/>
  <c r="D355" i="32"/>
  <c r="C350" i="32"/>
  <c r="F320" i="32"/>
  <c r="F149" i="32"/>
  <c r="F127" i="32"/>
  <c r="E25" i="32"/>
  <c r="B36" i="32"/>
  <c r="B365" i="32"/>
  <c r="B84" i="32"/>
  <c r="G187" i="32"/>
  <c r="G297" i="32"/>
  <c r="H128" i="32"/>
  <c r="H44" i="32"/>
  <c r="F116" i="32"/>
  <c r="C178" i="32"/>
  <c r="E124" i="32"/>
  <c r="D162" i="32"/>
  <c r="C182" i="32"/>
  <c r="F13" i="32"/>
  <c r="H176" i="32"/>
  <c r="E154" i="32"/>
  <c r="G304" i="32"/>
  <c r="B309" i="32"/>
  <c r="B291" i="32"/>
  <c r="B106" i="32"/>
  <c r="B179" i="32"/>
  <c r="H160" i="32"/>
  <c r="D208" i="32"/>
  <c r="C35" i="32"/>
  <c r="H77" i="32"/>
  <c r="E333" i="32"/>
  <c r="C274" i="32"/>
  <c r="B64" i="32"/>
  <c r="F226" i="32"/>
  <c r="B278" i="32"/>
  <c r="B139" i="32"/>
  <c r="E249" i="32"/>
  <c r="E53" i="32"/>
  <c r="B85" i="32"/>
  <c r="D61" i="32"/>
  <c r="B228" i="32"/>
  <c r="D225" i="32"/>
  <c r="E84" i="32"/>
  <c r="D23" i="32"/>
  <c r="B244" i="32"/>
  <c r="B66" i="32"/>
  <c r="G95" i="32"/>
  <c r="D257" i="32"/>
  <c r="C83" i="32"/>
  <c r="D268" i="32"/>
  <c r="G56" i="32"/>
  <c r="E246" i="32"/>
  <c r="E348" i="32"/>
  <c r="C259" i="32"/>
  <c r="E103" i="32"/>
  <c r="G317" i="32"/>
  <c r="E339" i="32"/>
  <c r="C320" i="32"/>
  <c r="G257" i="32"/>
  <c r="F148" i="32"/>
  <c r="D246" i="32"/>
  <c r="B184" i="32"/>
  <c r="H112" i="32"/>
  <c r="B128" i="32"/>
  <c r="C309" i="32"/>
  <c r="F122" i="32"/>
  <c r="H275" i="32"/>
  <c r="C42" i="32"/>
  <c r="C366" i="32"/>
  <c r="C53" i="32"/>
  <c r="F270" i="32"/>
  <c r="F14" i="32"/>
  <c r="H194" i="32"/>
  <c r="E226" i="32"/>
  <c r="E10" i="32"/>
  <c r="D137" i="32"/>
  <c r="D96" i="32"/>
  <c r="E277" i="32"/>
  <c r="C260" i="32"/>
  <c r="B76" i="32"/>
  <c r="H283" i="32"/>
  <c r="C155" i="32"/>
  <c r="G48" i="32"/>
  <c r="D166" i="32"/>
  <c r="B288" i="32"/>
  <c r="G235" i="32"/>
  <c r="D48" i="32"/>
  <c r="E56" i="32"/>
  <c r="G130" i="32"/>
  <c r="E109" i="32"/>
  <c r="B165" i="32"/>
  <c r="B55" i="32"/>
  <c r="C132" i="32"/>
  <c r="G126" i="32"/>
  <c r="C338" i="32"/>
  <c r="E338" i="32"/>
  <c r="B140" i="32"/>
  <c r="D69" i="32"/>
  <c r="E234" i="32"/>
  <c r="C281" i="32"/>
  <c r="C189" i="32"/>
  <c r="B79" i="32"/>
  <c r="G75" i="32"/>
  <c r="B249" i="32"/>
  <c r="C148" i="32"/>
  <c r="G72" i="32"/>
  <c r="F27" i="32"/>
  <c r="C254" i="32"/>
  <c r="D36" i="32"/>
  <c r="F365" i="32"/>
  <c r="D302" i="32"/>
  <c r="E121" i="32"/>
  <c r="E181" i="32"/>
  <c r="C201" i="32"/>
  <c r="G44" i="32"/>
  <c r="H119" i="32"/>
  <c r="C39" i="32"/>
  <c r="G254" i="32"/>
  <c r="G128" i="32"/>
  <c r="F39" i="32"/>
  <c r="C89" i="32"/>
  <c r="C308" i="32"/>
  <c r="E213" i="32"/>
  <c r="B83" i="32"/>
  <c r="C243" i="32"/>
  <c r="C327" i="32"/>
  <c r="H162" i="32"/>
  <c r="G326" i="32"/>
  <c r="G210" i="32"/>
  <c r="E228" i="32"/>
  <c r="G316" i="32"/>
  <c r="D87" i="32"/>
  <c r="B13" i="32"/>
  <c r="B324" i="32"/>
  <c r="D139" i="32"/>
  <c r="F319" i="32"/>
  <c r="H195" i="32"/>
  <c r="E287" i="32"/>
  <c r="F355" i="32"/>
  <c r="H19" i="32"/>
  <c r="D296" i="32"/>
  <c r="E336" i="32"/>
  <c r="C163" i="32"/>
  <c r="G238" i="32"/>
  <c r="H267" i="32"/>
  <c r="H42" i="32"/>
  <c r="D75" i="32"/>
  <c r="H204" i="32"/>
  <c r="E236" i="32"/>
  <c r="E252" i="32"/>
  <c r="G268" i="32"/>
  <c r="G30" i="32"/>
  <c r="E363" i="32"/>
  <c r="C284" i="32"/>
  <c r="H143" i="32"/>
  <c r="E55" i="32"/>
  <c r="G173" i="32"/>
  <c r="E172" i="32"/>
  <c r="G131" i="32"/>
  <c r="G90" i="32"/>
  <c r="E128" i="32"/>
  <c r="B294" i="32"/>
  <c r="H305" i="32"/>
  <c r="C44" i="32"/>
  <c r="E230" i="32"/>
  <c r="C265" i="32"/>
  <c r="G171" i="32"/>
  <c r="C102" i="32"/>
  <c r="C129" i="32"/>
  <c r="D251" i="32"/>
  <c r="H244" i="32"/>
  <c r="D347" i="32"/>
  <c r="C147" i="32"/>
  <c r="C49" i="32"/>
  <c r="D120" i="32"/>
  <c r="F352" i="32"/>
  <c r="D328" i="32"/>
  <c r="B301" i="32"/>
  <c r="E69" i="32"/>
  <c r="G236" i="32"/>
  <c r="C245" i="32"/>
  <c r="G83" i="32"/>
  <c r="E64" i="32"/>
  <c r="G221" i="32"/>
  <c r="G211" i="32"/>
  <c r="G277" i="32"/>
  <c r="H163" i="32"/>
  <c r="H132" i="32"/>
  <c r="D325" i="32"/>
  <c r="F126" i="32"/>
  <c r="B156" i="32"/>
  <c r="B21" i="32"/>
  <c r="F24" i="32"/>
  <c r="D210" i="32"/>
  <c r="C223" i="32"/>
  <c r="B321" i="32"/>
  <c r="H296" i="32"/>
  <c r="B96" i="32"/>
  <c r="B201" i="32"/>
  <c r="C21" i="32"/>
  <c r="C233" i="32"/>
  <c r="H126" i="32"/>
  <c r="G174" i="32"/>
  <c r="H155" i="32"/>
  <c r="E289" i="32"/>
  <c r="C13" i="32"/>
  <c r="F350" i="32"/>
  <c r="E312" i="32"/>
  <c r="G168" i="32"/>
  <c r="H135" i="32"/>
  <c r="G26" i="32"/>
  <c r="B190" i="32"/>
  <c r="B353" i="32"/>
  <c r="D164" i="32"/>
  <c r="C93" i="32"/>
  <c r="D337" i="32"/>
  <c r="F125" i="32"/>
  <c r="E296" i="32"/>
  <c r="B211" i="32"/>
  <c r="D20" i="32"/>
  <c r="G119" i="32"/>
  <c r="D311" i="32"/>
  <c r="F175" i="32"/>
  <c r="G106" i="32"/>
  <c r="B160" i="32"/>
  <c r="D170" i="32"/>
  <c r="C121" i="32"/>
  <c r="G258" i="32"/>
  <c r="B22" i="32"/>
  <c r="F171" i="32"/>
  <c r="F310" i="32"/>
  <c r="H65" i="32"/>
  <c r="H334" i="32"/>
  <c r="C26" i="32"/>
  <c r="E83" i="32"/>
  <c r="C285" i="32"/>
  <c r="G127" i="32"/>
  <c r="G67" i="32"/>
  <c r="G105" i="32"/>
  <c r="B358" i="32"/>
  <c r="F214" i="32"/>
  <c r="G184" i="32"/>
  <c r="B150" i="32"/>
  <c r="F253" i="32"/>
  <c r="B236" i="32"/>
  <c r="H186" i="32"/>
  <c r="G104" i="32"/>
  <c r="C214" i="32"/>
  <c r="B276" i="32"/>
  <c r="G248" i="32"/>
  <c r="E105" i="32"/>
  <c r="H26" i="32"/>
  <c r="E28" i="32"/>
  <c r="D114" i="32"/>
  <c r="D195" i="32"/>
  <c r="H294" i="32"/>
  <c r="F311" i="32"/>
  <c r="H228" i="32"/>
  <c r="D71" i="32"/>
  <c r="F248" i="32"/>
  <c r="E343" i="32"/>
  <c r="F318" i="32"/>
  <c r="D73" i="32"/>
  <c r="C166" i="32"/>
  <c r="G133" i="32"/>
  <c r="B246" i="32"/>
  <c r="E68" i="32"/>
  <c r="G134" i="32"/>
  <c r="C190" i="32"/>
  <c r="C293" i="32"/>
  <c r="F301" i="32"/>
  <c r="F64" i="32"/>
  <c r="E358" i="32"/>
  <c r="B77" i="32"/>
  <c r="H64" i="32"/>
  <c r="F30" i="32"/>
  <c r="D312" i="32"/>
  <c r="H28" i="32"/>
  <c r="F90" i="32"/>
  <c r="G343" i="32"/>
  <c r="G64" i="32"/>
  <c r="H157" i="32"/>
  <c r="F323" i="32"/>
  <c r="H66" i="32"/>
  <c r="D146" i="32"/>
  <c r="G299" i="32"/>
  <c r="F345" i="32"/>
  <c r="B361" i="32"/>
  <c r="E88" i="32"/>
  <c r="E355" i="32"/>
  <c r="E314" i="32"/>
  <c r="D309" i="32"/>
  <c r="E48" i="32"/>
  <c r="D266" i="32"/>
  <c r="E173" i="32"/>
  <c r="D290" i="32"/>
  <c r="D275" i="32"/>
  <c r="D46" i="32"/>
  <c r="D291" i="32"/>
  <c r="F297" i="32"/>
  <c r="B33" i="32"/>
  <c r="G28" i="32"/>
  <c r="E133" i="32"/>
  <c r="C78" i="32"/>
  <c r="H136" i="32"/>
  <c r="G93" i="32"/>
  <c r="E60" i="32"/>
  <c r="F356" i="32"/>
  <c r="G255" i="32"/>
  <c r="F247" i="32"/>
  <c r="F300" i="32"/>
  <c r="D92" i="32"/>
  <c r="D260" i="32"/>
  <c r="B237" i="32"/>
  <c r="G97" i="32"/>
  <c r="F335" i="32"/>
  <c r="B30" i="32"/>
  <c r="H292" i="32"/>
  <c r="C57" i="32"/>
  <c r="G345" i="32"/>
  <c r="E193" i="32"/>
  <c r="E179" i="32"/>
  <c r="H74" i="32"/>
  <c r="H34" i="32"/>
  <c r="B193" i="32"/>
  <c r="H10" i="32"/>
  <c r="F337" i="32"/>
  <c r="F283" i="32"/>
  <c r="G362" i="32"/>
  <c r="F108" i="32"/>
  <c r="B154" i="32"/>
  <c r="G74" i="32"/>
  <c r="F135" i="32"/>
  <c r="D188" i="32"/>
  <c r="D94" i="32"/>
  <c r="E11" i="32"/>
  <c r="H166" i="32"/>
  <c r="B198" i="32"/>
  <c r="F317" i="32"/>
  <c r="G300" i="32"/>
  <c r="F86" i="32"/>
  <c r="G287" i="32"/>
  <c r="F82" i="32"/>
  <c r="F220" i="32"/>
  <c r="D198" i="32"/>
  <c r="D136" i="32"/>
  <c r="G77" i="32"/>
  <c r="D361" i="32"/>
  <c r="E299" i="32"/>
  <c r="H40" i="32"/>
  <c r="C319" i="32"/>
  <c r="F273" i="32"/>
  <c r="G309" i="32"/>
  <c r="G342" i="32"/>
  <c r="G49" i="32"/>
  <c r="F314" i="32"/>
  <c r="E75" i="32"/>
  <c r="H227" i="32"/>
  <c r="E274" i="32"/>
  <c r="F229" i="32"/>
  <c r="G275" i="32"/>
  <c r="G215" i="32"/>
  <c r="E130" i="32"/>
  <c r="D304" i="32"/>
  <c r="B243" i="32"/>
  <c r="C17" i="32"/>
  <c r="B231" i="32"/>
  <c r="B176" i="32"/>
  <c r="G298" i="32"/>
  <c r="E224" i="32"/>
  <c r="G327" i="32"/>
  <c r="B248" i="32"/>
  <c r="C31" i="32"/>
  <c r="F290" i="32"/>
  <c r="G89" i="32"/>
  <c r="H364" i="32"/>
  <c r="E92" i="32"/>
  <c r="B23" i="32"/>
  <c r="H164" i="32"/>
  <c r="F89" i="32"/>
  <c r="D34" i="32"/>
  <c r="F158" i="32"/>
  <c r="G308" i="32"/>
  <c r="E125" i="32"/>
  <c r="F361" i="32"/>
  <c r="C217" i="32"/>
  <c r="G66" i="32"/>
  <c r="H217" i="32"/>
  <c r="F144" i="32"/>
  <c r="E82" i="32"/>
  <c r="E320" i="32"/>
  <c r="G224" i="32"/>
  <c r="B214" i="32"/>
  <c r="F131" i="32"/>
  <c r="C41" i="32"/>
  <c r="E171" i="32"/>
  <c r="F187" i="32"/>
  <c r="B105" i="32"/>
  <c r="G193" i="32"/>
  <c r="B334" i="32"/>
  <c r="D245" i="32"/>
  <c r="C258" i="32"/>
  <c r="G293" i="32"/>
  <c r="H200" i="32"/>
  <c r="F58" i="32"/>
  <c r="D22" i="32"/>
  <c r="H81" i="32"/>
  <c r="D126" i="32"/>
  <c r="F291" i="32"/>
  <c r="D333" i="32"/>
  <c r="H323" i="32"/>
  <c r="F353" i="32"/>
  <c r="B122" i="32"/>
  <c r="G94" i="32"/>
  <c r="G99" i="32"/>
  <c r="B69" i="32"/>
  <c r="E98" i="32"/>
  <c r="H301" i="32"/>
  <c r="H67" i="32"/>
  <c r="D206" i="32"/>
  <c r="G39" i="32"/>
  <c r="H177" i="32"/>
  <c r="B109" i="32"/>
  <c r="B180" i="32"/>
  <c r="E148" i="32"/>
  <c r="G92" i="32"/>
  <c r="G50" i="32"/>
  <c r="E365" i="32"/>
  <c r="F166" i="32"/>
  <c r="D237" i="32"/>
  <c r="G273" i="32"/>
  <c r="F324" i="32"/>
  <c r="C272" i="32"/>
  <c r="F121" i="32"/>
  <c r="D228" i="32"/>
  <c r="B220" i="32"/>
  <c r="F141" i="32"/>
  <c r="G356" i="32"/>
  <c r="G12" i="32"/>
  <c r="B166" i="32"/>
  <c r="E301" i="32"/>
  <c r="C323" i="32"/>
  <c r="D211" i="32"/>
  <c r="D106" i="32"/>
  <c r="F336" i="32"/>
  <c r="E360" i="32"/>
  <c r="C168" i="32"/>
  <c r="H180" i="32"/>
  <c r="B233" i="32"/>
  <c r="H173" i="32"/>
  <c r="E58" i="32"/>
  <c r="C161" i="32"/>
  <c r="G88" i="32"/>
  <c r="B93" i="32"/>
  <c r="B25" i="32"/>
  <c r="C59" i="32"/>
  <c r="G118" i="32"/>
  <c r="E345" i="32"/>
  <c r="C198" i="32"/>
  <c r="H22" i="32"/>
  <c r="F151" i="32"/>
  <c r="C202" i="32"/>
  <c r="F128" i="32"/>
  <c r="D281" i="32"/>
  <c r="F130" i="32"/>
  <c r="B181" i="32"/>
  <c r="G170" i="32"/>
  <c r="G98" i="32"/>
  <c r="C227" i="32"/>
  <c r="D121" i="32"/>
  <c r="F119" i="32"/>
  <c r="F137" i="32"/>
  <c r="F50" i="32"/>
  <c r="C352" i="32"/>
  <c r="E245" i="32"/>
  <c r="F48" i="32"/>
  <c r="D123" i="32"/>
  <c r="D81" i="32"/>
  <c r="G216" i="32"/>
  <c r="H319" i="32"/>
  <c r="D346" i="32"/>
  <c r="G318" i="32"/>
  <c r="B197" i="32"/>
  <c r="C110" i="32"/>
  <c r="B340" i="32"/>
  <c r="H248" i="32"/>
  <c r="E313" i="32"/>
  <c r="B366" i="32"/>
  <c r="H153" i="32"/>
  <c r="B360" i="32"/>
  <c r="D108" i="32"/>
  <c r="E14" i="32"/>
  <c r="F66" i="32"/>
  <c r="E18" i="32"/>
  <c r="C30" i="32"/>
  <c r="C46" i="32"/>
  <c r="D221" i="32"/>
  <c r="F369" i="32"/>
  <c r="B185" i="32"/>
  <c r="G123" i="32"/>
  <c r="B75" i="32"/>
  <c r="C325" i="32"/>
  <c r="D54" i="32"/>
  <c r="H347" i="32"/>
  <c r="B186" i="32"/>
  <c r="H360" i="32"/>
  <c r="F18" i="32"/>
  <c r="D367" i="32"/>
  <c r="D288" i="32"/>
  <c r="H103" i="32"/>
  <c r="G219" i="32"/>
  <c r="E59" i="32"/>
  <c r="F21" i="32"/>
  <c r="D31" i="32"/>
  <c r="H151" i="32"/>
  <c r="E199" i="32"/>
  <c r="C186" i="32"/>
  <c r="F176" i="32"/>
  <c r="E52" i="32"/>
  <c r="F94" i="32"/>
  <c r="H232" i="32"/>
  <c r="B344" i="32"/>
  <c r="G40" i="32"/>
  <c r="E328" i="32"/>
  <c r="B52" i="32"/>
  <c r="H169" i="32"/>
  <c r="B269" i="32"/>
  <c r="E255" i="32"/>
  <c r="F12" i="32"/>
  <c r="B287" i="32"/>
  <c r="B130" i="32"/>
  <c r="B26" i="32"/>
  <c r="C351" i="32"/>
  <c r="C73" i="32"/>
  <c r="H165" i="32"/>
  <c r="D99" i="32"/>
  <c r="C159" i="32"/>
  <c r="B255" i="32"/>
  <c r="H254" i="32"/>
  <c r="F312" i="32"/>
  <c r="B125" i="32"/>
  <c r="D88" i="32"/>
  <c r="B37" i="32"/>
  <c r="H298" i="32"/>
  <c r="F213" i="32"/>
  <c r="G165" i="32"/>
  <c r="E364" i="32"/>
  <c r="C257" i="32"/>
  <c r="D90" i="32"/>
  <c r="F73" i="32"/>
  <c r="B295" i="32"/>
  <c r="E119" i="32"/>
  <c r="E120" i="32"/>
  <c r="C343" i="32"/>
  <c r="H161" i="32"/>
  <c r="D305" i="32"/>
  <c r="D330" i="32"/>
  <c r="C61" i="32"/>
  <c r="C80" i="32"/>
  <c r="E157" i="32"/>
  <c r="F237" i="32"/>
  <c r="F29" i="32"/>
  <c r="D286" i="32"/>
  <c r="G63" i="32"/>
  <c r="G185" i="32"/>
  <c r="G295" i="32"/>
  <c r="E214" i="32"/>
  <c r="F245" i="32"/>
  <c r="G190" i="32"/>
  <c r="F208" i="32"/>
  <c r="C261" i="32"/>
  <c r="D160" i="32"/>
  <c r="C20" i="32"/>
  <c r="B138" i="32"/>
  <c r="G22" i="32"/>
  <c r="D124" i="32"/>
  <c r="H344" i="32"/>
  <c r="B12" i="32"/>
  <c r="B240" i="32"/>
  <c r="H235" i="32"/>
  <c r="F280" i="32"/>
  <c r="C70" i="32"/>
  <c r="C111" i="32"/>
  <c r="B101" i="32"/>
  <c r="H256" i="32"/>
  <c r="H351" i="32"/>
  <c r="H61" i="32"/>
  <c r="F322" i="32"/>
  <c r="H218" i="32"/>
  <c r="B212" i="32"/>
  <c r="B227" i="32"/>
  <c r="G29" i="32"/>
  <c r="G21" i="32"/>
  <c r="E100" i="32"/>
  <c r="H99" i="32"/>
  <c r="H329" i="32"/>
  <c r="C247" i="32"/>
  <c r="B162" i="32"/>
  <c r="E243" i="32"/>
  <c r="H158" i="32"/>
  <c r="B155" i="32"/>
  <c r="G361" i="32"/>
  <c r="E90" i="32"/>
  <c r="E335" i="32"/>
  <c r="C24" i="32"/>
  <c r="D44" i="32"/>
  <c r="B153" i="32"/>
  <c r="E188" i="32"/>
  <c r="E165" i="32"/>
  <c r="E115" i="32"/>
  <c r="C356" i="32"/>
  <c r="D133" i="32"/>
  <c r="H326" i="32"/>
  <c r="C206" i="32"/>
  <c r="G330" i="32"/>
  <c r="F241" i="32"/>
  <c r="E35" i="32"/>
  <c r="G357" i="32"/>
  <c r="G227" i="32"/>
  <c r="C56" i="32"/>
  <c r="D128" i="32"/>
  <c r="D201" i="32"/>
  <c r="D279" i="32"/>
  <c r="H361" i="32"/>
  <c r="D224" i="32"/>
  <c r="E139" i="32"/>
  <c r="G233" i="32"/>
  <c r="H332" i="32"/>
  <c r="C341" i="32"/>
  <c r="F150" i="32"/>
  <c r="G291" i="32"/>
  <c r="C335" i="32"/>
  <c r="H96" i="32"/>
  <c r="F281" i="32"/>
  <c r="H14" i="32"/>
  <c r="D298" i="32"/>
  <c r="G32" i="32"/>
  <c r="G351" i="32"/>
  <c r="B127" i="32"/>
  <c r="B29" i="32"/>
  <c r="C364" i="32"/>
  <c r="B53" i="32"/>
  <c r="C216" i="32"/>
  <c r="F239" i="32"/>
  <c r="D369" i="32"/>
  <c r="B347" i="32"/>
  <c r="C156" i="32"/>
  <c r="F54" i="32"/>
  <c r="D12" i="32"/>
  <c r="B217" i="32"/>
  <c r="E307" i="32"/>
  <c r="E79" i="32"/>
  <c r="F357" i="32"/>
  <c r="G270" i="32"/>
  <c r="E359" i="32"/>
  <c r="B65" i="32"/>
  <c r="H340" i="32"/>
  <c r="B174" i="32"/>
  <c r="D231" i="32"/>
  <c r="D239" i="32"/>
  <c r="C312" i="32"/>
  <c r="G14" i="32"/>
  <c r="G24" i="32"/>
  <c r="F315" i="32"/>
  <c r="G334" i="32"/>
  <c r="G87" i="32"/>
  <c r="E290" i="32"/>
  <c r="D368" i="32"/>
  <c r="F348" i="32"/>
  <c r="D177" i="32"/>
  <c r="C71" i="32"/>
  <c r="B171" i="32"/>
  <c r="D349" i="32"/>
  <c r="F344" i="32"/>
  <c r="H170" i="32"/>
  <c r="E39" i="32"/>
  <c r="F225" i="32"/>
  <c r="G225" i="32"/>
  <c r="C68" i="32"/>
  <c r="H87" i="32"/>
  <c r="G71" i="32"/>
  <c r="B322" i="32"/>
  <c r="B143" i="32"/>
  <c r="B28" i="32"/>
  <c r="F23" i="32"/>
  <c r="G79" i="32"/>
  <c r="G43" i="32"/>
  <c r="G163" i="32"/>
  <c r="G341" i="32"/>
  <c r="H278" i="32"/>
  <c r="F174" i="32"/>
  <c r="B352" i="32"/>
  <c r="F254" i="32"/>
  <c r="F295" i="32"/>
  <c r="G256" i="32"/>
  <c r="B175" i="32"/>
  <c r="B16" i="32"/>
  <c r="H75" i="32"/>
  <c r="H273" i="32"/>
  <c r="C326" i="32"/>
  <c r="H178" i="32"/>
  <c r="C357" i="32"/>
  <c r="H175" i="32"/>
  <c r="G337" i="32"/>
  <c r="B168" i="32"/>
  <c r="D338" i="32"/>
  <c r="H185" i="32"/>
  <c r="E70" i="32"/>
  <c r="G154" i="32"/>
  <c r="E174" i="32"/>
  <c r="H78" i="32"/>
  <c r="G242" i="32"/>
  <c r="G247" i="32"/>
  <c r="B78" i="32"/>
  <c r="B305" i="32"/>
  <c r="C77" i="32"/>
  <c r="B203" i="32"/>
  <c r="H205" i="32"/>
  <c r="H251" i="32"/>
  <c r="E209" i="32"/>
  <c r="B304" i="32"/>
  <c r="F269" i="32"/>
  <c r="C47" i="32"/>
  <c r="E366" i="32"/>
  <c r="D131" i="32"/>
  <c r="E298" i="32"/>
  <c r="D262" i="32"/>
  <c r="G167" i="32"/>
  <c r="H172" i="32"/>
  <c r="D199" i="32"/>
  <c r="D104" i="32"/>
  <c r="B355" i="32"/>
  <c r="C139" i="32"/>
  <c r="B338" i="32"/>
  <c r="G286" i="32"/>
  <c r="D253" i="32"/>
  <c r="C135" i="32"/>
  <c r="G146" i="32"/>
  <c r="B40" i="32"/>
  <c r="G276" i="32"/>
  <c r="F305" i="32"/>
  <c r="H356" i="32"/>
  <c r="G349" i="32"/>
  <c r="E66" i="32"/>
  <c r="G259" i="32"/>
  <c r="G252" i="32"/>
  <c r="E72" i="32"/>
  <c r="G220" i="32"/>
  <c r="B254" i="32"/>
  <c r="G151" i="32"/>
  <c r="H260" i="32"/>
  <c r="E223" i="32"/>
  <c r="B134" i="32"/>
  <c r="F124" i="32"/>
  <c r="F257" i="32"/>
  <c r="H47" i="32"/>
  <c r="B108" i="32"/>
  <c r="G59" i="32"/>
  <c r="G81" i="32"/>
  <c r="C191" i="32"/>
  <c r="H49" i="32"/>
  <c r="C365" i="32"/>
  <c r="E263" i="32"/>
  <c r="B57" i="32"/>
  <c r="B362" i="32"/>
  <c r="H36" i="32"/>
  <c r="G319" i="32"/>
  <c r="E30" i="32"/>
  <c r="H297" i="32"/>
  <c r="C175" i="32"/>
  <c r="F231" i="32"/>
  <c r="H131" i="32"/>
  <c r="E227" i="32"/>
  <c r="D247" i="32"/>
  <c r="D332" i="32"/>
  <c r="F222" i="32"/>
  <c r="H171" i="32"/>
  <c r="B35" i="32"/>
  <c r="E191" i="32"/>
  <c r="H109" i="32"/>
  <c r="B129" i="32"/>
  <c r="H183" i="32"/>
  <c r="D194" i="32"/>
  <c r="G135" i="32"/>
  <c r="C253" i="32"/>
  <c r="B32" i="32"/>
  <c r="E311" i="32"/>
  <c r="D327" i="32"/>
  <c r="E24" i="32"/>
  <c r="H92" i="32"/>
  <c r="B289" i="32"/>
  <c r="B262" i="32"/>
  <c r="D226" i="32"/>
  <c r="D236" i="32"/>
  <c r="H141" i="32"/>
  <c r="G116" i="32"/>
  <c r="E21" i="32"/>
  <c r="F268" i="32"/>
  <c r="G288" i="32"/>
  <c r="G365" i="32"/>
  <c r="B356" i="32"/>
  <c r="G108" i="32"/>
  <c r="D250" i="32"/>
  <c r="F88" i="32"/>
  <c r="E180" i="32"/>
  <c r="H124" i="32"/>
  <c r="D145" i="32"/>
  <c r="C275" i="32"/>
  <c r="C43" i="32"/>
  <c r="D191" i="32"/>
  <c r="H318" i="32"/>
  <c r="D203" i="32"/>
  <c r="C90" i="32"/>
  <c r="B11" i="32"/>
  <c r="E248" i="32"/>
  <c r="G158" i="32"/>
  <c r="B137" i="32"/>
  <c r="D10" i="32"/>
  <c r="D13" i="32"/>
  <c r="F221" i="32"/>
  <c r="B67" i="32"/>
  <c r="F339" i="32"/>
  <c r="G103" i="32"/>
  <c r="E229" i="32"/>
  <c r="D172" i="32"/>
  <c r="E93" i="32"/>
  <c r="E38" i="32"/>
  <c r="G162" i="32"/>
  <c r="F334" i="32"/>
  <c r="E264" i="32"/>
  <c r="C279" i="32"/>
  <c r="F179" i="32"/>
  <c r="H140" i="32"/>
  <c r="D214" i="32"/>
  <c r="G156" i="32"/>
  <c r="D222" i="32"/>
  <c r="E331" i="32"/>
  <c r="B145" i="32"/>
  <c r="E219" i="32"/>
  <c r="D350" i="32"/>
  <c r="G164" i="32"/>
  <c r="E340" i="32"/>
  <c r="H333" i="32"/>
  <c r="F107" i="32"/>
  <c r="H202" i="32"/>
  <c r="H54" i="32"/>
  <c r="E242" i="32"/>
  <c r="F20" i="32"/>
  <c r="F252" i="32"/>
  <c r="F351" i="32"/>
  <c r="C72" i="32"/>
  <c r="G367" i="32"/>
  <c r="G180" i="32"/>
  <c r="D138" i="32"/>
  <c r="H206" i="32"/>
  <c r="B45" i="32"/>
  <c r="D345" i="32"/>
  <c r="E266" i="32"/>
  <c r="G369" i="32"/>
  <c r="H142" i="32"/>
  <c r="C153" i="32"/>
  <c r="C317" i="32"/>
  <c r="D62" i="32"/>
  <c r="H368" i="32"/>
  <c r="E256" i="32"/>
  <c r="D316" i="32"/>
  <c r="E151" i="32"/>
  <c r="D40" i="32"/>
  <c r="G145" i="32"/>
  <c r="C329" i="32"/>
  <c r="E41" i="32"/>
  <c r="D218" i="32"/>
  <c r="C136" i="32"/>
  <c r="G289" i="32"/>
  <c r="E361" i="32"/>
  <c r="B283" i="32"/>
  <c r="C363" i="32"/>
  <c r="B68" i="32"/>
  <c r="F279" i="32"/>
  <c r="F112" i="32"/>
  <c r="E262" i="32"/>
  <c r="E206" i="32"/>
  <c r="E353" i="32"/>
  <c r="H115" i="32"/>
  <c r="H80" i="32"/>
  <c r="C313" i="32"/>
  <c r="D150" i="32"/>
  <c r="B141" i="32"/>
  <c r="C34" i="32"/>
  <c r="F303" i="32"/>
  <c r="H325" i="32"/>
  <c r="E146" i="32"/>
  <c r="G265" i="32"/>
  <c r="F201" i="32"/>
  <c r="H270" i="32"/>
  <c r="H338" i="32"/>
  <c r="F162" i="32"/>
  <c r="C278" i="32"/>
  <c r="D297" i="32"/>
  <c r="H46" i="32"/>
  <c r="G47" i="32"/>
  <c r="H243" i="32"/>
  <c r="F114" i="32"/>
  <c r="D200" i="32"/>
  <c r="C138" i="32"/>
  <c r="B224" i="32"/>
  <c r="D232" i="32"/>
  <c r="G229" i="32"/>
  <c r="C264" i="32"/>
  <c r="B148" i="32"/>
  <c r="H37" i="32"/>
  <c r="B87" i="32"/>
  <c r="H225" i="32"/>
  <c r="D70" i="32"/>
  <c r="F25" i="52" l="1"/>
  <c r="G24" i="14"/>
  <c r="G25" i="14" s="1"/>
  <c r="F24" i="14"/>
  <c r="F25" i="14" s="1"/>
  <c r="AW24" i="4"/>
  <c r="BW24" i="4"/>
  <c r="E5" i="44"/>
  <c r="V9" i="11"/>
  <c r="D4" i="44"/>
  <c r="U19" i="7"/>
  <c r="AF19" i="7"/>
  <c r="AF19" i="26"/>
  <c r="Q19" i="7"/>
  <c r="R19" i="26"/>
  <c r="J19" i="23"/>
  <c r="P19" i="26"/>
  <c r="R19" i="23"/>
  <c r="AW19" i="23"/>
  <c r="AQ19" i="46"/>
  <c r="L19" i="7"/>
  <c r="H19" i="26"/>
  <c r="AV19" i="46"/>
  <c r="AV22" i="13"/>
  <c r="W19" i="23"/>
  <c r="V38" i="46"/>
  <c r="Z9" i="45"/>
  <c r="T117" i="57"/>
  <c r="J193" i="57"/>
  <c r="BH18" i="46"/>
  <c r="BH17" i="46"/>
  <c r="AL18" i="7"/>
  <c r="AL17" i="7"/>
  <c r="BD17" i="26"/>
  <c r="BD18" i="26"/>
  <c r="X17" i="23"/>
  <c r="X18" i="23"/>
  <c r="AK18" i="46"/>
  <c r="AK17" i="46"/>
  <c r="AK19" i="46" s="1"/>
  <c r="K19" i="23"/>
  <c r="AF20" i="13"/>
  <c r="M11" i="14"/>
  <c r="AF21" i="13"/>
  <c r="AY17" i="23"/>
  <c r="AY18" i="23"/>
  <c r="AR19" i="7"/>
  <c r="AL18" i="26"/>
  <c r="AL17" i="26"/>
  <c r="AL19" i="26" s="1"/>
  <c r="Z19" i="23"/>
  <c r="AG18" i="7"/>
  <c r="AG17" i="7"/>
  <c r="AP20" i="13"/>
  <c r="AP21" i="13"/>
  <c r="AD18" i="7"/>
  <c r="AD17" i="7"/>
  <c r="AD19" i="7" s="1"/>
  <c r="BO16" i="26"/>
  <c r="BO16" i="7"/>
  <c r="CC9" i="4"/>
  <c r="BO16" i="46"/>
  <c r="BO19" i="13"/>
  <c r="BO16" i="23"/>
  <c r="W19" i="26"/>
  <c r="BK9" i="4"/>
  <c r="AW16" i="46"/>
  <c r="AW16" i="7"/>
  <c r="AW16" i="23"/>
  <c r="AW19" i="13"/>
  <c r="AW16" i="26"/>
  <c r="AY18" i="7"/>
  <c r="AY17" i="7"/>
  <c r="AQ17" i="26"/>
  <c r="AQ18" i="26"/>
  <c r="AX20" i="13"/>
  <c r="AX21" i="13"/>
  <c r="X18" i="7"/>
  <c r="X17" i="7"/>
  <c r="X19" i="7" s="1"/>
  <c r="Q19" i="26"/>
  <c r="AE19" i="26"/>
  <c r="AQ18" i="23"/>
  <c r="AQ17" i="23"/>
  <c r="AQ19" i="23" s="1"/>
  <c r="AG17" i="26"/>
  <c r="AG18" i="26"/>
  <c r="AN16" i="46"/>
  <c r="AN16" i="26"/>
  <c r="AN19" i="13"/>
  <c r="BB9" i="4"/>
  <c r="AN16" i="23"/>
  <c r="AN16" i="7"/>
  <c r="AG17" i="23"/>
  <c r="AG18" i="23"/>
  <c r="AR16" i="7"/>
  <c r="AR16" i="23"/>
  <c r="AR19" i="13"/>
  <c r="AR16" i="26"/>
  <c r="AR16" i="46"/>
  <c r="BF9" i="4"/>
  <c r="AY18" i="26"/>
  <c r="AY17" i="26"/>
  <c r="X18" i="26"/>
  <c r="X17" i="26"/>
  <c r="AQ17" i="7"/>
  <c r="AQ18" i="7"/>
  <c r="AG16" i="26"/>
  <c r="AG19" i="13"/>
  <c r="AU9" i="4"/>
  <c r="AG16" i="23"/>
  <c r="AG16" i="46"/>
  <c r="AG16" i="7"/>
  <c r="T38" i="46"/>
  <c r="T39" i="46" s="1"/>
  <c r="AX18" i="46"/>
  <c r="AX17" i="46"/>
  <c r="AX19" i="46" s="1"/>
  <c r="E19" i="26"/>
  <c r="C22" i="26" s="1"/>
  <c r="AB17" i="7"/>
  <c r="AB18" i="7"/>
  <c r="BB16" i="46"/>
  <c r="BP9" i="4"/>
  <c r="BB16" i="26"/>
  <c r="BB16" i="7"/>
  <c r="BB19" i="13"/>
  <c r="BB16" i="23"/>
  <c r="V17" i="26"/>
  <c r="V18" i="26"/>
  <c r="AI17" i="7"/>
  <c r="AI18" i="7"/>
  <c r="AR19" i="23"/>
  <c r="BI17" i="7"/>
  <c r="BI18" i="7"/>
  <c r="Q19" i="23"/>
  <c r="AP17" i="46"/>
  <c r="AP18" i="46"/>
  <c r="BD17" i="23"/>
  <c r="BD19" i="23" s="1"/>
  <c r="BD18" i="23"/>
  <c r="AH18" i="46"/>
  <c r="AH17" i="46"/>
  <c r="AH19" i="46" s="1"/>
  <c r="AC17" i="26"/>
  <c r="AC18" i="26"/>
  <c r="Z19" i="26"/>
  <c r="BC21" i="13"/>
  <c r="BC20" i="13"/>
  <c r="BC22" i="13" s="1"/>
  <c r="D22" i="7"/>
  <c r="AW19" i="26"/>
  <c r="O11" i="14"/>
  <c r="AH21" i="13"/>
  <c r="AH20" i="13"/>
  <c r="AH22" i="13" s="1"/>
  <c r="O18" i="14" s="1"/>
  <c r="BI18" i="23"/>
  <c r="BI17" i="23"/>
  <c r="E19" i="23"/>
  <c r="C22" i="23" s="1"/>
  <c r="H11" i="14"/>
  <c r="H18" i="14"/>
  <c r="J11" i="14"/>
  <c r="V17" i="23"/>
  <c r="V18" i="23"/>
  <c r="AI18" i="26"/>
  <c r="AI17" i="26"/>
  <c r="I11" i="14"/>
  <c r="BT19" i="13"/>
  <c r="BT16" i="23"/>
  <c r="CH9" i="4"/>
  <c r="BT16" i="46"/>
  <c r="BT16" i="26"/>
  <c r="BT16" i="7"/>
  <c r="AB17" i="23"/>
  <c r="AB18" i="23"/>
  <c r="AO16" i="23"/>
  <c r="AO16" i="26"/>
  <c r="AO16" i="46"/>
  <c r="AO16" i="7"/>
  <c r="BC9" i="4"/>
  <c r="AO19" i="13"/>
  <c r="AL17" i="23"/>
  <c r="AL18" i="23"/>
  <c r="AK21" i="13"/>
  <c r="AK20" i="13"/>
  <c r="AF17" i="46"/>
  <c r="AF18" i="46"/>
  <c r="BD18" i="7"/>
  <c r="BD17" i="7"/>
  <c r="BX9" i="4"/>
  <c r="BJ16" i="46"/>
  <c r="BJ16" i="23"/>
  <c r="BJ19" i="13"/>
  <c r="BJ16" i="26"/>
  <c r="BJ16" i="7"/>
  <c r="AI16" i="26"/>
  <c r="AI16" i="7"/>
  <c r="AI16" i="23"/>
  <c r="AW9" i="4"/>
  <c r="AI16" i="46"/>
  <c r="AI19" i="13"/>
  <c r="AT16" i="7"/>
  <c r="AT16" i="46"/>
  <c r="BH9" i="4"/>
  <c r="AT19" i="13"/>
  <c r="AT16" i="23"/>
  <c r="AT16" i="26"/>
  <c r="AC18" i="7"/>
  <c r="AC17" i="7"/>
  <c r="AC19" i="7" s="1"/>
  <c r="BH21" i="13"/>
  <c r="BH20" i="13"/>
  <c r="BH22" i="13" s="1"/>
  <c r="J19" i="26"/>
  <c r="AJ19" i="46"/>
  <c r="AM16" i="46"/>
  <c r="BA9" i="4"/>
  <c r="AM16" i="26"/>
  <c r="AM16" i="23"/>
  <c r="AM16" i="7"/>
  <c r="AM19" i="13"/>
  <c r="AD17" i="23"/>
  <c r="AD18" i="23"/>
  <c r="BC18" i="46"/>
  <c r="BC17" i="46"/>
  <c r="BC19" i="46" s="1"/>
  <c r="V18" i="7"/>
  <c r="V17" i="7"/>
  <c r="V19" i="7" s="1"/>
  <c r="AI17" i="23"/>
  <c r="AI18" i="23"/>
  <c r="AC17" i="23"/>
  <c r="AC18" i="23"/>
  <c r="BI18" i="26"/>
  <c r="BI17" i="26"/>
  <c r="AD19" i="46"/>
  <c r="H19" i="23"/>
  <c r="AB17" i="26"/>
  <c r="AB18" i="26"/>
  <c r="AD17" i="26"/>
  <c r="AD18" i="26"/>
  <c r="D2" i="2"/>
  <c r="E2" i="2"/>
  <c r="E8" i="2" s="1"/>
  <c r="C180" i="57" s="1"/>
  <c r="D51" i="2"/>
  <c r="D55" i="2"/>
  <c r="D63" i="2" s="1"/>
  <c r="D56" i="2"/>
  <c r="D62" i="2"/>
  <c r="D64" i="2" s="1"/>
  <c r="L2" i="31" a="1"/>
  <c r="L4" i="31" a="1"/>
  <c r="L5" i="31" a="1"/>
  <c r="L3" i="31" a="1"/>
  <c r="L5" i="32" a="1"/>
  <c r="GC6" i="32" s="1"/>
  <c r="L2" i="32" a="1"/>
  <c r="L3" i="32" a="1"/>
  <c r="GC47" i="4" s="1"/>
  <c r="L4" i="32" a="1"/>
  <c r="BU48" i="4" s="1"/>
  <c r="AZ24" i="4" l="1"/>
  <c r="BZ24" i="4"/>
  <c r="AI19" i="7"/>
  <c r="AB19" i="23"/>
  <c r="BH19" i="46"/>
  <c r="BI19" i="26"/>
  <c r="AK22" i="13"/>
  <c r="BI19" i="23"/>
  <c r="D22" i="26"/>
  <c r="X19" i="26"/>
  <c r="AF22" i="13"/>
  <c r="H24" i="14"/>
  <c r="H25" i="14" s="1"/>
  <c r="H30" i="14"/>
  <c r="AA9" i="45"/>
  <c r="E22" i="7"/>
  <c r="AU18" i="26"/>
  <c r="AU17" i="26"/>
  <c r="AP18" i="7"/>
  <c r="AP17" i="7"/>
  <c r="AN17" i="23"/>
  <c r="AN18" i="23"/>
  <c r="BU18" i="7"/>
  <c r="BU17" i="7"/>
  <c r="BU19" i="7" s="1"/>
  <c r="AC19" i="26"/>
  <c r="AG18" i="46"/>
  <c r="AG17" i="46"/>
  <c r="AS18" i="23"/>
  <c r="AS17" i="23"/>
  <c r="AS19" i="23" s="1"/>
  <c r="BI16" i="46"/>
  <c r="BI16" i="26"/>
  <c r="BW9" i="4"/>
  <c r="BI16" i="7"/>
  <c r="BI16" i="23"/>
  <c r="BI19" i="13"/>
  <c r="X19" i="23"/>
  <c r="AF19" i="46"/>
  <c r="BJ21" i="13"/>
  <c r="BJ20" i="13"/>
  <c r="AN17" i="26"/>
  <c r="AN18" i="26"/>
  <c r="BU18" i="26"/>
  <c r="BU17" i="26"/>
  <c r="V19" i="26"/>
  <c r="AH17" i="23"/>
  <c r="AH18" i="23"/>
  <c r="AS18" i="7"/>
  <c r="AS17" i="7"/>
  <c r="AU16" i="23"/>
  <c r="AU16" i="46"/>
  <c r="BI9" i="4"/>
  <c r="AU16" i="26"/>
  <c r="AU16" i="7"/>
  <c r="AU19" i="13"/>
  <c r="BU17" i="23"/>
  <c r="BU18" i="23"/>
  <c r="BC18" i="7"/>
  <c r="BC17" i="7"/>
  <c r="AH17" i="26"/>
  <c r="AH18" i="26"/>
  <c r="AO18" i="7"/>
  <c r="AO17" i="7"/>
  <c r="AO19" i="7" s="1"/>
  <c r="BO17" i="46"/>
  <c r="BO19" i="46" s="1"/>
  <c r="BO18" i="46"/>
  <c r="AI19" i="23"/>
  <c r="AJ18" i="23"/>
  <c r="AJ17" i="23"/>
  <c r="AL19" i="23"/>
  <c r="BT20" i="13"/>
  <c r="BT21" i="13"/>
  <c r="BC18" i="26"/>
  <c r="BC17" i="26"/>
  <c r="BC19" i="26" s="1"/>
  <c r="AO18" i="23"/>
  <c r="AO17" i="23"/>
  <c r="AX22" i="13"/>
  <c r="CA19" i="13"/>
  <c r="CO9" i="4"/>
  <c r="CA16" i="46"/>
  <c r="CA16" i="7"/>
  <c r="CA16" i="23"/>
  <c r="CA16" i="26"/>
  <c r="AJ18" i="7"/>
  <c r="AJ17" i="7"/>
  <c r="AP19" i="46"/>
  <c r="CB9" i="4"/>
  <c r="BN16" i="7"/>
  <c r="BN19" i="13"/>
  <c r="BN16" i="46"/>
  <c r="BN16" i="26"/>
  <c r="BN16" i="23"/>
  <c r="AQ19" i="7"/>
  <c r="BN9" i="4"/>
  <c r="AZ16" i="46"/>
  <c r="AZ16" i="26"/>
  <c r="AZ16" i="23"/>
  <c r="AZ16" i="7"/>
  <c r="AZ19" i="13"/>
  <c r="BP18" i="7"/>
  <c r="BP17" i="7"/>
  <c r="AJ18" i="26"/>
  <c r="AJ17" i="26"/>
  <c r="AJ19" i="26" s="1"/>
  <c r="I18" i="14"/>
  <c r="BB18" i="46"/>
  <c r="BB17" i="46"/>
  <c r="AN21" i="13"/>
  <c r="AN20" i="13"/>
  <c r="AQ19" i="26"/>
  <c r="BP17" i="26"/>
  <c r="BP18" i="26"/>
  <c r="AY19" i="23"/>
  <c r="BK18" i="7"/>
  <c r="BK17" i="7"/>
  <c r="AO21" i="13"/>
  <c r="AO20" i="13"/>
  <c r="AO18" i="26"/>
  <c r="AO17" i="26"/>
  <c r="BK18" i="26"/>
  <c r="BK17" i="26"/>
  <c r="BA16" i="46"/>
  <c r="BA16" i="7"/>
  <c r="BA19" i="13"/>
  <c r="BO9" i="4"/>
  <c r="BA16" i="26"/>
  <c r="BA16" i="23"/>
  <c r="AI19" i="26"/>
  <c r="AB19" i="7"/>
  <c r="AY19" i="26"/>
  <c r="AN18" i="46"/>
  <c r="AN17" i="46"/>
  <c r="AY19" i="7"/>
  <c r="AB19" i="26"/>
  <c r="AD19" i="23"/>
  <c r="BT9" i="4"/>
  <c r="BF16" i="46"/>
  <c r="BF16" i="23"/>
  <c r="BF19" i="13"/>
  <c r="BF16" i="7"/>
  <c r="BF16" i="26"/>
  <c r="BV16" i="26"/>
  <c r="CJ9" i="4"/>
  <c r="BV16" i="46"/>
  <c r="BV16" i="7"/>
  <c r="BV16" i="23"/>
  <c r="BV19" i="13"/>
  <c r="AP18" i="23"/>
  <c r="AP17" i="23"/>
  <c r="J18" i="14"/>
  <c r="AR17" i="46"/>
  <c r="AR18" i="46"/>
  <c r="AX18" i="23"/>
  <c r="AX17" i="23"/>
  <c r="AP22" i="13"/>
  <c r="D22" i="23"/>
  <c r="AM21" i="13"/>
  <c r="AM20" i="13"/>
  <c r="AT18" i="46"/>
  <c r="AT17" i="46"/>
  <c r="AT19" i="46" s="1"/>
  <c r="BD19" i="7"/>
  <c r="AS17" i="26"/>
  <c r="AS18" i="26"/>
  <c r="AX17" i="7"/>
  <c r="AX18" i="7"/>
  <c r="AG19" i="7"/>
  <c r="V19" i="23"/>
  <c r="AW21" i="13"/>
  <c r="AW20" i="13"/>
  <c r="AW22" i="13" s="1"/>
  <c r="AN18" i="7"/>
  <c r="AN17" i="7"/>
  <c r="AN19" i="7" s="1"/>
  <c r="AD19" i="26"/>
  <c r="AU18" i="23"/>
  <c r="AU17" i="23"/>
  <c r="BK18" i="23"/>
  <c r="BK17" i="23"/>
  <c r="BK19" i="23" s="1"/>
  <c r="AO17" i="46"/>
  <c r="AO18" i="46"/>
  <c r="BI19" i="7"/>
  <c r="AG19" i="26"/>
  <c r="BJ17" i="46"/>
  <c r="BJ18" i="46"/>
  <c r="AW17" i="46"/>
  <c r="AW18" i="46"/>
  <c r="AX17" i="26"/>
  <c r="AX18" i="26"/>
  <c r="M18" i="14"/>
  <c r="AT21" i="13"/>
  <c r="AT20" i="13"/>
  <c r="AT22" i="13" s="1"/>
  <c r="AP18" i="26"/>
  <c r="AP17" i="26"/>
  <c r="AP19" i="26" s="1"/>
  <c r="BD16" i="26"/>
  <c r="BD19" i="13"/>
  <c r="BD16" i="23"/>
  <c r="BR9" i="4"/>
  <c r="BD16" i="46"/>
  <c r="BD16" i="7"/>
  <c r="AY16" i="26"/>
  <c r="AY16" i="7"/>
  <c r="BM9" i="4"/>
  <c r="AY16" i="46"/>
  <c r="AY19" i="13"/>
  <c r="AY16" i="23"/>
  <c r="P11" i="14"/>
  <c r="AI20" i="13"/>
  <c r="AI21" i="13"/>
  <c r="BT18" i="46"/>
  <c r="BT17" i="46"/>
  <c r="BC18" i="23"/>
  <c r="BC17" i="23"/>
  <c r="BG9" i="4"/>
  <c r="AS16" i="26"/>
  <c r="AS16" i="46"/>
  <c r="AS19" i="13"/>
  <c r="AS16" i="7"/>
  <c r="AS16" i="23"/>
  <c r="BP18" i="23"/>
  <c r="BP17" i="23"/>
  <c r="BP19" i="23" s="1"/>
  <c r="BD19" i="26"/>
  <c r="AC19" i="23"/>
  <c r="AM17" i="46"/>
  <c r="AM18" i="46"/>
  <c r="AI18" i="46"/>
  <c r="AI17" i="46"/>
  <c r="CF16" i="26"/>
  <c r="CT9" i="4"/>
  <c r="CF16" i="46"/>
  <c r="CF16" i="7"/>
  <c r="CF16" i="23"/>
  <c r="CF19" i="13"/>
  <c r="BB21" i="13"/>
  <c r="BB20" i="13"/>
  <c r="N11" i="14"/>
  <c r="AG21" i="13"/>
  <c r="AG20" i="13"/>
  <c r="AG22" i="13" s="1"/>
  <c r="N18" i="14" s="1"/>
  <c r="AG19" i="23"/>
  <c r="F18" i="14"/>
  <c r="BO21" i="13"/>
  <c r="BO20" i="13"/>
  <c r="AL19" i="7"/>
  <c r="AU18" i="7"/>
  <c r="AU17" i="7"/>
  <c r="AR21" i="13"/>
  <c r="AR20" i="13"/>
  <c r="AH17" i="7"/>
  <c r="AH18" i="7"/>
  <c r="P16" i="57"/>
  <c r="Q9" i="57"/>
  <c r="Q33" i="57"/>
  <c r="Q22" i="57"/>
  <c r="P64" i="57"/>
  <c r="P55" i="57"/>
  <c r="Q16" i="57"/>
  <c r="P48" i="57"/>
  <c r="H166" i="57"/>
  <c r="J166" i="57"/>
  <c r="P33" i="57"/>
  <c r="P22" i="57"/>
  <c r="C181" i="57"/>
  <c r="E181" i="57" s="1"/>
  <c r="Q48" i="57"/>
  <c r="P50" i="57"/>
  <c r="Q58" i="57"/>
  <c r="P122" i="57"/>
  <c r="Q45" i="57"/>
  <c r="Q50" i="57"/>
  <c r="C182" i="57"/>
  <c r="P9" i="57"/>
  <c r="Q122" i="57"/>
  <c r="P45" i="57"/>
  <c r="K166" i="57"/>
  <c r="K176" i="57" s="1"/>
  <c r="Q64" i="57"/>
  <c r="Q28" i="57"/>
  <c r="G166" i="57"/>
  <c r="P28" i="57"/>
  <c r="Q55" i="57"/>
  <c r="P18" i="57"/>
  <c r="P58" i="57"/>
  <c r="Q18" i="57"/>
  <c r="C183" i="57"/>
  <c r="E183" i="57" s="1"/>
  <c r="D8" i="2"/>
  <c r="C47" i="2"/>
  <c r="B26" i="2"/>
  <c r="D96" i="2"/>
  <c r="E96" i="2" s="1"/>
  <c r="D10" i="57"/>
  <c r="B52" i="2"/>
  <c r="D97" i="2"/>
  <c r="E97" i="2" s="1"/>
  <c r="D98" i="2"/>
  <c r="E98" i="2" s="1"/>
  <c r="C107" i="2"/>
  <c r="D59" i="2"/>
  <c r="DN43" i="4"/>
  <c r="CP43" i="4"/>
  <c r="CA43" i="4"/>
  <c r="CO43" i="4"/>
  <c r="DV43" i="4"/>
  <c r="CI43" i="4"/>
  <c r="DY43" i="4"/>
  <c r="DC43" i="4"/>
  <c r="DZ43" i="4"/>
  <c r="L76" i="11" s="1"/>
  <c r="BS43" i="4"/>
  <c r="AU43" i="4"/>
  <c r="AJ43" i="4"/>
  <c r="BV43" i="4"/>
  <c r="L43" i="4"/>
  <c r="BQ43" i="4"/>
  <c r="BE43" i="4"/>
  <c r="AR43" i="4"/>
  <c r="DK43" i="4"/>
  <c r="BU43" i="4"/>
  <c r="DW43" i="4"/>
  <c r="AL43" i="4"/>
  <c r="DR43" i="4"/>
  <c r="R43" i="4"/>
  <c r="DA43" i="4"/>
  <c r="BM43" i="4"/>
  <c r="AX43" i="4"/>
  <c r="CE43" i="4"/>
  <c r="AD43" i="4"/>
  <c r="P43" i="4"/>
  <c r="BO43" i="4"/>
  <c r="CV43" i="4"/>
  <c r="BW43" i="4"/>
  <c r="BA43" i="4"/>
  <c r="CZ43" i="4"/>
  <c r="BB43" i="4"/>
  <c r="BL43" i="4"/>
  <c r="O43" i="4"/>
  <c r="Y43" i="4"/>
  <c r="DD43" i="4"/>
  <c r="CY43" i="4"/>
  <c r="T43" i="4"/>
  <c r="AN43" i="4"/>
  <c r="AI43" i="4"/>
  <c r="CF43" i="4"/>
  <c r="CT43" i="4"/>
  <c r="DH43" i="4"/>
  <c r="AH43" i="4"/>
  <c r="BI43" i="4"/>
  <c r="BH43" i="4"/>
  <c r="DU43" i="4"/>
  <c r="BK43" i="4"/>
  <c r="CL43" i="4"/>
  <c r="AV43" i="4"/>
  <c r="DM43" i="4"/>
  <c r="CM43" i="4"/>
  <c r="AF43" i="4"/>
  <c r="DX43" i="4"/>
  <c r="DB43" i="4"/>
  <c r="DT43" i="4"/>
  <c r="BP43" i="4"/>
  <c r="AB43" i="4"/>
  <c r="BD43" i="4"/>
  <c r="DL43" i="4"/>
  <c r="BN43" i="4"/>
  <c r="CH43" i="4"/>
  <c r="BZ43" i="4"/>
  <c r="DG43" i="4"/>
  <c r="W43" i="4"/>
  <c r="X43" i="4"/>
  <c r="DJ43" i="4"/>
  <c r="AC43" i="4"/>
  <c r="N43" i="4"/>
  <c r="BT43" i="4"/>
  <c r="AO43" i="4"/>
  <c r="CR43" i="4"/>
  <c r="BF43" i="4"/>
  <c r="Q43" i="4"/>
  <c r="CQ43" i="4"/>
  <c r="AE43" i="4"/>
  <c r="AK43" i="4"/>
  <c r="CK43" i="4"/>
  <c r="AT43" i="4"/>
  <c r="AZ43" i="4"/>
  <c r="AM43" i="4"/>
  <c r="DP43" i="4"/>
  <c r="CC43" i="4"/>
  <c r="CN43" i="4"/>
  <c r="DS43" i="4"/>
  <c r="AA43" i="4"/>
  <c r="CG43" i="4"/>
  <c r="CW43" i="4"/>
  <c r="DE43" i="4"/>
  <c r="AG43" i="4"/>
  <c r="BX43" i="4"/>
  <c r="DO43" i="4"/>
  <c r="AP43" i="4"/>
  <c r="V43" i="4"/>
  <c r="M43" i="4"/>
  <c r="S43" i="4"/>
  <c r="AQ43" i="4"/>
  <c r="AS43" i="4"/>
  <c r="CJ43" i="4"/>
  <c r="U43" i="4"/>
  <c r="AY43" i="4"/>
  <c r="Z43" i="4"/>
  <c r="BC43" i="4"/>
  <c r="BJ43" i="4"/>
  <c r="CD43" i="4"/>
  <c r="BY43" i="4"/>
  <c r="CU43" i="4"/>
  <c r="DI43" i="4"/>
  <c r="CX43" i="4"/>
  <c r="CS43" i="4"/>
  <c r="BG43" i="4"/>
  <c r="AW43" i="4"/>
  <c r="DQ43" i="4"/>
  <c r="CB43" i="4"/>
  <c r="DF43" i="4"/>
  <c r="BR43" i="4"/>
  <c r="P6" i="31"/>
  <c r="DB6" i="31"/>
  <c r="CV6" i="31"/>
  <c r="BS6" i="31"/>
  <c r="M6" i="31"/>
  <c r="AE6" i="31"/>
  <c r="BM6" i="31"/>
  <c r="CU6" i="31"/>
  <c r="DX6" i="31"/>
  <c r="DS6" i="31"/>
  <c r="AQ6" i="31"/>
  <c r="CL6" i="31"/>
  <c r="BD6" i="31"/>
  <c r="AB6" i="31"/>
  <c r="CG6" i="31"/>
  <c r="CA6" i="31"/>
  <c r="W6" i="31"/>
  <c r="AM6" i="31"/>
  <c r="DZ6" i="31"/>
  <c r="DH6" i="31"/>
  <c r="BT6" i="31"/>
  <c r="DJ6" i="31"/>
  <c r="DQ6" i="31"/>
  <c r="BC6" i="31"/>
  <c r="BN6" i="31"/>
  <c r="BV6" i="31"/>
  <c r="DG6" i="31"/>
  <c r="BI6" i="31"/>
  <c r="DE6" i="31"/>
  <c r="BK6" i="31"/>
  <c r="N6" i="31"/>
  <c r="BH6" i="31"/>
  <c r="DV6" i="31"/>
  <c r="DF6" i="31"/>
  <c r="AJ6" i="31"/>
  <c r="AZ6" i="31"/>
  <c r="BG6" i="31"/>
  <c r="DC6" i="31"/>
  <c r="BL6" i="31"/>
  <c r="BY6" i="31"/>
  <c r="O6" i="31"/>
  <c r="AO6" i="31"/>
  <c r="DT6" i="31"/>
  <c r="BR6" i="31"/>
  <c r="CS6" i="31"/>
  <c r="CP6" i="31"/>
  <c r="BJ6" i="31"/>
  <c r="AL6" i="31"/>
  <c r="DN6" i="31"/>
  <c r="CB6" i="31"/>
  <c r="AV6" i="31"/>
  <c r="DK6" i="31"/>
  <c r="CK6" i="31"/>
  <c r="T6" i="31"/>
  <c r="X6" i="31"/>
  <c r="DD6" i="31"/>
  <c r="AR6" i="31"/>
  <c r="V6" i="31"/>
  <c r="DA6" i="31"/>
  <c r="DI6" i="31"/>
  <c r="EA6" i="31"/>
  <c r="U6" i="31"/>
  <c r="BE6" i="31"/>
  <c r="BO6" i="31"/>
  <c r="CM6" i="31"/>
  <c r="CD6" i="31"/>
  <c r="DM6" i="31"/>
  <c r="AP6" i="31"/>
  <c r="BA6" i="31"/>
  <c r="BB6" i="31"/>
  <c r="AC6" i="31"/>
  <c r="AA6" i="31"/>
  <c r="Q6" i="31"/>
  <c r="CT6" i="31"/>
  <c r="BU6" i="31"/>
  <c r="AD6" i="31"/>
  <c r="CC6" i="31"/>
  <c r="CQ6" i="31"/>
  <c r="CN6" i="31"/>
  <c r="AG6" i="31"/>
  <c r="BZ6" i="31"/>
  <c r="DU6" i="31"/>
  <c r="DP6" i="31"/>
  <c r="Z6" i="31"/>
  <c r="AH6" i="31"/>
  <c r="CR6" i="31"/>
  <c r="AT6" i="31"/>
  <c r="R6" i="31"/>
  <c r="Y6" i="31"/>
  <c r="AI6" i="31"/>
  <c r="AI7" i="31" s="1"/>
  <c r="AH42" i="4" s="1"/>
  <c r="BX6" i="31"/>
  <c r="BX7" i="31" s="1"/>
  <c r="BW42" i="4" s="1"/>
  <c r="AS6" i="31"/>
  <c r="S6" i="31"/>
  <c r="CF6" i="31"/>
  <c r="CJ6" i="31"/>
  <c r="CZ6" i="31"/>
  <c r="CY6" i="31"/>
  <c r="BF6" i="31"/>
  <c r="AF6" i="31"/>
  <c r="L6" i="31" s="1"/>
  <c r="K45" i="4" s="1"/>
  <c r="B61" i="11" s="1"/>
  <c r="V61" i="11" s="1"/>
  <c r="CI6" i="31"/>
  <c r="AU6" i="31"/>
  <c r="DO6" i="31"/>
  <c r="DW6" i="31"/>
  <c r="BP6" i="31"/>
  <c r="BN10" i="33" s="1"/>
  <c r="BQ6" i="31"/>
  <c r="DL6" i="31"/>
  <c r="CW6" i="31"/>
  <c r="BW6" i="31"/>
  <c r="AX6" i="31"/>
  <c r="CE6" i="31"/>
  <c r="AY6" i="31"/>
  <c r="CX6" i="31"/>
  <c r="DY6" i="31"/>
  <c r="AW6" i="31"/>
  <c r="AK6" i="31"/>
  <c r="AN6" i="31"/>
  <c r="DR6" i="31"/>
  <c r="CO6" i="31"/>
  <c r="CH6" i="31"/>
  <c r="CW44" i="4"/>
  <c r="DR44" i="4"/>
  <c r="P44" i="4"/>
  <c r="DO44" i="4"/>
  <c r="CJ44" i="4"/>
  <c r="DK44" i="4"/>
  <c r="AU44" i="4"/>
  <c r="AC44" i="4"/>
  <c r="CE44" i="4"/>
  <c r="CP44" i="4"/>
  <c r="BI44" i="4"/>
  <c r="DE44" i="4"/>
  <c r="O44" i="4"/>
  <c r="BO44" i="4"/>
  <c r="AZ44" i="4"/>
  <c r="CB44" i="4"/>
  <c r="AM44" i="4"/>
  <c r="BD44" i="4"/>
  <c r="CZ44" i="4"/>
  <c r="BA44" i="4"/>
  <c r="CF44" i="4"/>
  <c r="BR44" i="4"/>
  <c r="Q44" i="4"/>
  <c r="DI44" i="4"/>
  <c r="BY44" i="4"/>
  <c r="DL44" i="4"/>
  <c r="CG44" i="4"/>
  <c r="BS44" i="4"/>
  <c r="N44" i="4"/>
  <c r="AX44" i="4"/>
  <c r="M44" i="4"/>
  <c r="DD44" i="4"/>
  <c r="BQ44" i="4"/>
  <c r="AT44" i="4"/>
  <c r="DT44" i="4"/>
  <c r="DQ44" i="4"/>
  <c r="CU44" i="4"/>
  <c r="AD44" i="4"/>
  <c r="AG44" i="4"/>
  <c r="CC44" i="4"/>
  <c r="BK44" i="4"/>
  <c r="CD44" i="4"/>
  <c r="L44" i="4"/>
  <c r="BW44" i="4"/>
  <c r="CX44" i="4"/>
  <c r="U44" i="4"/>
  <c r="DG44" i="4"/>
  <c r="CK44" i="4"/>
  <c r="AO44" i="4"/>
  <c r="CL44" i="4"/>
  <c r="DM44" i="4"/>
  <c r="DF44" i="4"/>
  <c r="BZ44" i="4"/>
  <c r="DJ44" i="4"/>
  <c r="CS44" i="4"/>
  <c r="AK44" i="4"/>
  <c r="DP44" i="4"/>
  <c r="BX44" i="4"/>
  <c r="DZ44" i="4"/>
  <c r="L68" i="11" s="1"/>
  <c r="DA44" i="4"/>
  <c r="AJ44" i="4"/>
  <c r="AH44" i="4"/>
  <c r="CQ44" i="4"/>
  <c r="X44" i="4"/>
  <c r="CN44" i="4"/>
  <c r="V44" i="4"/>
  <c r="CA44" i="4"/>
  <c r="AP44" i="4"/>
  <c r="AE44" i="4"/>
  <c r="DU44" i="4"/>
  <c r="DH44" i="4"/>
  <c r="BH44" i="4"/>
  <c r="BG44" i="4"/>
  <c r="AS44" i="4"/>
  <c r="AB44" i="4"/>
  <c r="AQ44" i="4"/>
  <c r="CI44" i="4"/>
  <c r="BT44" i="4"/>
  <c r="K44" i="4" s="1"/>
  <c r="DN44" i="4"/>
  <c r="DC44" i="4"/>
  <c r="AW44" i="4"/>
  <c r="CV44" i="4"/>
  <c r="Z44" i="4"/>
  <c r="DB44" i="4"/>
  <c r="AV44" i="4"/>
  <c r="CY44" i="4"/>
  <c r="DV44" i="4"/>
  <c r="DX44" i="4"/>
  <c r="BB44" i="4"/>
  <c r="BC44" i="4"/>
  <c r="T44" i="4"/>
  <c r="CT44" i="4"/>
  <c r="BM44" i="4"/>
  <c r="S44" i="4"/>
  <c r="CM44" i="4"/>
  <c r="W44" i="4"/>
  <c r="BF44" i="4"/>
  <c r="AY44" i="4"/>
  <c r="Y44" i="4"/>
  <c r="AL44" i="4"/>
  <c r="CR44" i="4"/>
  <c r="BJ44" i="4"/>
  <c r="BP44" i="4"/>
  <c r="CO44" i="4"/>
  <c r="CH44" i="4"/>
  <c r="DS44" i="4"/>
  <c r="BE44" i="4"/>
  <c r="AA44" i="4"/>
  <c r="AN44" i="4"/>
  <c r="BU44" i="4"/>
  <c r="BV44" i="4"/>
  <c r="AF44" i="4"/>
  <c r="AI44" i="4"/>
  <c r="BL44" i="4"/>
  <c r="BN44" i="4"/>
  <c r="R44" i="4"/>
  <c r="DW44" i="4"/>
  <c r="DY44" i="4"/>
  <c r="AR44" i="4"/>
  <c r="CY47" i="4"/>
  <c r="FC47" i="4"/>
  <c r="DV47" i="4"/>
  <c r="AM47" i="4"/>
  <c r="CH47" i="4"/>
  <c r="AY47" i="4"/>
  <c r="DZ47" i="4"/>
  <c r="CC47" i="4"/>
  <c r="DI47" i="4"/>
  <c r="BF47" i="4"/>
  <c r="AE47" i="4"/>
  <c r="CA47" i="4"/>
  <c r="AR47" i="4"/>
  <c r="EB48" i="4"/>
  <c r="BC47" i="4"/>
  <c r="CM47" i="4"/>
  <c r="CJ47" i="4"/>
  <c r="R47" i="4"/>
  <c r="GH47" i="4"/>
  <c r="Q112" i="11" s="1"/>
  <c r="S47" i="4"/>
  <c r="CK47" i="4"/>
  <c r="AS47" i="4"/>
  <c r="DC47" i="4"/>
  <c r="AH47" i="4"/>
  <c r="AT47" i="4"/>
  <c r="BV47" i="4"/>
  <c r="DO47" i="4"/>
  <c r="DF47" i="4"/>
  <c r="AX47" i="4"/>
  <c r="BS47" i="4"/>
  <c r="EH6" i="32"/>
  <c r="EG49" i="4" s="1"/>
  <c r="FQ6" i="32"/>
  <c r="FQ7" i="32" s="1"/>
  <c r="FP46" i="4" s="1"/>
  <c r="DP47" i="4"/>
  <c r="BX47" i="4"/>
  <c r="EZ47" i="4"/>
  <c r="DD47" i="4"/>
  <c r="FN47" i="4"/>
  <c r="CF6" i="32"/>
  <c r="CF7" i="32" s="1"/>
  <c r="CE46" i="4" s="1"/>
  <c r="AR6" i="32"/>
  <c r="AQ49" i="4" s="1"/>
  <c r="BW47" i="4"/>
  <c r="ER47" i="4"/>
  <c r="CU47" i="4"/>
  <c r="CC48" i="4"/>
  <c r="DH6" i="32"/>
  <c r="DF10" i="34" s="1"/>
  <c r="Z48" i="4"/>
  <c r="BO6" i="32"/>
  <c r="BO7" i="32" s="1"/>
  <c r="BN46" i="4" s="1"/>
  <c r="DJ48" i="4"/>
  <c r="CZ48" i="4"/>
  <c r="BR48" i="4"/>
  <c r="BP6" i="32"/>
  <c r="BN10" i="34" s="1"/>
  <c r="U47" i="4"/>
  <c r="CF47" i="4"/>
  <c r="AA47" i="4"/>
  <c r="FH47" i="4"/>
  <c r="BN48" i="4"/>
  <c r="AI47" i="4"/>
  <c r="DJ47" i="4"/>
  <c r="DQ47" i="4"/>
  <c r="CR47" i="4"/>
  <c r="AC47" i="4"/>
  <c r="DK47" i="4"/>
  <c r="FV47" i="4"/>
  <c r="CB47" i="4"/>
  <c r="CN6" i="32"/>
  <c r="CN7" i="32" s="1"/>
  <c r="CM46" i="4" s="1"/>
  <c r="DI6" i="32"/>
  <c r="DG10" i="34" s="1"/>
  <c r="EP6" i="32"/>
  <c r="EO49" i="4" s="1"/>
  <c r="DB6" i="32"/>
  <c r="DA49" i="4" s="1"/>
  <c r="BR6" i="32"/>
  <c r="BP10" i="34" s="1"/>
  <c r="AF6" i="32"/>
  <c r="AF7" i="32" s="1"/>
  <c r="AE46" i="4" s="1"/>
  <c r="BL6" i="32"/>
  <c r="BJ10" i="34" s="1"/>
  <c r="CL48" i="4"/>
  <c r="CJ6" i="32"/>
  <c r="CH10" i="34" s="1"/>
  <c r="DW6" i="32"/>
  <c r="DW7" i="32" s="1"/>
  <c r="DV46" i="4" s="1"/>
  <c r="BB6" i="32"/>
  <c r="BB7" i="32" s="1"/>
  <c r="BA46" i="4" s="1"/>
  <c r="EF6" i="32"/>
  <c r="EE49" i="4" s="1"/>
  <c r="DN6" i="32"/>
  <c r="DM49" i="4" s="1"/>
  <c r="EV6" i="32"/>
  <c r="ET10" i="34" s="1"/>
  <c r="CX6" i="32"/>
  <c r="CV10" i="34" s="1"/>
  <c r="AG6" i="32"/>
  <c r="AG7" i="32" s="1"/>
  <c r="AF46" i="4" s="1"/>
  <c r="CQ47" i="4"/>
  <c r="BE47" i="4"/>
  <c r="DX47" i="4"/>
  <c r="EE47" i="4"/>
  <c r="BI47" i="4"/>
  <c r="O47" i="4"/>
  <c r="AO47" i="4"/>
  <c r="BZ47" i="4"/>
  <c r="FJ6" i="32"/>
  <c r="FI49" i="4" s="1"/>
  <c r="DS6" i="32"/>
  <c r="DS7" i="32" s="1"/>
  <c r="DR46" i="4" s="1"/>
  <c r="FD6" i="32"/>
  <c r="FC49" i="4" s="1"/>
  <c r="T6" i="32"/>
  <c r="S49" i="4" s="1"/>
  <c r="ET6" i="32"/>
  <c r="ER10" i="34" s="1"/>
  <c r="BS6" i="32"/>
  <c r="BQ10" i="34" s="1"/>
  <c r="Y6" i="32"/>
  <c r="W10" i="34" s="1"/>
  <c r="AH6" i="32"/>
  <c r="AG49" i="4" s="1"/>
  <c r="BA6" i="32"/>
  <c r="AY10" i="34" s="1"/>
  <c r="W6" i="32"/>
  <c r="U10" i="34" s="1"/>
  <c r="DR6" i="32"/>
  <c r="DP10" i="34" s="1"/>
  <c r="FB6" i="32"/>
  <c r="EZ10" i="34" s="1"/>
  <c r="FV6" i="32"/>
  <c r="FT10" i="34" s="1"/>
  <c r="GA6" i="32"/>
  <c r="FZ49" i="4" s="1"/>
  <c r="EM6" i="32"/>
  <c r="EL49" i="4" s="1"/>
  <c r="M97" i="11" s="1"/>
  <c r="EN6" i="32"/>
  <c r="EM49" i="4" s="1"/>
  <c r="FY6" i="32"/>
  <c r="FY7" i="32" s="1"/>
  <c r="FX46" i="4" s="1"/>
  <c r="Z6" i="32"/>
  <c r="Y49" i="4" s="1"/>
  <c r="AY6" i="32"/>
  <c r="AX49" i="4" s="1"/>
  <c r="CP6" i="32"/>
  <c r="CO49" i="4" s="1"/>
  <c r="AM6" i="32"/>
  <c r="AK10" i="34" s="1"/>
  <c r="EI6" i="32"/>
  <c r="EI7" i="32" s="1"/>
  <c r="EH46" i="4" s="1"/>
  <c r="DK6" i="32"/>
  <c r="DK7" i="32" s="1"/>
  <c r="DJ46" i="4" s="1"/>
  <c r="DL6" i="32"/>
  <c r="DK49" i="4" s="1"/>
  <c r="K47" i="4" s="1"/>
  <c r="FT47" i="4"/>
  <c r="AW47" i="4"/>
  <c r="BY47" i="4"/>
  <c r="AJ47" i="4"/>
  <c r="FZ47" i="4"/>
  <c r="FE47" i="4"/>
  <c r="CP47" i="4"/>
  <c r="BK47" i="4"/>
  <c r="ES6" i="32"/>
  <c r="EQ10" i="34" s="1"/>
  <c r="BT6" i="32"/>
  <c r="BS49" i="4" s="1"/>
  <c r="BD6" i="32"/>
  <c r="DT6" i="32"/>
  <c r="DT7" i="32" s="1"/>
  <c r="DS46" i="4" s="1"/>
  <c r="N6" i="32"/>
  <c r="M49" i="4" s="1"/>
  <c r="EO6" i="32"/>
  <c r="EN49" i="4" s="1"/>
  <c r="CG6" i="32"/>
  <c r="CE10" i="34" s="1"/>
  <c r="EY6" i="32"/>
  <c r="EX49" i="4" s="1"/>
  <c r="N97" i="11" s="1"/>
  <c r="AS48" i="4"/>
  <c r="CI47" i="4"/>
  <c r="FX47" i="4"/>
  <c r="CD47" i="4"/>
  <c r="BP47" i="4"/>
  <c r="DR47" i="4"/>
  <c r="CN47" i="4"/>
  <c r="DS47" i="4"/>
  <c r="GG47" i="4"/>
  <c r="CE6" i="32"/>
  <c r="CC10" i="34" s="1"/>
  <c r="DO6" i="32"/>
  <c r="DN49" i="4" s="1"/>
  <c r="K97" i="11" s="1"/>
  <c r="EZ6" i="32"/>
  <c r="EX10" i="34" s="1"/>
  <c r="DQ6" i="32"/>
  <c r="DQ7" i="32" s="1"/>
  <c r="DP46" i="4" s="1"/>
  <c r="BH6" i="32"/>
  <c r="BH7" i="32" s="1"/>
  <c r="BG46" i="4" s="1"/>
  <c r="DE6" i="32"/>
  <c r="DE7" i="32" s="1"/>
  <c r="DD46" i="4" s="1"/>
  <c r="GG6" i="32"/>
  <c r="GF49" i="4" s="1"/>
  <c r="FR6" i="32"/>
  <c r="FR7" i="32" s="1"/>
  <c r="FQ46" i="4" s="1"/>
  <c r="BN6" i="32"/>
  <c r="BN7" i="32" s="1"/>
  <c r="BM46" i="4" s="1"/>
  <c r="AX6" i="32"/>
  <c r="AW49" i="4" s="1"/>
  <c r="M6" i="32"/>
  <c r="L49" i="4" s="1"/>
  <c r="BX6" i="32"/>
  <c r="BV10" i="34" s="1"/>
  <c r="CV6" i="32"/>
  <c r="CU49" i="4" s="1"/>
  <c r="AI6" i="32"/>
  <c r="AG10" i="34" s="1"/>
  <c r="AN6" i="32"/>
  <c r="AN7" i="32" s="1"/>
  <c r="AM46" i="4" s="1"/>
  <c r="Y47" i="4"/>
  <c r="Q47" i="4"/>
  <c r="BM47" i="4"/>
  <c r="CZ47" i="4"/>
  <c r="EL47" i="4"/>
  <c r="BL47" i="4"/>
  <c r="V47" i="4"/>
  <c r="EH47" i="4"/>
  <c r="AZ47" i="4"/>
  <c r="FF6" i="32"/>
  <c r="FF7" i="32" s="1"/>
  <c r="FE46" i="4" s="1"/>
  <c r="AL6" i="32"/>
  <c r="AJ10" i="34" s="1"/>
  <c r="DC6" i="32"/>
  <c r="DB49" i="4" s="1"/>
  <c r="J97" i="11" s="1"/>
  <c r="FO6" i="32"/>
  <c r="FO7" i="32" s="1"/>
  <c r="FN46" i="4" s="1"/>
  <c r="DF6" i="32"/>
  <c r="DF7" i="32" s="1"/>
  <c r="DE46" i="4" s="1"/>
  <c r="CB6" i="32"/>
  <c r="CA49" i="4" s="1"/>
  <c r="DU6" i="32"/>
  <c r="DU7" i="32" s="1"/>
  <c r="DT46" i="4" s="1"/>
  <c r="P47" i="4"/>
  <c r="EP47" i="4"/>
  <c r="FM47" i="4"/>
  <c r="CX47" i="4"/>
  <c r="AU47" i="4"/>
  <c r="CS47" i="4"/>
  <c r="AB47" i="4"/>
  <c r="CG47" i="4"/>
  <c r="AA6" i="32"/>
  <c r="AA7" i="32" s="1"/>
  <c r="Z46" i="4" s="1"/>
  <c r="X9" i="34" s="1"/>
  <c r="FW6" i="32"/>
  <c r="FV49" i="4" s="1"/>
  <c r="P97" i="11" s="1"/>
  <c r="FG6" i="32"/>
  <c r="FE10" i="34" s="1"/>
  <c r="AC6" i="32"/>
  <c r="AC7" i="32" s="1"/>
  <c r="AB46" i="4" s="1"/>
  <c r="Z9" i="34" s="1"/>
  <c r="AS6" i="32"/>
  <c r="AR49" i="4" s="1"/>
  <c r="AE6" i="32"/>
  <c r="AE7" i="32" s="1"/>
  <c r="AD46" i="4" s="1"/>
  <c r="AB9" i="34" s="1"/>
  <c r="AU6" i="32"/>
  <c r="AS10" i="34" s="1"/>
  <c r="AN47" i="4"/>
  <c r="EN47" i="4"/>
  <c r="FB47" i="4"/>
  <c r="CL47" i="4"/>
  <c r="AL47" i="4"/>
  <c r="CE47" i="4"/>
  <c r="BJ47" i="4"/>
  <c r="FL47" i="4"/>
  <c r="AV47" i="4"/>
  <c r="CK6" i="32"/>
  <c r="CK7" i="32" s="1"/>
  <c r="CJ46" i="4" s="1"/>
  <c r="EK6" i="32"/>
  <c r="EI10" i="34" s="1"/>
  <c r="BW6" i="32"/>
  <c r="BU10" i="34" s="1"/>
  <c r="CW6" i="32"/>
  <c r="CW7" i="32" s="1"/>
  <c r="CV46" i="4" s="1"/>
  <c r="EJ6" i="32"/>
  <c r="EI49" i="4" s="1"/>
  <c r="U6" i="32"/>
  <c r="T49" i="4" s="1"/>
  <c r="BF6" i="32"/>
  <c r="BD10" i="34" s="1"/>
  <c r="AY48" i="4"/>
  <c r="AQ48" i="4"/>
  <c r="CH48" i="4"/>
  <c r="FU47" i="4"/>
  <c r="FA47" i="4"/>
  <c r="ET47" i="4"/>
  <c r="FK6" i="32"/>
  <c r="FI10" i="34" s="1"/>
  <c r="AW6" i="32"/>
  <c r="AV49" i="4" s="1"/>
  <c r="AB6" i="32"/>
  <c r="Z10" i="34" s="1"/>
  <c r="AP6" i="32"/>
  <c r="AP7" i="32" s="1"/>
  <c r="AO46" i="4" s="1"/>
  <c r="DD6" i="32"/>
  <c r="DC49" i="4" s="1"/>
  <c r="CR6" i="32"/>
  <c r="CR7" i="32" s="1"/>
  <c r="CQ46" i="4" s="1"/>
  <c r="CM6" i="32"/>
  <c r="CL49" i="4" s="1"/>
  <c r="CY6" i="32"/>
  <c r="CX49" i="4" s="1"/>
  <c r="BQ6" i="32"/>
  <c r="BQ7" i="32" s="1"/>
  <c r="BP46" i="4" s="1"/>
  <c r="CC6" i="32"/>
  <c r="CA10" i="34" s="1"/>
  <c r="BE6" i="32"/>
  <c r="BC10" i="34" s="1"/>
  <c r="BK6" i="32"/>
  <c r="BI10" i="34" s="1"/>
  <c r="EE6" i="32"/>
  <c r="EE7" i="32" s="1"/>
  <c r="ED46" i="4" s="1"/>
  <c r="AB48" i="4"/>
  <c r="BQ48" i="4"/>
  <c r="CV47" i="4"/>
  <c r="EX47" i="4"/>
  <c r="BO47" i="4"/>
  <c r="DH47" i="4"/>
  <c r="DL47" i="4"/>
  <c r="N47" i="4"/>
  <c r="AG47" i="4"/>
  <c r="AK47" i="4"/>
  <c r="DY47" i="4"/>
  <c r="BB47" i="4"/>
  <c r="EJ47" i="4"/>
  <c r="BA47" i="4"/>
  <c r="BH47" i="4"/>
  <c r="DV6" i="32"/>
  <c r="DT10" i="34" s="1"/>
  <c r="AD6" i="32"/>
  <c r="AC49" i="4" s="1"/>
  <c r="FZ6" i="32"/>
  <c r="FZ7" i="32" s="1"/>
  <c r="FY46" i="4" s="1"/>
  <c r="GB6" i="32"/>
  <c r="GA49" i="4" s="1"/>
  <c r="EQ6" i="32"/>
  <c r="EP49" i="4" s="1"/>
  <c r="O6" i="32"/>
  <c r="O7" i="32" s="1"/>
  <c r="N46" i="4" s="1"/>
  <c r="L9" i="34" s="1"/>
  <c r="H55" i="34" s="1"/>
  <c r="EG6" i="32"/>
  <c r="EG7" i="32" s="1"/>
  <c r="EF46" i="4" s="1"/>
  <c r="FA6" i="32"/>
  <c r="EY10" i="34" s="1"/>
  <c r="DP6" i="32"/>
  <c r="DO49" i="4" s="1"/>
  <c r="BI6" i="32"/>
  <c r="BH49" i="4" s="1"/>
  <c r="AJ6" i="32"/>
  <c r="AH10" i="34" s="1"/>
  <c r="ER6" i="32"/>
  <c r="ER7" i="32" s="1"/>
  <c r="EQ46" i="4" s="1"/>
  <c r="AO6" i="32"/>
  <c r="AN49" i="4" s="1"/>
  <c r="R48" i="4"/>
  <c r="AX48" i="4"/>
  <c r="DW47" i="4"/>
  <c r="BU47" i="4"/>
  <c r="EQ47" i="4"/>
  <c r="DG47" i="4"/>
  <c r="EV47" i="4"/>
  <c r="EU47" i="4"/>
  <c r="FJ47" i="4"/>
  <c r="AF47" i="4"/>
  <c r="CW47" i="4"/>
  <c r="M47" i="4"/>
  <c r="BR47" i="4"/>
  <c r="DN47" i="4"/>
  <c r="S6" i="32"/>
  <c r="Q10" i="34" s="1"/>
  <c r="X6" i="32"/>
  <c r="W49" i="4" s="1"/>
  <c r="AQ6" i="32"/>
  <c r="AQ7" i="32" s="1"/>
  <c r="AP46" i="4" s="1"/>
  <c r="CA6" i="32"/>
  <c r="BY10" i="34" s="1"/>
  <c r="BU6" i="32"/>
  <c r="BU7" i="32" s="1"/>
  <c r="BT46" i="4" s="1"/>
  <c r="BG6" i="32"/>
  <c r="BF49" i="4" s="1"/>
  <c r="F97" i="11" s="1"/>
  <c r="CO6" i="32"/>
  <c r="CN49" i="4" s="1"/>
  <c r="FT6" i="32"/>
  <c r="FR10" i="34" s="1"/>
  <c r="CU6" i="32"/>
  <c r="CS10" i="34" s="1"/>
  <c r="CT6" i="32"/>
  <c r="CT7" i="32" s="1"/>
  <c r="CS46" i="4" s="1"/>
  <c r="DJ6" i="32"/>
  <c r="DI49" i="4" s="1"/>
  <c r="FS6" i="32"/>
  <c r="FR49" i="4" s="1"/>
  <c r="BM6" i="32"/>
  <c r="BM7" i="32" s="1"/>
  <c r="BL46" i="4" s="1"/>
  <c r="FB48" i="4"/>
  <c r="BX48" i="4"/>
  <c r="CS48" i="4"/>
  <c r="FW47" i="4"/>
  <c r="DA47" i="4"/>
  <c r="GB47" i="4"/>
  <c r="FD47" i="4"/>
  <c r="FR47" i="4"/>
  <c r="FO47" i="4"/>
  <c r="DE47" i="4"/>
  <c r="DU47" i="4"/>
  <c r="EA47" i="4"/>
  <c r="AP47" i="4"/>
  <c r="DM47" i="4"/>
  <c r="V6" i="32"/>
  <c r="T10" i="34" s="1"/>
  <c r="CS6" i="32"/>
  <c r="CQ10" i="34" s="1"/>
  <c r="DM6" i="32"/>
  <c r="DK10" i="34" s="1"/>
  <c r="P6" i="32"/>
  <c r="P7" i="32" s="1"/>
  <c r="O46" i="4" s="1"/>
  <c r="M9" i="34" s="1"/>
  <c r="I55" i="34" s="1"/>
  <c r="EW6" i="32"/>
  <c r="EU10" i="34" s="1"/>
  <c r="ED6" i="32"/>
  <c r="ED7" i="32" s="1"/>
  <c r="EC46" i="4" s="1"/>
  <c r="CL6" i="32"/>
  <c r="CJ10" i="34" s="1"/>
  <c r="CH6" i="32"/>
  <c r="CF10" i="34" s="1"/>
  <c r="BZ6" i="32"/>
  <c r="BY49" i="4" s="1"/>
  <c r="R6" i="32"/>
  <c r="P10" i="34" s="1"/>
  <c r="AZ6" i="32"/>
  <c r="AX10" i="34" s="1"/>
  <c r="BC6" i="32"/>
  <c r="BA10" i="34" s="1"/>
  <c r="AK6" i="32"/>
  <c r="AI10" i="34" s="1"/>
  <c r="AR48" i="4"/>
  <c r="DC48" i="4"/>
  <c r="AZ48" i="4"/>
  <c r="BY6" i="32"/>
  <c r="BX49" i="4" s="1"/>
  <c r="X48" i="4"/>
  <c r="P48" i="4"/>
  <c r="EW47" i="4"/>
  <c r="EF47" i="4"/>
  <c r="L47" i="4"/>
  <c r="BQ47" i="4"/>
  <c r="BT47" i="4"/>
  <c r="FI47" i="4"/>
  <c r="BD47" i="4"/>
  <c r="Z47" i="4"/>
  <c r="T47" i="4"/>
  <c r="AQ47" i="4"/>
  <c r="CO47" i="4"/>
  <c r="CQ6" i="32"/>
  <c r="CQ7" i="32" s="1"/>
  <c r="CP46" i="4" s="1"/>
  <c r="CD6" i="32"/>
  <c r="CB10" i="34" s="1"/>
  <c r="Q6" i="32"/>
  <c r="P49" i="4" s="1"/>
  <c r="EA6" i="32"/>
  <c r="DZ49" i="4" s="1"/>
  <c r="L97" i="11" s="1"/>
  <c r="AV6" i="32"/>
  <c r="AV7" i="32" s="1"/>
  <c r="AU46" i="4" s="1"/>
  <c r="L6" i="32" s="1"/>
  <c r="K49" i="4" s="1"/>
  <c r="B97" i="11" s="1"/>
  <c r="V97" i="11" s="1"/>
  <c r="CI6" i="32"/>
  <c r="CI7" i="32" s="1"/>
  <c r="CH46" i="4" s="1"/>
  <c r="EC6" i="32"/>
  <c r="EC7" i="32" s="1"/>
  <c r="EB46" i="4" s="1"/>
  <c r="BJ6" i="32"/>
  <c r="BH10" i="34" s="1"/>
  <c r="DX6" i="32"/>
  <c r="DW49" i="4" s="1"/>
  <c r="EB6" i="32"/>
  <c r="EA49" i="4" s="1"/>
  <c r="DA6" i="32"/>
  <c r="DA7" i="32" s="1"/>
  <c r="CZ46" i="4" s="1"/>
  <c r="AT6" i="32"/>
  <c r="AS49" i="4" s="1"/>
  <c r="AL48" i="4"/>
  <c r="AO48" i="4"/>
  <c r="DZ6" i="32"/>
  <c r="DY49" i="4" s="1"/>
  <c r="EE48" i="4"/>
  <c r="DH48" i="4"/>
  <c r="CV48" i="4"/>
  <c r="EN48" i="4"/>
  <c r="GF6" i="32"/>
  <c r="GE49" i="4" s="1"/>
  <c r="BF48" i="4"/>
  <c r="EG48" i="4"/>
  <c r="GE48" i="4"/>
  <c r="EW48" i="4"/>
  <c r="FM6" i="32"/>
  <c r="FL49" i="4" s="1"/>
  <c r="FH6" i="32"/>
  <c r="FH7" i="32" s="1"/>
  <c r="FG46" i="4" s="1"/>
  <c r="GG48" i="4"/>
  <c r="DN48" i="4"/>
  <c r="AD48" i="4"/>
  <c r="DK48" i="4"/>
  <c r="Y48" i="4"/>
  <c r="DU48" i="4"/>
  <c r="AV48" i="4"/>
  <c r="EY48" i="4"/>
  <c r="N48" i="4"/>
  <c r="EV48" i="4"/>
  <c r="CA48" i="4"/>
  <c r="V48" i="4"/>
  <c r="FT48" i="4"/>
  <c r="DT48" i="4"/>
  <c r="FU6" i="32"/>
  <c r="FT49" i="4" s="1"/>
  <c r="FN6" i="32"/>
  <c r="FL10" i="34" s="1"/>
  <c r="FE6" i="32"/>
  <c r="FD49" i="4" s="1"/>
  <c r="FU48" i="4"/>
  <c r="EU48" i="4"/>
  <c r="M48" i="4"/>
  <c r="FI48" i="4"/>
  <c r="DV48" i="4"/>
  <c r="FX6" i="32"/>
  <c r="FW49" i="4" s="1"/>
  <c r="EU6" i="32"/>
  <c r="ES10" i="34" s="1"/>
  <c r="Q48" i="4"/>
  <c r="BI48" i="4"/>
  <c r="ER48" i="4"/>
  <c r="BA48" i="4"/>
  <c r="O48" i="4"/>
  <c r="AK48" i="4"/>
  <c r="EH48" i="4"/>
  <c r="BJ48" i="4"/>
  <c r="BK48" i="4"/>
  <c r="CY48" i="4"/>
  <c r="AN48" i="4"/>
  <c r="AW48" i="4"/>
  <c r="S48" i="4"/>
  <c r="AM48" i="4"/>
  <c r="CD48" i="4"/>
  <c r="BZ48" i="4"/>
  <c r="DA48" i="4"/>
  <c r="DB48" i="4"/>
  <c r="GH48" i="4"/>
  <c r="Q104" i="11" s="1"/>
  <c r="CK48" i="4"/>
  <c r="FY47" i="4"/>
  <c r="FF47" i="4"/>
  <c r="GE47" i="4"/>
  <c r="EI47" i="4"/>
  <c r="EM47" i="4"/>
  <c r="EG47" i="4"/>
  <c r="GD47" i="4"/>
  <c r="GA47" i="4"/>
  <c r="DB47" i="4"/>
  <c r="EX6" i="32"/>
  <c r="EX7" i="32" s="1"/>
  <c r="EW46" i="4" s="1"/>
  <c r="FL6" i="32"/>
  <c r="FJ10" i="34" s="1"/>
  <c r="CZ6" i="32"/>
  <c r="CX10" i="34" s="1"/>
  <c r="GH6" i="32"/>
  <c r="GH7" i="32" s="1"/>
  <c r="GG46" i="4" s="1"/>
  <c r="DY6" i="32"/>
  <c r="DY7" i="32" s="1"/>
  <c r="DX46" i="4" s="1"/>
  <c r="EL6" i="32"/>
  <c r="EL7" i="32" s="1"/>
  <c r="EK46" i="4" s="1"/>
  <c r="BE48" i="4"/>
  <c r="AP48" i="4"/>
  <c r="BD48" i="4"/>
  <c r="CR48" i="4"/>
  <c r="DX48" i="4"/>
  <c r="CB48" i="4"/>
  <c r="T48" i="4"/>
  <c r="FF48" i="4"/>
  <c r="EY47" i="4"/>
  <c r="EO47" i="4"/>
  <c r="CT47" i="4"/>
  <c r="FC6" i="32"/>
  <c r="FB49" i="4" s="1"/>
  <c r="GE6" i="32"/>
  <c r="GE7" i="32" s="1"/>
  <c r="GD46" i="4" s="1"/>
  <c r="GD6" i="32"/>
  <c r="GD7" i="32" s="1"/>
  <c r="GC46" i="4" s="1"/>
  <c r="FI6" i="32"/>
  <c r="FI7" i="32" s="1"/>
  <c r="FH46" i="4" s="1"/>
  <c r="FP6" i="32"/>
  <c r="FO49" i="4" s="1"/>
  <c r="BV6" i="32"/>
  <c r="BU49" i="4" s="1"/>
  <c r="DG6" i="32"/>
  <c r="DE10" i="34" s="1"/>
  <c r="GI6" i="32"/>
  <c r="GH49" i="4" s="1"/>
  <c r="Q97" i="11" s="1"/>
  <c r="FP48" i="4"/>
  <c r="DI48" i="4"/>
  <c r="AF48" i="4"/>
  <c r="GF48" i="4"/>
  <c r="BW48" i="4"/>
  <c r="BC48" i="4"/>
  <c r="BH48" i="4"/>
  <c r="BG48" i="4"/>
  <c r="CI48" i="4"/>
  <c r="FE48" i="4"/>
  <c r="FL48" i="4"/>
  <c r="FS48" i="4"/>
  <c r="ES48" i="4"/>
  <c r="CG48" i="4"/>
  <c r="ED48" i="4"/>
  <c r="BT48" i="4"/>
  <c r="FJ48" i="4"/>
  <c r="FQ48" i="4"/>
  <c r="DR48" i="4"/>
  <c r="EA48" i="4"/>
  <c r="FH48" i="4"/>
  <c r="GA10" i="34"/>
  <c r="EK47" i="4"/>
  <c r="FS47" i="4"/>
  <c r="CP48" i="4"/>
  <c r="CT48" i="4"/>
  <c r="EM48" i="4"/>
  <c r="CE48" i="4"/>
  <c r="CX48" i="4"/>
  <c r="AG48" i="4"/>
  <c r="EL48" i="4"/>
  <c r="FN48" i="4"/>
  <c r="FX48" i="4"/>
  <c r="DW48" i="4"/>
  <c r="FW48" i="4"/>
  <c r="BP48" i="4"/>
  <c r="FD48" i="4"/>
  <c r="ET48" i="4"/>
  <c r="BS48" i="4"/>
  <c r="EQ48" i="4"/>
  <c r="DS48" i="4"/>
  <c r="DM48" i="4"/>
  <c r="FR48" i="4"/>
  <c r="AT48" i="4"/>
  <c r="GB48" i="4"/>
  <c r="L48" i="4"/>
  <c r="EC48" i="4"/>
  <c r="DE48" i="4"/>
  <c r="DD48" i="4"/>
  <c r="AH48" i="4"/>
  <c r="FC48" i="4"/>
  <c r="DP48" i="4"/>
  <c r="BV48" i="4"/>
  <c r="AC48" i="4"/>
  <c r="ED47" i="4"/>
  <c r="ES47" i="4"/>
  <c r="X47" i="4"/>
  <c r="FP47" i="4"/>
  <c r="EB47" i="4"/>
  <c r="FK47" i="4"/>
  <c r="DT47" i="4"/>
  <c r="AD47" i="4"/>
  <c r="FG47" i="4"/>
  <c r="FQ47" i="4"/>
  <c r="EC47" i="4"/>
  <c r="W47" i="4"/>
  <c r="BN47" i="4"/>
  <c r="BG47" i="4"/>
  <c r="U48" i="4"/>
  <c r="FO48" i="4"/>
  <c r="EK48" i="4"/>
  <c r="DQ48" i="4"/>
  <c r="CU48" i="4"/>
  <c r="DL48" i="4"/>
  <c r="CO48" i="4"/>
  <c r="BO48" i="4"/>
  <c r="EO48" i="4"/>
  <c r="DG48" i="4"/>
  <c r="EJ48" i="4"/>
  <c r="FM48" i="4"/>
  <c r="DY48" i="4"/>
  <c r="EI48" i="4"/>
  <c r="BY48" i="4"/>
  <c r="GF47" i="4"/>
  <c r="FZ48" i="4"/>
  <c r="AJ48" i="4"/>
  <c r="AU48" i="4"/>
  <c r="AE48" i="4"/>
  <c r="GA48" i="4"/>
  <c r="EF48" i="4"/>
  <c r="CM48" i="4"/>
  <c r="BL48" i="4"/>
  <c r="FY48" i="4"/>
  <c r="W48" i="4"/>
  <c r="FK48" i="4"/>
  <c r="FG48" i="4"/>
  <c r="CN48" i="4"/>
  <c r="EP48" i="4"/>
  <c r="BM48" i="4"/>
  <c r="K48" i="4" s="1"/>
  <c r="FV48" i="4"/>
  <c r="EZ48" i="4"/>
  <c r="GD48" i="4"/>
  <c r="CW48" i="4"/>
  <c r="FA48" i="4"/>
  <c r="BB48" i="4"/>
  <c r="EX48" i="4"/>
  <c r="GC48" i="4"/>
  <c r="DF48" i="4"/>
  <c r="CJ48" i="4"/>
  <c r="CQ48" i="4"/>
  <c r="DO48" i="4"/>
  <c r="AI48" i="4"/>
  <c r="CF48" i="4"/>
  <c r="AA48" i="4"/>
  <c r="DZ48" i="4"/>
  <c r="GB49" i="4"/>
  <c r="GC7" i="32"/>
  <c r="GB46" i="4" s="1"/>
  <c r="BD7" i="32" l="1"/>
  <c r="BC46" i="4" s="1"/>
  <c r="BB10" i="34"/>
  <c r="BC24" i="4"/>
  <c r="CC24" i="4"/>
  <c r="E90" i="11"/>
  <c r="E8" i="11"/>
  <c r="AH19" i="26"/>
  <c r="BU19" i="23"/>
  <c r="AW19" i="46"/>
  <c r="AR19" i="46"/>
  <c r="AO19" i="26"/>
  <c r="BJ22" i="13"/>
  <c r="BP19" i="26"/>
  <c r="AP19" i="23"/>
  <c r="AN19" i="46"/>
  <c r="AO22" i="13"/>
  <c r="BP19" i="7"/>
  <c r="AJ19" i="7"/>
  <c r="AJ19" i="23"/>
  <c r="AP19" i="7"/>
  <c r="AU19" i="7"/>
  <c r="BC19" i="23"/>
  <c r="BK19" i="7"/>
  <c r="AU19" i="26"/>
  <c r="I24" i="14"/>
  <c r="I25" i="14" s="1"/>
  <c r="I30" i="14"/>
  <c r="AC9" i="34"/>
  <c r="AB9" i="45"/>
  <c r="D56" i="57"/>
  <c r="F56" i="57" s="1"/>
  <c r="D55" i="57"/>
  <c r="E25" i="13"/>
  <c r="AX19" i="7"/>
  <c r="AN19" i="26"/>
  <c r="C18" i="14"/>
  <c r="C19" i="14"/>
  <c r="AY18" i="46"/>
  <c r="AY17" i="46"/>
  <c r="BW18" i="23"/>
  <c r="BW17" i="23"/>
  <c r="BW19" i="23" s="1"/>
  <c r="AZ21" i="13"/>
  <c r="AZ20" i="13"/>
  <c r="AZ22" i="13" s="1"/>
  <c r="BG16" i="26"/>
  <c r="BU9" i="4"/>
  <c r="BG16" i="23"/>
  <c r="BG16" i="7"/>
  <c r="BG19" i="13"/>
  <c r="BG16" i="46"/>
  <c r="BB22" i="13"/>
  <c r="AT17" i="23"/>
  <c r="AT18" i="23"/>
  <c r="BK16" i="26"/>
  <c r="BY9" i="4"/>
  <c r="BK16" i="46"/>
  <c r="BK16" i="7"/>
  <c r="BK19" i="13"/>
  <c r="BK16" i="23"/>
  <c r="AX19" i="26"/>
  <c r="BW17" i="7"/>
  <c r="BW19" i="7" s="1"/>
  <c r="BW18" i="7"/>
  <c r="BA18" i="7"/>
  <c r="BA17" i="7"/>
  <c r="BA19" i="7" s="1"/>
  <c r="CB18" i="26"/>
  <c r="CB17" i="26"/>
  <c r="CB19" i="26" s="1"/>
  <c r="AU18" i="46"/>
  <c r="AU17" i="46"/>
  <c r="AU19" i="46" s="1"/>
  <c r="BI20" i="13"/>
  <c r="BI21" i="13"/>
  <c r="CF9" i="4"/>
  <c r="BR16" i="23"/>
  <c r="BR19" i="13"/>
  <c r="BR16" i="7"/>
  <c r="BR16" i="46"/>
  <c r="BR16" i="26"/>
  <c r="AT18" i="7"/>
  <c r="AT17" i="7"/>
  <c r="AZ18" i="7"/>
  <c r="AZ17" i="7"/>
  <c r="AZ19" i="7" s="1"/>
  <c r="AU19" i="23"/>
  <c r="AM22" i="13"/>
  <c r="BV17" i="46"/>
  <c r="BV18" i="46"/>
  <c r="BA18" i="23"/>
  <c r="BA17" i="23"/>
  <c r="CB17" i="23"/>
  <c r="CB18" i="23"/>
  <c r="AV17" i="23"/>
  <c r="AV18" i="23"/>
  <c r="BJ17" i="23"/>
  <c r="BJ18" i="23"/>
  <c r="AV18" i="26"/>
  <c r="AV17" i="26"/>
  <c r="AR22" i="13"/>
  <c r="CF20" i="13"/>
  <c r="CF21" i="13"/>
  <c r="AS21" i="13"/>
  <c r="AS20" i="13"/>
  <c r="AS22" i="13" s="1"/>
  <c r="AZ17" i="26"/>
  <c r="AZ18" i="26"/>
  <c r="CH19" i="13"/>
  <c r="CV9" i="4"/>
  <c r="CH16" i="46"/>
  <c r="CH16" i="26"/>
  <c r="CH16" i="7"/>
  <c r="CH16" i="23"/>
  <c r="BB18" i="23"/>
  <c r="BB17" i="23"/>
  <c r="BB19" i="23" s="1"/>
  <c r="BA17" i="26"/>
  <c r="BA18" i="26"/>
  <c r="CB18" i="7"/>
  <c r="CB17" i="7"/>
  <c r="CB19" i="7" s="1"/>
  <c r="AS19" i="7"/>
  <c r="BJ17" i="7"/>
  <c r="BJ18" i="7"/>
  <c r="BV20" i="13"/>
  <c r="BV21" i="13"/>
  <c r="AZ17" i="46"/>
  <c r="AZ18" i="46"/>
  <c r="CA18" i="46"/>
  <c r="CA17" i="46"/>
  <c r="CA19" i="46" s="1"/>
  <c r="BU16" i="26"/>
  <c r="BU16" i="46"/>
  <c r="BU19" i="13"/>
  <c r="CI9" i="4"/>
  <c r="BU16" i="7"/>
  <c r="BU16" i="23"/>
  <c r="BT22" i="13"/>
  <c r="AO19" i="46"/>
  <c r="CG18" i="23"/>
  <c r="CG17" i="23"/>
  <c r="AS17" i="46"/>
  <c r="AS18" i="46"/>
  <c r="BW17" i="26"/>
  <c r="BW18" i="26"/>
  <c r="CG17" i="7"/>
  <c r="CG18" i="7"/>
  <c r="AT18" i="26"/>
  <c r="AT17" i="26"/>
  <c r="AT19" i="26" s="1"/>
  <c r="BD17" i="46"/>
  <c r="BD18" i="46"/>
  <c r="BG18" i="26"/>
  <c r="BG17" i="26"/>
  <c r="BG19" i="26" s="1"/>
  <c r="BM16" i="26"/>
  <c r="BM16" i="46"/>
  <c r="CA9" i="4"/>
  <c r="BM19" i="13"/>
  <c r="BM16" i="23"/>
  <c r="BM16" i="7"/>
  <c r="BZ9" i="4"/>
  <c r="BL16" i="26"/>
  <c r="BL16" i="46"/>
  <c r="BL16" i="7"/>
  <c r="BL16" i="23"/>
  <c r="BL19" i="13"/>
  <c r="CM16" i="26"/>
  <c r="CM16" i="46"/>
  <c r="CM19" i="13"/>
  <c r="DA9" i="4"/>
  <c r="CM16" i="7"/>
  <c r="CM16" i="23"/>
  <c r="BJ17" i="26"/>
  <c r="BJ18" i="26"/>
  <c r="BN21" i="13"/>
  <c r="BN20" i="13"/>
  <c r="BN22" i="13" s="1"/>
  <c r="AM19" i="46"/>
  <c r="AY21" i="13"/>
  <c r="AY20" i="13"/>
  <c r="AN19" i="23"/>
  <c r="BB17" i="26"/>
  <c r="BB18" i="26"/>
  <c r="CF17" i="46"/>
  <c r="CF18" i="46"/>
  <c r="BS9" i="4"/>
  <c r="BE16" i="46"/>
  <c r="BE16" i="26"/>
  <c r="BE16" i="23"/>
  <c r="BE16" i="7"/>
  <c r="BE19" i="13"/>
  <c r="BP19" i="13"/>
  <c r="BP16" i="23"/>
  <c r="CD9" i="4"/>
  <c r="BP16" i="46"/>
  <c r="BP16" i="7"/>
  <c r="BP16" i="26"/>
  <c r="AX19" i="23"/>
  <c r="BG18" i="7"/>
  <c r="BG17" i="7"/>
  <c r="BA21" i="13"/>
  <c r="BA20" i="13"/>
  <c r="BA22" i="13" s="1"/>
  <c r="AN22" i="13"/>
  <c r="CA21" i="13"/>
  <c r="CA20" i="13"/>
  <c r="AH19" i="23"/>
  <c r="BI17" i="46"/>
  <c r="BI18" i="46"/>
  <c r="F22" i="26"/>
  <c r="BZ16" i="23"/>
  <c r="CN9" i="4"/>
  <c r="BZ19" i="13"/>
  <c r="BZ16" i="46"/>
  <c r="BZ16" i="7"/>
  <c r="BZ16" i="26"/>
  <c r="AU21" i="13"/>
  <c r="AU20" i="13"/>
  <c r="AV17" i="7"/>
  <c r="AV18" i="7"/>
  <c r="CR16" i="46"/>
  <c r="DF9" i="4"/>
  <c r="CR16" i="7"/>
  <c r="CR16" i="26"/>
  <c r="CR19" i="13"/>
  <c r="CR16" i="23"/>
  <c r="BE17" i="23"/>
  <c r="BE18" i="23"/>
  <c r="BF21" i="13"/>
  <c r="BF20" i="13"/>
  <c r="BB18" i="7"/>
  <c r="BB17" i="7"/>
  <c r="BO18" i="23"/>
  <c r="BO17" i="23"/>
  <c r="E22" i="26"/>
  <c r="AI22" i="13"/>
  <c r="AH19" i="7"/>
  <c r="CG18" i="26"/>
  <c r="CG17" i="26"/>
  <c r="CG19" i="26" s="1"/>
  <c r="BD20" i="13"/>
  <c r="BD21" i="13"/>
  <c r="BG17" i="23"/>
  <c r="BG18" i="23"/>
  <c r="BA17" i="46"/>
  <c r="BA18" i="46"/>
  <c r="BB19" i="46"/>
  <c r="BO17" i="26"/>
  <c r="BO18" i="26"/>
  <c r="AO19" i="23"/>
  <c r="BC19" i="7"/>
  <c r="BU19" i="26"/>
  <c r="U38" i="46"/>
  <c r="U39" i="46" s="1"/>
  <c r="V39" i="46" s="1"/>
  <c r="E22" i="46"/>
  <c r="BJ19" i="46"/>
  <c r="BO18" i="7"/>
  <c r="BO17" i="7"/>
  <c r="BO19" i="7" s="1"/>
  <c r="AZ18" i="23"/>
  <c r="AZ17" i="23"/>
  <c r="AZ19" i="23" s="1"/>
  <c r="AS19" i="26"/>
  <c r="BE18" i="7"/>
  <c r="BE17" i="7"/>
  <c r="BO22" i="13"/>
  <c r="AI19" i="46"/>
  <c r="BT19" i="46"/>
  <c r="BE17" i="26"/>
  <c r="BE18" i="26"/>
  <c r="E22" i="23"/>
  <c r="BF17" i="46"/>
  <c r="BF18" i="46"/>
  <c r="BK19" i="26"/>
  <c r="BN17" i="46"/>
  <c r="BN18" i="46"/>
  <c r="AG19" i="46"/>
  <c r="H167" i="57"/>
  <c r="D73" i="2"/>
  <c r="D50" i="2"/>
  <c r="D77" i="2"/>
  <c r="D84" i="57"/>
  <c r="D23" i="57"/>
  <c r="F23" i="57" s="1"/>
  <c r="D18" i="57"/>
  <c r="F18" i="57" s="1"/>
  <c r="D17" i="57"/>
  <c r="F17" i="57" s="1"/>
  <c r="D19" i="57"/>
  <c r="F10" i="57"/>
  <c r="D22" i="57"/>
  <c r="D20" i="57"/>
  <c r="F20" i="57" s="1"/>
  <c r="BK49" i="4"/>
  <c r="C184" i="57"/>
  <c r="E182" i="57"/>
  <c r="E184" i="57" s="1"/>
  <c r="ES7" i="32"/>
  <c r="ER46" i="4" s="1"/>
  <c r="B1" i="4"/>
  <c r="D165" i="57"/>
  <c r="D142" i="57"/>
  <c r="F142" i="57" s="1"/>
  <c r="EF7" i="32"/>
  <c r="EE46" i="4" s="1"/>
  <c r="DL10" i="34"/>
  <c r="DI7" i="32"/>
  <c r="DH46" i="4" s="1"/>
  <c r="DN7" i="32"/>
  <c r="DM46" i="4" s="1"/>
  <c r="BW49" i="4"/>
  <c r="DJ49" i="4"/>
  <c r="BO49" i="4"/>
  <c r="BP7" i="32"/>
  <c r="BO46" i="4" s="1"/>
  <c r="DQ49" i="4"/>
  <c r="DD49" i="4"/>
  <c r="CM49" i="4"/>
  <c r="DI10" i="34"/>
  <c r="CL10" i="34"/>
  <c r="AP49" i="4"/>
  <c r="BC49" i="4"/>
  <c r="X49" i="4"/>
  <c r="BM10" i="34"/>
  <c r="BS7" i="32"/>
  <c r="BR46" i="4" s="1"/>
  <c r="BN49" i="4"/>
  <c r="ED10" i="34"/>
  <c r="BL7" i="32"/>
  <c r="BK46" i="4" s="1"/>
  <c r="BR49" i="4"/>
  <c r="G97" i="11" s="1"/>
  <c r="DC10" i="34"/>
  <c r="CO7" i="32"/>
  <c r="CN46" i="4" s="1"/>
  <c r="DR7" i="32"/>
  <c r="DQ46" i="4" s="1"/>
  <c r="AI49" i="4"/>
  <c r="ER49" i="4"/>
  <c r="U7" i="32"/>
  <c r="T46" i="4" s="1"/>
  <c r="R9" i="34" s="1"/>
  <c r="N55" i="34" s="1"/>
  <c r="FP10" i="34"/>
  <c r="AJ7" i="32"/>
  <c r="AI46" i="4" s="1"/>
  <c r="CM10" i="34"/>
  <c r="CB7" i="32"/>
  <c r="CA46" i="4" s="1"/>
  <c r="CX7" i="32"/>
  <c r="CW46" i="4" s="1"/>
  <c r="CE7" i="32"/>
  <c r="CD46" i="4" s="1"/>
  <c r="FY10" i="34"/>
  <c r="BX7" i="32"/>
  <c r="BW46" i="4" s="1"/>
  <c r="CD49" i="4"/>
  <c r="H97" i="11" s="1"/>
  <c r="EW7" i="32"/>
  <c r="EV46" i="4" s="1"/>
  <c r="DH49" i="4"/>
  <c r="FQ49" i="4"/>
  <c r="AL10" i="34"/>
  <c r="FW10" i="34"/>
  <c r="FX49" i="4"/>
  <c r="FO10" i="34"/>
  <c r="FP49" i="4"/>
  <c r="DH7" i="32"/>
  <c r="DG46" i="4" s="1"/>
  <c r="EW10" i="34"/>
  <c r="EY7" i="32"/>
  <c r="EX46" i="4" s="1"/>
  <c r="CG7" i="32"/>
  <c r="CF46" i="4" s="1"/>
  <c r="CF49" i="4"/>
  <c r="CH49" i="4"/>
  <c r="GG7" i="32"/>
  <c r="GF46" i="4" s="1"/>
  <c r="AC10" i="34"/>
  <c r="CH7" i="32"/>
  <c r="CG46" i="4" s="1"/>
  <c r="EL10" i="34"/>
  <c r="CW49" i="4"/>
  <c r="BA49" i="4"/>
  <c r="AE49" i="4"/>
  <c r="EG10" i="34"/>
  <c r="DB7" i="32"/>
  <c r="DA46" i="4" s="1"/>
  <c r="EH49" i="4"/>
  <c r="CZ10" i="34"/>
  <c r="DD10" i="34"/>
  <c r="BG49" i="4"/>
  <c r="W7" i="32"/>
  <c r="V46" i="4" s="1"/>
  <c r="T9" i="34" s="1"/>
  <c r="E17" i="34" s="1"/>
  <c r="E50" i="34" s="1"/>
  <c r="FU10" i="34"/>
  <c r="DT49" i="4"/>
  <c r="DQ10" i="34"/>
  <c r="DE49" i="4"/>
  <c r="AB49" i="4"/>
  <c r="AQ10" i="34"/>
  <c r="BF10" i="34"/>
  <c r="V49" i="4"/>
  <c r="C97" i="11" s="1"/>
  <c r="DR49" i="4"/>
  <c r="DY10" i="34"/>
  <c r="FS7" i="32"/>
  <c r="FR46" i="4" s="1"/>
  <c r="EV10" i="34"/>
  <c r="FU49" i="4"/>
  <c r="DS10" i="34"/>
  <c r="S10" i="34"/>
  <c r="BI49" i="4"/>
  <c r="BL10" i="34"/>
  <c r="BM49" i="4"/>
  <c r="AD49" i="4"/>
  <c r="BJ49" i="4"/>
  <c r="DR10" i="34"/>
  <c r="FB10" i="34"/>
  <c r="DS49" i="4"/>
  <c r="FD7" i="32"/>
  <c r="FC46" i="4" s="1"/>
  <c r="CI49" i="4"/>
  <c r="T7" i="32"/>
  <c r="S46" i="4" s="1"/>
  <c r="Q9" i="34" s="1"/>
  <c r="M55" i="34" s="1"/>
  <c r="DG49" i="4"/>
  <c r="BD49" i="4"/>
  <c r="EK10" i="34"/>
  <c r="AL7" i="32"/>
  <c r="AK46" i="4" s="1"/>
  <c r="EN10" i="34"/>
  <c r="CC7" i="32"/>
  <c r="CB46" i="4" s="1"/>
  <c r="AK49" i="4"/>
  <c r="AO7" i="32"/>
  <c r="AN46" i="4" s="1"/>
  <c r="AS7" i="32"/>
  <c r="AR46" i="4" s="1"/>
  <c r="EP7" i="32"/>
  <c r="EO46" i="4" s="1"/>
  <c r="CB49" i="4"/>
  <c r="AF10" i="34"/>
  <c r="EV49" i="4"/>
  <c r="EV7" i="32"/>
  <c r="EU46" i="4" s="1"/>
  <c r="CU7" i="32"/>
  <c r="CT46" i="4" s="1"/>
  <c r="AI7" i="32"/>
  <c r="AH46" i="4" s="1"/>
  <c r="AW10" i="34"/>
  <c r="CT49" i="4"/>
  <c r="EA7" i="32"/>
  <c r="DZ46" i="4" s="1"/>
  <c r="EU49" i="4"/>
  <c r="AH7" i="32"/>
  <c r="AG46" i="4" s="1"/>
  <c r="FF49" i="4"/>
  <c r="GC10" i="34"/>
  <c r="Y7" i="32"/>
  <c r="X46" i="4" s="1"/>
  <c r="V9" i="34" s="1"/>
  <c r="BC7" i="32"/>
  <c r="BB46" i="4" s="1"/>
  <c r="DX7" i="32"/>
  <c r="DW46" i="4" s="1"/>
  <c r="BO10" i="34"/>
  <c r="DO7" i="32"/>
  <c r="DN46" i="4" s="1"/>
  <c r="DV10" i="34"/>
  <c r="FV7" i="32"/>
  <c r="FU46" i="4" s="1"/>
  <c r="BF7" i="32"/>
  <c r="BE46" i="4" s="1"/>
  <c r="EN7" i="32"/>
  <c r="EM46" i="4" s="1"/>
  <c r="FD10" i="34"/>
  <c r="AM10" i="34"/>
  <c r="FC7" i="32"/>
  <c r="FB46" i="4" s="1"/>
  <c r="CZ7" i="32"/>
  <c r="CY46" i="4" s="1"/>
  <c r="BE49" i="4"/>
  <c r="FE49" i="4"/>
  <c r="CJ7" i="32"/>
  <c r="CI46" i="4" s="1"/>
  <c r="DA10" i="34"/>
  <c r="EB10" i="34"/>
  <c r="CP10" i="34"/>
  <c r="AL49" i="4"/>
  <c r="AM49" i="4"/>
  <c r="GI7" i="32"/>
  <c r="GH46" i="4" s="1"/>
  <c r="FQ10" i="34"/>
  <c r="BJ7" i="32"/>
  <c r="BI46" i="4" s="1"/>
  <c r="DZ10" i="34"/>
  <c r="EW49" i="4"/>
  <c r="FN10" i="34"/>
  <c r="FS49" i="4"/>
  <c r="EZ7" i="32"/>
  <c r="EY46" i="4" s="1"/>
  <c r="FW7" i="32"/>
  <c r="FV46" i="4" s="1"/>
  <c r="EY49" i="4"/>
  <c r="FA10" i="34"/>
  <c r="EF49" i="4"/>
  <c r="O10" i="34"/>
  <c r="EE10" i="34"/>
  <c r="FK10" i="34"/>
  <c r="BE10" i="34"/>
  <c r="AZ7" i="32"/>
  <c r="AY46" i="4" s="1"/>
  <c r="EU7" i="32"/>
  <c r="ET46" i="4" s="1"/>
  <c r="CG49" i="4"/>
  <c r="DW10" i="34"/>
  <c r="ET49" i="4"/>
  <c r="EJ7" i="32"/>
  <c r="EI46" i="4" s="1"/>
  <c r="CJ49" i="4"/>
  <c r="AY49" i="4"/>
  <c r="AT10" i="34"/>
  <c r="DX49" i="4"/>
  <c r="AO10" i="34"/>
  <c r="EH10" i="34"/>
  <c r="CI10" i="34"/>
  <c r="EJ10" i="34"/>
  <c r="AU49" i="4"/>
  <c r="AB7" i="32"/>
  <c r="AA46" i="4" s="1"/>
  <c r="Y9" i="34" s="1"/>
  <c r="H76" i="11"/>
  <c r="AX7" i="32"/>
  <c r="AW46" i="4" s="1"/>
  <c r="EF10" i="34"/>
  <c r="AX45" i="4"/>
  <c r="AW10" i="33"/>
  <c r="AY7" i="31"/>
  <c r="AX42" i="4" s="1"/>
  <c r="Q45" i="4"/>
  <c r="R7" i="31"/>
  <c r="Q42" i="4" s="1"/>
  <c r="O9" i="33" s="1"/>
  <c r="K55" i="33" s="1"/>
  <c r="P10" i="33"/>
  <c r="AC45" i="4"/>
  <c r="AB10" i="33"/>
  <c r="AD7" i="31"/>
  <c r="AC42" i="4" s="1"/>
  <c r="AA9" i="33" s="1"/>
  <c r="BN45" i="4"/>
  <c r="BO7" i="31"/>
  <c r="BN42" i="4" s="1"/>
  <c r="BM10" i="33"/>
  <c r="DJ45" i="4"/>
  <c r="DK7" i="31"/>
  <c r="DJ42" i="4" s="1"/>
  <c r="DI10" i="33"/>
  <c r="BX45" i="4"/>
  <c r="BW10" i="33"/>
  <c r="BY7" i="31"/>
  <c r="BX42" i="4" s="1"/>
  <c r="BH45" i="4"/>
  <c r="BG10" i="33"/>
  <c r="BI7" i="31"/>
  <c r="BH42" i="4" s="1"/>
  <c r="BZ45" i="4"/>
  <c r="BY10" i="33"/>
  <c r="CA7" i="31"/>
  <c r="BZ42" i="4" s="1"/>
  <c r="BR45" i="4"/>
  <c r="G61" i="11" s="1"/>
  <c r="BQ10" i="33"/>
  <c r="BS7" i="31"/>
  <c r="BR42" i="4" s="1"/>
  <c r="CU10" i="34"/>
  <c r="EH7" i="32"/>
  <c r="EG46" i="4" s="1"/>
  <c r="F68" i="11"/>
  <c r="D68" i="11"/>
  <c r="CD45" i="4"/>
  <c r="H61" i="11" s="1"/>
  <c r="CC10" i="33"/>
  <c r="CE7" i="31"/>
  <c r="CD42" i="4" s="1"/>
  <c r="AE45" i="4"/>
  <c r="AF7" i="31"/>
  <c r="AE42" i="4" s="1"/>
  <c r="AC9" i="33" s="1"/>
  <c r="AD10" i="33"/>
  <c r="AS45" i="4"/>
  <c r="AT7" i="31"/>
  <c r="AS42" i="4" s="1"/>
  <c r="BT45" i="4"/>
  <c r="BU7" i="31"/>
  <c r="BT42" i="4" s="1"/>
  <c r="BS10" i="33"/>
  <c r="BD45" i="4"/>
  <c r="BC10" i="33"/>
  <c r="BE7" i="31"/>
  <c r="BD42" i="4" s="1"/>
  <c r="AU45" i="4"/>
  <c r="AV7" i="31"/>
  <c r="AU42" i="4" s="1"/>
  <c r="AT10" i="33"/>
  <c r="BK45" i="4"/>
  <c r="BL7" i="31"/>
  <c r="BK42" i="4" s="1"/>
  <c r="BJ10" i="33"/>
  <c r="DF45" i="4"/>
  <c r="DG7" i="31"/>
  <c r="DF42" i="4" s="1"/>
  <c r="DE10" i="33"/>
  <c r="CF45" i="4"/>
  <c r="CE10" i="33"/>
  <c r="CG7" i="31"/>
  <c r="CF42" i="4" s="1"/>
  <c r="CU45" i="4"/>
  <c r="CV7" i="31"/>
  <c r="CU42" i="4" s="1"/>
  <c r="CT10" i="33"/>
  <c r="F76" i="11"/>
  <c r="CS7" i="32"/>
  <c r="CR46" i="4" s="1"/>
  <c r="BG10" i="34"/>
  <c r="EC10" i="34"/>
  <c r="CV49" i="4"/>
  <c r="AZ10" i="34"/>
  <c r="J68" i="11"/>
  <c r="AW45" i="4"/>
  <c r="AV10" i="33"/>
  <c r="AX7" i="31"/>
  <c r="AW42" i="4" s="1"/>
  <c r="BE45" i="4"/>
  <c r="BF7" i="31"/>
  <c r="BE42" i="4" s="1"/>
  <c r="BD10" i="33"/>
  <c r="CQ45" i="4"/>
  <c r="CP10" i="33"/>
  <c r="CR7" i="31"/>
  <c r="CQ42" i="4" s="1"/>
  <c r="CS45" i="4"/>
  <c r="CT7" i="31"/>
  <c r="CS42" i="4" s="1"/>
  <c r="CR10" i="33"/>
  <c r="T45" i="4"/>
  <c r="U7" i="31"/>
  <c r="T42" i="4" s="1"/>
  <c r="R9" i="33" s="1"/>
  <c r="N55" i="33" s="1"/>
  <c r="S10" i="33"/>
  <c r="CA45" i="4"/>
  <c r="CB7" i="31"/>
  <c r="CA42" i="4" s="1"/>
  <c r="BZ10" i="33"/>
  <c r="DB45" i="4"/>
  <c r="J61" i="11" s="1"/>
  <c r="DC7" i="31"/>
  <c r="DB42" i="4" s="1"/>
  <c r="DA10" i="33"/>
  <c r="BU45" i="4"/>
  <c r="BV7" i="31"/>
  <c r="BU42" i="4" s="1"/>
  <c r="BT10" i="33"/>
  <c r="AA45" i="4"/>
  <c r="AB7" i="31"/>
  <c r="AA42" i="4" s="1"/>
  <c r="Y9" i="33" s="1"/>
  <c r="Z10" i="33"/>
  <c r="DA45" i="4"/>
  <c r="CZ10" i="33"/>
  <c r="DB7" i="31"/>
  <c r="DA42" i="4" s="1"/>
  <c r="BW7" i="32"/>
  <c r="BV46" i="4" s="1"/>
  <c r="H112" i="11"/>
  <c r="ED49" i="4"/>
  <c r="DL7" i="32"/>
  <c r="DK46" i="4" s="1"/>
  <c r="BV45" i="4"/>
  <c r="BU10" i="33"/>
  <c r="BW7" i="31"/>
  <c r="BV42" i="4" s="1"/>
  <c r="CX45" i="4"/>
  <c r="CW10" i="33"/>
  <c r="CY7" i="31"/>
  <c r="CX42" i="4" s="1"/>
  <c r="AG45" i="4"/>
  <c r="AF10" i="33"/>
  <c r="AH7" i="31"/>
  <c r="AG42" i="4" s="1"/>
  <c r="P45" i="4"/>
  <c r="O10" i="33"/>
  <c r="Q7" i="31"/>
  <c r="P42" i="4" s="1"/>
  <c r="N9" i="33" s="1"/>
  <c r="J55" i="33" s="1"/>
  <c r="DZ45" i="4"/>
  <c r="L61" i="11" s="1"/>
  <c r="DY10" i="33"/>
  <c r="EA7" i="31"/>
  <c r="DZ42" i="4" s="1"/>
  <c r="DM45" i="4"/>
  <c r="DL10" i="33"/>
  <c r="DN7" i="31"/>
  <c r="DM42" i="4" s="1"/>
  <c r="BF45" i="4"/>
  <c r="F61" i="11" s="1"/>
  <c r="BE10" i="33"/>
  <c r="BG7" i="31"/>
  <c r="BF42" i="4" s="1"/>
  <c r="BM45" i="4"/>
  <c r="BL10" i="33"/>
  <c r="BN7" i="31"/>
  <c r="BM42" i="4" s="1"/>
  <c r="BC45" i="4"/>
  <c r="BD7" i="31"/>
  <c r="BC42" i="4" s="1"/>
  <c r="BB10" i="33"/>
  <c r="O45" i="4"/>
  <c r="P7" i="31"/>
  <c r="O42" i="4" s="1"/>
  <c r="M9" i="33" s="1"/>
  <c r="I55" i="33" s="1"/>
  <c r="N10" i="33"/>
  <c r="C76" i="11"/>
  <c r="I76" i="11"/>
  <c r="CG45" i="4"/>
  <c r="CH7" i="31"/>
  <c r="CG42" i="4" s="1"/>
  <c r="CF10" i="33"/>
  <c r="CV45" i="4"/>
  <c r="CW7" i="31"/>
  <c r="CV42" i="4" s="1"/>
  <c r="CU10" i="33"/>
  <c r="CY45" i="4"/>
  <c r="CX10" i="33"/>
  <c r="Y45" i="4"/>
  <c r="X10" i="33"/>
  <c r="Z7" i="31"/>
  <c r="Y42" i="4" s="1"/>
  <c r="W9" i="33" s="1"/>
  <c r="Z45" i="4"/>
  <c r="AA7" i="31"/>
  <c r="Z42" i="4" s="1"/>
  <c r="X9" i="33" s="1"/>
  <c r="Y10" i="33"/>
  <c r="DH45" i="4"/>
  <c r="DG10" i="33"/>
  <c r="DI7" i="31"/>
  <c r="DH42" i="4" s="1"/>
  <c r="AK45" i="4"/>
  <c r="AL7" i="31"/>
  <c r="AK42" i="4" s="1"/>
  <c r="AY45" i="4"/>
  <c r="AX10" i="33"/>
  <c r="AZ7" i="31"/>
  <c r="AY42" i="4" s="1"/>
  <c r="BB45" i="4"/>
  <c r="BA10" i="33"/>
  <c r="BC7" i="31"/>
  <c r="BB42" i="4" s="1"/>
  <c r="CK45" i="4"/>
  <c r="CJ10" i="33"/>
  <c r="CL7" i="31"/>
  <c r="CK42" i="4" s="1"/>
  <c r="K76" i="11"/>
  <c r="E68" i="11"/>
  <c r="G68" i="11"/>
  <c r="I68" i="11"/>
  <c r="CN45" i="4"/>
  <c r="CO7" i="31"/>
  <c r="CN42" i="4" s="1"/>
  <c r="CM10" i="33"/>
  <c r="DK45" i="4"/>
  <c r="DJ10" i="33"/>
  <c r="DL7" i="31"/>
  <c r="DK42" i="4" s="1"/>
  <c r="CI45" i="4"/>
  <c r="CJ7" i="31"/>
  <c r="CI42" i="4" s="1"/>
  <c r="CH10" i="33"/>
  <c r="DO45" i="4"/>
  <c r="DN10" i="33"/>
  <c r="DP7" i="31"/>
  <c r="DO42" i="4" s="1"/>
  <c r="AB45" i="4"/>
  <c r="AC7" i="31"/>
  <c r="AB42" i="4" s="1"/>
  <c r="Z9" i="33" s="1"/>
  <c r="CZ45" i="4"/>
  <c r="DA7" i="31"/>
  <c r="CZ42" i="4" s="1"/>
  <c r="CY10" i="33"/>
  <c r="BI45" i="4"/>
  <c r="BH10" i="33"/>
  <c r="BJ7" i="31"/>
  <c r="BI42" i="4" s="1"/>
  <c r="AI45" i="4"/>
  <c r="AH10" i="33"/>
  <c r="AJ7" i="31"/>
  <c r="AI42" i="4" s="1"/>
  <c r="DP45" i="4"/>
  <c r="DQ7" i="31"/>
  <c r="DP42" i="4" s="1"/>
  <c r="DO10" i="33"/>
  <c r="AP45" i="4"/>
  <c r="AO10" i="33"/>
  <c r="AQ7" i="31"/>
  <c r="AP42" i="4" s="1"/>
  <c r="G76" i="11"/>
  <c r="BG7" i="32"/>
  <c r="BF46" i="4" s="1"/>
  <c r="DQ45" i="4"/>
  <c r="DP10" i="33"/>
  <c r="DR7" i="31"/>
  <c r="DQ42" i="4" s="1"/>
  <c r="BP45" i="4"/>
  <c r="BQ7" i="31"/>
  <c r="BP42" i="4" s="1"/>
  <c r="BO10" i="33"/>
  <c r="CE45" i="4"/>
  <c r="CF7" i="31"/>
  <c r="CE42" i="4" s="1"/>
  <c r="CD10" i="33"/>
  <c r="DT45" i="4"/>
  <c r="DU7" i="31"/>
  <c r="DT42" i="4" s="1"/>
  <c r="DS10" i="33"/>
  <c r="BA45" i="4"/>
  <c r="BB7" i="31"/>
  <c r="BA42" i="4" s="1"/>
  <c r="AZ10" i="33"/>
  <c r="U45" i="4"/>
  <c r="T10" i="33"/>
  <c r="V7" i="31"/>
  <c r="U42" i="4" s="1"/>
  <c r="S9" i="33" s="1"/>
  <c r="O55" i="33" s="1"/>
  <c r="CO45" i="4"/>
  <c r="CN10" i="33"/>
  <c r="CP7" i="31"/>
  <c r="CO42" i="4" s="1"/>
  <c r="DE45" i="4"/>
  <c r="DD10" i="33"/>
  <c r="DF7" i="31"/>
  <c r="DE42" i="4" s="1"/>
  <c r="DI45" i="4"/>
  <c r="DH10" i="33"/>
  <c r="DJ7" i="31"/>
  <c r="DI42" i="4" s="1"/>
  <c r="DR45" i="4"/>
  <c r="DQ10" i="33"/>
  <c r="DS7" i="31"/>
  <c r="DR42" i="4" s="1"/>
  <c r="D76" i="11"/>
  <c r="AR10" i="33"/>
  <c r="AV10" i="34"/>
  <c r="M7" i="32"/>
  <c r="L46" i="4" s="1"/>
  <c r="J9" i="34" s="1"/>
  <c r="F55" i="34" s="1"/>
  <c r="K10" i="34"/>
  <c r="K68" i="11"/>
  <c r="AM45" i="4"/>
  <c r="AL10" i="33"/>
  <c r="AN7" i="31"/>
  <c r="AM42" i="4" s="1"/>
  <c r="BO45" i="4"/>
  <c r="BP7" i="31"/>
  <c r="BO42" i="4" s="1"/>
  <c r="R45" i="4"/>
  <c r="S7" i="31"/>
  <c r="R42" i="4" s="1"/>
  <c r="P9" i="33" s="1"/>
  <c r="L55" i="33" s="1"/>
  <c r="Q10" i="33"/>
  <c r="BY45" i="4"/>
  <c r="BZ7" i="31"/>
  <c r="BY42" i="4" s="1"/>
  <c r="BX10" i="33"/>
  <c r="AZ45" i="4"/>
  <c r="BA7" i="31"/>
  <c r="AZ42" i="4" s="1"/>
  <c r="AY10" i="33"/>
  <c r="AQ45" i="4"/>
  <c r="AR7" i="31"/>
  <c r="AQ42" i="4" s="1"/>
  <c r="AP10" i="33"/>
  <c r="CR45" i="4"/>
  <c r="CQ10" i="33"/>
  <c r="CS7" i="31"/>
  <c r="CR42" i="4" s="1"/>
  <c r="DU45" i="4"/>
  <c r="DV7" i="31"/>
  <c r="DU42" i="4" s="1"/>
  <c r="DT10" i="33"/>
  <c r="BS45" i="4"/>
  <c r="BR10" i="33"/>
  <c r="BT7" i="31"/>
  <c r="BS42" i="4" s="1"/>
  <c r="DW45" i="4"/>
  <c r="DV10" i="33"/>
  <c r="DX7" i="31"/>
  <c r="DW42" i="4" s="1"/>
  <c r="E76" i="11"/>
  <c r="J76" i="11"/>
  <c r="AA10" i="33"/>
  <c r="EM7" i="32"/>
  <c r="EL46" i="4" s="1"/>
  <c r="BS10" i="34"/>
  <c r="B68" i="11"/>
  <c r="AJ45" i="4"/>
  <c r="AI10" i="33"/>
  <c r="AK7" i="31"/>
  <c r="AJ42" i="4" s="1"/>
  <c r="DV45" i="4"/>
  <c r="DW7" i="31"/>
  <c r="DV42" i="4" s="1"/>
  <c r="DU10" i="33"/>
  <c r="AR45" i="4"/>
  <c r="AS7" i="31"/>
  <c r="AR42" i="4" s="1"/>
  <c r="AQ10" i="33"/>
  <c r="AF45" i="4"/>
  <c r="AG7" i="31"/>
  <c r="AF42" i="4" s="1"/>
  <c r="AE10" i="33"/>
  <c r="AO45" i="4"/>
  <c r="AN10" i="33"/>
  <c r="AP7" i="31"/>
  <c r="AO42" i="4" s="1"/>
  <c r="DC45" i="4"/>
  <c r="DB10" i="33"/>
  <c r="DD7" i="31"/>
  <c r="DC42" i="4" s="1"/>
  <c r="BQ45" i="4"/>
  <c r="BP10" i="33"/>
  <c r="BR7" i="31"/>
  <c r="BQ42" i="4" s="1"/>
  <c r="BG45" i="4"/>
  <c r="BH7" i="31"/>
  <c r="BG42" i="4" s="1"/>
  <c r="BF10" i="33"/>
  <c r="DG45" i="4"/>
  <c r="DF10" i="33"/>
  <c r="DH7" i="31"/>
  <c r="DG42" i="4" s="1"/>
  <c r="CT45" i="4"/>
  <c r="CU7" i="31"/>
  <c r="CT42" i="4" s="1"/>
  <c r="CS10" i="33"/>
  <c r="CZ7" i="31"/>
  <c r="CY42" i="4" s="1"/>
  <c r="CG10" i="34"/>
  <c r="DU10" i="34"/>
  <c r="BT7" i="32"/>
  <c r="BS46" i="4" s="1"/>
  <c r="CR49" i="4"/>
  <c r="K112" i="11"/>
  <c r="C68" i="11"/>
  <c r="H68" i="11"/>
  <c r="AV45" i="4"/>
  <c r="AU10" i="33"/>
  <c r="AW7" i="31"/>
  <c r="AV42" i="4" s="1"/>
  <c r="DN45" i="4"/>
  <c r="K61" i="11" s="1"/>
  <c r="DO7" i="31"/>
  <c r="DN42" i="4" s="1"/>
  <c r="DM10" i="33"/>
  <c r="BW45" i="4"/>
  <c r="BV10" i="33"/>
  <c r="CM45" i="4"/>
  <c r="CL10" i="33"/>
  <c r="DL45" i="4"/>
  <c r="DK10" i="33"/>
  <c r="DM7" i="31"/>
  <c r="DL42" i="4" s="1"/>
  <c r="W45" i="4"/>
  <c r="X7" i="31"/>
  <c r="W42" i="4" s="1"/>
  <c r="U9" i="33" s="1"/>
  <c r="Q55" i="33" s="1"/>
  <c r="V10" i="33"/>
  <c r="DS45" i="4"/>
  <c r="DT7" i="31"/>
  <c r="DS42" i="4" s="1"/>
  <c r="DR10" i="33"/>
  <c r="M45" i="4"/>
  <c r="L10" i="33"/>
  <c r="N7" i="31"/>
  <c r="M42" i="4" s="1"/>
  <c r="K9" i="33" s="1"/>
  <c r="G55" i="33" s="1"/>
  <c r="DY45" i="4"/>
  <c r="DX10" i="33"/>
  <c r="DZ7" i="31"/>
  <c r="DY42" i="4" s="1"/>
  <c r="BL45" i="4"/>
  <c r="BK10" i="33"/>
  <c r="BM7" i="31"/>
  <c r="BL42" i="4" s="1"/>
  <c r="DV49" i="4"/>
  <c r="FM49" i="4"/>
  <c r="AR7" i="32"/>
  <c r="AQ46" i="4" s="1"/>
  <c r="DX45" i="4"/>
  <c r="DY7" i="31"/>
  <c r="DX42" i="4" s="1"/>
  <c r="DW10" i="33"/>
  <c r="AT45" i="4"/>
  <c r="E61" i="11" s="1"/>
  <c r="AS10" i="33"/>
  <c r="AU7" i="31"/>
  <c r="AT42" i="4" s="1"/>
  <c r="AH45" i="4"/>
  <c r="D61" i="11" s="1"/>
  <c r="AG10" i="33"/>
  <c r="CP45" i="4"/>
  <c r="I61" i="11" s="1"/>
  <c r="CO10" i="33"/>
  <c r="CQ7" i="31"/>
  <c r="CP42" i="4" s="1"/>
  <c r="CC45" i="4"/>
  <c r="CD7" i="31"/>
  <c r="CC42" i="4" s="1"/>
  <c r="CB10" i="33"/>
  <c r="S45" i="4"/>
  <c r="R10" i="33"/>
  <c r="T7" i="31"/>
  <c r="S42" i="4" s="1"/>
  <c r="Q9" i="33" s="1"/>
  <c r="M55" i="33" s="1"/>
  <c r="AN45" i="4"/>
  <c r="AM10" i="33"/>
  <c r="AO7" i="31"/>
  <c r="AN42" i="4" s="1"/>
  <c r="BJ45" i="4"/>
  <c r="BI10" i="33"/>
  <c r="BK7" i="31"/>
  <c r="BJ42" i="4" s="1"/>
  <c r="AL45" i="4"/>
  <c r="AK10" i="33"/>
  <c r="AM7" i="31"/>
  <c r="AL42" i="4" s="1"/>
  <c r="AD45" i="4"/>
  <c r="AE7" i="31"/>
  <c r="AD42" i="4" s="1"/>
  <c r="AB9" i="33" s="1"/>
  <c r="AC10" i="33"/>
  <c r="AJ10" i="33"/>
  <c r="CW45" i="4"/>
  <c r="CV10" i="33"/>
  <c r="CX7" i="31"/>
  <c r="CW42" i="4" s="1"/>
  <c r="CH45" i="4"/>
  <c r="CI7" i="31"/>
  <c r="CH42" i="4" s="1"/>
  <c r="CG10" i="33"/>
  <c r="X45" i="4"/>
  <c r="W10" i="33"/>
  <c r="Y7" i="31"/>
  <c r="X42" i="4" s="1"/>
  <c r="V9" i="33" s="1"/>
  <c r="CB45" i="4"/>
  <c r="CC7" i="31"/>
  <c r="CB42" i="4" s="1"/>
  <c r="CA10" i="33"/>
  <c r="CL45" i="4"/>
  <c r="CM7" i="31"/>
  <c r="CL42" i="4" s="1"/>
  <c r="CK10" i="33"/>
  <c r="CJ45" i="4"/>
  <c r="CK7" i="31"/>
  <c r="CJ42" i="4" s="1"/>
  <c r="CI10" i="33"/>
  <c r="N45" i="4"/>
  <c r="O7" i="31"/>
  <c r="N42" i="4" s="1"/>
  <c r="L9" i="33" s="1"/>
  <c r="H55" i="33" s="1"/>
  <c r="M10" i="33"/>
  <c r="DD45" i="4"/>
  <c r="DE7" i="31"/>
  <c r="DD42" i="4" s="1"/>
  <c r="DC10" i="33"/>
  <c r="V45" i="4"/>
  <c r="C61" i="11" s="1"/>
  <c r="W7" i="31"/>
  <c r="V42" i="4" s="1"/>
  <c r="T9" i="33" s="1"/>
  <c r="U10" i="33"/>
  <c r="L45" i="4"/>
  <c r="M7" i="31"/>
  <c r="L42" i="4" s="1"/>
  <c r="J9" i="33" s="1"/>
  <c r="F55" i="33" s="1"/>
  <c r="K10" i="33"/>
  <c r="K43" i="4"/>
  <c r="B76" i="11" s="1"/>
  <c r="L7" i="31"/>
  <c r="K42" i="4" s="1"/>
  <c r="I9" i="33" s="1"/>
  <c r="J10" i="33"/>
  <c r="CN7" i="31"/>
  <c r="CM42" i="4" s="1"/>
  <c r="DG7" i="32"/>
  <c r="DF46" i="4" s="1"/>
  <c r="BZ49" i="4"/>
  <c r="Q49" i="4"/>
  <c r="FX10" i="34"/>
  <c r="FY49" i="4"/>
  <c r="R49" i="4"/>
  <c r="DF49" i="4"/>
  <c r="BT10" i="34"/>
  <c r="CK10" i="34"/>
  <c r="CK49" i="4"/>
  <c r="V10" i="34"/>
  <c r="BB49" i="4"/>
  <c r="Q7" i="32"/>
  <c r="P46" i="4" s="1"/>
  <c r="N9" i="34" s="1"/>
  <c r="J55" i="34" s="1"/>
  <c r="M10" i="34"/>
  <c r="FN49" i="4"/>
  <c r="DH10" i="34"/>
  <c r="DJ10" i="34"/>
  <c r="BK10" i="34"/>
  <c r="CD10" i="34"/>
  <c r="BA7" i="32"/>
  <c r="AZ46" i="4" s="1"/>
  <c r="FP7" i="32"/>
  <c r="FO46" i="4" s="1"/>
  <c r="FB7" i="32"/>
  <c r="FA46" i="4" s="1"/>
  <c r="FL7" i="32"/>
  <c r="FK46" i="4" s="1"/>
  <c r="BK7" i="32"/>
  <c r="BJ46" i="4" s="1"/>
  <c r="FU7" i="32"/>
  <c r="FT46" i="4" s="1"/>
  <c r="FM10" i="34"/>
  <c r="X7" i="32"/>
  <c r="W46" i="4" s="1"/>
  <c r="U9" i="34" s="1"/>
  <c r="Q55" i="34" s="1"/>
  <c r="BE7" i="32"/>
  <c r="BD46" i="4" s="1"/>
  <c r="AO49" i="4"/>
  <c r="BI7" i="32"/>
  <c r="BH46" i="4" s="1"/>
  <c r="BL49" i="4"/>
  <c r="FK49" i="4"/>
  <c r="FH10" i="34"/>
  <c r="AZ49" i="4"/>
  <c r="FA49" i="4"/>
  <c r="CD7" i="32"/>
  <c r="CC46" i="4" s="1"/>
  <c r="FS10" i="34"/>
  <c r="EK7" i="32"/>
  <c r="EJ46" i="4" s="1"/>
  <c r="GD49" i="4"/>
  <c r="DC7" i="32"/>
  <c r="DB46" i="4" s="1"/>
  <c r="CL7" i="32"/>
  <c r="CK46" i="4" s="1"/>
  <c r="EZ49" i="4"/>
  <c r="N49" i="4"/>
  <c r="GE10" i="34"/>
  <c r="Y10" i="34"/>
  <c r="AP10" i="34"/>
  <c r="GB7" i="32"/>
  <c r="GA46" i="4" s="1"/>
  <c r="AM7" i="32"/>
  <c r="AL46" i="4" s="1"/>
  <c r="EB7" i="32"/>
  <c r="EA46" i="4" s="1"/>
  <c r="R10" i="34"/>
  <c r="BQ49" i="4"/>
  <c r="BR7" i="32"/>
  <c r="BQ46" i="4" s="1"/>
  <c r="BV7" i="32"/>
  <c r="BU46" i="4" s="1"/>
  <c r="AD7" i="32"/>
  <c r="AC46" i="4" s="1"/>
  <c r="AA9" i="34" s="1"/>
  <c r="FG7" i="32"/>
  <c r="FF46" i="4" s="1"/>
  <c r="BZ10" i="34"/>
  <c r="BR10" i="34"/>
  <c r="CQ49" i="4"/>
  <c r="BP49" i="4"/>
  <c r="CE49" i="4"/>
  <c r="DO10" i="34"/>
  <c r="GB10" i="34"/>
  <c r="EC49" i="4"/>
  <c r="CR10" i="34"/>
  <c r="N7" i="32"/>
  <c r="M46" i="4" s="1"/>
  <c r="K9" i="34" s="1"/>
  <c r="G55" i="34" s="1"/>
  <c r="CO10" i="34"/>
  <c r="CA7" i="32"/>
  <c r="BZ46" i="4" s="1"/>
  <c r="EJ49" i="4"/>
  <c r="CY49" i="4"/>
  <c r="S7" i="32"/>
  <c r="R46" i="4" s="1"/>
  <c r="P9" i="34" s="1"/>
  <c r="L55" i="34" s="1"/>
  <c r="GA7" i="32"/>
  <c r="FZ46" i="4" s="1"/>
  <c r="BT49" i="4"/>
  <c r="FN7" i="32"/>
  <c r="FM46" i="4" s="1"/>
  <c r="CC49" i="4"/>
  <c r="DJ7" i="32"/>
  <c r="DI46" i="4" s="1"/>
  <c r="DN10" i="34"/>
  <c r="DP7" i="32"/>
  <c r="DO46" i="4" s="1"/>
  <c r="R7" i="32"/>
  <c r="Q46" i="4" s="1"/>
  <c r="O9" i="34" s="1"/>
  <c r="K55" i="34" s="1"/>
  <c r="FH49" i="4"/>
  <c r="FG10" i="34"/>
  <c r="CM7" i="32"/>
  <c r="CL46" i="4" s="1"/>
  <c r="Z49" i="4"/>
  <c r="L10" i="34"/>
  <c r="I112" i="11"/>
  <c r="G112" i="11"/>
  <c r="AA10" i="34"/>
  <c r="AE10" i="34"/>
  <c r="FA7" i="32"/>
  <c r="EZ46" i="4" s="1"/>
  <c r="AH49" i="4"/>
  <c r="D97" i="11" s="1"/>
  <c r="DM7" i="32"/>
  <c r="DL46" i="4" s="1"/>
  <c r="CS49" i="4"/>
  <c r="AD10" i="34"/>
  <c r="CP7" i="32"/>
  <c r="CO46" i="4" s="1"/>
  <c r="AA49" i="4"/>
  <c r="FJ7" i="32"/>
  <c r="FI46" i="4" s="1"/>
  <c r="AK7" i="32"/>
  <c r="AJ46" i="4" s="1"/>
  <c r="AF49" i="4"/>
  <c r="DL49" i="4"/>
  <c r="B112" i="11"/>
  <c r="GD10" i="34"/>
  <c r="EA10" i="34"/>
  <c r="AJ49" i="4"/>
  <c r="J10" i="34"/>
  <c r="FF10" i="34"/>
  <c r="FT7" i="32"/>
  <c r="FS46" i="4" s="1"/>
  <c r="DM10" i="34"/>
  <c r="L7" i="32"/>
  <c r="K46" i="4" s="1"/>
  <c r="I9" i="34" s="1"/>
  <c r="E55" i="34" s="1"/>
  <c r="AU7" i="32"/>
  <c r="AT46" i="4" s="1"/>
  <c r="FG49" i="4"/>
  <c r="AT7" i="32"/>
  <c r="AS46" i="4" s="1"/>
  <c r="AN10" i="34"/>
  <c r="AT49" i="4"/>
  <c r="E97" i="11" s="1"/>
  <c r="F112" i="11"/>
  <c r="FK7" i="32"/>
  <c r="FJ46" i="4" s="1"/>
  <c r="GG49" i="4"/>
  <c r="EP10" i="34"/>
  <c r="N10" i="34"/>
  <c r="FX7" i="32"/>
  <c r="FW46" i="4" s="1"/>
  <c r="DX10" i="34"/>
  <c r="GG10" i="34"/>
  <c r="GF10" i="34"/>
  <c r="CP49" i="4"/>
  <c r="I97" i="11" s="1"/>
  <c r="EQ49" i="4"/>
  <c r="O49" i="4"/>
  <c r="FV10" i="34"/>
  <c r="FM7" i="32"/>
  <c r="FL46" i="4" s="1"/>
  <c r="U49" i="4"/>
  <c r="FJ49" i="4"/>
  <c r="O97" i="11" s="1"/>
  <c r="AR10" i="34"/>
  <c r="GF7" i="32"/>
  <c r="GE46" i="4" s="1"/>
  <c r="DV7" i="32"/>
  <c r="DU46" i="4" s="1"/>
  <c r="DU49" i="4"/>
  <c r="DP49" i="4"/>
  <c r="DB10" i="34"/>
  <c r="CV7" i="32"/>
  <c r="CU46" i="4" s="1"/>
  <c r="BV49" i="4"/>
  <c r="X10" i="34"/>
  <c r="EB49" i="4"/>
  <c r="GC49" i="4"/>
  <c r="CT10" i="34"/>
  <c r="CY10" i="34"/>
  <c r="AY7" i="32"/>
  <c r="AX46" i="4" s="1"/>
  <c r="CN10" i="34"/>
  <c r="AW7" i="32"/>
  <c r="AV46" i="4" s="1"/>
  <c r="DZ7" i="32"/>
  <c r="DY46" i="4" s="1"/>
  <c r="Z7" i="32"/>
  <c r="Y46" i="4" s="1"/>
  <c r="W9" i="34" s="1"/>
  <c r="D112" i="11"/>
  <c r="J112" i="11"/>
  <c r="CZ49" i="4"/>
  <c r="AU10" i="34"/>
  <c r="DD7" i="32"/>
  <c r="DC46" i="4" s="1"/>
  <c r="V7" i="32"/>
  <c r="U46" i="4" s="1"/>
  <c r="S9" i="34" s="1"/>
  <c r="O55" i="34" s="1"/>
  <c r="O112" i="11"/>
  <c r="BZ7" i="32"/>
  <c r="BY46" i="4" s="1"/>
  <c r="N112" i="11"/>
  <c r="BX10" i="34"/>
  <c r="EK49" i="4"/>
  <c r="EQ7" i="32"/>
  <c r="EP46" i="4" s="1"/>
  <c r="CY7" i="32"/>
  <c r="CX46" i="4" s="1"/>
  <c r="EO10" i="34"/>
  <c r="ES49" i="4"/>
  <c r="EM10" i="34"/>
  <c r="P112" i="11"/>
  <c r="CW10" i="34"/>
  <c r="ET7" i="32"/>
  <c r="ES46" i="4" s="1"/>
  <c r="BY7" i="32"/>
  <c r="BX46" i="4" s="1"/>
  <c r="EO7" i="32"/>
  <c r="EN46" i="4" s="1"/>
  <c r="BW10" i="34"/>
  <c r="E112" i="11"/>
  <c r="FZ10" i="34"/>
  <c r="AB10" i="34"/>
  <c r="FC10" i="34"/>
  <c r="FE7" i="32"/>
  <c r="FD46" i="4" s="1"/>
  <c r="H104" i="11"/>
  <c r="J104" i="11"/>
  <c r="C112" i="11"/>
  <c r="L112" i="11"/>
  <c r="C104" i="11"/>
  <c r="M112" i="11"/>
  <c r="E104" i="11"/>
  <c r="N104" i="11"/>
  <c r="G104" i="11"/>
  <c r="I104" i="11"/>
  <c r="L104" i="11"/>
  <c r="K104" i="11"/>
  <c r="P104" i="11"/>
  <c r="D104" i="11"/>
  <c r="M104" i="11"/>
  <c r="B104" i="11"/>
  <c r="F104" i="11"/>
  <c r="O104" i="11"/>
  <c r="BF24" i="4" l="1"/>
  <c r="CF24" i="4"/>
  <c r="E4" i="44"/>
  <c r="E54" i="11"/>
  <c r="AZ19" i="26"/>
  <c r="BJ19" i="26"/>
  <c r="BO19" i="23"/>
  <c r="AU22" i="13"/>
  <c r="F22" i="7"/>
  <c r="BB19" i="7"/>
  <c r="BI22" i="13"/>
  <c r="AT19" i="23"/>
  <c r="F22" i="46"/>
  <c r="F22" i="23"/>
  <c r="BE19" i="7"/>
  <c r="AY22" i="13"/>
  <c r="BG19" i="23"/>
  <c r="BV22" i="13"/>
  <c r="AY19" i="46"/>
  <c r="AC9" i="45"/>
  <c r="J24" i="14"/>
  <c r="J25" i="14" s="1"/>
  <c r="J30" i="14"/>
  <c r="BD22" i="13"/>
  <c r="BR17" i="46"/>
  <c r="BR18" i="46"/>
  <c r="BS17" i="7"/>
  <c r="BS18" i="7"/>
  <c r="CR21" i="13"/>
  <c r="CR20" i="13"/>
  <c r="CR22" i="13" s="1"/>
  <c r="CS18" i="26"/>
  <c r="CS17" i="26"/>
  <c r="CS19" i="26" s="1"/>
  <c r="BP21" i="13"/>
  <c r="BP20" i="13"/>
  <c r="BP22" i="13" s="1"/>
  <c r="BX16" i="23"/>
  <c r="BX16" i="26"/>
  <c r="BX19" i="13"/>
  <c r="CL9" i="4"/>
  <c r="BX16" i="46"/>
  <c r="BX16" i="7"/>
  <c r="BW19" i="26"/>
  <c r="AZ19" i="46"/>
  <c r="CH18" i="46"/>
  <c r="CH17" i="46"/>
  <c r="CH19" i="46" s="1"/>
  <c r="BS18" i="23"/>
  <c r="BS17" i="23"/>
  <c r="BS19" i="23" s="1"/>
  <c r="BK17" i="46"/>
  <c r="BK18" i="46"/>
  <c r="BE19" i="26"/>
  <c r="CS18" i="7"/>
  <c r="CS17" i="7"/>
  <c r="BI19" i="46"/>
  <c r="BE20" i="13"/>
  <c r="BE21" i="13"/>
  <c r="BN17" i="7"/>
  <c r="BN18" i="7"/>
  <c r="CT16" i="23"/>
  <c r="CT16" i="26"/>
  <c r="DH9" i="4"/>
  <c r="CT16" i="46"/>
  <c r="CT16" i="7"/>
  <c r="CT19" i="13"/>
  <c r="CB19" i="23"/>
  <c r="CD16" i="23"/>
  <c r="CR9" i="4"/>
  <c r="CD16" i="7"/>
  <c r="CD19" i="13"/>
  <c r="CD16" i="26"/>
  <c r="CD16" i="46"/>
  <c r="CK9" i="4"/>
  <c r="BW16" i="46"/>
  <c r="BW16" i="7"/>
  <c r="BW19" i="13"/>
  <c r="BW16" i="23"/>
  <c r="BW16" i="26"/>
  <c r="DR9" i="4"/>
  <c r="DD16" i="46"/>
  <c r="DD16" i="26"/>
  <c r="DD19" i="13"/>
  <c r="DD16" i="7"/>
  <c r="DD16" i="23"/>
  <c r="BF17" i="7"/>
  <c r="BF18" i="7"/>
  <c r="BN18" i="23"/>
  <c r="BN17" i="23"/>
  <c r="AS19" i="46"/>
  <c r="CH20" i="13"/>
  <c r="CH21" i="13"/>
  <c r="BA19" i="23"/>
  <c r="BL18" i="26"/>
  <c r="BL17" i="26"/>
  <c r="BL19" i="26" s="1"/>
  <c r="CI18" i="23"/>
  <c r="CI17" i="23"/>
  <c r="CI19" i="23" s="1"/>
  <c r="BK20" i="13"/>
  <c r="BK21" i="13"/>
  <c r="P18" i="14"/>
  <c r="R18" i="14" s="1"/>
  <c r="U18" i="14" s="1"/>
  <c r="W18" i="14" s="1"/>
  <c r="F25" i="13"/>
  <c r="CR17" i="46"/>
  <c r="CR18" i="46"/>
  <c r="CA22" i="13"/>
  <c r="BF18" i="23"/>
  <c r="BF17" i="23"/>
  <c r="BF19" i="23" s="1"/>
  <c r="BM21" i="13"/>
  <c r="BM20" i="13"/>
  <c r="BM22" i="13" s="1"/>
  <c r="CG19" i="23"/>
  <c r="AV19" i="23"/>
  <c r="G22" i="23" s="1"/>
  <c r="BF17" i="26"/>
  <c r="BF18" i="26"/>
  <c r="BY16" i="46"/>
  <c r="CM9" i="4"/>
  <c r="BY16" i="23"/>
  <c r="BY19" i="13"/>
  <c r="BY16" i="26"/>
  <c r="BY16" i="7"/>
  <c r="BU18" i="46"/>
  <c r="BU17" i="46"/>
  <c r="BU19" i="46" s="1"/>
  <c r="BV17" i="26"/>
  <c r="BV18" i="26"/>
  <c r="BJ19" i="23"/>
  <c r="CG19" i="7"/>
  <c r="AV19" i="7"/>
  <c r="BE17" i="46"/>
  <c r="BE18" i="46"/>
  <c r="CN18" i="23"/>
  <c r="CN17" i="23"/>
  <c r="BM17" i="46"/>
  <c r="BM18" i="46"/>
  <c r="BJ19" i="7"/>
  <c r="BV19" i="46"/>
  <c r="CZ9" i="4"/>
  <c r="CL16" i="7"/>
  <c r="CL19" i="13"/>
  <c r="CL16" i="26"/>
  <c r="CL16" i="46"/>
  <c r="CL16" i="23"/>
  <c r="CI17" i="26"/>
  <c r="CI18" i="26"/>
  <c r="BO19" i="26"/>
  <c r="BQ16" i="26"/>
  <c r="BQ16" i="7"/>
  <c r="BQ16" i="23"/>
  <c r="BQ16" i="46"/>
  <c r="CE9" i="4"/>
  <c r="BQ19" i="13"/>
  <c r="CN18" i="7"/>
  <c r="CN17" i="7"/>
  <c r="CN19" i="7" s="1"/>
  <c r="BN17" i="26"/>
  <c r="BN18" i="26"/>
  <c r="BG18" i="46"/>
  <c r="BG17" i="46"/>
  <c r="BG19" i="46" s="1"/>
  <c r="BZ20" i="13"/>
  <c r="BZ21" i="13"/>
  <c r="BQ17" i="26"/>
  <c r="BQ18" i="26"/>
  <c r="BL20" i="13"/>
  <c r="BL21" i="13"/>
  <c r="BH17" i="26"/>
  <c r="BH18" i="26"/>
  <c r="CS17" i="23"/>
  <c r="CS18" i="23"/>
  <c r="CY16" i="7"/>
  <c r="CY19" i="13"/>
  <c r="DM9" i="4"/>
  <c r="CY16" i="26"/>
  <c r="CY16" i="23"/>
  <c r="CY16" i="46"/>
  <c r="BV18" i="23"/>
  <c r="BV17" i="23"/>
  <c r="BV19" i="23" s="1"/>
  <c r="BG21" i="13"/>
  <c r="BG20" i="13"/>
  <c r="BQ17" i="7"/>
  <c r="BQ18" i="7"/>
  <c r="BM17" i="23"/>
  <c r="BM18" i="23"/>
  <c r="BS17" i="26"/>
  <c r="BS18" i="26"/>
  <c r="BF19" i="46"/>
  <c r="CA18" i="23"/>
  <c r="CA17" i="23"/>
  <c r="BP18" i="46"/>
  <c r="BP17" i="46"/>
  <c r="BM17" i="7"/>
  <c r="BM18" i="7"/>
  <c r="BL17" i="23"/>
  <c r="BL18" i="23"/>
  <c r="CB16" i="46"/>
  <c r="CB16" i="23"/>
  <c r="CP9" i="4"/>
  <c r="CB19" i="13"/>
  <c r="CB16" i="7"/>
  <c r="CB16" i="26"/>
  <c r="BQ18" i="23"/>
  <c r="BQ17" i="23"/>
  <c r="BQ19" i="23" s="1"/>
  <c r="BL18" i="7"/>
  <c r="BL17" i="7"/>
  <c r="CA18" i="26"/>
  <c r="CA17" i="26"/>
  <c r="BG19" i="7"/>
  <c r="CF19" i="46"/>
  <c r="CM21" i="13"/>
  <c r="CM20" i="13"/>
  <c r="BV18" i="7"/>
  <c r="BV17" i="7"/>
  <c r="CF22" i="13"/>
  <c r="BH17" i="7"/>
  <c r="BH18" i="7"/>
  <c r="BE19" i="23"/>
  <c r="CI17" i="7"/>
  <c r="CI18" i="7"/>
  <c r="BM18" i="26"/>
  <c r="BM17" i="26"/>
  <c r="BR20" i="13"/>
  <c r="BR21" i="13"/>
  <c r="BA19" i="46"/>
  <c r="CA17" i="7"/>
  <c r="CA18" i="7"/>
  <c r="CM18" i="46"/>
  <c r="CM17" i="46"/>
  <c r="CM19" i="46" s="1"/>
  <c r="CG16" i="46"/>
  <c r="CG16" i="26"/>
  <c r="CG16" i="7"/>
  <c r="CU9" i="4"/>
  <c r="CG16" i="23"/>
  <c r="CG19" i="13"/>
  <c r="G25" i="13"/>
  <c r="BH17" i="23"/>
  <c r="BH18" i="23"/>
  <c r="BL18" i="46"/>
  <c r="BL17" i="46"/>
  <c r="BN19" i="46"/>
  <c r="BF22" i="13"/>
  <c r="BZ17" i="46"/>
  <c r="BZ18" i="46"/>
  <c r="BB19" i="26"/>
  <c r="CN18" i="26"/>
  <c r="CN17" i="26"/>
  <c r="CN19" i="26" s="1"/>
  <c r="BD19" i="46"/>
  <c r="BU20" i="13"/>
  <c r="BU21" i="13"/>
  <c r="BA19" i="26"/>
  <c r="AV19" i="26"/>
  <c r="G22" i="26" s="1"/>
  <c r="AT19" i="7"/>
  <c r="G22" i="7" s="1"/>
  <c r="CG9" i="4"/>
  <c r="BS16" i="46"/>
  <c r="BS16" i="7"/>
  <c r="BS16" i="23"/>
  <c r="BS19" i="13"/>
  <c r="BS16" i="26"/>
  <c r="I20" i="57"/>
  <c r="J20" i="57" s="1"/>
  <c r="L20" i="57"/>
  <c r="M20" i="57" s="1"/>
  <c r="F55" i="57"/>
  <c r="D68" i="57"/>
  <c r="F68" i="57" s="1"/>
  <c r="F19" i="57"/>
  <c r="D21" i="57"/>
  <c r="F21" i="57" s="1"/>
  <c r="L17" i="57"/>
  <c r="M17" i="57" s="1"/>
  <c r="I17" i="57"/>
  <c r="J17" i="57" s="1"/>
  <c r="I10" i="57"/>
  <c r="F22" i="57"/>
  <c r="L10" i="57"/>
  <c r="I56" i="57"/>
  <c r="J56" i="57" s="1"/>
  <c r="L56" i="57"/>
  <c r="M56" i="57" s="1"/>
  <c r="I18" i="57"/>
  <c r="J18" i="57" s="1"/>
  <c r="L18" i="57"/>
  <c r="M18" i="57" s="1"/>
  <c r="L23" i="57"/>
  <c r="M23" i="57" s="1"/>
  <c r="I23" i="57"/>
  <c r="J23" i="57" s="1"/>
  <c r="I142" i="57"/>
  <c r="L142" i="57"/>
  <c r="F84" i="57"/>
  <c r="D85" i="57"/>
  <c r="F85" i="57" s="1"/>
  <c r="D166" i="57"/>
  <c r="F165" i="57"/>
  <c r="BQ8" i="4"/>
  <c r="HE8" i="4"/>
  <c r="DM8" i="4"/>
  <c r="AL8" i="4"/>
  <c r="FS8" i="4"/>
  <c r="EL8" i="4"/>
  <c r="GS8" i="4"/>
  <c r="U8" i="4"/>
  <c r="FG8" i="4"/>
  <c r="GA8" i="4"/>
  <c r="G8" i="4"/>
  <c r="AP8" i="4"/>
  <c r="BY8" i="4"/>
  <c r="BD8" i="4"/>
  <c r="AG8" i="4"/>
  <c r="AZ8" i="4"/>
  <c r="HT8" i="4"/>
  <c r="DD8" i="4"/>
  <c r="B11" i="26"/>
  <c r="Z8" i="4"/>
  <c r="GQ8" i="4"/>
  <c r="DA8" i="4"/>
  <c r="GU8" i="4"/>
  <c r="AM8" i="4"/>
  <c r="ED8" i="4"/>
  <c r="GF8" i="4"/>
  <c r="EC8" i="4"/>
  <c r="CO8" i="4"/>
  <c r="HR8" i="4"/>
  <c r="BH8" i="4"/>
  <c r="GK8" i="4"/>
  <c r="IK8" i="4"/>
  <c r="AS8" i="4"/>
  <c r="FW8" i="4"/>
  <c r="HV8" i="4"/>
  <c r="ID8" i="4"/>
  <c r="HG8" i="4"/>
  <c r="AX8" i="4"/>
  <c r="CS8" i="4"/>
  <c r="FU8" i="4"/>
  <c r="DZ8" i="4"/>
  <c r="BL8" i="4"/>
  <c r="R8" i="4"/>
  <c r="DF8" i="4"/>
  <c r="GZ8" i="4"/>
  <c r="GT8" i="4"/>
  <c r="GB8" i="4"/>
  <c r="AF8" i="4"/>
  <c r="HF8" i="4"/>
  <c r="HC8" i="4"/>
  <c r="IC8" i="4"/>
  <c r="HJ8" i="4"/>
  <c r="IE8" i="4"/>
  <c r="CV8" i="4"/>
  <c r="IJ8" i="4"/>
  <c r="BE8" i="4"/>
  <c r="B11" i="23"/>
  <c r="IG8" i="4"/>
  <c r="H8" i="4"/>
  <c r="FQ8" i="4"/>
  <c r="ER8" i="4"/>
  <c r="GL8" i="4"/>
  <c r="CY8" i="4"/>
  <c r="HD8" i="4"/>
  <c r="N8" i="4"/>
  <c r="F8" i="4"/>
  <c r="DL8" i="4"/>
  <c r="EY8" i="4"/>
  <c r="DG8" i="4"/>
  <c r="DS8" i="4"/>
  <c r="FA8" i="4"/>
  <c r="W8" i="4"/>
  <c r="GW8" i="4"/>
  <c r="DI8" i="4"/>
  <c r="EU8" i="4"/>
  <c r="BN8" i="4"/>
  <c r="HU8" i="4"/>
  <c r="DQ8" i="4"/>
  <c r="O8" i="4"/>
  <c r="EA8" i="4"/>
  <c r="GH8" i="4"/>
  <c r="HQ8" i="4"/>
  <c r="AE8" i="4"/>
  <c r="EF8" i="4"/>
  <c r="FX8" i="4"/>
  <c r="HM8" i="4"/>
  <c r="DX8" i="4"/>
  <c r="HH8" i="4"/>
  <c r="AY8" i="4"/>
  <c r="AJ8" i="4"/>
  <c r="BI8" i="4"/>
  <c r="EQ8" i="4"/>
  <c r="HB8" i="4"/>
  <c r="Q8" i="4"/>
  <c r="HK8" i="4"/>
  <c r="FL8" i="4"/>
  <c r="HW8" i="4"/>
  <c r="CZ8" i="4"/>
  <c r="IO8" i="4"/>
  <c r="HY8" i="4"/>
  <c r="IB8" i="4"/>
  <c r="EZ8" i="4"/>
  <c r="DB8" i="4"/>
  <c r="CC8" i="4"/>
  <c r="BV8" i="4"/>
  <c r="GI8" i="4"/>
  <c r="BF8" i="4"/>
  <c r="DV8" i="4"/>
  <c r="AR8" i="4"/>
  <c r="CK8" i="4"/>
  <c r="GX8" i="4"/>
  <c r="HP8" i="4"/>
  <c r="ET8" i="4"/>
  <c r="B11" i="7"/>
  <c r="HZ8" i="4"/>
  <c r="CI8" i="4"/>
  <c r="BP8" i="4"/>
  <c r="FV8" i="4"/>
  <c r="DR8" i="4"/>
  <c r="GG8" i="4"/>
  <c r="CQ8" i="4"/>
  <c r="DO8" i="4"/>
  <c r="HS8" i="4"/>
  <c r="AU8" i="4"/>
  <c r="GM8" i="4"/>
  <c r="EG8" i="4"/>
  <c r="EH8" i="4"/>
  <c r="IL8" i="4"/>
  <c r="FR8" i="4"/>
  <c r="DY8" i="4"/>
  <c r="FC8" i="4"/>
  <c r="BG8" i="4"/>
  <c r="DH8" i="4"/>
  <c r="EB8" i="4"/>
  <c r="BJ8" i="4"/>
  <c r="EJ8" i="4"/>
  <c r="T8" i="4"/>
  <c r="AB8" i="4"/>
  <c r="K8" i="4"/>
  <c r="HA8" i="4"/>
  <c r="EO8" i="4"/>
  <c r="AI8" i="4"/>
  <c r="CB8" i="4"/>
  <c r="CX8" i="4"/>
  <c r="DP8" i="4"/>
  <c r="BK8" i="4"/>
  <c r="BA8" i="4"/>
  <c r="DC8" i="4"/>
  <c r="AH8" i="4"/>
  <c r="GV8" i="4"/>
  <c r="AV8" i="4"/>
  <c r="CD8" i="4"/>
  <c r="J8" i="4"/>
  <c r="FT8" i="4"/>
  <c r="EX8" i="4"/>
  <c r="FK8" i="4"/>
  <c r="BX8" i="4"/>
  <c r="DE8" i="4"/>
  <c r="CP8" i="4"/>
  <c r="CT8" i="4"/>
  <c r="AT8" i="4"/>
  <c r="EK8" i="4"/>
  <c r="X8" i="4"/>
  <c r="DW8" i="4"/>
  <c r="AO8" i="4"/>
  <c r="FH8" i="4"/>
  <c r="EV8" i="4"/>
  <c r="FD8" i="4"/>
  <c r="AA8" i="4"/>
  <c r="BB8" i="4"/>
  <c r="EN8" i="4"/>
  <c r="CE8" i="4"/>
  <c r="FN8" i="4"/>
  <c r="BR8" i="4"/>
  <c r="CW8" i="4"/>
  <c r="EM8" i="4"/>
  <c r="BM8" i="4"/>
  <c r="DJ8" i="4"/>
  <c r="CR8" i="4"/>
  <c r="I8" i="4"/>
  <c r="EP8" i="4"/>
  <c r="B11" i="13"/>
  <c r="S8" i="4"/>
  <c r="GR8" i="4"/>
  <c r="FY8" i="4"/>
  <c r="BC8" i="4"/>
  <c r="IM8" i="4"/>
  <c r="BW8" i="4"/>
  <c r="CF8" i="4"/>
  <c r="DT8" i="4"/>
  <c r="BZ8" i="4"/>
  <c r="V8" i="4"/>
  <c r="M8" i="4"/>
  <c r="FJ8" i="4"/>
  <c r="II8" i="4"/>
  <c r="DU8" i="4"/>
  <c r="FP8" i="4"/>
  <c r="IF8" i="4"/>
  <c r="EW8" i="4"/>
  <c r="FO8" i="4"/>
  <c r="EI8" i="4"/>
  <c r="HI8" i="4"/>
  <c r="GC8" i="4"/>
  <c r="GJ8" i="4"/>
  <c r="IH8" i="4"/>
  <c r="IA8" i="4"/>
  <c r="FF8" i="4"/>
  <c r="AC8" i="4"/>
  <c r="GD8" i="4"/>
  <c r="DN8" i="4"/>
  <c r="Y8" i="4"/>
  <c r="FB8" i="4"/>
  <c r="CH8" i="4"/>
  <c r="EE8" i="4"/>
  <c r="BO8" i="4"/>
  <c r="CM8" i="4"/>
  <c r="CJ8" i="4"/>
  <c r="FE8" i="4"/>
  <c r="BU8" i="4"/>
  <c r="GN8" i="4"/>
  <c r="AK8" i="4"/>
  <c r="AW8" i="4"/>
  <c r="AD8" i="4"/>
  <c r="GY8" i="4"/>
  <c r="HL8" i="4"/>
  <c r="CL8" i="4"/>
  <c r="AN8" i="4"/>
  <c r="L8" i="4"/>
  <c r="ES8" i="4"/>
  <c r="IN8" i="4"/>
  <c r="HO8" i="4"/>
  <c r="AQ8" i="4"/>
  <c r="GP8" i="4"/>
  <c r="CN8" i="4"/>
  <c r="E8" i="4"/>
  <c r="FZ8" i="4"/>
  <c r="P8" i="4"/>
  <c r="GE8" i="4"/>
  <c r="BT8" i="4"/>
  <c r="CA8" i="4"/>
  <c r="FM8" i="4"/>
  <c r="HN8" i="4"/>
  <c r="GO8" i="4"/>
  <c r="B11" i="46"/>
  <c r="DK8" i="4"/>
  <c r="FI8" i="4"/>
  <c r="BS8" i="4"/>
  <c r="HX8" i="4"/>
  <c r="CG8" i="4"/>
  <c r="CU8" i="4"/>
  <c r="D58" i="2"/>
  <c r="D60" i="2" s="1"/>
  <c r="C105" i="2"/>
  <c r="C108" i="2" s="1"/>
  <c r="C111" i="2" s="1"/>
  <c r="D52" i="2"/>
  <c r="P55" i="34"/>
  <c r="V68" i="11"/>
  <c r="E17" i="33"/>
  <c r="E50" i="33" s="1"/>
  <c r="P55" i="33"/>
  <c r="Q22" i="33"/>
  <c r="E55" i="33"/>
  <c r="P22" i="33"/>
  <c r="D17" i="33"/>
  <c r="D17" i="34"/>
  <c r="D50" i="34" s="1"/>
  <c r="Q22" i="34"/>
  <c r="P22" i="34"/>
  <c r="V104" i="11"/>
  <c r="BI24" i="4" l="1"/>
  <c r="CI24" i="4"/>
  <c r="CM22" i="13"/>
  <c r="BQ19" i="7"/>
  <c r="BL19" i="46"/>
  <c r="CA19" i="26"/>
  <c r="BN19" i="23"/>
  <c r="BU22" i="13"/>
  <c r="BM19" i="26"/>
  <c r="BL19" i="7"/>
  <c r="CA19" i="23"/>
  <c r="BN19" i="26"/>
  <c r="CS19" i="7"/>
  <c r="K30" i="14"/>
  <c r="K24" i="14"/>
  <c r="K25" i="14" s="1"/>
  <c r="AD32" i="46"/>
  <c r="AD9" i="45"/>
  <c r="AG26" i="4"/>
  <c r="C56" i="11" s="1"/>
  <c r="C53" i="11" s="1"/>
  <c r="AD9" i="34"/>
  <c r="AD9" i="33"/>
  <c r="BX17" i="23"/>
  <c r="BX18" i="23"/>
  <c r="BH19" i="23"/>
  <c r="H22" i="23" s="1"/>
  <c r="BQ20" i="13"/>
  <c r="BQ21" i="13"/>
  <c r="BV19" i="26"/>
  <c r="BN19" i="7"/>
  <c r="BZ17" i="7"/>
  <c r="BZ18" i="7"/>
  <c r="CH18" i="26"/>
  <c r="CH17" i="26"/>
  <c r="BE19" i="46"/>
  <c r="H22" i="46" s="1"/>
  <c r="BZ17" i="26"/>
  <c r="BZ18" i="26"/>
  <c r="CR19" i="46"/>
  <c r="BF19" i="7"/>
  <c r="BY18" i="23"/>
  <c r="BY17" i="23"/>
  <c r="BY19" i="23" s="1"/>
  <c r="CG17" i="46"/>
  <c r="CG18" i="46"/>
  <c r="CI19" i="7"/>
  <c r="BZ22" i="13"/>
  <c r="BY21" i="13"/>
  <c r="BY20" i="13"/>
  <c r="BY22" i="13" s="1"/>
  <c r="DE17" i="23"/>
  <c r="DE18" i="23"/>
  <c r="CP16" i="7"/>
  <c r="CP16" i="23"/>
  <c r="CP16" i="46"/>
  <c r="CP16" i="26"/>
  <c r="CP19" i="13"/>
  <c r="DD9" i="4"/>
  <c r="CY18" i="46"/>
  <c r="CY17" i="46"/>
  <c r="CI19" i="26"/>
  <c r="BZ18" i="23"/>
  <c r="BZ17" i="23"/>
  <c r="DE17" i="7"/>
  <c r="DE18" i="7"/>
  <c r="CE18" i="23"/>
  <c r="CE17" i="23"/>
  <c r="CE19" i="23" s="1"/>
  <c r="CC17" i="26"/>
  <c r="CC18" i="26"/>
  <c r="BS19" i="26"/>
  <c r="CZ18" i="23"/>
  <c r="CZ17" i="23"/>
  <c r="CM17" i="23"/>
  <c r="CM18" i="23"/>
  <c r="CY9" i="4"/>
  <c r="CK16" i="23"/>
  <c r="CK16" i="46"/>
  <c r="CK16" i="26"/>
  <c r="CK19" i="13"/>
  <c r="CK16" i="7"/>
  <c r="DD20" i="13"/>
  <c r="DD21" i="13"/>
  <c r="BT17" i="26"/>
  <c r="BT18" i="26"/>
  <c r="BZ19" i="46"/>
  <c r="BH19" i="7"/>
  <c r="CC17" i="7"/>
  <c r="CC19" i="7" s="1"/>
  <c r="CC18" i="7"/>
  <c r="CZ17" i="26"/>
  <c r="CZ18" i="26"/>
  <c r="CL17" i="46"/>
  <c r="CL18" i="46"/>
  <c r="BY18" i="46"/>
  <c r="BY17" i="46"/>
  <c r="BK22" i="13"/>
  <c r="DE18" i="26"/>
  <c r="DE17" i="26"/>
  <c r="CT20" i="13"/>
  <c r="CT21" i="13"/>
  <c r="BK19" i="46"/>
  <c r="BS20" i="13"/>
  <c r="BS21" i="13"/>
  <c r="CA19" i="7"/>
  <c r="CB20" i="13"/>
  <c r="CB21" i="13"/>
  <c r="BM19" i="23"/>
  <c r="DK16" i="26"/>
  <c r="DK16" i="7"/>
  <c r="DK16" i="46"/>
  <c r="DK19" i="13"/>
  <c r="DY9" i="4"/>
  <c r="DK16" i="23"/>
  <c r="CM18" i="26"/>
  <c r="CM17" i="26"/>
  <c r="CM19" i="26" s="1"/>
  <c r="DD17" i="46"/>
  <c r="DD18" i="46"/>
  <c r="CU17" i="7"/>
  <c r="CU18" i="7"/>
  <c r="BT18" i="23"/>
  <c r="BT17" i="23"/>
  <c r="BV19" i="7"/>
  <c r="CN16" i="46"/>
  <c r="CN16" i="7"/>
  <c r="CN16" i="23"/>
  <c r="CN19" i="13"/>
  <c r="CN16" i="26"/>
  <c r="DB9" i="4"/>
  <c r="CY21" i="13"/>
  <c r="CY20" i="13"/>
  <c r="CL20" i="13"/>
  <c r="CL21" i="13"/>
  <c r="BF19" i="26"/>
  <c r="DP16" i="23"/>
  <c r="ED9" i="4"/>
  <c r="DP16" i="46"/>
  <c r="DP19" i="13"/>
  <c r="DP16" i="7"/>
  <c r="DP16" i="26"/>
  <c r="CT17" i="46"/>
  <c r="CT18" i="46"/>
  <c r="BX18" i="7"/>
  <c r="BX17" i="7"/>
  <c r="CC18" i="23"/>
  <c r="CC17" i="23"/>
  <c r="BL19" i="23"/>
  <c r="BR19" i="46"/>
  <c r="BW17" i="46"/>
  <c r="BW18" i="46"/>
  <c r="CG21" i="13"/>
  <c r="CG20" i="13"/>
  <c r="BM19" i="7"/>
  <c r="BQ17" i="46"/>
  <c r="BQ19" i="46" s="1"/>
  <c r="BQ18" i="46"/>
  <c r="BM19" i="46"/>
  <c r="G22" i="46"/>
  <c r="CI16" i="26"/>
  <c r="CW9" i="4"/>
  <c r="CI16" i="46"/>
  <c r="CI19" i="13"/>
  <c r="CI16" i="23"/>
  <c r="CI16" i="7"/>
  <c r="BX17" i="46"/>
  <c r="BX18" i="46"/>
  <c r="BX18" i="26"/>
  <c r="BX17" i="26"/>
  <c r="BX19" i="26" s="1"/>
  <c r="CU18" i="26"/>
  <c r="CU17" i="26"/>
  <c r="CU19" i="26" s="1"/>
  <c r="CH17" i="23"/>
  <c r="CH19" i="23" s="1"/>
  <c r="CH18" i="23"/>
  <c r="BP19" i="46"/>
  <c r="BG22" i="13"/>
  <c r="BL22" i="13"/>
  <c r="BR17" i="23"/>
  <c r="BR19" i="23" s="1"/>
  <c r="BR18" i="23"/>
  <c r="CN19" i="23"/>
  <c r="CD17" i="46"/>
  <c r="CD18" i="46"/>
  <c r="BE22" i="13"/>
  <c r="CX9" i="4"/>
  <c r="CJ19" i="13"/>
  <c r="CJ16" i="46"/>
  <c r="CJ16" i="23"/>
  <c r="CJ16" i="7"/>
  <c r="CJ16" i="26"/>
  <c r="CZ17" i="7"/>
  <c r="CZ18" i="7"/>
  <c r="DF19" i="13"/>
  <c r="DF16" i="7"/>
  <c r="DF16" i="46"/>
  <c r="DF16" i="26"/>
  <c r="DF16" i="23"/>
  <c r="DT9" i="4"/>
  <c r="BS19" i="7"/>
  <c r="CC16" i="7"/>
  <c r="CC19" i="13"/>
  <c r="CQ9" i="4"/>
  <c r="CC16" i="46"/>
  <c r="CC16" i="23"/>
  <c r="CC16" i="26"/>
  <c r="CH22" i="13"/>
  <c r="DG9" i="4"/>
  <c r="CS16" i="46"/>
  <c r="CS16" i="23"/>
  <c r="CS16" i="26"/>
  <c r="CS19" i="13"/>
  <c r="CS16" i="7"/>
  <c r="BR18" i="7"/>
  <c r="BR17" i="7"/>
  <c r="BR19" i="7" s="1"/>
  <c r="CE18" i="26"/>
  <c r="CE17" i="26"/>
  <c r="CE19" i="26" s="1"/>
  <c r="BX21" i="13"/>
  <c r="BX20" i="13"/>
  <c r="CM18" i="7"/>
  <c r="CM17" i="7"/>
  <c r="CM19" i="7" s="1"/>
  <c r="BS17" i="46"/>
  <c r="BS19" i="46" s="1"/>
  <c r="BS18" i="46"/>
  <c r="CS9" i="4"/>
  <c r="CE16" i="46"/>
  <c r="CE16" i="26"/>
  <c r="CE16" i="7"/>
  <c r="CE19" i="13"/>
  <c r="CE16" i="23"/>
  <c r="CS19" i="23"/>
  <c r="CU18" i="23"/>
  <c r="CU17" i="23"/>
  <c r="H25" i="13"/>
  <c r="BQ19" i="26"/>
  <c r="BR17" i="26"/>
  <c r="BR18" i="26"/>
  <c r="CD20" i="13"/>
  <c r="CD21" i="13"/>
  <c r="BY17" i="26"/>
  <c r="BY19" i="26" s="1"/>
  <c r="BY18" i="26"/>
  <c r="BT17" i="7"/>
  <c r="BT18" i="7"/>
  <c r="BR22" i="13"/>
  <c r="CB18" i="46"/>
  <c r="CB17" i="46"/>
  <c r="DL9" i="4"/>
  <c r="CX16" i="46"/>
  <c r="CX16" i="23"/>
  <c r="CX16" i="26"/>
  <c r="CX16" i="7"/>
  <c r="CX19" i="13"/>
  <c r="BW20" i="13"/>
  <c r="BW21" i="13"/>
  <c r="BH19" i="26"/>
  <c r="BY18" i="7"/>
  <c r="BY17" i="7"/>
  <c r="CH18" i="7"/>
  <c r="CH17" i="7"/>
  <c r="CH19" i="7" s="1"/>
  <c r="CE18" i="7"/>
  <c r="CE17" i="7"/>
  <c r="GN4" i="33"/>
  <c r="GN4" i="45"/>
  <c r="GP61" i="4"/>
  <c r="GN4" i="34"/>
  <c r="GN14" i="7"/>
  <c r="GN4" i="25"/>
  <c r="GN15" i="13"/>
  <c r="GN4" i="8"/>
  <c r="GN14" i="26"/>
  <c r="GN4" i="24"/>
  <c r="GN4" i="27"/>
  <c r="GN14" i="46"/>
  <c r="GN14" i="23"/>
  <c r="Y14" i="46"/>
  <c r="Y4" i="8"/>
  <c r="Y14" i="23"/>
  <c r="Y15" i="13"/>
  <c r="Y4" i="34"/>
  <c r="Y4" i="24"/>
  <c r="Y14" i="7"/>
  <c r="Y4" i="27"/>
  <c r="Y4" i="25"/>
  <c r="Y14" i="26"/>
  <c r="Y4" i="45"/>
  <c r="AA61" i="4"/>
  <c r="Y4" i="33"/>
  <c r="AW4" i="34"/>
  <c r="AW14" i="26"/>
  <c r="AW4" i="45"/>
  <c r="AW14" i="46"/>
  <c r="AW15" i="13"/>
  <c r="AW4" i="33"/>
  <c r="AW4" i="27"/>
  <c r="AW4" i="24"/>
  <c r="AW4" i="25"/>
  <c r="AY61" i="4"/>
  <c r="AW14" i="23"/>
  <c r="AW14" i="7"/>
  <c r="AW4" i="8"/>
  <c r="HX61" i="4"/>
  <c r="HV4" i="27"/>
  <c r="HV4" i="34"/>
  <c r="HV4" i="24"/>
  <c r="HV4" i="8"/>
  <c r="HV4" i="25"/>
  <c r="HV4" i="33"/>
  <c r="HV14" i="23"/>
  <c r="HV14" i="7"/>
  <c r="HV14" i="26"/>
  <c r="HV4" i="45"/>
  <c r="HV14" i="46"/>
  <c r="HV15" i="13"/>
  <c r="AO14" i="46"/>
  <c r="AO15" i="13"/>
  <c r="AO14" i="7"/>
  <c r="AO4" i="24"/>
  <c r="AO4" i="27"/>
  <c r="AO4" i="33"/>
  <c r="AO4" i="34"/>
  <c r="AQ61" i="4"/>
  <c r="AO4" i="45"/>
  <c r="AO4" i="8"/>
  <c r="AO14" i="23"/>
  <c r="AO14" i="26"/>
  <c r="AO4" i="25"/>
  <c r="CK14" i="23"/>
  <c r="CK14" i="7"/>
  <c r="CK4" i="34"/>
  <c r="CK4" i="8"/>
  <c r="CM61" i="4"/>
  <c r="CK14" i="46"/>
  <c r="CK14" i="26"/>
  <c r="CK4" i="24"/>
  <c r="CK15" i="13"/>
  <c r="CK4" i="33"/>
  <c r="CK4" i="25"/>
  <c r="CK4" i="45"/>
  <c r="CK4" i="27"/>
  <c r="FO61" i="4"/>
  <c r="FM4" i="45"/>
  <c r="FM4" i="24"/>
  <c r="FM14" i="23"/>
  <c r="FM15" i="13"/>
  <c r="FM14" i="26"/>
  <c r="FM14" i="46"/>
  <c r="FM4" i="34"/>
  <c r="FM4" i="8"/>
  <c r="FM4" i="27"/>
  <c r="FM14" i="7"/>
  <c r="FM4" i="33"/>
  <c r="FM4" i="25"/>
  <c r="GP15" i="13"/>
  <c r="GP4" i="45"/>
  <c r="GP4" i="34"/>
  <c r="GP4" i="33"/>
  <c r="GP4" i="25"/>
  <c r="GP4" i="8"/>
  <c r="GP4" i="27"/>
  <c r="GP14" i="46"/>
  <c r="GP14" i="23"/>
  <c r="GP4" i="24"/>
  <c r="GP14" i="26"/>
  <c r="GR61" i="4"/>
  <c r="GP14" i="7"/>
  <c r="FB14" i="46"/>
  <c r="FB4" i="25"/>
  <c r="FB4" i="33"/>
  <c r="FB4" i="27"/>
  <c r="FB4" i="8"/>
  <c r="FB14" i="23"/>
  <c r="FB14" i="26"/>
  <c r="FD61" i="4"/>
  <c r="FB14" i="7"/>
  <c r="FB4" i="34"/>
  <c r="FB4" i="45"/>
  <c r="FB15" i="13"/>
  <c r="FB4" i="24"/>
  <c r="CB4" i="45"/>
  <c r="CB14" i="23"/>
  <c r="CB4" i="34"/>
  <c r="CB4" i="24"/>
  <c r="CB4" i="27"/>
  <c r="CB4" i="8"/>
  <c r="CB15" i="13"/>
  <c r="CB4" i="25"/>
  <c r="CB14" i="26"/>
  <c r="L33" i="4"/>
  <c r="L64" i="4"/>
  <c r="L66" i="4" s="1"/>
  <c r="CD61" i="4"/>
  <c r="CB14" i="46"/>
  <c r="CB4" i="33"/>
  <c r="CB14" i="7"/>
  <c r="EH14" i="7"/>
  <c r="EH4" i="45"/>
  <c r="EJ61" i="4"/>
  <c r="EH4" i="24"/>
  <c r="EH4" i="34"/>
  <c r="EH4" i="25"/>
  <c r="EH14" i="26"/>
  <c r="EH4" i="8"/>
  <c r="EH14" i="23"/>
  <c r="EH14" i="46"/>
  <c r="EH4" i="33"/>
  <c r="EH15" i="13"/>
  <c r="EH4" i="27"/>
  <c r="GE4" i="27"/>
  <c r="GE4" i="45"/>
  <c r="GE4" i="33"/>
  <c r="GG61" i="4"/>
  <c r="GE14" i="26"/>
  <c r="GE14" i="7"/>
  <c r="GE15" i="13"/>
  <c r="GE4" i="25"/>
  <c r="GE14" i="23"/>
  <c r="GE4" i="34"/>
  <c r="GE4" i="24"/>
  <c r="GE4" i="8"/>
  <c r="GE14" i="46"/>
  <c r="CA14" i="23"/>
  <c r="CA14" i="46"/>
  <c r="CA4" i="24"/>
  <c r="CA4" i="45"/>
  <c r="CA15" i="13"/>
  <c r="CC61" i="4"/>
  <c r="CA4" i="27"/>
  <c r="CA4" i="33"/>
  <c r="CA14" i="7"/>
  <c r="CA4" i="34"/>
  <c r="CA4" i="25"/>
  <c r="CA14" i="26"/>
  <c r="CA4" i="8"/>
  <c r="HF14" i="26"/>
  <c r="HF4" i="34"/>
  <c r="HF14" i="46"/>
  <c r="HH61" i="4"/>
  <c r="HF4" i="24"/>
  <c r="HF4" i="33"/>
  <c r="HF14" i="7"/>
  <c r="HF14" i="23"/>
  <c r="HF15" i="13"/>
  <c r="HF4" i="8"/>
  <c r="HF4" i="27"/>
  <c r="HF4" i="45"/>
  <c r="HF4" i="25"/>
  <c r="U14" i="26"/>
  <c r="U4" i="33"/>
  <c r="U4" i="34"/>
  <c r="W61" i="4"/>
  <c r="U4" i="8"/>
  <c r="U14" i="7"/>
  <c r="U4" i="45"/>
  <c r="U4" i="25"/>
  <c r="U4" i="24"/>
  <c r="U4" i="27"/>
  <c r="U14" i="46"/>
  <c r="U15" i="13"/>
  <c r="U14" i="23"/>
  <c r="W29" i="4"/>
  <c r="BC4" i="45"/>
  <c r="BC4" i="24"/>
  <c r="BC14" i="7"/>
  <c r="BC14" i="23"/>
  <c r="BC15" i="13"/>
  <c r="BC14" i="26"/>
  <c r="BC4" i="33"/>
  <c r="BC4" i="27"/>
  <c r="BE61" i="4"/>
  <c r="BC4" i="8"/>
  <c r="BC4" i="25"/>
  <c r="BC4" i="34"/>
  <c r="BC14" i="46"/>
  <c r="FS4" i="25"/>
  <c r="FS4" i="8"/>
  <c r="FS4" i="27"/>
  <c r="FS14" i="23"/>
  <c r="FS14" i="46"/>
  <c r="FS4" i="33"/>
  <c r="FS4" i="45"/>
  <c r="FS14" i="7"/>
  <c r="FS14" i="26"/>
  <c r="FS15" i="13"/>
  <c r="FU61" i="4"/>
  <c r="FS4" i="24"/>
  <c r="FS4" i="34"/>
  <c r="AK4" i="45"/>
  <c r="AK4" i="8"/>
  <c r="AK14" i="46"/>
  <c r="AK4" i="27"/>
  <c r="AM61" i="4"/>
  <c r="AK14" i="23"/>
  <c r="AK14" i="7"/>
  <c r="AK4" i="34"/>
  <c r="AK4" i="33"/>
  <c r="AK15" i="13"/>
  <c r="AK14" i="26"/>
  <c r="AK4" i="25"/>
  <c r="AK4" i="24"/>
  <c r="S4" i="34"/>
  <c r="S14" i="26"/>
  <c r="Y8" i="1"/>
  <c r="Y9" i="1" s="1"/>
  <c r="S15" i="13"/>
  <c r="S14" i="7"/>
  <c r="U29" i="4"/>
  <c r="N26" i="20"/>
  <c r="N28" i="20" s="1"/>
  <c r="S4" i="24"/>
  <c r="S4" i="25"/>
  <c r="S4" i="33"/>
  <c r="S4" i="27"/>
  <c r="S4" i="8"/>
  <c r="U61" i="4"/>
  <c r="S14" i="46"/>
  <c r="S14" i="23"/>
  <c r="S4" i="45"/>
  <c r="BS61" i="4"/>
  <c r="BQ4" i="45"/>
  <c r="BQ4" i="8"/>
  <c r="BQ14" i="46"/>
  <c r="BQ14" i="23"/>
  <c r="BQ14" i="26"/>
  <c r="BQ4" i="27"/>
  <c r="BQ4" i="34"/>
  <c r="BQ15" i="13"/>
  <c r="BQ4" i="24"/>
  <c r="BQ4" i="25"/>
  <c r="BQ14" i="7"/>
  <c r="BQ4" i="33"/>
  <c r="HM4" i="34"/>
  <c r="HM4" i="33"/>
  <c r="HM14" i="7"/>
  <c r="HM14" i="46"/>
  <c r="HM4" i="24"/>
  <c r="HM4" i="8"/>
  <c r="HM15" i="13"/>
  <c r="HO61" i="4"/>
  <c r="HM14" i="23"/>
  <c r="HM4" i="25"/>
  <c r="HM14" i="26"/>
  <c r="HM4" i="45"/>
  <c r="HM4" i="27"/>
  <c r="BM14" i="23"/>
  <c r="BM4" i="24"/>
  <c r="BM4" i="27"/>
  <c r="BM4" i="34"/>
  <c r="BM14" i="26"/>
  <c r="BO61" i="4"/>
  <c r="BM14" i="46"/>
  <c r="BM15" i="13"/>
  <c r="BM4" i="25"/>
  <c r="BM4" i="33"/>
  <c r="BM14" i="7"/>
  <c r="BM4" i="45"/>
  <c r="BM4" i="8"/>
  <c r="EU15" i="13"/>
  <c r="EU4" i="34"/>
  <c r="EU14" i="23"/>
  <c r="EU14" i="46"/>
  <c r="EU14" i="7"/>
  <c r="EU4" i="24"/>
  <c r="EU4" i="33"/>
  <c r="EU4" i="8"/>
  <c r="EU4" i="25"/>
  <c r="EW61" i="4"/>
  <c r="EU4" i="27"/>
  <c r="EU4" i="45"/>
  <c r="EU14" i="26"/>
  <c r="W8" i="1"/>
  <c r="W9" i="1" s="1"/>
  <c r="S29" i="4"/>
  <c r="Q14" i="7"/>
  <c r="L26" i="20"/>
  <c r="L28" i="20" s="1"/>
  <c r="Q15" i="13"/>
  <c r="Q14" i="23"/>
  <c r="Q4" i="25"/>
  <c r="Q4" i="45"/>
  <c r="Q4" i="33"/>
  <c r="Q4" i="8"/>
  <c r="Q14" i="26"/>
  <c r="Q4" i="34"/>
  <c r="S61" i="4"/>
  <c r="Q4" i="24"/>
  <c r="Q4" i="27"/>
  <c r="ET4" i="45"/>
  <c r="ET14" i="23"/>
  <c r="ET15" i="13"/>
  <c r="ET14" i="7"/>
  <c r="ET14" i="26"/>
  <c r="EV61" i="4"/>
  <c r="ET4" i="33"/>
  <c r="ET4" i="24"/>
  <c r="ET4" i="34"/>
  <c r="ET4" i="25"/>
  <c r="ET14" i="46"/>
  <c r="ET4" i="8"/>
  <c r="ET4" i="27"/>
  <c r="AT4" i="27"/>
  <c r="AT14" i="23"/>
  <c r="AT4" i="8"/>
  <c r="AT14" i="46"/>
  <c r="AV61" i="4"/>
  <c r="AT14" i="7"/>
  <c r="AT15" i="13"/>
  <c r="AT4" i="25"/>
  <c r="AT4" i="45"/>
  <c r="AT4" i="34"/>
  <c r="AT14" i="26"/>
  <c r="AT4" i="33"/>
  <c r="AT4" i="24"/>
  <c r="BH14" i="26"/>
  <c r="BH4" i="24"/>
  <c r="BH4" i="33"/>
  <c r="BH14" i="23"/>
  <c r="BH4" i="8"/>
  <c r="BH14" i="7"/>
  <c r="BH4" i="45"/>
  <c r="BH4" i="25"/>
  <c r="BH4" i="27"/>
  <c r="BH4" i="34"/>
  <c r="BH14" i="46"/>
  <c r="BJ61" i="4"/>
  <c r="BH15" i="13"/>
  <c r="DP14" i="23"/>
  <c r="DP14" i="46"/>
  <c r="DP4" i="34"/>
  <c r="DP4" i="25"/>
  <c r="DP4" i="45"/>
  <c r="DP15" i="13"/>
  <c r="DP4" i="27"/>
  <c r="DP14" i="7"/>
  <c r="DP4" i="33"/>
  <c r="DP14" i="26"/>
  <c r="DP4" i="8"/>
  <c r="DR61" i="4"/>
  <c r="DP4" i="24"/>
  <c r="CZ4" i="8"/>
  <c r="CZ14" i="46"/>
  <c r="CZ14" i="7"/>
  <c r="CZ4" i="45"/>
  <c r="N64" i="4"/>
  <c r="N66" i="4" s="1"/>
  <c r="CZ15" i="13"/>
  <c r="CZ4" i="25"/>
  <c r="CZ14" i="23"/>
  <c r="CZ4" i="34"/>
  <c r="CZ4" i="33"/>
  <c r="CZ14" i="26"/>
  <c r="CZ4" i="27"/>
  <c r="CZ4" i="24"/>
  <c r="N33" i="4"/>
  <c r="DB61" i="4"/>
  <c r="DV4" i="33"/>
  <c r="DV4" i="27"/>
  <c r="DV4" i="8"/>
  <c r="DV14" i="23"/>
  <c r="DV4" i="25"/>
  <c r="DV15" i="13"/>
  <c r="DV14" i="26"/>
  <c r="DV4" i="24"/>
  <c r="DV4" i="45"/>
  <c r="DV4" i="34"/>
  <c r="DV14" i="7"/>
  <c r="DV14" i="46"/>
  <c r="DX61" i="4"/>
  <c r="EY14" i="46"/>
  <c r="EY4" i="8"/>
  <c r="EY15" i="13"/>
  <c r="EY4" i="25"/>
  <c r="EY4" i="45"/>
  <c r="FA61" i="4"/>
  <c r="EY4" i="27"/>
  <c r="EY4" i="24"/>
  <c r="EY14" i="7"/>
  <c r="EY14" i="23"/>
  <c r="EY4" i="34"/>
  <c r="EY14" i="26"/>
  <c r="EY4" i="33"/>
  <c r="IH14" i="46"/>
  <c r="IH14" i="26"/>
  <c r="IH4" i="24"/>
  <c r="IH14" i="23"/>
  <c r="IH14" i="7"/>
  <c r="IH4" i="25"/>
  <c r="IH4" i="33"/>
  <c r="IH15" i="13"/>
  <c r="IJ61" i="4"/>
  <c r="IH4" i="45"/>
  <c r="IH4" i="27"/>
  <c r="IH4" i="8"/>
  <c r="IH4" i="34"/>
  <c r="CH14" i="26"/>
  <c r="CH4" i="45"/>
  <c r="CH4" i="34"/>
  <c r="CH4" i="24"/>
  <c r="CH4" i="25"/>
  <c r="CH4" i="33"/>
  <c r="CH15" i="13"/>
  <c r="CH14" i="23"/>
  <c r="CJ61" i="4"/>
  <c r="CH14" i="7"/>
  <c r="CH4" i="27"/>
  <c r="CH14" i="46"/>
  <c r="CH4" i="8"/>
  <c r="R4" i="33"/>
  <c r="R14" i="26"/>
  <c r="R14" i="7"/>
  <c r="T29" i="4"/>
  <c r="R4" i="27"/>
  <c r="X8" i="1"/>
  <c r="X9" i="1" s="1"/>
  <c r="R4" i="34"/>
  <c r="R4" i="25"/>
  <c r="R4" i="24"/>
  <c r="M26" i="20"/>
  <c r="M28" i="20" s="1"/>
  <c r="R4" i="8"/>
  <c r="R4" i="45"/>
  <c r="R14" i="23"/>
  <c r="R15" i="13"/>
  <c r="T61" i="4"/>
  <c r="P64" i="4"/>
  <c r="P66" i="4" s="1"/>
  <c r="DX4" i="33"/>
  <c r="DX4" i="27"/>
  <c r="DX4" i="45"/>
  <c r="DZ61" i="4"/>
  <c r="P33" i="4"/>
  <c r="DX14" i="23"/>
  <c r="DX4" i="8"/>
  <c r="DX4" i="25"/>
  <c r="DX4" i="34"/>
  <c r="DX15" i="13"/>
  <c r="DX14" i="26"/>
  <c r="DX14" i="7"/>
  <c r="DX14" i="46"/>
  <c r="DX4" i="24"/>
  <c r="CJ4" i="45"/>
  <c r="CJ14" i="7"/>
  <c r="CJ15" i="13"/>
  <c r="CJ14" i="46"/>
  <c r="CL61" i="4"/>
  <c r="CJ4" i="25"/>
  <c r="CJ14" i="23"/>
  <c r="CJ4" i="24"/>
  <c r="CJ4" i="34"/>
  <c r="CJ4" i="8"/>
  <c r="CJ4" i="33"/>
  <c r="CJ14" i="26"/>
  <c r="CJ4" i="27"/>
  <c r="FH4" i="27"/>
  <c r="FH14" i="26"/>
  <c r="FH4" i="34"/>
  <c r="FH14" i="23"/>
  <c r="FH14" i="7"/>
  <c r="S64" i="4"/>
  <c r="S66" i="4" s="1"/>
  <c r="FH4" i="8"/>
  <c r="FH4" i="45"/>
  <c r="FH14" i="46"/>
  <c r="FH15" i="13"/>
  <c r="FH4" i="33"/>
  <c r="FH4" i="25"/>
  <c r="S33" i="4"/>
  <c r="FJ61" i="4"/>
  <c r="FH4" i="24"/>
  <c r="EI4" i="24"/>
  <c r="EI4" i="33"/>
  <c r="EI15" i="13"/>
  <c r="EI4" i="25"/>
  <c r="EI14" i="46"/>
  <c r="EI4" i="34"/>
  <c r="EI4" i="27"/>
  <c r="EI4" i="8"/>
  <c r="EK61" i="4"/>
  <c r="EI14" i="26"/>
  <c r="EI14" i="23"/>
  <c r="EI4" i="45"/>
  <c r="EI14" i="7"/>
  <c r="DW4" i="8"/>
  <c r="DW4" i="24"/>
  <c r="DW14" i="7"/>
  <c r="DW4" i="34"/>
  <c r="DW4" i="25"/>
  <c r="DY61" i="4"/>
  <c r="DW14" i="26"/>
  <c r="DW4" i="27"/>
  <c r="DW15" i="13"/>
  <c r="DW4" i="33"/>
  <c r="DW4" i="45"/>
  <c r="DW14" i="23"/>
  <c r="DW14" i="46"/>
  <c r="HA4" i="27"/>
  <c r="HA4" i="33"/>
  <c r="HA14" i="7"/>
  <c r="HA4" i="34"/>
  <c r="HA4" i="45"/>
  <c r="HA14" i="46"/>
  <c r="HA4" i="25"/>
  <c r="HC61" i="4"/>
  <c r="HA14" i="26"/>
  <c r="HA15" i="13"/>
  <c r="HA14" i="23"/>
  <c r="HA4" i="8"/>
  <c r="HA4" i="24"/>
  <c r="CE14" i="26"/>
  <c r="CE14" i="23"/>
  <c r="CE4" i="34"/>
  <c r="CE14" i="7"/>
  <c r="CE4" i="33"/>
  <c r="CE15" i="13"/>
  <c r="CE4" i="8"/>
  <c r="CE4" i="25"/>
  <c r="CE4" i="24"/>
  <c r="CE4" i="45"/>
  <c r="CG61" i="4"/>
  <c r="CE4" i="27"/>
  <c r="CE14" i="46"/>
  <c r="EG4" i="45"/>
  <c r="EG4" i="25"/>
  <c r="EG14" i="7"/>
  <c r="EG4" i="24"/>
  <c r="EG14" i="26"/>
  <c r="EG4" i="33"/>
  <c r="EG14" i="23"/>
  <c r="EG14" i="46"/>
  <c r="EG4" i="8"/>
  <c r="EG4" i="34"/>
  <c r="EI61" i="4"/>
  <c r="EG15" i="13"/>
  <c r="EG4" i="27"/>
  <c r="FW4" i="33"/>
  <c r="FW14" i="7"/>
  <c r="FW4" i="27"/>
  <c r="FW4" i="45"/>
  <c r="FW4" i="24"/>
  <c r="FW15" i="13"/>
  <c r="FW14" i="23"/>
  <c r="FY61" i="4"/>
  <c r="FW4" i="25"/>
  <c r="FW14" i="26"/>
  <c r="FW4" i="34"/>
  <c r="FW4" i="8"/>
  <c r="FW14" i="46"/>
  <c r="N8" i="1"/>
  <c r="N9" i="1" s="1"/>
  <c r="H14" i="26"/>
  <c r="H4" i="8"/>
  <c r="I8" i="8" s="1"/>
  <c r="I12" i="8" s="1"/>
  <c r="F64" i="4"/>
  <c r="F66" i="4" s="1"/>
  <c r="J29" i="4"/>
  <c r="H4" i="33"/>
  <c r="I8" i="33" s="1"/>
  <c r="J61" i="4"/>
  <c r="H14" i="23"/>
  <c r="H4" i="24"/>
  <c r="H4" i="34"/>
  <c r="I8" i="34" s="1"/>
  <c r="C26" i="20"/>
  <c r="Y69" i="21"/>
  <c r="F33" i="4"/>
  <c r="F35" i="4" s="1"/>
  <c r="H4" i="25"/>
  <c r="CO14" i="7"/>
  <c r="CO15" i="13"/>
  <c r="CO4" i="45"/>
  <c r="CO4" i="8"/>
  <c r="CO14" i="46"/>
  <c r="CO4" i="24"/>
  <c r="CO4" i="27"/>
  <c r="CO4" i="33"/>
  <c r="CO14" i="23"/>
  <c r="CO4" i="34"/>
  <c r="CQ61" i="4"/>
  <c r="CO4" i="25"/>
  <c r="CO14" i="26"/>
  <c r="BT4" i="34"/>
  <c r="BT15" i="13"/>
  <c r="BT14" i="46"/>
  <c r="BT4" i="24"/>
  <c r="BT4" i="8"/>
  <c r="BT4" i="33"/>
  <c r="BT4" i="25"/>
  <c r="BT14" i="7"/>
  <c r="BT14" i="26"/>
  <c r="BT14" i="23"/>
  <c r="BT4" i="45"/>
  <c r="BT4" i="27"/>
  <c r="BV61" i="4"/>
  <c r="GU4" i="45"/>
  <c r="GU4" i="34"/>
  <c r="GU15" i="13"/>
  <c r="GU14" i="23"/>
  <c r="GU4" i="27"/>
  <c r="GU4" i="33"/>
  <c r="GU4" i="24"/>
  <c r="GU14" i="7"/>
  <c r="GU4" i="25"/>
  <c r="GW61" i="4"/>
  <c r="GU14" i="26"/>
  <c r="GU14" i="46"/>
  <c r="GU4" i="8"/>
  <c r="EB14" i="46"/>
  <c r="ED61" i="4"/>
  <c r="EB4" i="34"/>
  <c r="EB4" i="27"/>
  <c r="EB4" i="25"/>
  <c r="EB14" i="26"/>
  <c r="EB4" i="45"/>
  <c r="EB4" i="33"/>
  <c r="EB4" i="24"/>
  <c r="EB14" i="7"/>
  <c r="EB14" i="23"/>
  <c r="EB4" i="8"/>
  <c r="EB15" i="13"/>
  <c r="HN61" i="4"/>
  <c r="HL14" i="26"/>
  <c r="HL14" i="46"/>
  <c r="HL14" i="23"/>
  <c r="HL4" i="8"/>
  <c r="HL4" i="45"/>
  <c r="HL4" i="25"/>
  <c r="HL14" i="7"/>
  <c r="HL4" i="24"/>
  <c r="HL4" i="34"/>
  <c r="HL4" i="27"/>
  <c r="HL15" i="13"/>
  <c r="HL4" i="33"/>
  <c r="DL4" i="8"/>
  <c r="DL14" i="7"/>
  <c r="DL14" i="46"/>
  <c r="DL4" i="33"/>
  <c r="DN61" i="4"/>
  <c r="DL4" i="24"/>
  <c r="O33" i="4"/>
  <c r="DL15" i="13"/>
  <c r="O64" i="4"/>
  <c r="O66" i="4" s="1"/>
  <c r="DL14" i="26"/>
  <c r="DL4" i="34"/>
  <c r="DL4" i="27"/>
  <c r="DL4" i="25"/>
  <c r="DL14" i="23"/>
  <c r="DL4" i="45"/>
  <c r="DH14" i="7"/>
  <c r="DH14" i="23"/>
  <c r="DH4" i="34"/>
  <c r="DH4" i="25"/>
  <c r="DH4" i="24"/>
  <c r="DJ61" i="4"/>
  <c r="DH15" i="13"/>
  <c r="DH14" i="46"/>
  <c r="DH4" i="33"/>
  <c r="DH4" i="27"/>
  <c r="DH14" i="26"/>
  <c r="DH4" i="45"/>
  <c r="DH4" i="8"/>
  <c r="BK61" i="4"/>
  <c r="BI15" i="13"/>
  <c r="BI4" i="8"/>
  <c r="BI4" i="24"/>
  <c r="BI4" i="33"/>
  <c r="BI14" i="7"/>
  <c r="BI4" i="45"/>
  <c r="BI14" i="23"/>
  <c r="BI4" i="27"/>
  <c r="BI14" i="46"/>
  <c r="BI4" i="34"/>
  <c r="BI4" i="25"/>
  <c r="BI14" i="26"/>
  <c r="CX4" i="24"/>
  <c r="CX4" i="25"/>
  <c r="CX4" i="8"/>
  <c r="CX14" i="23"/>
  <c r="CX14" i="7"/>
  <c r="CZ61" i="4"/>
  <c r="CX4" i="27"/>
  <c r="CX4" i="45"/>
  <c r="CX14" i="46"/>
  <c r="CX4" i="33"/>
  <c r="CX4" i="34"/>
  <c r="CX15" i="13"/>
  <c r="CX14" i="26"/>
  <c r="HO4" i="25"/>
  <c r="HO15" i="13"/>
  <c r="HO4" i="27"/>
  <c r="HO4" i="34"/>
  <c r="HO4" i="45"/>
  <c r="HO4" i="33"/>
  <c r="HO14" i="46"/>
  <c r="HO14" i="26"/>
  <c r="HO14" i="23"/>
  <c r="HQ61" i="4"/>
  <c r="HO4" i="24"/>
  <c r="HO4" i="8"/>
  <c r="HO14" i="7"/>
  <c r="F61" i="4"/>
  <c r="D14" i="23"/>
  <c r="E31" i="23" s="1"/>
  <c r="D4" i="34"/>
  <c r="E8" i="34" s="1"/>
  <c r="E12" i="34" s="1"/>
  <c r="D14" i="26"/>
  <c r="E31" i="26" s="1"/>
  <c r="I69" i="21"/>
  <c r="D4" i="24"/>
  <c r="E8" i="24" s="1"/>
  <c r="E12" i="24" s="1"/>
  <c r="D4" i="25"/>
  <c r="E8" i="25" s="1"/>
  <c r="E12" i="25" s="1"/>
  <c r="D4" i="33"/>
  <c r="E8" i="33" s="1"/>
  <c r="E12" i="33" s="1"/>
  <c r="D4" i="8"/>
  <c r="E8" i="8" s="1"/>
  <c r="E12" i="8" s="1"/>
  <c r="F29" i="4"/>
  <c r="FU4" i="34"/>
  <c r="FU14" i="26"/>
  <c r="FU4" i="33"/>
  <c r="FU4" i="27"/>
  <c r="FU14" i="46"/>
  <c r="FU4" i="45"/>
  <c r="FU4" i="8"/>
  <c r="FU4" i="25"/>
  <c r="FW61" i="4"/>
  <c r="FU15" i="13"/>
  <c r="FU4" i="24"/>
  <c r="FU14" i="7"/>
  <c r="FU14" i="23"/>
  <c r="T8" i="1"/>
  <c r="T9" i="1" s="1"/>
  <c r="N15" i="13"/>
  <c r="N4" i="27"/>
  <c r="N4" i="24"/>
  <c r="N4" i="34"/>
  <c r="N14" i="7"/>
  <c r="N4" i="45"/>
  <c r="N14" i="23"/>
  <c r="AW69" i="21"/>
  <c r="N4" i="8"/>
  <c r="N4" i="25"/>
  <c r="P29" i="4"/>
  <c r="P61" i="4"/>
  <c r="I26" i="20"/>
  <c r="I28" i="20" s="1"/>
  <c r="N4" i="33"/>
  <c r="N14" i="26"/>
  <c r="AI4" i="45"/>
  <c r="AI14" i="23"/>
  <c r="AI4" i="25"/>
  <c r="AI4" i="27"/>
  <c r="AI4" i="24"/>
  <c r="AI14" i="26"/>
  <c r="AI4" i="33"/>
  <c r="AI14" i="7"/>
  <c r="AI4" i="8"/>
  <c r="AI4" i="34"/>
  <c r="AI14" i="46"/>
  <c r="AI15" i="13"/>
  <c r="AK61" i="4"/>
  <c r="IF14" i="46"/>
  <c r="IF14" i="7"/>
  <c r="IF14" i="26"/>
  <c r="IF4" i="24"/>
  <c r="IF14" i="23"/>
  <c r="IF4" i="33"/>
  <c r="IF4" i="45"/>
  <c r="IF4" i="8"/>
  <c r="IH61" i="4"/>
  <c r="IF4" i="34"/>
  <c r="IF4" i="27"/>
  <c r="IF15" i="13"/>
  <c r="IF4" i="25"/>
  <c r="CD4" i="27"/>
  <c r="CD4" i="25"/>
  <c r="CD4" i="8"/>
  <c r="CD4" i="33"/>
  <c r="CD4" i="34"/>
  <c r="CD14" i="7"/>
  <c r="CD14" i="46"/>
  <c r="CD4" i="45"/>
  <c r="CD4" i="24"/>
  <c r="CD14" i="26"/>
  <c r="CF61" i="4"/>
  <c r="CD14" i="23"/>
  <c r="CD15" i="13"/>
  <c r="FL4" i="8"/>
  <c r="FL14" i="7"/>
  <c r="FL14" i="23"/>
  <c r="FL4" i="27"/>
  <c r="FL4" i="25"/>
  <c r="FL4" i="33"/>
  <c r="FL4" i="34"/>
  <c r="FL4" i="24"/>
  <c r="FL15" i="13"/>
  <c r="FN61" i="4"/>
  <c r="FL14" i="46"/>
  <c r="FL4" i="45"/>
  <c r="FL14" i="26"/>
  <c r="BV14" i="26"/>
  <c r="BV4" i="34"/>
  <c r="BV14" i="23"/>
  <c r="BV4" i="27"/>
  <c r="BV4" i="33"/>
  <c r="BV14" i="46"/>
  <c r="BV15" i="13"/>
  <c r="BV4" i="8"/>
  <c r="BV4" i="45"/>
  <c r="BV14" i="7"/>
  <c r="BV4" i="24"/>
  <c r="BV4" i="25"/>
  <c r="BX61" i="4"/>
  <c r="EM4" i="27"/>
  <c r="EM4" i="24"/>
  <c r="EM4" i="34"/>
  <c r="EM4" i="33"/>
  <c r="EM14" i="7"/>
  <c r="EM4" i="8"/>
  <c r="EM15" i="13"/>
  <c r="EM4" i="45"/>
  <c r="EM14" i="46"/>
  <c r="EM14" i="23"/>
  <c r="EM4" i="25"/>
  <c r="EM14" i="26"/>
  <c r="EO61" i="4"/>
  <c r="GK14" i="46"/>
  <c r="GK14" i="26"/>
  <c r="GK4" i="27"/>
  <c r="GK4" i="8"/>
  <c r="GK4" i="25"/>
  <c r="GM61" i="4"/>
  <c r="GK4" i="34"/>
  <c r="GK15" i="13"/>
  <c r="GK14" i="23"/>
  <c r="GK14" i="7"/>
  <c r="GK4" i="24"/>
  <c r="GK4" i="45"/>
  <c r="GK4" i="33"/>
  <c r="AP4" i="8"/>
  <c r="AP14" i="7"/>
  <c r="AP14" i="46"/>
  <c r="AP4" i="33"/>
  <c r="AP14" i="26"/>
  <c r="AP4" i="24"/>
  <c r="AP15" i="13"/>
  <c r="AP14" i="23"/>
  <c r="AP4" i="25"/>
  <c r="AP4" i="45"/>
  <c r="AP4" i="34"/>
  <c r="AP4" i="27"/>
  <c r="AR61" i="4"/>
  <c r="GZ4" i="34"/>
  <c r="GZ14" i="7"/>
  <c r="HB61" i="4"/>
  <c r="GZ14" i="46"/>
  <c r="GZ15" i="13"/>
  <c r="GZ4" i="33"/>
  <c r="GZ14" i="23"/>
  <c r="GZ4" i="25"/>
  <c r="GZ4" i="45"/>
  <c r="GZ14" i="26"/>
  <c r="GZ4" i="8"/>
  <c r="GZ4" i="24"/>
  <c r="GZ4" i="27"/>
  <c r="HS14" i="26"/>
  <c r="HS15" i="13"/>
  <c r="HS4" i="27"/>
  <c r="HS4" i="34"/>
  <c r="HS14" i="46"/>
  <c r="HS4" i="33"/>
  <c r="HS14" i="7"/>
  <c r="HS4" i="25"/>
  <c r="HS4" i="24"/>
  <c r="HS4" i="45"/>
  <c r="HS14" i="23"/>
  <c r="HU61" i="4"/>
  <c r="HS4" i="8"/>
  <c r="EP14" i="26"/>
  <c r="EP15" i="13"/>
  <c r="EP4" i="25"/>
  <c r="EP4" i="27"/>
  <c r="EP14" i="23"/>
  <c r="EP4" i="8"/>
  <c r="EP4" i="24"/>
  <c r="EP4" i="33"/>
  <c r="EP14" i="46"/>
  <c r="EP14" i="7"/>
  <c r="EP4" i="45"/>
  <c r="EP4" i="34"/>
  <c r="ER61" i="4"/>
  <c r="CQ4" i="45"/>
  <c r="CQ15" i="13"/>
  <c r="CQ14" i="7"/>
  <c r="CQ4" i="34"/>
  <c r="CQ4" i="33"/>
  <c r="CQ4" i="27"/>
  <c r="CS61" i="4"/>
  <c r="CQ4" i="24"/>
  <c r="CQ4" i="25"/>
  <c r="CQ14" i="46"/>
  <c r="CQ14" i="26"/>
  <c r="CQ4" i="8"/>
  <c r="CQ14" i="23"/>
  <c r="GS4" i="34"/>
  <c r="GS4" i="24"/>
  <c r="GS14" i="46"/>
  <c r="GS4" i="45"/>
  <c r="GS4" i="33"/>
  <c r="GS15" i="13"/>
  <c r="GS14" i="7"/>
  <c r="GS4" i="27"/>
  <c r="GS4" i="8"/>
  <c r="GU61" i="4"/>
  <c r="GS14" i="26"/>
  <c r="GS4" i="25"/>
  <c r="GS14" i="23"/>
  <c r="GQ15" i="13"/>
  <c r="GQ4" i="27"/>
  <c r="GQ4" i="8"/>
  <c r="GQ4" i="24"/>
  <c r="GQ4" i="25"/>
  <c r="GQ4" i="34"/>
  <c r="GQ14" i="23"/>
  <c r="GS61" i="4"/>
  <c r="GQ14" i="7"/>
  <c r="GQ4" i="45"/>
  <c r="GQ14" i="26"/>
  <c r="GQ4" i="33"/>
  <c r="GQ14" i="46"/>
  <c r="FG15" i="13"/>
  <c r="FG14" i="23"/>
  <c r="FG4" i="24"/>
  <c r="FG14" i="26"/>
  <c r="FG4" i="27"/>
  <c r="FI61" i="4"/>
  <c r="FG14" i="46"/>
  <c r="FG4" i="45"/>
  <c r="FG4" i="33"/>
  <c r="FG4" i="8"/>
  <c r="FG14" i="7"/>
  <c r="FG4" i="34"/>
  <c r="FG4" i="25"/>
  <c r="IL14" i="46"/>
  <c r="IL4" i="34"/>
  <c r="IL4" i="27"/>
  <c r="IL4" i="45"/>
  <c r="IN61" i="4"/>
  <c r="IL4" i="33"/>
  <c r="IL15" i="13"/>
  <c r="EC4" i="45"/>
  <c r="EC14" i="26"/>
  <c r="EC4" i="8"/>
  <c r="EC4" i="25"/>
  <c r="EC4" i="24"/>
  <c r="EC4" i="27"/>
  <c r="EC14" i="46"/>
  <c r="EE61" i="4"/>
  <c r="EC4" i="33"/>
  <c r="EC15" i="13"/>
  <c r="EC14" i="23"/>
  <c r="EC4" i="34"/>
  <c r="EC14" i="7"/>
  <c r="ID14" i="26"/>
  <c r="ID4" i="45"/>
  <c r="ID4" i="33"/>
  <c r="ID14" i="46"/>
  <c r="ID4" i="25"/>
  <c r="ID4" i="8"/>
  <c r="ID15" i="13"/>
  <c r="ID14" i="7"/>
  <c r="ID4" i="24"/>
  <c r="IF61" i="4"/>
  <c r="ID4" i="27"/>
  <c r="ID14" i="23"/>
  <c r="ID4" i="34"/>
  <c r="FF14" i="7"/>
  <c r="FF14" i="46"/>
  <c r="FF15" i="13"/>
  <c r="FF4" i="8"/>
  <c r="FF4" i="34"/>
  <c r="FF4" i="27"/>
  <c r="FH61" i="4"/>
  <c r="FF14" i="26"/>
  <c r="FF4" i="33"/>
  <c r="FF4" i="24"/>
  <c r="FF4" i="25"/>
  <c r="FF14" i="23"/>
  <c r="FF4" i="45"/>
  <c r="GT4" i="34"/>
  <c r="GT14" i="7"/>
  <c r="GT4" i="33"/>
  <c r="GT14" i="26"/>
  <c r="GT14" i="46"/>
  <c r="GT4" i="45"/>
  <c r="GT4" i="27"/>
  <c r="GT15" i="13"/>
  <c r="GT4" i="24"/>
  <c r="GT14" i="23"/>
  <c r="GT4" i="25"/>
  <c r="GT4" i="8"/>
  <c r="GV61" i="4"/>
  <c r="DZ14" i="46"/>
  <c r="DZ15" i="13"/>
  <c r="DZ4" i="25"/>
  <c r="DZ14" i="23"/>
  <c r="DZ4" i="34"/>
  <c r="DZ4" i="24"/>
  <c r="DZ4" i="45"/>
  <c r="DZ4" i="8"/>
  <c r="DZ4" i="27"/>
  <c r="EB61" i="4"/>
  <c r="DZ14" i="7"/>
  <c r="DZ4" i="33"/>
  <c r="DZ14" i="26"/>
  <c r="FV61" i="4"/>
  <c r="T64" i="4"/>
  <c r="T66" i="4" s="1"/>
  <c r="FT4" i="45"/>
  <c r="FT15" i="13"/>
  <c r="FT4" i="27"/>
  <c r="FT4" i="34"/>
  <c r="FT4" i="8"/>
  <c r="FT14" i="7"/>
  <c r="FT4" i="25"/>
  <c r="FT4" i="33"/>
  <c r="FT4" i="24"/>
  <c r="FT14" i="46"/>
  <c r="T33" i="4"/>
  <c r="FT14" i="26"/>
  <c r="FT14" i="23"/>
  <c r="EX4" i="33"/>
  <c r="EX15" i="13"/>
  <c r="EX4" i="27"/>
  <c r="EX4" i="24"/>
  <c r="EX14" i="7"/>
  <c r="EX14" i="23"/>
  <c r="EX4" i="45"/>
  <c r="EX14" i="26"/>
  <c r="EX4" i="8"/>
  <c r="EZ61" i="4"/>
  <c r="EX4" i="25"/>
  <c r="EX4" i="34"/>
  <c r="EX14" i="46"/>
  <c r="HK4" i="27"/>
  <c r="HK14" i="7"/>
  <c r="HK4" i="45"/>
  <c r="HK14" i="26"/>
  <c r="HK4" i="25"/>
  <c r="HK4" i="33"/>
  <c r="HK4" i="24"/>
  <c r="HK4" i="8"/>
  <c r="HM61" i="4"/>
  <c r="HK15" i="13"/>
  <c r="HK4" i="34"/>
  <c r="HK14" i="23"/>
  <c r="HK14" i="46"/>
  <c r="DQ14" i="46"/>
  <c r="DQ15" i="13"/>
  <c r="DQ14" i="26"/>
  <c r="DQ14" i="23"/>
  <c r="DQ4" i="33"/>
  <c r="DQ14" i="7"/>
  <c r="DQ4" i="8"/>
  <c r="DQ4" i="27"/>
  <c r="DQ4" i="45"/>
  <c r="DQ4" i="34"/>
  <c r="DQ4" i="24"/>
  <c r="DS61" i="4"/>
  <c r="DQ4" i="25"/>
  <c r="CT14" i="46"/>
  <c r="CT14" i="26"/>
  <c r="CT14" i="7"/>
  <c r="CT4" i="24"/>
  <c r="CT4" i="45"/>
  <c r="CT4" i="25"/>
  <c r="CT4" i="33"/>
  <c r="CT4" i="34"/>
  <c r="CV61" i="4"/>
  <c r="CT15" i="13"/>
  <c r="CT14" i="23"/>
  <c r="CT4" i="27"/>
  <c r="CT4" i="8"/>
  <c r="AV14" i="26"/>
  <c r="AX61" i="4"/>
  <c r="AV4" i="34"/>
  <c r="AV4" i="33"/>
  <c r="AV14" i="23"/>
  <c r="AV14" i="7"/>
  <c r="AV15" i="13"/>
  <c r="AV14" i="46"/>
  <c r="AV4" i="27"/>
  <c r="AV4" i="24"/>
  <c r="AV4" i="8"/>
  <c r="AV4" i="25"/>
  <c r="AV4" i="45"/>
  <c r="CY4" i="25"/>
  <c r="CY14" i="23"/>
  <c r="CY4" i="34"/>
  <c r="CY4" i="27"/>
  <c r="CY14" i="26"/>
  <c r="CY4" i="33"/>
  <c r="CY15" i="13"/>
  <c r="CY4" i="45"/>
  <c r="CY4" i="8"/>
  <c r="CY4" i="24"/>
  <c r="CY14" i="46"/>
  <c r="DA61" i="4"/>
  <c r="CY14" i="7"/>
  <c r="EJ4" i="27"/>
  <c r="Q33" i="4"/>
  <c r="EJ4" i="25"/>
  <c r="Q64" i="4"/>
  <c r="Q66" i="4" s="1"/>
  <c r="EJ15" i="13"/>
  <c r="EJ4" i="45"/>
  <c r="EJ4" i="33"/>
  <c r="EJ4" i="8"/>
  <c r="EJ4" i="24"/>
  <c r="EJ4" i="34"/>
  <c r="EJ14" i="7"/>
  <c r="EJ14" i="46"/>
  <c r="EJ14" i="23"/>
  <c r="EJ14" i="26"/>
  <c r="EL61" i="4"/>
  <c r="DI14" i="26"/>
  <c r="DI14" i="46"/>
  <c r="DI4" i="8"/>
  <c r="DI4" i="27"/>
  <c r="DI14" i="7"/>
  <c r="DI4" i="24"/>
  <c r="DK61" i="4"/>
  <c r="DI15" i="13"/>
  <c r="DI4" i="25"/>
  <c r="DI4" i="34"/>
  <c r="DI4" i="45"/>
  <c r="DI4" i="33"/>
  <c r="DI14" i="23"/>
  <c r="EQ14" i="23"/>
  <c r="EQ14" i="7"/>
  <c r="EQ4" i="45"/>
  <c r="ES61" i="4"/>
  <c r="EQ4" i="27"/>
  <c r="EQ4" i="24"/>
  <c r="EQ15" i="13"/>
  <c r="EQ4" i="8"/>
  <c r="EQ4" i="34"/>
  <c r="EQ14" i="46"/>
  <c r="EQ4" i="33"/>
  <c r="EQ14" i="26"/>
  <c r="EQ4" i="25"/>
  <c r="CF14" i="23"/>
  <c r="CF14" i="46"/>
  <c r="CF4" i="25"/>
  <c r="CF4" i="34"/>
  <c r="CF4" i="8"/>
  <c r="CF14" i="26"/>
  <c r="CF4" i="24"/>
  <c r="CF4" i="45"/>
  <c r="CF15" i="13"/>
  <c r="CH61" i="4"/>
  <c r="CF4" i="33"/>
  <c r="CF4" i="27"/>
  <c r="CF14" i="7"/>
  <c r="FN14" i="26"/>
  <c r="FN4" i="25"/>
  <c r="FN4" i="27"/>
  <c r="FN14" i="46"/>
  <c r="FP61" i="4"/>
  <c r="FN4" i="24"/>
  <c r="FN14" i="23"/>
  <c r="FN15" i="13"/>
  <c r="FN4" i="8"/>
  <c r="FN14" i="7"/>
  <c r="FN4" i="33"/>
  <c r="FN4" i="45"/>
  <c r="FN4" i="34"/>
  <c r="EN4" i="45"/>
  <c r="EN14" i="23"/>
  <c r="EP61" i="4"/>
  <c r="EN4" i="34"/>
  <c r="EN4" i="24"/>
  <c r="EN4" i="27"/>
  <c r="EN14" i="26"/>
  <c r="EN4" i="25"/>
  <c r="EN14" i="7"/>
  <c r="EN14" i="46"/>
  <c r="EN15" i="13"/>
  <c r="EN4" i="8"/>
  <c r="EN4" i="33"/>
  <c r="AM4" i="27"/>
  <c r="AM14" i="26"/>
  <c r="AM14" i="23"/>
  <c r="AM15" i="13"/>
  <c r="AM4" i="24"/>
  <c r="AM4" i="45"/>
  <c r="AM4" i="25"/>
  <c r="AM14" i="7"/>
  <c r="AO61" i="4"/>
  <c r="AM14" i="46"/>
  <c r="AM4" i="34"/>
  <c r="AM4" i="33"/>
  <c r="AM4" i="8"/>
  <c r="AF4" i="24"/>
  <c r="AF15" i="13"/>
  <c r="AF4" i="33"/>
  <c r="AF4" i="34"/>
  <c r="AF4" i="27"/>
  <c r="AF14" i="7"/>
  <c r="AF14" i="26"/>
  <c r="H64" i="4"/>
  <c r="H66" i="4" s="1"/>
  <c r="AF4" i="25"/>
  <c r="AF4" i="8"/>
  <c r="AF4" i="45"/>
  <c r="H33" i="4"/>
  <c r="AF14" i="23"/>
  <c r="AF14" i="46"/>
  <c r="AH61" i="4"/>
  <c r="DF4" i="27"/>
  <c r="DF4" i="33"/>
  <c r="DF14" i="46"/>
  <c r="DF14" i="26"/>
  <c r="DF4" i="25"/>
  <c r="DF4" i="45"/>
  <c r="DF4" i="24"/>
  <c r="DF15" i="13"/>
  <c r="DF14" i="23"/>
  <c r="DF4" i="34"/>
  <c r="DF14" i="7"/>
  <c r="DH61" i="4"/>
  <c r="DF4" i="8"/>
  <c r="BN4" i="25"/>
  <c r="BN14" i="7"/>
  <c r="BN4" i="8"/>
  <c r="BN4" i="45"/>
  <c r="BN15" i="13"/>
  <c r="BN4" i="27"/>
  <c r="BP61" i="4"/>
  <c r="BN14" i="46"/>
  <c r="BN14" i="26"/>
  <c r="BN4" i="33"/>
  <c r="BN4" i="34"/>
  <c r="BN14" i="23"/>
  <c r="BN4" i="24"/>
  <c r="HZ4" i="25"/>
  <c r="HZ4" i="24"/>
  <c r="HZ14" i="46"/>
  <c r="HZ4" i="34"/>
  <c r="HZ4" i="8"/>
  <c r="HZ4" i="27"/>
  <c r="IB61" i="4"/>
  <c r="HZ14" i="23"/>
  <c r="HZ4" i="33"/>
  <c r="HZ14" i="26"/>
  <c r="HZ14" i="7"/>
  <c r="HZ15" i="13"/>
  <c r="HZ4" i="45"/>
  <c r="FV4" i="34"/>
  <c r="FV14" i="46"/>
  <c r="FV4" i="24"/>
  <c r="FV14" i="7"/>
  <c r="FV4" i="45"/>
  <c r="FV15" i="13"/>
  <c r="FV14" i="23"/>
  <c r="FV4" i="27"/>
  <c r="FV4" i="25"/>
  <c r="FV4" i="8"/>
  <c r="FV4" i="33"/>
  <c r="FX61" i="4"/>
  <c r="FV14" i="26"/>
  <c r="DE4" i="34"/>
  <c r="DE14" i="23"/>
  <c r="DE14" i="26"/>
  <c r="DE4" i="27"/>
  <c r="DE14" i="7"/>
  <c r="DE4" i="33"/>
  <c r="DG61" i="4"/>
  <c r="DE15" i="13"/>
  <c r="DE4" i="24"/>
  <c r="DE4" i="8"/>
  <c r="DE4" i="25"/>
  <c r="DE14" i="46"/>
  <c r="DE4" i="45"/>
  <c r="IC4" i="45"/>
  <c r="IC15" i="13"/>
  <c r="IC14" i="46"/>
  <c r="IC4" i="27"/>
  <c r="IE61" i="4"/>
  <c r="IC4" i="33"/>
  <c r="IC4" i="24"/>
  <c r="IC14" i="7"/>
  <c r="IC4" i="25"/>
  <c r="IC14" i="26"/>
  <c r="IC4" i="34"/>
  <c r="IC4" i="8"/>
  <c r="IC14" i="23"/>
  <c r="HE4" i="25"/>
  <c r="HE4" i="33"/>
  <c r="HE14" i="26"/>
  <c r="HE4" i="8"/>
  <c r="HE15" i="13"/>
  <c r="HE4" i="27"/>
  <c r="HE4" i="24"/>
  <c r="HE14" i="7"/>
  <c r="HE4" i="34"/>
  <c r="HE14" i="23"/>
  <c r="HE14" i="46"/>
  <c r="HG61" i="4"/>
  <c r="HE4" i="45"/>
  <c r="GO4" i="24"/>
  <c r="GO4" i="45"/>
  <c r="GO14" i="26"/>
  <c r="GO4" i="25"/>
  <c r="GO14" i="46"/>
  <c r="GO15" i="13"/>
  <c r="GO4" i="34"/>
  <c r="GQ61" i="4"/>
  <c r="GO14" i="7"/>
  <c r="GO4" i="33"/>
  <c r="GO4" i="27"/>
  <c r="GO14" i="23"/>
  <c r="GO4" i="8"/>
  <c r="FQ4" i="45"/>
  <c r="FQ4" i="34"/>
  <c r="FQ4" i="25"/>
  <c r="FQ14" i="26"/>
  <c r="FQ4" i="33"/>
  <c r="FS61" i="4"/>
  <c r="FQ4" i="24"/>
  <c r="FQ14" i="7"/>
  <c r="FQ14" i="46"/>
  <c r="FQ4" i="8"/>
  <c r="FQ14" i="23"/>
  <c r="FQ4" i="27"/>
  <c r="FQ15" i="13"/>
  <c r="J14" i="7"/>
  <c r="J4" i="25"/>
  <c r="J4" i="8"/>
  <c r="J15" i="13"/>
  <c r="P8" i="1"/>
  <c r="AG69" i="21"/>
  <c r="J4" i="45"/>
  <c r="J4" i="33"/>
  <c r="E26" i="20"/>
  <c r="E28" i="20" s="1"/>
  <c r="J14" i="26"/>
  <c r="J4" i="34"/>
  <c r="J4" i="24"/>
  <c r="L29" i="4"/>
  <c r="J4" i="27"/>
  <c r="L61" i="4"/>
  <c r="J14" i="23"/>
  <c r="EZ4" i="8"/>
  <c r="EZ14" i="46"/>
  <c r="EZ4" i="27"/>
  <c r="EZ15" i="13"/>
  <c r="EZ4" i="24"/>
  <c r="EZ4" i="33"/>
  <c r="EZ14" i="23"/>
  <c r="EZ4" i="25"/>
  <c r="EZ4" i="34"/>
  <c r="EZ14" i="26"/>
  <c r="EZ14" i="7"/>
  <c r="EZ4" i="45"/>
  <c r="FB61" i="4"/>
  <c r="DS4" i="33"/>
  <c r="DS14" i="23"/>
  <c r="DS14" i="26"/>
  <c r="DS4" i="34"/>
  <c r="DS15" i="13"/>
  <c r="DS4" i="25"/>
  <c r="DS4" i="8"/>
  <c r="DS4" i="45"/>
  <c r="DU61" i="4"/>
  <c r="DS14" i="46"/>
  <c r="DS4" i="24"/>
  <c r="DS4" i="27"/>
  <c r="DS14" i="7"/>
  <c r="G14" i="26"/>
  <c r="H31" i="26" s="1"/>
  <c r="G4" i="24"/>
  <c r="H8" i="24" s="1"/>
  <c r="H12" i="24" s="1"/>
  <c r="G4" i="25"/>
  <c r="H8" i="25" s="1"/>
  <c r="H12" i="25" s="1"/>
  <c r="G14" i="23"/>
  <c r="H31" i="23" s="1"/>
  <c r="G4" i="8"/>
  <c r="H8" i="8" s="1"/>
  <c r="H12" i="8" s="1"/>
  <c r="U69" i="21"/>
  <c r="I61" i="4"/>
  <c r="G4" i="34"/>
  <c r="H8" i="34" s="1"/>
  <c r="I29" i="4"/>
  <c r="G4" i="33"/>
  <c r="H8" i="33" s="1"/>
  <c r="DU15" i="13"/>
  <c r="DW61" i="4"/>
  <c r="DU4" i="33"/>
  <c r="DU4" i="45"/>
  <c r="DU14" i="46"/>
  <c r="DU4" i="25"/>
  <c r="DU14" i="7"/>
  <c r="DU4" i="34"/>
  <c r="DU4" i="8"/>
  <c r="DU4" i="24"/>
  <c r="DU14" i="26"/>
  <c r="DU14" i="23"/>
  <c r="DU4" i="27"/>
  <c r="DA4" i="8"/>
  <c r="DA4" i="34"/>
  <c r="DA14" i="46"/>
  <c r="DC61" i="4"/>
  <c r="DA15" i="13"/>
  <c r="DA4" i="24"/>
  <c r="DA14" i="23"/>
  <c r="DA14" i="26"/>
  <c r="DA4" i="33"/>
  <c r="DA4" i="25"/>
  <c r="DA4" i="27"/>
  <c r="DA14" i="7"/>
  <c r="DA4" i="45"/>
  <c r="BE14" i="26"/>
  <c r="BE4" i="27"/>
  <c r="BE15" i="13"/>
  <c r="BE4" i="45"/>
  <c r="BE4" i="33"/>
  <c r="BE14" i="23"/>
  <c r="BE4" i="25"/>
  <c r="BE4" i="8"/>
  <c r="BE4" i="34"/>
  <c r="BE4" i="24"/>
  <c r="BE14" i="7"/>
  <c r="BE14" i="46"/>
  <c r="BG61" i="4"/>
  <c r="CG14" i="7"/>
  <c r="CG4" i="24"/>
  <c r="CG4" i="8"/>
  <c r="CG14" i="46"/>
  <c r="CG4" i="33"/>
  <c r="CG14" i="26"/>
  <c r="CI61" i="4"/>
  <c r="CG4" i="45"/>
  <c r="CG4" i="34"/>
  <c r="CG4" i="27"/>
  <c r="CG15" i="13"/>
  <c r="CG14" i="23"/>
  <c r="CG4" i="25"/>
  <c r="HW15" i="13"/>
  <c r="HW4" i="45"/>
  <c r="HW4" i="24"/>
  <c r="HW4" i="33"/>
  <c r="HW4" i="8"/>
  <c r="HW14" i="26"/>
  <c r="HW14" i="46"/>
  <c r="HW4" i="27"/>
  <c r="HW14" i="23"/>
  <c r="HW4" i="34"/>
  <c r="HW14" i="7"/>
  <c r="HY61" i="4"/>
  <c r="HW4" i="25"/>
  <c r="ED4" i="27"/>
  <c r="ED14" i="26"/>
  <c r="ED15" i="13"/>
  <c r="ED4" i="45"/>
  <c r="ED4" i="33"/>
  <c r="ED14" i="46"/>
  <c r="ED4" i="8"/>
  <c r="EF61" i="4"/>
  <c r="ED14" i="7"/>
  <c r="ED14" i="23"/>
  <c r="ED4" i="34"/>
  <c r="ED4" i="24"/>
  <c r="ED4" i="25"/>
  <c r="EW14" i="26"/>
  <c r="EY61" i="4"/>
  <c r="EW4" i="33"/>
  <c r="EW4" i="27"/>
  <c r="EW4" i="25"/>
  <c r="EW4" i="8"/>
  <c r="EW14" i="23"/>
  <c r="EW14" i="46"/>
  <c r="EW4" i="45"/>
  <c r="EW4" i="24"/>
  <c r="EW15" i="13"/>
  <c r="EW4" i="34"/>
  <c r="EW14" i="7"/>
  <c r="HH14" i="23"/>
  <c r="HH4" i="33"/>
  <c r="HH14" i="26"/>
  <c r="HH4" i="27"/>
  <c r="HH15" i="13"/>
  <c r="HH14" i="46"/>
  <c r="HH4" i="24"/>
  <c r="HH4" i="34"/>
  <c r="HH4" i="45"/>
  <c r="HJ61" i="4"/>
  <c r="HH4" i="25"/>
  <c r="HH14" i="7"/>
  <c r="HH4" i="8"/>
  <c r="ID61" i="4"/>
  <c r="IB14" i="23"/>
  <c r="IB4" i="24"/>
  <c r="IB14" i="26"/>
  <c r="Y33" i="4"/>
  <c r="IB4" i="45"/>
  <c r="IB14" i="46"/>
  <c r="IB14" i="7"/>
  <c r="IB4" i="27"/>
  <c r="IB4" i="34"/>
  <c r="IB15" i="13"/>
  <c r="IB4" i="25"/>
  <c r="IB4" i="8"/>
  <c r="Y64" i="4"/>
  <c r="Y66" i="4" s="1"/>
  <c r="IB4" i="33"/>
  <c r="X4" i="27"/>
  <c r="X4" i="24"/>
  <c r="X14" i="23"/>
  <c r="X14" i="46"/>
  <c r="X14" i="26"/>
  <c r="X4" i="8"/>
  <c r="X14" i="7"/>
  <c r="X15" i="13"/>
  <c r="X4" i="25"/>
  <c r="X4" i="33"/>
  <c r="X4" i="45"/>
  <c r="X4" i="34"/>
  <c r="Z61" i="4"/>
  <c r="AJ4" i="8"/>
  <c r="AJ14" i="7"/>
  <c r="AJ14" i="46"/>
  <c r="AJ4" i="25"/>
  <c r="AJ15" i="13"/>
  <c r="AJ14" i="23"/>
  <c r="AJ4" i="34"/>
  <c r="AJ4" i="33"/>
  <c r="AJ4" i="45"/>
  <c r="AJ4" i="24"/>
  <c r="AJ14" i="26"/>
  <c r="AJ4" i="27"/>
  <c r="AL61" i="4"/>
  <c r="L9" i="57"/>
  <c r="M10" i="57"/>
  <c r="M9" i="57" s="1"/>
  <c r="AA9" i="57" s="1"/>
  <c r="GM14" i="46"/>
  <c r="GM4" i="27"/>
  <c r="GO61" i="4"/>
  <c r="GM4" i="25"/>
  <c r="GM4" i="24"/>
  <c r="GM15" i="13"/>
  <c r="GM4" i="34"/>
  <c r="GM4" i="33"/>
  <c r="GM4" i="8"/>
  <c r="GM4" i="45"/>
  <c r="GM14" i="26"/>
  <c r="GM14" i="23"/>
  <c r="GM14" i="7"/>
  <c r="AL4" i="45"/>
  <c r="AL4" i="33"/>
  <c r="AL14" i="26"/>
  <c r="AN61" i="4"/>
  <c r="AL4" i="8"/>
  <c r="AL4" i="34"/>
  <c r="AL4" i="24"/>
  <c r="AL14" i="46"/>
  <c r="AL15" i="13"/>
  <c r="AL14" i="7"/>
  <c r="AL14" i="23"/>
  <c r="AL4" i="25"/>
  <c r="AL4" i="27"/>
  <c r="W4" i="33"/>
  <c r="W14" i="46"/>
  <c r="W4" i="25"/>
  <c r="W4" i="8"/>
  <c r="W14" i="23"/>
  <c r="W4" i="45"/>
  <c r="W4" i="24"/>
  <c r="Y61" i="4"/>
  <c r="W15" i="13"/>
  <c r="W4" i="27"/>
  <c r="W14" i="26"/>
  <c r="W4" i="34"/>
  <c r="W14" i="7"/>
  <c r="IG4" i="27"/>
  <c r="IG4" i="33"/>
  <c r="IG14" i="7"/>
  <c r="IG4" i="45"/>
  <c r="IG14" i="26"/>
  <c r="II61" i="4"/>
  <c r="IG4" i="8"/>
  <c r="IG4" i="34"/>
  <c r="IG4" i="25"/>
  <c r="IG14" i="46"/>
  <c r="IG4" i="24"/>
  <c r="IG15" i="13"/>
  <c r="IG14" i="23"/>
  <c r="CP4" i="33"/>
  <c r="CP15" i="13"/>
  <c r="CP14" i="26"/>
  <c r="CR61" i="4"/>
  <c r="CP14" i="7"/>
  <c r="CP4" i="27"/>
  <c r="CP4" i="25"/>
  <c r="CP4" i="8"/>
  <c r="CP14" i="46"/>
  <c r="CP4" i="34"/>
  <c r="CP14" i="23"/>
  <c r="CP4" i="45"/>
  <c r="CP4" i="24"/>
  <c r="V14" i="46"/>
  <c r="V14" i="26"/>
  <c r="X29" i="4"/>
  <c r="V4" i="27"/>
  <c r="V4" i="25"/>
  <c r="V4" i="33"/>
  <c r="V14" i="23"/>
  <c r="V4" i="8"/>
  <c r="V4" i="34"/>
  <c r="X61" i="4"/>
  <c r="V4" i="45"/>
  <c r="V14" i="7"/>
  <c r="V4" i="24"/>
  <c r="V15" i="13"/>
  <c r="AY4" i="24"/>
  <c r="AY14" i="46"/>
  <c r="AY4" i="34"/>
  <c r="AY14" i="23"/>
  <c r="AY4" i="45"/>
  <c r="AY4" i="8"/>
  <c r="AY14" i="26"/>
  <c r="AY4" i="33"/>
  <c r="AY4" i="27"/>
  <c r="AY14" i="7"/>
  <c r="AY4" i="25"/>
  <c r="BA61" i="4"/>
  <c r="AY15" i="13"/>
  <c r="FA4" i="8"/>
  <c r="FA4" i="25"/>
  <c r="FA4" i="24"/>
  <c r="FA4" i="34"/>
  <c r="FA4" i="27"/>
  <c r="FA15" i="13"/>
  <c r="FA14" i="46"/>
  <c r="FA4" i="33"/>
  <c r="FA14" i="7"/>
  <c r="FA14" i="23"/>
  <c r="FC61" i="4"/>
  <c r="FA14" i="26"/>
  <c r="FA4" i="45"/>
  <c r="HX4" i="33"/>
  <c r="HX4" i="27"/>
  <c r="HX4" i="8"/>
  <c r="HX4" i="34"/>
  <c r="HZ61" i="4"/>
  <c r="HX14" i="23"/>
  <c r="HX14" i="26"/>
  <c r="HX4" i="24"/>
  <c r="HX4" i="45"/>
  <c r="HX14" i="46"/>
  <c r="HX15" i="13"/>
  <c r="HX14" i="7"/>
  <c r="HX4" i="25"/>
  <c r="IM4" i="33"/>
  <c r="IM15" i="13"/>
  <c r="IM4" i="45"/>
  <c r="IO61" i="4"/>
  <c r="IM14" i="46"/>
  <c r="IM4" i="27"/>
  <c r="IM4" i="34"/>
  <c r="AC14" i="7"/>
  <c r="AC4" i="24"/>
  <c r="AC14" i="46"/>
  <c r="AE61" i="4"/>
  <c r="AC4" i="33"/>
  <c r="AC14" i="23"/>
  <c r="AC14" i="26"/>
  <c r="AC4" i="34"/>
  <c r="AC4" i="27"/>
  <c r="AC4" i="8"/>
  <c r="AC4" i="25"/>
  <c r="AC15" i="13"/>
  <c r="AC4" i="45"/>
  <c r="DJ14" i="46"/>
  <c r="DJ14" i="26"/>
  <c r="DJ14" i="23"/>
  <c r="DJ4" i="27"/>
  <c r="DJ4" i="33"/>
  <c r="DJ4" i="8"/>
  <c r="DJ4" i="34"/>
  <c r="DJ15" i="13"/>
  <c r="DJ4" i="24"/>
  <c r="DJ14" i="7"/>
  <c r="DJ4" i="45"/>
  <c r="DJ4" i="25"/>
  <c r="DL61" i="4"/>
  <c r="IA4" i="33"/>
  <c r="IC61" i="4"/>
  <c r="IA14" i="26"/>
  <c r="IA14" i="23"/>
  <c r="IA14" i="7"/>
  <c r="IA4" i="24"/>
  <c r="IA14" i="46"/>
  <c r="IA4" i="27"/>
  <c r="IA4" i="25"/>
  <c r="IA15" i="13"/>
  <c r="IA4" i="34"/>
  <c r="IA4" i="8"/>
  <c r="IA4" i="45"/>
  <c r="HT4" i="34"/>
  <c r="HT14" i="46"/>
  <c r="HT14" i="26"/>
  <c r="HT15" i="13"/>
  <c r="HT14" i="23"/>
  <c r="HT4" i="33"/>
  <c r="HT4" i="45"/>
  <c r="HT4" i="25"/>
  <c r="HT14" i="7"/>
  <c r="HV61" i="4"/>
  <c r="HT4" i="24"/>
  <c r="HT4" i="8"/>
  <c r="HT4" i="27"/>
  <c r="DK14" i="23"/>
  <c r="DK4" i="33"/>
  <c r="DK4" i="24"/>
  <c r="DK15" i="13"/>
  <c r="DK14" i="46"/>
  <c r="DK4" i="27"/>
  <c r="DK14" i="7"/>
  <c r="DK4" i="45"/>
  <c r="DK4" i="34"/>
  <c r="DM61" i="4"/>
  <c r="DK14" i="26"/>
  <c r="DK4" i="8"/>
  <c r="DK4" i="25"/>
  <c r="L22" i="57"/>
  <c r="M22" i="57" s="1"/>
  <c r="I22" i="57"/>
  <c r="J22" i="57" s="1"/>
  <c r="DB4" i="34"/>
  <c r="DB4" i="25"/>
  <c r="DB4" i="24"/>
  <c r="DB14" i="23"/>
  <c r="DB14" i="7"/>
  <c r="DD61" i="4"/>
  <c r="DB4" i="33"/>
  <c r="DB14" i="26"/>
  <c r="DB4" i="45"/>
  <c r="DB14" i="46"/>
  <c r="DB4" i="27"/>
  <c r="DB4" i="8"/>
  <c r="DB15" i="13"/>
  <c r="HC15" i="13"/>
  <c r="HC14" i="46"/>
  <c r="HC14" i="26"/>
  <c r="HC4" i="45"/>
  <c r="HC4" i="24"/>
  <c r="HC14" i="7"/>
  <c r="HC4" i="27"/>
  <c r="HE61" i="4"/>
  <c r="HC4" i="33"/>
  <c r="HC4" i="25"/>
  <c r="HC4" i="34"/>
  <c r="HC14" i="23"/>
  <c r="HC4" i="8"/>
  <c r="J10" i="57"/>
  <c r="J9" i="57" s="1"/>
  <c r="AB9" i="57" s="1"/>
  <c r="I9" i="57"/>
  <c r="GW4" i="34"/>
  <c r="GW4" i="33"/>
  <c r="GW4" i="24"/>
  <c r="GW4" i="25"/>
  <c r="GW4" i="27"/>
  <c r="GW4" i="8"/>
  <c r="GW14" i="46"/>
  <c r="GY61" i="4"/>
  <c r="GW15" i="13"/>
  <c r="GW14" i="23"/>
  <c r="GW14" i="26"/>
  <c r="GW4" i="45"/>
  <c r="GW14" i="7"/>
  <c r="T4" i="33"/>
  <c r="G33" i="4"/>
  <c r="T4" i="27"/>
  <c r="T4" i="34"/>
  <c r="T14" i="7"/>
  <c r="T14" i="46"/>
  <c r="T4" i="8"/>
  <c r="V61" i="4"/>
  <c r="T15" i="13"/>
  <c r="T14" i="23"/>
  <c r="G64" i="4"/>
  <c r="G66" i="4" s="1"/>
  <c r="T14" i="26"/>
  <c r="T4" i="45"/>
  <c r="T4" i="24"/>
  <c r="T4" i="25"/>
  <c r="V29" i="4"/>
  <c r="Z8" i="1"/>
  <c r="Z9" i="1" s="1"/>
  <c r="CR4" i="33"/>
  <c r="CR4" i="45"/>
  <c r="CT61" i="4"/>
  <c r="CR4" i="25"/>
  <c r="CR4" i="34"/>
  <c r="CR4" i="27"/>
  <c r="CR14" i="26"/>
  <c r="CR14" i="7"/>
  <c r="CR4" i="8"/>
  <c r="CR14" i="23"/>
  <c r="CR4" i="24"/>
  <c r="CR14" i="46"/>
  <c r="CR15" i="13"/>
  <c r="HN4" i="24"/>
  <c r="HN4" i="8"/>
  <c r="HN14" i="26"/>
  <c r="HN14" i="23"/>
  <c r="HN4" i="45"/>
  <c r="HN4" i="34"/>
  <c r="HP61" i="4"/>
  <c r="HN14" i="46"/>
  <c r="HN14" i="7"/>
  <c r="HN4" i="33"/>
  <c r="HN15" i="13"/>
  <c r="HN4" i="27"/>
  <c r="HN4" i="25"/>
  <c r="DY4" i="8"/>
  <c r="DY4" i="24"/>
  <c r="DY4" i="33"/>
  <c r="DY15" i="13"/>
  <c r="DY4" i="27"/>
  <c r="DY14" i="26"/>
  <c r="EA61" i="4"/>
  <c r="DY4" i="45"/>
  <c r="DY14" i="46"/>
  <c r="DY14" i="7"/>
  <c r="DY14" i="23"/>
  <c r="DY4" i="34"/>
  <c r="DY4" i="25"/>
  <c r="IK61" i="4"/>
  <c r="II4" i="27"/>
  <c r="II15" i="13"/>
  <c r="II14" i="46"/>
  <c r="II4" i="45"/>
  <c r="II4" i="33"/>
  <c r="II4" i="34"/>
  <c r="BR14" i="26"/>
  <c r="BR4" i="34"/>
  <c r="BR14" i="46"/>
  <c r="BR4" i="8"/>
  <c r="BR14" i="7"/>
  <c r="BT61" i="4"/>
  <c r="BR4" i="45"/>
  <c r="BR4" i="27"/>
  <c r="BR15" i="13"/>
  <c r="BR4" i="24"/>
  <c r="BR4" i="25"/>
  <c r="BR4" i="33"/>
  <c r="BR14" i="23"/>
  <c r="AB14" i="23"/>
  <c r="AB14" i="26"/>
  <c r="AB4" i="45"/>
  <c r="AB4" i="34"/>
  <c r="AB4" i="25"/>
  <c r="AD61" i="4"/>
  <c r="AB4" i="8"/>
  <c r="AB14" i="46"/>
  <c r="AB14" i="7"/>
  <c r="AB4" i="24"/>
  <c r="AB15" i="13"/>
  <c r="AB4" i="27"/>
  <c r="AB4" i="33"/>
  <c r="FD4" i="8"/>
  <c r="FD4" i="45"/>
  <c r="FD14" i="46"/>
  <c r="FD14" i="26"/>
  <c r="FD14" i="7"/>
  <c r="FD14" i="23"/>
  <c r="FD4" i="25"/>
  <c r="FF61" i="4"/>
  <c r="FD4" i="33"/>
  <c r="FD4" i="27"/>
  <c r="FD4" i="34"/>
  <c r="FD15" i="13"/>
  <c r="FD4" i="24"/>
  <c r="BX14" i="23"/>
  <c r="BX4" i="27"/>
  <c r="BZ61" i="4"/>
  <c r="BX4" i="25"/>
  <c r="BX4" i="45"/>
  <c r="BX4" i="8"/>
  <c r="BX14" i="26"/>
  <c r="BX14" i="46"/>
  <c r="BX4" i="33"/>
  <c r="BX4" i="34"/>
  <c r="BX14" i="7"/>
  <c r="BX4" i="24"/>
  <c r="BX15" i="13"/>
  <c r="CU14" i="46"/>
  <c r="CW61" i="4"/>
  <c r="CU14" i="26"/>
  <c r="CU4" i="34"/>
  <c r="CU14" i="7"/>
  <c r="CU4" i="24"/>
  <c r="CU4" i="25"/>
  <c r="CU4" i="27"/>
  <c r="CU4" i="45"/>
  <c r="CU14" i="23"/>
  <c r="CU4" i="8"/>
  <c r="CU4" i="33"/>
  <c r="CU15" i="13"/>
  <c r="CN4" i="33"/>
  <c r="CN4" i="8"/>
  <c r="CN4" i="25"/>
  <c r="CN14" i="23"/>
  <c r="M64" i="4"/>
  <c r="M66" i="4" s="1"/>
  <c r="CN4" i="27"/>
  <c r="CN15" i="13"/>
  <c r="CP61" i="4"/>
  <c r="CN14" i="46"/>
  <c r="CN4" i="45"/>
  <c r="CN14" i="26"/>
  <c r="CN4" i="24"/>
  <c r="CN14" i="7"/>
  <c r="M33" i="4"/>
  <c r="CN4" i="34"/>
  <c r="BZ14" i="26"/>
  <c r="BZ14" i="46"/>
  <c r="BZ14" i="23"/>
  <c r="BZ4" i="33"/>
  <c r="BZ4" i="45"/>
  <c r="BZ14" i="7"/>
  <c r="BZ4" i="24"/>
  <c r="BZ4" i="34"/>
  <c r="CB61" i="4"/>
  <c r="BZ4" i="25"/>
  <c r="BZ4" i="27"/>
  <c r="BZ4" i="8"/>
  <c r="BZ15" i="13"/>
  <c r="EF4" i="34"/>
  <c r="EF4" i="8"/>
  <c r="EH61" i="4"/>
  <c r="EF15" i="13"/>
  <c r="EF14" i="26"/>
  <c r="EF14" i="46"/>
  <c r="EF4" i="45"/>
  <c r="EF14" i="23"/>
  <c r="EF4" i="27"/>
  <c r="EF14" i="7"/>
  <c r="EF4" i="25"/>
  <c r="EF4" i="33"/>
  <c r="EF4" i="24"/>
  <c r="GV4" i="8"/>
  <c r="GV4" i="24"/>
  <c r="GV14" i="46"/>
  <c r="GV15" i="13"/>
  <c r="GX61" i="4"/>
  <c r="GV4" i="34"/>
  <c r="GV14" i="23"/>
  <c r="GV14" i="26"/>
  <c r="GV4" i="45"/>
  <c r="GV4" i="25"/>
  <c r="GV4" i="27"/>
  <c r="GV4" i="33"/>
  <c r="GV14" i="7"/>
  <c r="HI14" i="23"/>
  <c r="HI14" i="7"/>
  <c r="HI4" i="33"/>
  <c r="HI14" i="46"/>
  <c r="HI4" i="8"/>
  <c r="HK61" i="4"/>
  <c r="HI4" i="27"/>
  <c r="HI4" i="25"/>
  <c r="HI4" i="24"/>
  <c r="HI4" i="45"/>
  <c r="HI14" i="26"/>
  <c r="HI4" i="34"/>
  <c r="HI15" i="13"/>
  <c r="M14" i="23"/>
  <c r="M4" i="45"/>
  <c r="O61" i="4"/>
  <c r="M4" i="8"/>
  <c r="M4" i="27"/>
  <c r="M4" i="24"/>
  <c r="M4" i="34"/>
  <c r="H26" i="20"/>
  <c r="H28" i="20" s="1"/>
  <c r="M14" i="26"/>
  <c r="M15" i="13"/>
  <c r="M14" i="7"/>
  <c r="S8" i="1"/>
  <c r="S9" i="1" s="1"/>
  <c r="M4" i="25"/>
  <c r="M4" i="33"/>
  <c r="O29" i="4"/>
  <c r="CW14" i="7"/>
  <c r="CW4" i="45"/>
  <c r="CY61" i="4"/>
  <c r="CW14" i="46"/>
  <c r="CW15" i="13"/>
  <c r="CW4" i="33"/>
  <c r="CW4" i="8"/>
  <c r="CW4" i="27"/>
  <c r="CW4" i="24"/>
  <c r="CW4" i="25"/>
  <c r="CW4" i="34"/>
  <c r="CW14" i="26"/>
  <c r="CW14" i="23"/>
  <c r="FZ14" i="26"/>
  <c r="FZ14" i="7"/>
  <c r="GB61" i="4"/>
  <c r="FZ4" i="33"/>
  <c r="FZ4" i="34"/>
  <c r="FZ14" i="23"/>
  <c r="FZ4" i="27"/>
  <c r="FZ4" i="24"/>
  <c r="FZ14" i="46"/>
  <c r="FZ15" i="13"/>
  <c r="FZ4" i="45"/>
  <c r="FZ4" i="25"/>
  <c r="FZ4" i="8"/>
  <c r="GI14" i="26"/>
  <c r="GI14" i="23"/>
  <c r="GI4" i="33"/>
  <c r="GI4" i="27"/>
  <c r="GI4" i="8"/>
  <c r="GI14" i="46"/>
  <c r="GI15" i="13"/>
  <c r="GI4" i="24"/>
  <c r="GI14" i="7"/>
  <c r="GI4" i="25"/>
  <c r="GI4" i="34"/>
  <c r="GI4" i="45"/>
  <c r="GK61" i="4"/>
  <c r="AE4" i="24"/>
  <c r="AE14" i="46"/>
  <c r="AG61" i="4"/>
  <c r="AE14" i="26"/>
  <c r="AE4" i="8"/>
  <c r="AE14" i="23"/>
  <c r="AE14" i="7"/>
  <c r="AE15" i="13"/>
  <c r="AE4" i="25"/>
  <c r="AE4" i="33"/>
  <c r="AE4" i="34"/>
  <c r="AE4" i="45"/>
  <c r="AE4" i="27"/>
  <c r="D167" i="57"/>
  <c r="F167" i="57" s="1"/>
  <c r="F166" i="57"/>
  <c r="L21" i="57"/>
  <c r="M21" i="57" s="1"/>
  <c r="I21" i="57"/>
  <c r="J21" i="57" s="1"/>
  <c r="FM61" i="4"/>
  <c r="FK14" i="7"/>
  <c r="FK4" i="33"/>
  <c r="FK4" i="24"/>
  <c r="FK4" i="27"/>
  <c r="FK14" i="46"/>
  <c r="FK14" i="23"/>
  <c r="FK15" i="13"/>
  <c r="FK4" i="25"/>
  <c r="FK4" i="8"/>
  <c r="FK4" i="45"/>
  <c r="FK14" i="26"/>
  <c r="FK4" i="34"/>
  <c r="HJ14" i="46"/>
  <c r="HL61" i="4"/>
  <c r="HJ14" i="23"/>
  <c r="HJ4" i="33"/>
  <c r="HJ4" i="24"/>
  <c r="HJ14" i="7"/>
  <c r="HJ14" i="26"/>
  <c r="HJ4" i="45"/>
  <c r="HJ4" i="34"/>
  <c r="HJ4" i="8"/>
  <c r="HJ4" i="27"/>
  <c r="HJ15" i="13"/>
  <c r="HJ4" i="25"/>
  <c r="GB4" i="25"/>
  <c r="GB4" i="24"/>
  <c r="GB4" i="33"/>
  <c r="GB4" i="34"/>
  <c r="GB4" i="27"/>
  <c r="GB14" i="7"/>
  <c r="GB4" i="45"/>
  <c r="GB14" i="46"/>
  <c r="GB14" i="26"/>
  <c r="GD61" i="4"/>
  <c r="GB15" i="13"/>
  <c r="GB4" i="8"/>
  <c r="GB14" i="23"/>
  <c r="K4" i="27"/>
  <c r="K4" i="25"/>
  <c r="K4" i="45"/>
  <c r="K14" i="23"/>
  <c r="K14" i="26"/>
  <c r="K15" i="13"/>
  <c r="K4" i="33"/>
  <c r="M29" i="4"/>
  <c r="Q8" i="1"/>
  <c r="Q9" i="1" s="1"/>
  <c r="F26" i="20"/>
  <c r="F28" i="20" s="1"/>
  <c r="M61" i="4"/>
  <c r="K4" i="34"/>
  <c r="K14" i="7"/>
  <c r="AK69" i="21"/>
  <c r="K4" i="24"/>
  <c r="K4" i="8"/>
  <c r="BK4" i="34"/>
  <c r="BK4" i="24"/>
  <c r="BK14" i="23"/>
  <c r="BK14" i="26"/>
  <c r="BK4" i="25"/>
  <c r="BK4" i="33"/>
  <c r="BK4" i="45"/>
  <c r="BK14" i="7"/>
  <c r="BK14" i="46"/>
  <c r="BK4" i="8"/>
  <c r="BM61" i="4"/>
  <c r="BK4" i="27"/>
  <c r="BK15" i="13"/>
  <c r="AR4" i="24"/>
  <c r="AR4" i="8"/>
  <c r="AR15" i="13"/>
  <c r="I64" i="4"/>
  <c r="I66" i="4" s="1"/>
  <c r="AR4" i="27"/>
  <c r="AR14" i="26"/>
  <c r="AR14" i="46"/>
  <c r="AR4" i="25"/>
  <c r="AR4" i="33"/>
  <c r="AR4" i="34"/>
  <c r="AR14" i="7"/>
  <c r="AR4" i="45"/>
  <c r="AT61" i="4"/>
  <c r="AR14" i="23"/>
  <c r="I33" i="4"/>
  <c r="DN14" i="7"/>
  <c r="DN4" i="25"/>
  <c r="DN4" i="8"/>
  <c r="DN4" i="24"/>
  <c r="DN4" i="27"/>
  <c r="DN4" i="33"/>
  <c r="DN14" i="23"/>
  <c r="DN4" i="45"/>
  <c r="DN4" i="34"/>
  <c r="DN14" i="26"/>
  <c r="DN14" i="46"/>
  <c r="DP61" i="4"/>
  <c r="DN15" i="13"/>
  <c r="FP14" i="7"/>
  <c r="FP14" i="23"/>
  <c r="FP15" i="13"/>
  <c r="FP4" i="24"/>
  <c r="FP4" i="45"/>
  <c r="FP4" i="33"/>
  <c r="FP14" i="26"/>
  <c r="FP4" i="34"/>
  <c r="FP14" i="46"/>
  <c r="FP4" i="27"/>
  <c r="FP4" i="8"/>
  <c r="FP4" i="25"/>
  <c r="FR61" i="4"/>
  <c r="ER4" i="33"/>
  <c r="ER14" i="7"/>
  <c r="ER15" i="13"/>
  <c r="ER14" i="46"/>
  <c r="ER4" i="8"/>
  <c r="ER4" i="25"/>
  <c r="ER14" i="23"/>
  <c r="ER4" i="27"/>
  <c r="ER14" i="26"/>
  <c r="ER4" i="34"/>
  <c r="ER4" i="45"/>
  <c r="ER4" i="24"/>
  <c r="ET61" i="4"/>
  <c r="HU14" i="23"/>
  <c r="HU14" i="7"/>
  <c r="HU4" i="33"/>
  <c r="HU4" i="27"/>
  <c r="HU14" i="26"/>
  <c r="HU4" i="24"/>
  <c r="HU4" i="34"/>
  <c r="HU4" i="8"/>
  <c r="HW61" i="4"/>
  <c r="HU15" i="13"/>
  <c r="HU4" i="45"/>
  <c r="HU4" i="25"/>
  <c r="HU14" i="46"/>
  <c r="GF14" i="23"/>
  <c r="GF4" i="8"/>
  <c r="GF4" i="33"/>
  <c r="GF14" i="7"/>
  <c r="GF15" i="13"/>
  <c r="U64" i="4"/>
  <c r="U66" i="4" s="1"/>
  <c r="GF4" i="27"/>
  <c r="GF4" i="24"/>
  <c r="GF4" i="34"/>
  <c r="U33" i="4"/>
  <c r="GF14" i="46"/>
  <c r="GF14" i="26"/>
  <c r="GF4" i="25"/>
  <c r="GF4" i="45"/>
  <c r="GH61" i="4"/>
  <c r="AO69" i="21"/>
  <c r="N61" i="4"/>
  <c r="L4" i="27"/>
  <c r="L15" i="13"/>
  <c r="G26" i="20"/>
  <c r="G28" i="20" s="1"/>
  <c r="L4" i="8"/>
  <c r="L4" i="25"/>
  <c r="L14" i="26"/>
  <c r="L4" i="33"/>
  <c r="L4" i="24"/>
  <c r="R8" i="1"/>
  <c r="R9" i="1" s="1"/>
  <c r="L14" i="23"/>
  <c r="L4" i="34"/>
  <c r="N29" i="4"/>
  <c r="L4" i="45"/>
  <c r="L14" i="7"/>
  <c r="HD4" i="24"/>
  <c r="HD14" i="23"/>
  <c r="HD4" i="27"/>
  <c r="HF61" i="4"/>
  <c r="W33" i="4"/>
  <c r="HD14" i="46"/>
  <c r="HD4" i="25"/>
  <c r="HD4" i="8"/>
  <c r="HD15" i="13"/>
  <c r="W64" i="4"/>
  <c r="W66" i="4" s="1"/>
  <c r="HD4" i="34"/>
  <c r="HD4" i="33"/>
  <c r="HD4" i="45"/>
  <c r="HD14" i="26"/>
  <c r="HD14" i="7"/>
  <c r="AQ4" i="27"/>
  <c r="AQ14" i="46"/>
  <c r="AQ4" i="24"/>
  <c r="AQ14" i="7"/>
  <c r="AQ4" i="25"/>
  <c r="AQ14" i="23"/>
  <c r="AQ4" i="34"/>
  <c r="AQ14" i="26"/>
  <c r="AQ4" i="33"/>
  <c r="AQ4" i="8"/>
  <c r="AS61" i="4"/>
  <c r="AQ15" i="13"/>
  <c r="AQ4" i="45"/>
  <c r="HR14" i="23"/>
  <c r="HR4" i="34"/>
  <c r="HR4" i="25"/>
  <c r="HR4" i="8"/>
  <c r="HR14" i="7"/>
  <c r="HR4" i="45"/>
  <c r="HR14" i="46"/>
  <c r="HR15" i="13"/>
  <c r="HR14" i="26"/>
  <c r="HR4" i="27"/>
  <c r="HR4" i="33"/>
  <c r="HR4" i="24"/>
  <c r="HT61" i="4"/>
  <c r="BO4" i="33"/>
  <c r="BO4" i="34"/>
  <c r="BO4" i="27"/>
  <c r="BO14" i="46"/>
  <c r="BO4" i="25"/>
  <c r="BQ61" i="4"/>
  <c r="BO15" i="13"/>
  <c r="BO4" i="45"/>
  <c r="BO14" i="26"/>
  <c r="BO4" i="8"/>
  <c r="BO14" i="7"/>
  <c r="BO4" i="24"/>
  <c r="BO14" i="23"/>
  <c r="BY4" i="34"/>
  <c r="BY4" i="8"/>
  <c r="BY4" i="27"/>
  <c r="CA61" i="4"/>
  <c r="BY14" i="23"/>
  <c r="BY4" i="24"/>
  <c r="BY4" i="25"/>
  <c r="BY14" i="46"/>
  <c r="BY14" i="7"/>
  <c r="BY15" i="13"/>
  <c r="BY4" i="33"/>
  <c r="BY4" i="45"/>
  <c r="BY14" i="26"/>
  <c r="AA4" i="25"/>
  <c r="AC61" i="4"/>
  <c r="AA4" i="8"/>
  <c r="AA4" i="33"/>
  <c r="AA4" i="45"/>
  <c r="AA14" i="26"/>
  <c r="AA14" i="7"/>
  <c r="AA4" i="34"/>
  <c r="AA14" i="23"/>
  <c r="AA15" i="13"/>
  <c r="AA4" i="27"/>
  <c r="AA4" i="24"/>
  <c r="AA14" i="46"/>
  <c r="EK15" i="13"/>
  <c r="EK4" i="24"/>
  <c r="EK4" i="27"/>
  <c r="EK4" i="33"/>
  <c r="EK4" i="8"/>
  <c r="EM61" i="4"/>
  <c r="EK4" i="34"/>
  <c r="EK4" i="25"/>
  <c r="EK4" i="45"/>
  <c r="EK14" i="7"/>
  <c r="EK14" i="23"/>
  <c r="EK14" i="26"/>
  <c r="EK14" i="46"/>
  <c r="CV14" i="7"/>
  <c r="CV15" i="13"/>
  <c r="CV4" i="27"/>
  <c r="CV14" i="26"/>
  <c r="CV4" i="25"/>
  <c r="CV4" i="8"/>
  <c r="CV4" i="45"/>
  <c r="CV4" i="24"/>
  <c r="CV4" i="34"/>
  <c r="CX61" i="4"/>
  <c r="CV14" i="23"/>
  <c r="CV14" i="46"/>
  <c r="CV4" i="33"/>
  <c r="IJ4" i="45"/>
  <c r="IJ15" i="13"/>
  <c r="IJ4" i="27"/>
  <c r="IJ14" i="46"/>
  <c r="IJ4" i="34"/>
  <c r="IJ4" i="33"/>
  <c r="IL61" i="4"/>
  <c r="FJ14" i="46"/>
  <c r="FJ4" i="45"/>
  <c r="FJ4" i="34"/>
  <c r="FJ4" i="27"/>
  <c r="FJ4" i="8"/>
  <c r="FJ4" i="25"/>
  <c r="FJ14" i="7"/>
  <c r="FL61" i="4"/>
  <c r="FJ14" i="23"/>
  <c r="FJ4" i="24"/>
  <c r="FJ15" i="13"/>
  <c r="FJ4" i="33"/>
  <c r="FJ14" i="26"/>
  <c r="HB14" i="7"/>
  <c r="HB4" i="8"/>
  <c r="HB14" i="23"/>
  <c r="HB14" i="26"/>
  <c r="HB14" i="46"/>
  <c r="HB4" i="34"/>
  <c r="HB4" i="24"/>
  <c r="HB4" i="27"/>
  <c r="HD61" i="4"/>
  <c r="HB15" i="13"/>
  <c r="HB4" i="33"/>
  <c r="HB4" i="45"/>
  <c r="HB4" i="25"/>
  <c r="AD4" i="8"/>
  <c r="AD4" i="25"/>
  <c r="AD4" i="34"/>
  <c r="AD15" i="13"/>
  <c r="AD14" i="46"/>
  <c r="AD14" i="26"/>
  <c r="AD4" i="33"/>
  <c r="AD4" i="27"/>
  <c r="AD14" i="23"/>
  <c r="AD4" i="45"/>
  <c r="AD4" i="24"/>
  <c r="AD14" i="7"/>
  <c r="AF61" i="4"/>
  <c r="AX4" i="8"/>
  <c r="AX14" i="23"/>
  <c r="AX4" i="33"/>
  <c r="AZ61" i="4"/>
  <c r="AX14" i="7"/>
  <c r="AX4" i="24"/>
  <c r="AX14" i="26"/>
  <c r="AX14" i="46"/>
  <c r="AX4" i="45"/>
  <c r="AX4" i="25"/>
  <c r="AX15" i="13"/>
  <c r="AX4" i="27"/>
  <c r="AX4" i="34"/>
  <c r="GC14" i="7"/>
  <c r="GC4" i="34"/>
  <c r="GC4" i="33"/>
  <c r="GC4" i="25"/>
  <c r="GC15" i="13"/>
  <c r="GC14" i="26"/>
  <c r="GC4" i="45"/>
  <c r="GC4" i="27"/>
  <c r="GE61" i="4"/>
  <c r="GC14" i="46"/>
  <c r="GC4" i="24"/>
  <c r="GC4" i="8"/>
  <c r="GC14" i="23"/>
  <c r="AU14" i="46"/>
  <c r="AU4" i="27"/>
  <c r="AU14" i="26"/>
  <c r="AU4" i="25"/>
  <c r="AU4" i="33"/>
  <c r="AU4" i="8"/>
  <c r="AU4" i="45"/>
  <c r="AW61" i="4"/>
  <c r="AU4" i="24"/>
  <c r="AU14" i="7"/>
  <c r="AU4" i="34"/>
  <c r="AU14" i="23"/>
  <c r="AU15" i="13"/>
  <c r="HY4" i="24"/>
  <c r="HY4" i="34"/>
  <c r="HY4" i="8"/>
  <c r="HY15" i="13"/>
  <c r="HY4" i="33"/>
  <c r="HY14" i="26"/>
  <c r="HY4" i="27"/>
  <c r="HY14" i="7"/>
  <c r="HY14" i="23"/>
  <c r="IA61" i="4"/>
  <c r="HY4" i="45"/>
  <c r="HY14" i="46"/>
  <c r="HY4" i="25"/>
  <c r="DR4" i="27"/>
  <c r="DR4" i="24"/>
  <c r="DR4" i="45"/>
  <c r="DR14" i="7"/>
  <c r="DR4" i="25"/>
  <c r="DR14" i="26"/>
  <c r="DR14" i="46"/>
  <c r="DR14" i="23"/>
  <c r="DR4" i="33"/>
  <c r="DT61" i="4"/>
  <c r="DR15" i="13"/>
  <c r="DR4" i="34"/>
  <c r="DR4" i="8"/>
  <c r="BP4" i="45"/>
  <c r="BR61" i="4"/>
  <c r="BP4" i="8"/>
  <c r="BP14" i="23"/>
  <c r="BP14" i="26"/>
  <c r="BP14" i="46"/>
  <c r="BP4" i="24"/>
  <c r="BP14" i="7"/>
  <c r="BP4" i="33"/>
  <c r="K64" i="4"/>
  <c r="K66" i="4" s="1"/>
  <c r="BP4" i="27"/>
  <c r="BP15" i="13"/>
  <c r="K33" i="4"/>
  <c r="BP4" i="25"/>
  <c r="BP4" i="34"/>
  <c r="DC4" i="34"/>
  <c r="DE61" i="4"/>
  <c r="DC14" i="46"/>
  <c r="DC4" i="8"/>
  <c r="DC14" i="26"/>
  <c r="DC4" i="33"/>
  <c r="DC4" i="27"/>
  <c r="DC15" i="13"/>
  <c r="DC4" i="25"/>
  <c r="DC14" i="7"/>
  <c r="DC4" i="24"/>
  <c r="DC14" i="23"/>
  <c r="DC4" i="45"/>
  <c r="AG14" i="46"/>
  <c r="AG15" i="13"/>
  <c r="AG4" i="33"/>
  <c r="AI61" i="4"/>
  <c r="AG4" i="45"/>
  <c r="AG14" i="26"/>
  <c r="AG4" i="24"/>
  <c r="AG4" i="34"/>
  <c r="AG4" i="27"/>
  <c r="AG14" i="7"/>
  <c r="AG4" i="25"/>
  <c r="AG14" i="23"/>
  <c r="AG4" i="8"/>
  <c r="EE4" i="45"/>
  <c r="EE14" i="26"/>
  <c r="EE4" i="25"/>
  <c r="EE4" i="8"/>
  <c r="EE4" i="33"/>
  <c r="EE4" i="34"/>
  <c r="EE4" i="27"/>
  <c r="EG61" i="4"/>
  <c r="EE4" i="24"/>
  <c r="EE14" i="46"/>
  <c r="EE14" i="7"/>
  <c r="EE14" i="23"/>
  <c r="EE15" i="13"/>
  <c r="CI14" i="46"/>
  <c r="CI4" i="25"/>
  <c r="CI14" i="23"/>
  <c r="CI14" i="26"/>
  <c r="CI14" i="7"/>
  <c r="CI4" i="33"/>
  <c r="CI4" i="27"/>
  <c r="CI4" i="24"/>
  <c r="CK61" i="4"/>
  <c r="CI15" i="13"/>
  <c r="CI4" i="8"/>
  <c r="CI4" i="45"/>
  <c r="CI4" i="34"/>
  <c r="O14" i="26"/>
  <c r="O4" i="24"/>
  <c r="O14" i="23"/>
  <c r="J26" i="20"/>
  <c r="J28" i="20" s="1"/>
  <c r="O4" i="33"/>
  <c r="Q29" i="4"/>
  <c r="Q61" i="4"/>
  <c r="O4" i="25"/>
  <c r="O4" i="45"/>
  <c r="O4" i="27"/>
  <c r="O14" i="7"/>
  <c r="O4" i="34"/>
  <c r="O15" i="13"/>
  <c r="O4" i="8"/>
  <c r="U8" i="1"/>
  <c r="U9" i="1" s="1"/>
  <c r="DO4" i="24"/>
  <c r="DO4" i="33"/>
  <c r="DO14" i="23"/>
  <c r="DO14" i="46"/>
  <c r="DO4" i="45"/>
  <c r="DO4" i="27"/>
  <c r="DO4" i="34"/>
  <c r="DO14" i="7"/>
  <c r="DO15" i="13"/>
  <c r="DO14" i="26"/>
  <c r="DO4" i="25"/>
  <c r="DO4" i="8"/>
  <c r="DQ61" i="4"/>
  <c r="GJ4" i="25"/>
  <c r="GJ14" i="46"/>
  <c r="GJ4" i="45"/>
  <c r="GJ4" i="27"/>
  <c r="GJ4" i="24"/>
  <c r="GJ14" i="7"/>
  <c r="GJ4" i="8"/>
  <c r="GJ4" i="34"/>
  <c r="GL61" i="4"/>
  <c r="GJ15" i="13"/>
  <c r="GJ14" i="26"/>
  <c r="GJ4" i="33"/>
  <c r="GJ14" i="23"/>
  <c r="GR14" i="46"/>
  <c r="GR14" i="23"/>
  <c r="GR4" i="45"/>
  <c r="GR14" i="26"/>
  <c r="GR15" i="13"/>
  <c r="GR14" i="7"/>
  <c r="GR4" i="24"/>
  <c r="GT61" i="4"/>
  <c r="V64" i="4"/>
  <c r="V66" i="4" s="1"/>
  <c r="GR4" i="33"/>
  <c r="GR4" i="25"/>
  <c r="GR4" i="34"/>
  <c r="GR4" i="27"/>
  <c r="V33" i="4"/>
  <c r="GR4" i="8"/>
  <c r="BF4" i="33"/>
  <c r="BF4" i="27"/>
  <c r="BF14" i="26"/>
  <c r="BF14" i="23"/>
  <c r="BF4" i="8"/>
  <c r="BF14" i="7"/>
  <c r="BF4" i="25"/>
  <c r="BF14" i="46"/>
  <c r="BH61" i="4"/>
  <c r="BF15" i="13"/>
  <c r="BF4" i="45"/>
  <c r="BF4" i="24"/>
  <c r="BF4" i="34"/>
  <c r="BB15" i="13"/>
  <c r="BB4" i="27"/>
  <c r="BD61" i="4"/>
  <c r="BB14" i="26"/>
  <c r="BB4" i="24"/>
  <c r="BB4" i="45"/>
  <c r="BB4" i="25"/>
  <c r="BB4" i="8"/>
  <c r="BB14" i="23"/>
  <c r="BB14" i="7"/>
  <c r="BB4" i="34"/>
  <c r="BB4" i="33"/>
  <c r="BB14" i="46"/>
  <c r="I85" i="57"/>
  <c r="J85" i="57" s="1"/>
  <c r="L85" i="57"/>
  <c r="M85" i="57" s="1"/>
  <c r="I19" i="57"/>
  <c r="L19" i="57"/>
  <c r="M19" i="57" s="1"/>
  <c r="L84" i="57"/>
  <c r="M84" i="57" s="1"/>
  <c r="I84" i="57"/>
  <c r="J84" i="57" s="1"/>
  <c r="GX4" i="24"/>
  <c r="GX15" i="13"/>
  <c r="GX14" i="23"/>
  <c r="GX14" i="7"/>
  <c r="GX4" i="25"/>
  <c r="GX4" i="33"/>
  <c r="GX4" i="8"/>
  <c r="GX4" i="45"/>
  <c r="GZ61" i="4"/>
  <c r="GX14" i="46"/>
  <c r="GX4" i="27"/>
  <c r="GX14" i="26"/>
  <c r="GX4" i="34"/>
  <c r="X64" i="4"/>
  <c r="X66" i="4" s="1"/>
  <c r="HR61" i="4"/>
  <c r="HP4" i="45"/>
  <c r="X33" i="4"/>
  <c r="HP14" i="26"/>
  <c r="HP4" i="34"/>
  <c r="HP4" i="27"/>
  <c r="HP14" i="46"/>
  <c r="HP4" i="24"/>
  <c r="HP4" i="8"/>
  <c r="HP4" i="25"/>
  <c r="HP15" i="13"/>
  <c r="HP14" i="23"/>
  <c r="HP14" i="7"/>
  <c r="HP4" i="33"/>
  <c r="BW14" i="7"/>
  <c r="BY61" i="4"/>
  <c r="BW4" i="34"/>
  <c r="BW14" i="46"/>
  <c r="BW14" i="26"/>
  <c r="BW4" i="24"/>
  <c r="BW4" i="45"/>
  <c r="BW4" i="33"/>
  <c r="BW4" i="27"/>
  <c r="BW4" i="25"/>
  <c r="BW4" i="8"/>
  <c r="BW15" i="13"/>
  <c r="BW14" i="23"/>
  <c r="FX4" i="25"/>
  <c r="FX14" i="46"/>
  <c r="FX4" i="34"/>
  <c r="FX4" i="24"/>
  <c r="FX4" i="8"/>
  <c r="FX14" i="7"/>
  <c r="FX4" i="27"/>
  <c r="FX14" i="23"/>
  <c r="FX4" i="33"/>
  <c r="FZ61" i="4"/>
  <c r="FX14" i="26"/>
  <c r="FX15" i="13"/>
  <c r="FX4" i="45"/>
  <c r="GL14" i="23"/>
  <c r="GL4" i="34"/>
  <c r="GL14" i="46"/>
  <c r="GN61" i="4"/>
  <c r="GL4" i="25"/>
  <c r="GL14" i="7"/>
  <c r="GL4" i="27"/>
  <c r="GL4" i="24"/>
  <c r="GL4" i="45"/>
  <c r="GL14" i="26"/>
  <c r="GL4" i="8"/>
  <c r="GL15" i="13"/>
  <c r="GL4" i="33"/>
  <c r="GH4" i="33"/>
  <c r="GH14" i="7"/>
  <c r="GH4" i="27"/>
  <c r="GH4" i="45"/>
  <c r="GH14" i="46"/>
  <c r="GH15" i="13"/>
  <c r="GJ61" i="4"/>
  <c r="GH14" i="23"/>
  <c r="GH4" i="25"/>
  <c r="GH4" i="24"/>
  <c r="GH14" i="26"/>
  <c r="GH4" i="34"/>
  <c r="GH4" i="8"/>
  <c r="BU14" i="7"/>
  <c r="BU4" i="24"/>
  <c r="BU4" i="34"/>
  <c r="BU4" i="27"/>
  <c r="BU14" i="46"/>
  <c r="BU4" i="33"/>
  <c r="BU15" i="13"/>
  <c r="BW61" i="4"/>
  <c r="BU4" i="25"/>
  <c r="BU4" i="8"/>
  <c r="BU4" i="45"/>
  <c r="BU14" i="23"/>
  <c r="BU14" i="26"/>
  <c r="CC14" i="7"/>
  <c r="CC15" i="13"/>
  <c r="CC4" i="27"/>
  <c r="CC4" i="24"/>
  <c r="CC4" i="45"/>
  <c r="CC4" i="8"/>
  <c r="CE61" i="4"/>
  <c r="CC4" i="33"/>
  <c r="CC14" i="46"/>
  <c r="CC4" i="34"/>
  <c r="CC4" i="25"/>
  <c r="CC14" i="26"/>
  <c r="CC14" i="23"/>
  <c r="FI14" i="7"/>
  <c r="FI14" i="26"/>
  <c r="FI4" i="34"/>
  <c r="FK61" i="4"/>
  <c r="FI4" i="25"/>
  <c r="FI4" i="27"/>
  <c r="FI4" i="33"/>
  <c r="FI14" i="46"/>
  <c r="FI14" i="23"/>
  <c r="FI4" i="45"/>
  <c r="FI4" i="24"/>
  <c r="FI4" i="8"/>
  <c r="FI15" i="13"/>
  <c r="GY15" i="13"/>
  <c r="GY4" i="24"/>
  <c r="GY4" i="8"/>
  <c r="GY4" i="34"/>
  <c r="GY4" i="33"/>
  <c r="GY14" i="26"/>
  <c r="GY4" i="27"/>
  <c r="GY4" i="45"/>
  <c r="GY14" i="7"/>
  <c r="HA61" i="4"/>
  <c r="GY14" i="23"/>
  <c r="GY14" i="46"/>
  <c r="GY4" i="25"/>
  <c r="AS14" i="23"/>
  <c r="AS4" i="34"/>
  <c r="AS15" i="13"/>
  <c r="AS14" i="7"/>
  <c r="AS4" i="33"/>
  <c r="AS4" i="25"/>
  <c r="AS4" i="45"/>
  <c r="AS4" i="24"/>
  <c r="AS14" i="46"/>
  <c r="AS4" i="27"/>
  <c r="AS14" i="26"/>
  <c r="AU61" i="4"/>
  <c r="AS4" i="8"/>
  <c r="DT4" i="24"/>
  <c r="DT4" i="25"/>
  <c r="DT4" i="34"/>
  <c r="DV61" i="4"/>
  <c r="DT4" i="45"/>
  <c r="DT4" i="8"/>
  <c r="DT14" i="23"/>
  <c r="DT15" i="13"/>
  <c r="DT14" i="7"/>
  <c r="DT14" i="46"/>
  <c r="DT4" i="33"/>
  <c r="DT14" i="26"/>
  <c r="DT4" i="27"/>
  <c r="EO14" i="23"/>
  <c r="EO14" i="7"/>
  <c r="EO4" i="45"/>
  <c r="EO14" i="46"/>
  <c r="EO4" i="8"/>
  <c r="EO4" i="24"/>
  <c r="EO4" i="34"/>
  <c r="EQ61" i="4"/>
  <c r="EO4" i="25"/>
  <c r="EO4" i="33"/>
  <c r="EO4" i="27"/>
  <c r="EO14" i="26"/>
  <c r="EO15" i="13"/>
  <c r="BN61" i="4"/>
  <c r="BL14" i="26"/>
  <c r="BL4" i="45"/>
  <c r="BL4" i="8"/>
  <c r="BL4" i="27"/>
  <c r="BL4" i="24"/>
  <c r="BL15" i="13"/>
  <c r="BL14" i="46"/>
  <c r="BL14" i="7"/>
  <c r="BL4" i="33"/>
  <c r="BL4" i="25"/>
  <c r="BL14" i="23"/>
  <c r="BL4" i="34"/>
  <c r="FO4" i="24"/>
  <c r="FO4" i="33"/>
  <c r="FO4" i="27"/>
  <c r="FO14" i="23"/>
  <c r="FO14" i="26"/>
  <c r="FO4" i="8"/>
  <c r="FO4" i="25"/>
  <c r="FO14" i="7"/>
  <c r="FO15" i="13"/>
  <c r="FO14" i="46"/>
  <c r="FO4" i="45"/>
  <c r="FO4" i="34"/>
  <c r="FQ61" i="4"/>
  <c r="DD4" i="45"/>
  <c r="DD4" i="8"/>
  <c r="DD4" i="33"/>
  <c r="DF61" i="4"/>
  <c r="DD15" i="13"/>
  <c r="DD4" i="25"/>
  <c r="DD14" i="46"/>
  <c r="DD4" i="27"/>
  <c r="DD4" i="24"/>
  <c r="DD14" i="26"/>
  <c r="DD14" i="23"/>
  <c r="DD14" i="7"/>
  <c r="DD4" i="34"/>
  <c r="CM15" i="13"/>
  <c r="CM14" i="7"/>
  <c r="CM4" i="34"/>
  <c r="CM4" i="45"/>
  <c r="CM4" i="27"/>
  <c r="CM4" i="8"/>
  <c r="CM14" i="26"/>
  <c r="CO61" i="4"/>
  <c r="CM14" i="23"/>
  <c r="CM4" i="33"/>
  <c r="CM4" i="24"/>
  <c r="CM4" i="25"/>
  <c r="CM14" i="46"/>
  <c r="AN4" i="27"/>
  <c r="AN14" i="23"/>
  <c r="AN14" i="7"/>
  <c r="AN4" i="34"/>
  <c r="AN4" i="33"/>
  <c r="AN4" i="8"/>
  <c r="AN4" i="45"/>
  <c r="AN15" i="13"/>
  <c r="AN14" i="46"/>
  <c r="AN14" i="26"/>
  <c r="AN4" i="25"/>
  <c r="AN4" i="24"/>
  <c r="AP61" i="4"/>
  <c r="M142" i="57"/>
  <c r="M141" i="57" s="1"/>
  <c r="L141" i="57"/>
  <c r="L68" i="57"/>
  <c r="M68" i="57" s="1"/>
  <c r="I68" i="57"/>
  <c r="J68" i="57" s="1"/>
  <c r="B116" i="4"/>
  <c r="E29" i="4"/>
  <c r="C4" i="25"/>
  <c r="B61" i="4"/>
  <c r="B115" i="4"/>
  <c r="B8" i="4"/>
  <c r="B28" i="4" s="1"/>
  <c r="C28" i="4" s="1"/>
  <c r="E61" i="4"/>
  <c r="E64" i="4"/>
  <c r="C14" i="23"/>
  <c r="D31" i="23" s="1"/>
  <c r="C4" i="33"/>
  <c r="D2" i="21"/>
  <c r="B93" i="4"/>
  <c r="C4" i="34"/>
  <c r="B94" i="4"/>
  <c r="C4" i="8"/>
  <c r="C14" i="26"/>
  <c r="D31" i="26" s="1"/>
  <c r="E69" i="21"/>
  <c r="C4" i="24"/>
  <c r="E33" i="4"/>
  <c r="E35" i="4" s="1"/>
  <c r="BS14" i="23"/>
  <c r="BS15" i="13"/>
  <c r="BS14" i="26"/>
  <c r="BS4" i="27"/>
  <c r="BS14" i="46"/>
  <c r="BU61" i="4"/>
  <c r="BS4" i="8"/>
  <c r="BS4" i="34"/>
  <c r="BS14" i="7"/>
  <c r="BS4" i="33"/>
  <c r="BS4" i="45"/>
  <c r="BS4" i="24"/>
  <c r="BS4" i="25"/>
  <c r="GA4" i="33"/>
  <c r="GA14" i="23"/>
  <c r="GA4" i="34"/>
  <c r="GA4" i="25"/>
  <c r="GA14" i="26"/>
  <c r="GA4" i="8"/>
  <c r="GA4" i="45"/>
  <c r="GA15" i="13"/>
  <c r="GA4" i="27"/>
  <c r="GA14" i="46"/>
  <c r="GA14" i="7"/>
  <c r="GC61" i="4"/>
  <c r="GA4" i="24"/>
  <c r="IK4" i="33"/>
  <c r="IM61" i="4"/>
  <c r="IK14" i="46"/>
  <c r="IK4" i="27"/>
  <c r="IK4" i="45"/>
  <c r="IK4" i="34"/>
  <c r="IK15" i="13"/>
  <c r="EL14" i="46"/>
  <c r="EL15" i="13"/>
  <c r="EN61" i="4"/>
  <c r="EL4" i="8"/>
  <c r="EL14" i="23"/>
  <c r="EL4" i="45"/>
  <c r="EL4" i="34"/>
  <c r="EL4" i="33"/>
  <c r="EL14" i="7"/>
  <c r="EL4" i="25"/>
  <c r="EL4" i="27"/>
  <c r="EL14" i="26"/>
  <c r="EL4" i="24"/>
  <c r="EV14" i="7"/>
  <c r="EV4" i="8"/>
  <c r="EV4" i="27"/>
  <c r="R64" i="4"/>
  <c r="R66" i="4" s="1"/>
  <c r="EV4" i="45"/>
  <c r="EX61" i="4"/>
  <c r="R33" i="4"/>
  <c r="EV15" i="13"/>
  <c r="EV14" i="23"/>
  <c r="EV14" i="46"/>
  <c r="EV4" i="34"/>
  <c r="EV14" i="26"/>
  <c r="EV4" i="25"/>
  <c r="EV4" i="33"/>
  <c r="EV4" i="24"/>
  <c r="I4" i="24"/>
  <c r="I4" i="33"/>
  <c r="I14" i="26"/>
  <c r="I4" i="25"/>
  <c r="I14" i="23"/>
  <c r="AC69" i="21"/>
  <c r="I4" i="8"/>
  <c r="I4" i="34"/>
  <c r="I14" i="7"/>
  <c r="D26" i="20"/>
  <c r="D28" i="20" s="1"/>
  <c r="I15" i="13"/>
  <c r="O8" i="1"/>
  <c r="O9" i="1" s="1"/>
  <c r="K29" i="4"/>
  <c r="K61" i="4"/>
  <c r="HQ4" i="27"/>
  <c r="HQ14" i="23"/>
  <c r="HQ4" i="33"/>
  <c r="HS61" i="4"/>
  <c r="HQ14" i="7"/>
  <c r="HQ4" i="34"/>
  <c r="HQ4" i="8"/>
  <c r="HQ14" i="26"/>
  <c r="HQ4" i="45"/>
  <c r="HQ4" i="24"/>
  <c r="HQ15" i="13"/>
  <c r="HQ14" i="46"/>
  <c r="HQ4" i="25"/>
  <c r="BD14" i="23"/>
  <c r="BD4" i="25"/>
  <c r="BD4" i="34"/>
  <c r="BD14" i="26"/>
  <c r="BD14" i="46"/>
  <c r="BD15" i="13"/>
  <c r="J33" i="4"/>
  <c r="BD4" i="45"/>
  <c r="BD4" i="24"/>
  <c r="BD14" i="7"/>
  <c r="BF61" i="4"/>
  <c r="J64" i="4"/>
  <c r="J66" i="4" s="1"/>
  <c r="BD4" i="27"/>
  <c r="BD4" i="8"/>
  <c r="BD4" i="33"/>
  <c r="BG15" i="13"/>
  <c r="BG4" i="25"/>
  <c r="BG4" i="45"/>
  <c r="BG14" i="46"/>
  <c r="BG4" i="8"/>
  <c r="BG4" i="33"/>
  <c r="BG4" i="34"/>
  <c r="BG4" i="27"/>
  <c r="BG4" i="24"/>
  <c r="BI61" i="4"/>
  <c r="BG14" i="23"/>
  <c r="BG14" i="7"/>
  <c r="BG14" i="26"/>
  <c r="ES14" i="23"/>
  <c r="ES4" i="8"/>
  <c r="ES14" i="26"/>
  <c r="ES4" i="25"/>
  <c r="ES4" i="33"/>
  <c r="EU61" i="4"/>
  <c r="ES15" i="13"/>
  <c r="ES4" i="24"/>
  <c r="ES4" i="34"/>
  <c r="ES4" i="45"/>
  <c r="ES14" i="7"/>
  <c r="ES4" i="27"/>
  <c r="ES14" i="46"/>
  <c r="F4" i="33"/>
  <c r="G8" i="33" s="1"/>
  <c r="G12" i="33" s="1"/>
  <c r="F14" i="23"/>
  <c r="G31" i="23" s="1"/>
  <c r="F4" i="8"/>
  <c r="G8" i="8" s="1"/>
  <c r="G12" i="8" s="1"/>
  <c r="F4" i="34"/>
  <c r="G8" i="34" s="1"/>
  <c r="G12" i="34" s="1"/>
  <c r="F4" i="25"/>
  <c r="G8" i="25" s="1"/>
  <c r="G12" i="25" s="1"/>
  <c r="F14" i="26"/>
  <c r="G31" i="26" s="1"/>
  <c r="H61" i="4"/>
  <c r="F4" i="24"/>
  <c r="G8" i="24" s="1"/>
  <c r="G12" i="24" s="1"/>
  <c r="H29" i="4"/>
  <c r="Q69" i="21"/>
  <c r="R61" i="4"/>
  <c r="V8" i="1"/>
  <c r="V9" i="1" s="1"/>
  <c r="R29" i="4"/>
  <c r="P4" i="25"/>
  <c r="P4" i="45"/>
  <c r="K26" i="20"/>
  <c r="K28" i="20" s="1"/>
  <c r="P15" i="13"/>
  <c r="AS69" i="21"/>
  <c r="P4" i="27"/>
  <c r="P4" i="34"/>
  <c r="P14" i="23"/>
  <c r="P4" i="24"/>
  <c r="P4" i="8"/>
  <c r="P14" i="26"/>
  <c r="P4" i="33"/>
  <c r="P14" i="7"/>
  <c r="EA14" i="7"/>
  <c r="EA4" i="25"/>
  <c r="EA14" i="26"/>
  <c r="EA4" i="24"/>
  <c r="EC61" i="4"/>
  <c r="EA4" i="34"/>
  <c r="EA14" i="46"/>
  <c r="EA15" i="13"/>
  <c r="EA4" i="45"/>
  <c r="EA4" i="8"/>
  <c r="EA14" i="23"/>
  <c r="EA4" i="33"/>
  <c r="EA4" i="27"/>
  <c r="E4" i="33"/>
  <c r="F8" i="33" s="1"/>
  <c r="F12" i="33" s="1"/>
  <c r="E4" i="24"/>
  <c r="F8" i="24" s="1"/>
  <c r="F12" i="24" s="1"/>
  <c r="E4" i="25"/>
  <c r="F8" i="25" s="1"/>
  <c r="F12" i="25" s="1"/>
  <c r="G29" i="4"/>
  <c r="G61" i="4"/>
  <c r="M69" i="21"/>
  <c r="E14" i="26"/>
  <c r="F31" i="26" s="1"/>
  <c r="E14" i="23"/>
  <c r="F31" i="23" s="1"/>
  <c r="E4" i="34"/>
  <c r="F8" i="34" s="1"/>
  <c r="F12" i="34" s="1"/>
  <c r="E4" i="8"/>
  <c r="F8" i="8" s="1"/>
  <c r="F12" i="8" s="1"/>
  <c r="I141" i="57"/>
  <c r="J142" i="57"/>
  <c r="J141" i="57" s="1"/>
  <c r="L55" i="57"/>
  <c r="I55" i="57"/>
  <c r="CS4" i="25"/>
  <c r="CS4" i="24"/>
  <c r="CS4" i="33"/>
  <c r="CS4" i="27"/>
  <c r="CS14" i="46"/>
  <c r="CS14" i="23"/>
  <c r="CS15" i="13"/>
  <c r="CS14" i="26"/>
  <c r="CS4" i="8"/>
  <c r="CS4" i="34"/>
  <c r="CS14" i="7"/>
  <c r="CU61" i="4"/>
  <c r="CS4" i="45"/>
  <c r="CN61" i="4"/>
  <c r="CL14" i="46"/>
  <c r="CL14" i="26"/>
  <c r="CL4" i="8"/>
  <c r="CL14" i="23"/>
  <c r="CL4" i="25"/>
  <c r="CL4" i="33"/>
  <c r="CL4" i="45"/>
  <c r="CL14" i="7"/>
  <c r="CL4" i="24"/>
  <c r="CL15" i="13"/>
  <c r="CL4" i="34"/>
  <c r="CL4" i="27"/>
  <c r="FC4" i="45"/>
  <c r="FE61" i="4"/>
  <c r="FC4" i="24"/>
  <c r="FC14" i="7"/>
  <c r="FC4" i="27"/>
  <c r="FC14" i="26"/>
  <c r="FC14" i="23"/>
  <c r="FC4" i="25"/>
  <c r="FC15" i="13"/>
  <c r="FC4" i="8"/>
  <c r="FC14" i="46"/>
  <c r="FC4" i="33"/>
  <c r="FC4" i="34"/>
  <c r="HG14" i="46"/>
  <c r="HG4" i="25"/>
  <c r="HG15" i="13"/>
  <c r="HG4" i="33"/>
  <c r="HG4" i="34"/>
  <c r="HG14" i="26"/>
  <c r="HG4" i="45"/>
  <c r="HG4" i="8"/>
  <c r="HG14" i="23"/>
  <c r="HG14" i="7"/>
  <c r="HG4" i="27"/>
  <c r="HG4" i="24"/>
  <c r="HI61" i="4"/>
  <c r="BA4" i="34"/>
  <c r="BA4" i="33"/>
  <c r="BA4" i="27"/>
  <c r="BA14" i="23"/>
  <c r="BA14" i="46"/>
  <c r="BC61" i="4"/>
  <c r="BA14" i="7"/>
  <c r="BA14" i="26"/>
  <c r="BA4" i="45"/>
  <c r="BA4" i="8"/>
  <c r="BA4" i="24"/>
  <c r="BA4" i="25"/>
  <c r="BA15" i="13"/>
  <c r="AZ4" i="34"/>
  <c r="AZ14" i="46"/>
  <c r="AZ4" i="45"/>
  <c r="AZ4" i="27"/>
  <c r="AZ15" i="13"/>
  <c r="AZ4" i="33"/>
  <c r="AZ4" i="8"/>
  <c r="AZ14" i="7"/>
  <c r="BB61" i="4"/>
  <c r="AZ14" i="26"/>
  <c r="AZ4" i="24"/>
  <c r="AZ4" i="25"/>
  <c r="AZ14" i="23"/>
  <c r="FR4" i="25"/>
  <c r="FR4" i="8"/>
  <c r="FR14" i="23"/>
  <c r="FR15" i="13"/>
  <c r="FR4" i="33"/>
  <c r="FR4" i="34"/>
  <c r="FT61" i="4"/>
  <c r="FR14" i="46"/>
  <c r="FR4" i="45"/>
  <c r="FR4" i="24"/>
  <c r="FR14" i="7"/>
  <c r="FR4" i="27"/>
  <c r="FR14" i="26"/>
  <c r="Z4" i="45"/>
  <c r="Z4" i="24"/>
  <c r="Z15" i="13"/>
  <c r="Z4" i="34"/>
  <c r="Z4" i="27"/>
  <c r="Z14" i="23"/>
  <c r="Z4" i="25"/>
  <c r="Z14" i="26"/>
  <c r="Z4" i="8"/>
  <c r="Z4" i="33"/>
  <c r="Z14" i="7"/>
  <c r="Z14" i="46"/>
  <c r="AB61" i="4"/>
  <c r="DM4" i="34"/>
  <c r="DM4" i="25"/>
  <c r="DM4" i="45"/>
  <c r="DM14" i="26"/>
  <c r="DM4" i="8"/>
  <c r="DM4" i="33"/>
  <c r="DM4" i="27"/>
  <c r="DM4" i="24"/>
  <c r="DM14" i="23"/>
  <c r="DM14" i="7"/>
  <c r="DM15" i="13"/>
  <c r="DO61" i="4"/>
  <c r="DM14" i="46"/>
  <c r="GI61" i="4"/>
  <c r="GG14" i="7"/>
  <c r="GG4" i="33"/>
  <c r="GG15" i="13"/>
  <c r="GG14" i="46"/>
  <c r="GG14" i="26"/>
  <c r="GG4" i="8"/>
  <c r="GG4" i="45"/>
  <c r="GG4" i="25"/>
  <c r="GG14" i="23"/>
  <c r="GG4" i="27"/>
  <c r="GG4" i="34"/>
  <c r="GG4" i="24"/>
  <c r="AH4" i="34"/>
  <c r="AH14" i="23"/>
  <c r="AH4" i="33"/>
  <c r="AJ61" i="4"/>
  <c r="AH4" i="25"/>
  <c r="AH4" i="8"/>
  <c r="AH14" i="26"/>
  <c r="AH4" i="45"/>
  <c r="AH4" i="24"/>
  <c r="AH14" i="7"/>
  <c r="AH4" i="27"/>
  <c r="AH14" i="46"/>
  <c r="AH15" i="13"/>
  <c r="DG14" i="7"/>
  <c r="DG14" i="26"/>
  <c r="DG4" i="8"/>
  <c r="DG4" i="25"/>
  <c r="DG4" i="45"/>
  <c r="DG4" i="33"/>
  <c r="DG14" i="46"/>
  <c r="DG4" i="34"/>
  <c r="DG15" i="13"/>
  <c r="DG4" i="27"/>
  <c r="DG4" i="24"/>
  <c r="DI61" i="4"/>
  <c r="DG14" i="23"/>
  <c r="IE4" i="8"/>
  <c r="IE15" i="13"/>
  <c r="IE4" i="34"/>
  <c r="IE4" i="45"/>
  <c r="IE4" i="25"/>
  <c r="IE14" i="23"/>
  <c r="IG61" i="4"/>
  <c r="IE14" i="26"/>
  <c r="IE14" i="46"/>
  <c r="IE14" i="7"/>
  <c r="IE4" i="27"/>
  <c r="IE4" i="33"/>
  <c r="IE4" i="24"/>
  <c r="BJ14" i="7"/>
  <c r="BJ4" i="24"/>
  <c r="BJ4" i="8"/>
  <c r="BL61" i="4"/>
  <c r="BJ14" i="26"/>
  <c r="BJ14" i="46"/>
  <c r="BJ15" i="13"/>
  <c r="BJ4" i="45"/>
  <c r="BJ4" i="27"/>
  <c r="BJ14" i="23"/>
  <c r="BJ4" i="25"/>
  <c r="BJ4" i="34"/>
  <c r="BJ4" i="33"/>
  <c r="GD4" i="27"/>
  <c r="GD4" i="24"/>
  <c r="GD4" i="45"/>
  <c r="GD4" i="25"/>
  <c r="GD15" i="13"/>
  <c r="GD4" i="34"/>
  <c r="GD4" i="33"/>
  <c r="GD14" i="7"/>
  <c r="GD14" i="23"/>
  <c r="GD4" i="8"/>
  <c r="GD14" i="46"/>
  <c r="GD14" i="26"/>
  <c r="GF61" i="4"/>
  <c r="FY4" i="45"/>
  <c r="FY4" i="25"/>
  <c r="FY14" i="7"/>
  <c r="FY4" i="34"/>
  <c r="FY14" i="46"/>
  <c r="FY4" i="8"/>
  <c r="FY4" i="27"/>
  <c r="GA61" i="4"/>
  <c r="FY15" i="13"/>
  <c r="FY14" i="26"/>
  <c r="FY4" i="24"/>
  <c r="FY14" i="23"/>
  <c r="FY4" i="33"/>
  <c r="FE14" i="7"/>
  <c r="FE4" i="27"/>
  <c r="FE4" i="8"/>
  <c r="FE4" i="34"/>
  <c r="FE4" i="33"/>
  <c r="FG61" i="4"/>
  <c r="FE4" i="25"/>
  <c r="FE14" i="46"/>
  <c r="FE4" i="45"/>
  <c r="FE14" i="26"/>
  <c r="FE4" i="24"/>
  <c r="FE15" i="13"/>
  <c r="FE14" i="23"/>
  <c r="D25" i="34"/>
  <c r="C25" i="34"/>
  <c r="B25" i="33"/>
  <c r="C25" i="33"/>
  <c r="D25" i="33"/>
  <c r="D50" i="33"/>
  <c r="B25" i="34"/>
  <c r="E25" i="34"/>
  <c r="BL24" i="4" l="1"/>
  <c r="CL24" i="4"/>
  <c r="DE19" i="23"/>
  <c r="CU19" i="23"/>
  <c r="CY22" i="13"/>
  <c r="DE19" i="26"/>
  <c r="CD22" i="13"/>
  <c r="H22" i="26"/>
  <c r="B55" i="26" s="1"/>
  <c r="BW19" i="46"/>
  <c r="BZ19" i="7"/>
  <c r="CU19" i="7"/>
  <c r="BR19" i="26"/>
  <c r="CB19" i="46"/>
  <c r="BX19" i="7"/>
  <c r="BY19" i="46"/>
  <c r="BQ22" i="13"/>
  <c r="I25" i="13" s="1"/>
  <c r="CT19" i="46"/>
  <c r="CL19" i="46"/>
  <c r="H22" i="7"/>
  <c r="B47" i="7" s="1"/>
  <c r="CZ19" i="7"/>
  <c r="CZ19" i="26"/>
  <c r="CM19" i="23"/>
  <c r="BS22" i="13"/>
  <c r="CZ19" i="23"/>
  <c r="C10" i="11"/>
  <c r="C6" i="44" s="1"/>
  <c r="C3" i="44" s="1"/>
  <c r="C11" i="44" s="1"/>
  <c r="L24" i="14"/>
  <c r="L25" i="14" s="1"/>
  <c r="L30" i="14"/>
  <c r="AE9" i="45"/>
  <c r="Q22" i="45" s="1"/>
  <c r="AH26" i="4"/>
  <c r="AE9" i="34"/>
  <c r="C92" i="11"/>
  <c r="C89" i="11" s="1"/>
  <c r="AE9" i="33"/>
  <c r="F170" i="57"/>
  <c r="F172" i="57" s="1"/>
  <c r="F174" i="57" s="1"/>
  <c r="F175" i="57" s="1"/>
  <c r="B47" i="23"/>
  <c r="B55" i="23"/>
  <c r="CC20" i="13"/>
  <c r="CC21" i="13"/>
  <c r="CY17" i="23"/>
  <c r="CY18" i="23"/>
  <c r="BX19" i="46"/>
  <c r="I22" i="46" s="1"/>
  <c r="CX18" i="46"/>
  <c r="CX17" i="46"/>
  <c r="CJ17" i="7"/>
  <c r="CJ18" i="7"/>
  <c r="DD19" i="46"/>
  <c r="BT19" i="26"/>
  <c r="I22" i="26" s="1"/>
  <c r="CC19" i="26"/>
  <c r="CP17" i="46"/>
  <c r="CP18" i="46"/>
  <c r="BX19" i="23"/>
  <c r="DJ19" i="13"/>
  <c r="DJ16" i="26"/>
  <c r="DX9" i="4"/>
  <c r="DJ16" i="46"/>
  <c r="DJ16" i="23"/>
  <c r="DJ16" i="7"/>
  <c r="DR16" i="46"/>
  <c r="DR16" i="7"/>
  <c r="EF9" i="4"/>
  <c r="DR16" i="23"/>
  <c r="DR16" i="26"/>
  <c r="DR19" i="13"/>
  <c r="CD19" i="46"/>
  <c r="CJ17" i="23"/>
  <c r="CJ18" i="23"/>
  <c r="CL22" i="13"/>
  <c r="CT22" i="13"/>
  <c r="CQ17" i="23"/>
  <c r="CQ18" i="23"/>
  <c r="BZ19" i="26"/>
  <c r="CF18" i="23"/>
  <c r="CF17" i="23"/>
  <c r="DG17" i="23"/>
  <c r="DG18" i="23"/>
  <c r="CI21" i="13"/>
  <c r="CI20" i="13"/>
  <c r="CI22" i="13" s="1"/>
  <c r="CQ18" i="7"/>
  <c r="CQ17" i="7"/>
  <c r="CQ19" i="7" s="1"/>
  <c r="CE19" i="7"/>
  <c r="CE20" i="13"/>
  <c r="CE21" i="13"/>
  <c r="CT17" i="7"/>
  <c r="CT18" i="7"/>
  <c r="DG18" i="26"/>
  <c r="DG17" i="26"/>
  <c r="DG19" i="26" s="1"/>
  <c r="CI17" i="46"/>
  <c r="CI18" i="46"/>
  <c r="CC19" i="23"/>
  <c r="DL18" i="23"/>
  <c r="DL17" i="23"/>
  <c r="DL19" i="23" s="1"/>
  <c r="DD22" i="13"/>
  <c r="CH19" i="26"/>
  <c r="CZ16" i="23"/>
  <c r="DN9" i="4"/>
  <c r="CZ16" i="46"/>
  <c r="CZ16" i="7"/>
  <c r="CZ16" i="26"/>
  <c r="CZ19" i="13"/>
  <c r="BT19" i="7"/>
  <c r="CE17" i="46"/>
  <c r="CE18" i="46"/>
  <c r="CT17" i="23"/>
  <c r="CT18" i="23"/>
  <c r="DF21" i="13"/>
  <c r="DF20" i="13"/>
  <c r="DF22" i="13" s="1"/>
  <c r="CN20" i="13"/>
  <c r="CN21" i="13"/>
  <c r="DK18" i="46"/>
  <c r="DK17" i="46"/>
  <c r="DK19" i="46" s="1"/>
  <c r="CL17" i="26"/>
  <c r="CL18" i="26"/>
  <c r="BZ19" i="23"/>
  <c r="CF17" i="26"/>
  <c r="CF18" i="26"/>
  <c r="DG18" i="7"/>
  <c r="DG17" i="7"/>
  <c r="DE19" i="7"/>
  <c r="BY19" i="7"/>
  <c r="DE9" i="4"/>
  <c r="CQ19" i="13"/>
  <c r="CQ16" i="7"/>
  <c r="CQ16" i="23"/>
  <c r="CQ16" i="46"/>
  <c r="CQ16" i="26"/>
  <c r="CS17" i="46"/>
  <c r="CS18" i="46"/>
  <c r="CO18" i="23"/>
  <c r="CO17" i="23"/>
  <c r="CO19" i="23" s="1"/>
  <c r="DL17" i="7"/>
  <c r="DL18" i="7"/>
  <c r="CK18" i="46"/>
  <c r="CK17" i="46"/>
  <c r="CK19" i="46" s="1"/>
  <c r="EK9" i="4"/>
  <c r="DW16" i="46"/>
  <c r="DW19" i="13"/>
  <c r="DW16" i="7"/>
  <c r="DW16" i="23"/>
  <c r="DW16" i="26"/>
  <c r="CT17" i="26"/>
  <c r="CT18" i="26"/>
  <c r="CJ17" i="26"/>
  <c r="CJ18" i="26"/>
  <c r="CO18" i="26"/>
  <c r="CO17" i="26"/>
  <c r="CO19" i="26" s="1"/>
  <c r="DK21" i="13"/>
  <c r="DK20" i="13"/>
  <c r="CK21" i="13"/>
  <c r="CK20" i="13"/>
  <c r="CK22" i="13" s="1"/>
  <c r="DE16" i="7"/>
  <c r="DS9" i="4"/>
  <c r="DE16" i="23"/>
  <c r="DE19" i="13"/>
  <c r="DE16" i="26"/>
  <c r="DE16" i="46"/>
  <c r="CO18" i="7"/>
  <c r="CO17" i="7"/>
  <c r="CO19" i="7" s="1"/>
  <c r="DL17" i="26"/>
  <c r="DL19" i="26" s="1"/>
  <c r="DL18" i="26"/>
  <c r="CL17" i="23"/>
  <c r="CL18" i="23"/>
  <c r="CS21" i="13"/>
  <c r="CS20" i="13"/>
  <c r="CL18" i="7"/>
  <c r="CL17" i="7"/>
  <c r="CL19" i="7" s="1"/>
  <c r="CK17" i="26"/>
  <c r="CK18" i="26"/>
  <c r="DQ17" i="26"/>
  <c r="DQ18" i="26"/>
  <c r="CN17" i="46"/>
  <c r="CN18" i="46"/>
  <c r="CW16" i="26"/>
  <c r="CW16" i="23"/>
  <c r="CW16" i="7"/>
  <c r="CW19" i="13"/>
  <c r="CW16" i="46"/>
  <c r="DK9" i="4"/>
  <c r="CY19" i="46"/>
  <c r="CD17" i="26"/>
  <c r="CD18" i="26"/>
  <c r="CK17" i="7"/>
  <c r="CK18" i="7"/>
  <c r="DQ18" i="7"/>
  <c r="DQ17" i="7"/>
  <c r="DQ19" i="7" s="1"/>
  <c r="CD18" i="7"/>
  <c r="CD17" i="7"/>
  <c r="CD19" i="7" s="1"/>
  <c r="CF17" i="7"/>
  <c r="CF18" i="7"/>
  <c r="DI9" i="4"/>
  <c r="CU16" i="46"/>
  <c r="CU16" i="23"/>
  <c r="CU16" i="26"/>
  <c r="CU19" i="13"/>
  <c r="CU16" i="7"/>
  <c r="BW22" i="13"/>
  <c r="CD17" i="23"/>
  <c r="CD18" i="23"/>
  <c r="CK18" i="23"/>
  <c r="CK17" i="23"/>
  <c r="CK19" i="23" s="1"/>
  <c r="CG22" i="13"/>
  <c r="DP21" i="13"/>
  <c r="DP20" i="13"/>
  <c r="DP22" i="13" s="1"/>
  <c r="BT19" i="23"/>
  <c r="CB22" i="13"/>
  <c r="CG19" i="46"/>
  <c r="CY17" i="26"/>
  <c r="CY18" i="26"/>
  <c r="CQ17" i="26"/>
  <c r="CQ18" i="26"/>
  <c r="CX21" i="13"/>
  <c r="CX20" i="13"/>
  <c r="CX22" i="13" s="1"/>
  <c r="CC18" i="46"/>
  <c r="CC17" i="46"/>
  <c r="CC19" i="46" s="1"/>
  <c r="CJ17" i="46"/>
  <c r="CJ18" i="46"/>
  <c r="DP17" i="46"/>
  <c r="DP18" i="46"/>
  <c r="DJ9" i="4"/>
  <c r="CV16" i="46"/>
  <c r="CV16" i="23"/>
  <c r="CV19" i="13"/>
  <c r="CV16" i="7"/>
  <c r="CV16" i="26"/>
  <c r="DQ18" i="23"/>
  <c r="DQ17" i="23"/>
  <c r="DQ19" i="23" s="1"/>
  <c r="CP21" i="13"/>
  <c r="CP20" i="13"/>
  <c r="CP22" i="13" s="1"/>
  <c r="DF18" i="46"/>
  <c r="DF17" i="46"/>
  <c r="DF19" i="46" s="1"/>
  <c r="CY17" i="7"/>
  <c r="CY18" i="7"/>
  <c r="BX22" i="13"/>
  <c r="CO16" i="46"/>
  <c r="DC9" i="4"/>
  <c r="CO16" i="26"/>
  <c r="CO16" i="7"/>
  <c r="CO16" i="23"/>
  <c r="CO19" i="13"/>
  <c r="CJ21" i="13"/>
  <c r="CJ20" i="13"/>
  <c r="CJ22" i="13" s="1"/>
  <c r="EB16" i="23"/>
  <c r="EB16" i="46"/>
  <c r="EP9" i="4"/>
  <c r="EB16" i="7"/>
  <c r="EB19" i="13"/>
  <c r="EB16" i="26"/>
  <c r="DB16" i="46"/>
  <c r="DB16" i="7"/>
  <c r="DB16" i="26"/>
  <c r="DP9" i="4"/>
  <c r="DB19" i="13"/>
  <c r="DB16" i="23"/>
  <c r="M16" i="57"/>
  <c r="AA16" i="57" s="1"/>
  <c r="E39" i="4"/>
  <c r="F39" i="4"/>
  <c r="E58" i="21"/>
  <c r="E52" i="21"/>
  <c r="E60" i="21"/>
  <c r="E57" i="21"/>
  <c r="E68" i="21"/>
  <c r="E50" i="21"/>
  <c r="E59" i="21"/>
  <c r="E47" i="21"/>
  <c r="E55" i="21"/>
  <c r="E46" i="21"/>
  <c r="E45" i="21"/>
  <c r="E49" i="21"/>
  <c r="E63" i="21"/>
  <c r="E61" i="21"/>
  <c r="E62" i="21"/>
  <c r="E66" i="21"/>
  <c r="E67" i="21"/>
  <c r="E56" i="21"/>
  <c r="E48" i="21"/>
  <c r="E64" i="21"/>
  <c r="E65" i="21"/>
  <c r="E53" i="21"/>
  <c r="E51" i="21"/>
  <c r="E54" i="21"/>
  <c r="AG60" i="21"/>
  <c r="AG55" i="21"/>
  <c r="AG47" i="21"/>
  <c r="AG65" i="21"/>
  <c r="AG59" i="21"/>
  <c r="AG46" i="21"/>
  <c r="AG50" i="21"/>
  <c r="AG52" i="21"/>
  <c r="AG66" i="21"/>
  <c r="AG64" i="21"/>
  <c r="AG63" i="21"/>
  <c r="AG67" i="21"/>
  <c r="AG61" i="21"/>
  <c r="AG53" i="21"/>
  <c r="AG51" i="21"/>
  <c r="AG58" i="21"/>
  <c r="AG48" i="21"/>
  <c r="AG57" i="21"/>
  <c r="AG49" i="21"/>
  <c r="AG54" i="21"/>
  <c r="AG56" i="21"/>
  <c r="AG62" i="21"/>
  <c r="AG68" i="21"/>
  <c r="AG45" i="21"/>
  <c r="D8" i="8"/>
  <c r="C33" i="8"/>
  <c r="P9" i="1"/>
  <c r="AA8" i="1"/>
  <c r="AA9" i="1" s="1"/>
  <c r="I52" i="21"/>
  <c r="I63" i="21"/>
  <c r="I61" i="21"/>
  <c r="I59" i="21"/>
  <c r="I67" i="21"/>
  <c r="I60" i="21"/>
  <c r="I54" i="21"/>
  <c r="I57" i="21"/>
  <c r="I48" i="21"/>
  <c r="I46" i="21"/>
  <c r="I47" i="21"/>
  <c r="I66" i="21"/>
  <c r="I55" i="21"/>
  <c r="I45" i="21"/>
  <c r="I56" i="21"/>
  <c r="I58" i="21"/>
  <c r="I53" i="21"/>
  <c r="I64" i="21"/>
  <c r="I51" i="21"/>
  <c r="I65" i="21"/>
  <c r="I62" i="21"/>
  <c r="I50" i="21"/>
  <c r="I49" i="21"/>
  <c r="I68" i="21"/>
  <c r="Q68" i="21"/>
  <c r="Q61" i="21"/>
  <c r="Q51" i="21"/>
  <c r="Q59" i="21"/>
  <c r="Q45" i="21"/>
  <c r="Q46" i="21"/>
  <c r="Q48" i="21"/>
  <c r="Q58" i="21"/>
  <c r="Q53" i="21"/>
  <c r="Q63" i="21"/>
  <c r="Q54" i="21"/>
  <c r="Q52" i="21"/>
  <c r="Q66" i="21"/>
  <c r="Q56" i="21"/>
  <c r="Q47" i="21"/>
  <c r="Q50" i="21"/>
  <c r="Q55" i="21"/>
  <c r="Q64" i="21"/>
  <c r="Q60" i="21"/>
  <c r="Q67" i="21"/>
  <c r="Q62" i="21"/>
  <c r="Q57" i="21"/>
  <c r="Q65" i="21"/>
  <c r="Q49" i="21"/>
  <c r="H12" i="33"/>
  <c r="D54" i="33"/>
  <c r="D56" i="33" s="1"/>
  <c r="E54" i="33"/>
  <c r="E56" i="33" s="1"/>
  <c r="I12" i="33"/>
  <c r="D113" i="4"/>
  <c r="D112" i="4"/>
  <c r="D110" i="4"/>
  <c r="D114" i="4"/>
  <c r="D109" i="4"/>
  <c r="D111" i="4"/>
  <c r="D108" i="4"/>
  <c r="E54" i="34"/>
  <c r="E56" i="34" s="1"/>
  <c r="I12" i="34"/>
  <c r="M61" i="21"/>
  <c r="M60" i="21"/>
  <c r="M66" i="21"/>
  <c r="M46" i="21"/>
  <c r="M53" i="21"/>
  <c r="M47" i="21"/>
  <c r="M58" i="21"/>
  <c r="M59" i="21"/>
  <c r="M64" i="21"/>
  <c r="M52" i="21"/>
  <c r="M49" i="21"/>
  <c r="M55" i="21"/>
  <c r="M45" i="21"/>
  <c r="M54" i="21"/>
  <c r="M63" i="21"/>
  <c r="M48" i="21"/>
  <c r="M57" i="21"/>
  <c r="M56" i="21"/>
  <c r="M67" i="21"/>
  <c r="M62" i="21"/>
  <c r="M50" i="21"/>
  <c r="M65" i="21"/>
  <c r="M51" i="21"/>
  <c r="M68" i="21"/>
  <c r="C34" i="34"/>
  <c r="D8" i="34"/>
  <c r="D88" i="4"/>
  <c r="D89" i="4"/>
  <c r="D86" i="4"/>
  <c r="D92" i="4"/>
  <c r="D91" i="4"/>
  <c r="D90" i="4"/>
  <c r="D87" i="4"/>
  <c r="AO67" i="21"/>
  <c r="AO59" i="21"/>
  <c r="AO48" i="21"/>
  <c r="AO58" i="21"/>
  <c r="AO55" i="21"/>
  <c r="AO65" i="21"/>
  <c r="AO68" i="21"/>
  <c r="AO45" i="21"/>
  <c r="AO46" i="21"/>
  <c r="AO54" i="21"/>
  <c r="AO60" i="21"/>
  <c r="AO56" i="21"/>
  <c r="AO61" i="21"/>
  <c r="AO53" i="21"/>
  <c r="AO51" i="21"/>
  <c r="AO50" i="21"/>
  <c r="AO49" i="21"/>
  <c r="AO47" i="21"/>
  <c r="AO52" i="21"/>
  <c r="AO62" i="21"/>
  <c r="AO66" i="21"/>
  <c r="AO63" i="21"/>
  <c r="AO64" i="21"/>
  <c r="AO57" i="21"/>
  <c r="H12" i="34"/>
  <c r="D54" i="34"/>
  <c r="D56" i="34" s="1"/>
  <c r="O26" i="20"/>
  <c r="O28" i="20" s="1"/>
  <c r="C28" i="20"/>
  <c r="C33" i="24"/>
  <c r="D8" i="24"/>
  <c r="C34" i="45"/>
  <c r="J19" i="57"/>
  <c r="J16" i="57" s="1"/>
  <c r="AB16" i="57" s="1"/>
  <c r="I16" i="57"/>
  <c r="F2" i="21"/>
  <c r="E18" i="21"/>
  <c r="E19" i="21"/>
  <c r="E9" i="21"/>
  <c r="E20" i="21"/>
  <c r="E14" i="21"/>
  <c r="E28" i="21"/>
  <c r="E24" i="21"/>
  <c r="E10" i="21"/>
  <c r="E6" i="21"/>
  <c r="E7" i="21"/>
  <c r="E22" i="21"/>
  <c r="E13" i="21"/>
  <c r="E16" i="21"/>
  <c r="E26" i="21"/>
  <c r="E29" i="21"/>
  <c r="E23" i="21"/>
  <c r="E8" i="21"/>
  <c r="E11" i="21"/>
  <c r="E12" i="21"/>
  <c r="E25" i="21"/>
  <c r="E21" i="21"/>
  <c r="E15" i="21"/>
  <c r="E27" i="21"/>
  <c r="E17" i="21"/>
  <c r="C33" i="25"/>
  <c r="D8" i="25"/>
  <c r="D8" i="33"/>
  <c r="C34" i="33"/>
  <c r="AK46" i="21"/>
  <c r="AK47" i="21"/>
  <c r="AK61" i="21"/>
  <c r="AK66" i="21"/>
  <c r="AK48" i="21"/>
  <c r="AK55" i="21"/>
  <c r="AK59" i="21"/>
  <c r="AK50" i="21"/>
  <c r="AK49" i="21"/>
  <c r="AK45" i="21"/>
  <c r="AK51" i="21"/>
  <c r="AK65" i="21"/>
  <c r="AK63" i="21"/>
  <c r="AK68" i="21"/>
  <c r="AK56" i="21"/>
  <c r="AK57" i="21"/>
  <c r="AK67" i="21"/>
  <c r="AK60" i="21"/>
  <c r="AK52" i="21"/>
  <c r="AK53" i="21"/>
  <c r="AK62" i="21"/>
  <c r="AK54" i="21"/>
  <c r="AK58" i="21"/>
  <c r="AK64" i="21"/>
  <c r="L16" i="57"/>
  <c r="U55" i="21"/>
  <c r="U58" i="21"/>
  <c r="U47" i="21"/>
  <c r="U66" i="21"/>
  <c r="U46" i="21"/>
  <c r="U64" i="21"/>
  <c r="U65" i="21"/>
  <c r="U68" i="21"/>
  <c r="U54" i="21"/>
  <c r="U67" i="21"/>
  <c r="U49" i="21"/>
  <c r="U52" i="21"/>
  <c r="U48" i="21"/>
  <c r="U56" i="21"/>
  <c r="U45" i="21"/>
  <c r="U63" i="21"/>
  <c r="U50" i="21"/>
  <c r="U57" i="21"/>
  <c r="U60" i="21"/>
  <c r="U53" i="21"/>
  <c r="U59" i="21"/>
  <c r="U51" i="21"/>
  <c r="U62" i="21"/>
  <c r="U61" i="21"/>
  <c r="AW56" i="21"/>
  <c r="AW58" i="21"/>
  <c r="AW45" i="21"/>
  <c r="AW63" i="21"/>
  <c r="AW59" i="21"/>
  <c r="AW47" i="21"/>
  <c r="AW64" i="21"/>
  <c r="AW46" i="21"/>
  <c r="AW51" i="21"/>
  <c r="AW57" i="21"/>
  <c r="AW67" i="21"/>
  <c r="AW68" i="21"/>
  <c r="AW61" i="21"/>
  <c r="AW50" i="21"/>
  <c r="AW60" i="21"/>
  <c r="AW65" i="21"/>
  <c r="AW48" i="21"/>
  <c r="AW54" i="21"/>
  <c r="AW66" i="21"/>
  <c r="AW62" i="21"/>
  <c r="AW49" i="21"/>
  <c r="AW55" i="21"/>
  <c r="AW53" i="21"/>
  <c r="AW52" i="21"/>
  <c r="AS60" i="21"/>
  <c r="AS45" i="21"/>
  <c r="AS68" i="21"/>
  <c r="AS55" i="21"/>
  <c r="AS63" i="21"/>
  <c r="AS53" i="21"/>
  <c r="AS51" i="21"/>
  <c r="AS47" i="21"/>
  <c r="AS59" i="21"/>
  <c r="AS67" i="21"/>
  <c r="AS49" i="21"/>
  <c r="AS66" i="21"/>
  <c r="AS48" i="21"/>
  <c r="AS61" i="21"/>
  <c r="AS57" i="21"/>
  <c r="AS58" i="21"/>
  <c r="AS50" i="21"/>
  <c r="AS64" i="21"/>
  <c r="AS46" i="21"/>
  <c r="AS52" i="21"/>
  <c r="AS65" i="21"/>
  <c r="AS62" i="21"/>
  <c r="AS54" i="21"/>
  <c r="AS56" i="21"/>
  <c r="AC68" i="21"/>
  <c r="AC58" i="21"/>
  <c r="AC55" i="21"/>
  <c r="AC46" i="21"/>
  <c r="AC52" i="21"/>
  <c r="AC47" i="21"/>
  <c r="AC67" i="21"/>
  <c r="AC65" i="21"/>
  <c r="AC48" i="21"/>
  <c r="AC66" i="21"/>
  <c r="AC54" i="21"/>
  <c r="AC56" i="21"/>
  <c r="AC57" i="21"/>
  <c r="AC50" i="21"/>
  <c r="AC64" i="21"/>
  <c r="AC49" i="21"/>
  <c r="AC51" i="21"/>
  <c r="AC53" i="21"/>
  <c r="AC45" i="21"/>
  <c r="AC60" i="21"/>
  <c r="AC63" i="21"/>
  <c r="AC59" i="21"/>
  <c r="AC61" i="21"/>
  <c r="AC62" i="21"/>
  <c r="Y59" i="21"/>
  <c r="Y57" i="21"/>
  <c r="Y62" i="21"/>
  <c r="Y68" i="21"/>
  <c r="Y54" i="21"/>
  <c r="Y47" i="21"/>
  <c r="Y45" i="21"/>
  <c r="Y53" i="21"/>
  <c r="Y58" i="21"/>
  <c r="Y60" i="21"/>
  <c r="Y46" i="21"/>
  <c r="Y56" i="21"/>
  <c r="Y63" i="21"/>
  <c r="Y55" i="21"/>
  <c r="Y67" i="21"/>
  <c r="Y66" i="21"/>
  <c r="Y64" i="21"/>
  <c r="Y48" i="21"/>
  <c r="Y52" i="21"/>
  <c r="Y49" i="21"/>
  <c r="Y50" i="21"/>
  <c r="Y65" i="21"/>
  <c r="Y51" i="21"/>
  <c r="Y61" i="21"/>
  <c r="J55" i="57"/>
  <c r="J54" i="57" s="1"/>
  <c r="AB54" i="57" s="1"/>
  <c r="I54" i="57"/>
  <c r="L54" i="57"/>
  <c r="M55" i="57"/>
  <c r="M54" i="57" s="1"/>
  <c r="AA54" i="57" s="1"/>
  <c r="C64" i="4"/>
  <c r="E66" i="4"/>
  <c r="C34" i="27"/>
  <c r="BO24" i="4" l="1"/>
  <c r="C7" i="11"/>
  <c r="CO24" i="4"/>
  <c r="F90" i="11"/>
  <c r="F54" i="11"/>
  <c r="F8" i="11"/>
  <c r="CT19" i="23"/>
  <c r="CI19" i="46"/>
  <c r="CY19" i="23"/>
  <c r="DL19" i="7"/>
  <c r="CQ19" i="26"/>
  <c r="B47" i="26"/>
  <c r="E17" i="45"/>
  <c r="E50" i="45" s="1"/>
  <c r="M30" i="14"/>
  <c r="M24" i="14"/>
  <c r="M25" i="14" s="1"/>
  <c r="AF9" i="45"/>
  <c r="AI26" i="4"/>
  <c r="AF9" i="33"/>
  <c r="F17" i="33" s="1"/>
  <c r="F50" i="33" s="1"/>
  <c r="AF9" i="34"/>
  <c r="F17" i="34" s="1"/>
  <c r="F50" i="34" s="1"/>
  <c r="CC22" i="13"/>
  <c r="CR17" i="26"/>
  <c r="CR18" i="26"/>
  <c r="EN16" i="46"/>
  <c r="EN16" i="26"/>
  <c r="EN16" i="7"/>
  <c r="EN19" i="13"/>
  <c r="FB9" i="4"/>
  <c r="EN16" i="23"/>
  <c r="DE18" i="46"/>
  <c r="DE17" i="46"/>
  <c r="EB18" i="46"/>
  <c r="EB17" i="46"/>
  <c r="DF17" i="26"/>
  <c r="DF18" i="26"/>
  <c r="DX18" i="23"/>
  <c r="DX17" i="23"/>
  <c r="CR17" i="23"/>
  <c r="CR18" i="23"/>
  <c r="CN22" i="13"/>
  <c r="DL16" i="46"/>
  <c r="DL16" i="23"/>
  <c r="DL19" i="13"/>
  <c r="DL16" i="7"/>
  <c r="DZ9" i="4"/>
  <c r="DL16" i="26"/>
  <c r="EC17" i="23"/>
  <c r="EC18" i="23"/>
  <c r="CJ19" i="46"/>
  <c r="DQ19" i="26"/>
  <c r="DE21" i="13"/>
  <c r="DE20" i="13"/>
  <c r="DE22" i="13" s="1"/>
  <c r="DX18" i="7"/>
  <c r="DX17" i="7"/>
  <c r="CR17" i="7"/>
  <c r="CR18" i="7"/>
  <c r="DA17" i="23"/>
  <c r="DA18" i="23"/>
  <c r="CJ19" i="23"/>
  <c r="CP19" i="46"/>
  <c r="CJ19" i="26"/>
  <c r="CL19" i="26"/>
  <c r="CZ20" i="13"/>
  <c r="CZ21" i="13"/>
  <c r="CT19" i="7"/>
  <c r="CY19" i="7"/>
  <c r="DA17" i="26"/>
  <c r="DA18" i="26"/>
  <c r="CQ19" i="23"/>
  <c r="CE22" i="13"/>
  <c r="DF18" i="23"/>
  <c r="DF17" i="23"/>
  <c r="DW20" i="13"/>
  <c r="DW21" i="13"/>
  <c r="CQ21" i="13"/>
  <c r="CQ20" i="13"/>
  <c r="CQ22" i="13" s="1"/>
  <c r="CK19" i="26"/>
  <c r="DC16" i="46"/>
  <c r="DC16" i="7"/>
  <c r="DC16" i="23"/>
  <c r="DC19" i="13"/>
  <c r="DQ9" i="4"/>
  <c r="DC16" i="26"/>
  <c r="B47" i="46"/>
  <c r="DR20" i="13"/>
  <c r="DR21" i="13"/>
  <c r="CP17" i="23"/>
  <c r="CP18" i="23"/>
  <c r="CW18" i="7"/>
  <c r="CW17" i="7"/>
  <c r="CW19" i="7" s="1"/>
  <c r="CD19" i="26"/>
  <c r="DS17" i="23"/>
  <c r="DS18" i="23"/>
  <c r="CX18" i="7"/>
  <c r="CX17" i="7"/>
  <c r="CX18" i="23"/>
  <c r="CX17" i="23"/>
  <c r="CX19" i="23" s="1"/>
  <c r="CX18" i="26"/>
  <c r="CX17" i="26"/>
  <c r="CX19" i="26" s="1"/>
  <c r="CS19" i="46"/>
  <c r="CN19" i="46"/>
  <c r="DX17" i="26"/>
  <c r="DX18" i="26"/>
  <c r="CQ18" i="46"/>
  <c r="CQ17" i="46"/>
  <c r="CZ18" i="46"/>
  <c r="CZ17" i="46"/>
  <c r="CD19" i="23"/>
  <c r="J22" i="23" s="1"/>
  <c r="EE9" i="4"/>
  <c r="DQ19" i="13"/>
  <c r="DQ16" i="7"/>
  <c r="DQ16" i="46"/>
  <c r="DQ16" i="23"/>
  <c r="DQ16" i="26"/>
  <c r="CO21" i="13"/>
  <c r="CO20" i="13"/>
  <c r="CW18" i="26"/>
  <c r="CW17" i="26"/>
  <c r="DF18" i="7"/>
  <c r="DF17" i="7"/>
  <c r="DF19" i="7" s="1"/>
  <c r="EI16" i="46"/>
  <c r="EI19" i="13"/>
  <c r="EW9" i="4"/>
  <c r="EI16" i="23"/>
  <c r="EI16" i="26"/>
  <c r="EI16" i="7"/>
  <c r="DS18" i="26"/>
  <c r="DS17" i="26"/>
  <c r="CV17" i="7"/>
  <c r="CV18" i="7"/>
  <c r="DC18" i="23"/>
  <c r="DC17" i="23"/>
  <c r="DC19" i="23" s="1"/>
  <c r="CP17" i="7"/>
  <c r="CP18" i="7"/>
  <c r="CV20" i="13"/>
  <c r="CV21" i="13"/>
  <c r="CU20" i="13"/>
  <c r="CU21" i="13"/>
  <c r="CS22" i="13"/>
  <c r="DG19" i="7"/>
  <c r="DG19" i="23"/>
  <c r="ED16" i="46"/>
  <c r="ED19" i="13"/>
  <c r="ED16" i="7"/>
  <c r="ER9" i="4"/>
  <c r="ED16" i="23"/>
  <c r="ED16" i="26"/>
  <c r="CJ19" i="7"/>
  <c r="DB17" i="46"/>
  <c r="DB18" i="46"/>
  <c r="EC18" i="26"/>
  <c r="EC17" i="26"/>
  <c r="EC19" i="26" s="1"/>
  <c r="CF19" i="7"/>
  <c r="EJ9" i="4"/>
  <c r="DV16" i="46"/>
  <c r="DV19" i="13"/>
  <c r="DV16" i="23"/>
  <c r="DV16" i="26"/>
  <c r="DV16" i="7"/>
  <c r="EB21" i="13"/>
  <c r="EB20" i="13"/>
  <c r="EB22" i="13" s="1"/>
  <c r="DK18" i="26"/>
  <c r="DK17" i="26"/>
  <c r="DK19" i="26" s="1"/>
  <c r="EC18" i="7"/>
  <c r="EC17" i="7"/>
  <c r="EC19" i="7" s="1"/>
  <c r="CT19" i="26"/>
  <c r="DA18" i="7"/>
  <c r="DA17" i="7"/>
  <c r="DA19" i="7" s="1"/>
  <c r="DJ21" i="13"/>
  <c r="DJ20" i="13"/>
  <c r="DP19" i="46"/>
  <c r="CK19" i="7"/>
  <c r="DW18" i="46"/>
  <c r="DW17" i="46"/>
  <c r="DW19" i="46" s="1"/>
  <c r="DB20" i="13"/>
  <c r="DB22" i="13" s="1"/>
  <c r="DB21" i="13"/>
  <c r="CP17" i="26"/>
  <c r="CP18" i="26"/>
  <c r="CW18" i="23"/>
  <c r="CW17" i="23"/>
  <c r="CW19" i="23" s="1"/>
  <c r="CV17" i="26"/>
  <c r="CV18" i="26"/>
  <c r="DK22" i="13"/>
  <c r="CF19" i="23"/>
  <c r="DS17" i="7"/>
  <c r="DS18" i="7"/>
  <c r="CX19" i="46"/>
  <c r="DR17" i="46"/>
  <c r="DR18" i="46"/>
  <c r="DJ17" i="46"/>
  <c r="DJ18" i="46"/>
  <c r="DC18" i="26"/>
  <c r="DC17" i="26"/>
  <c r="DC19" i="26" s="1"/>
  <c r="CO17" i="46"/>
  <c r="CO18" i="46"/>
  <c r="CY19" i="26"/>
  <c r="CU17" i="46"/>
  <c r="CU19" i="46" s="1"/>
  <c r="CU18" i="46"/>
  <c r="CW17" i="46"/>
  <c r="CW18" i="46"/>
  <c r="CL19" i="23"/>
  <c r="EB9" i="4"/>
  <c r="DN16" i="23"/>
  <c r="DN16" i="46"/>
  <c r="DN16" i="7"/>
  <c r="DN19" i="13"/>
  <c r="DN16" i="26"/>
  <c r="DO9" i="4"/>
  <c r="DA16" i="46"/>
  <c r="DA16" i="7"/>
  <c r="DA19" i="13"/>
  <c r="DA16" i="23"/>
  <c r="DA16" i="26"/>
  <c r="CV17" i="46"/>
  <c r="CV18" i="46"/>
  <c r="CV18" i="23"/>
  <c r="CV17" i="23"/>
  <c r="DI16" i="23"/>
  <c r="DI19" i="13"/>
  <c r="DI16" i="46"/>
  <c r="DW9" i="4"/>
  <c r="DI16" i="26"/>
  <c r="DI16" i="7"/>
  <c r="DH16" i="46"/>
  <c r="DH19" i="13"/>
  <c r="DV9" i="4"/>
  <c r="DH16" i="26"/>
  <c r="DH16" i="23"/>
  <c r="DH16" i="7"/>
  <c r="CF19" i="26"/>
  <c r="DK18" i="7"/>
  <c r="DK17" i="7"/>
  <c r="DK19" i="7" s="1"/>
  <c r="DC18" i="7"/>
  <c r="DC17" i="7"/>
  <c r="DC19" i="7" s="1"/>
  <c r="DG16" i="26"/>
  <c r="DU9" i="4"/>
  <c r="DG16" i="23"/>
  <c r="DG16" i="46"/>
  <c r="DG16" i="7"/>
  <c r="DG19" i="13"/>
  <c r="CW20" i="13"/>
  <c r="CW21" i="13"/>
  <c r="CE19" i="46"/>
  <c r="J22" i="46" s="1"/>
  <c r="B55" i="46" s="1"/>
  <c r="DK18" i="23"/>
  <c r="DK17" i="23"/>
  <c r="D12" i="25"/>
  <c r="D13" i="25" s="1"/>
  <c r="E13" i="25" s="1"/>
  <c r="F13" i="25" s="1"/>
  <c r="G13" i="25" s="1"/>
  <c r="H13" i="25" s="1"/>
  <c r="C16" i="25"/>
  <c r="C18" i="25" s="1"/>
  <c r="O45" i="21"/>
  <c r="N45" i="21"/>
  <c r="AI62" i="21"/>
  <c r="AH62" i="21"/>
  <c r="AA49" i="21"/>
  <c r="Z49" i="21"/>
  <c r="AU55" i="21"/>
  <c r="AT55" i="21"/>
  <c r="AL63" i="21"/>
  <c r="AM63" i="21"/>
  <c r="K48" i="21"/>
  <c r="J48" i="21"/>
  <c r="J68" i="21"/>
  <c r="K68" i="21"/>
  <c r="Z57" i="21"/>
  <c r="AA57" i="21"/>
  <c r="AU45" i="21"/>
  <c r="AT45" i="21"/>
  <c r="W57" i="21"/>
  <c r="V57" i="21"/>
  <c r="AM51" i="21"/>
  <c r="AL51" i="21"/>
  <c r="G24" i="21"/>
  <c r="F24" i="21"/>
  <c r="B20" i="47" s="1"/>
  <c r="F20" i="47"/>
  <c r="AQ46" i="21"/>
  <c r="AP46" i="21"/>
  <c r="O52" i="21"/>
  <c r="N52" i="21"/>
  <c r="S47" i="21"/>
  <c r="R47" i="21"/>
  <c r="G45" i="21"/>
  <c r="F45" i="21"/>
  <c r="AA64" i="21"/>
  <c r="Z64" i="21"/>
  <c r="Z59" i="21"/>
  <c r="AA59" i="21"/>
  <c r="AE48" i="21"/>
  <c r="AD48" i="21"/>
  <c r="AU50" i="21"/>
  <c r="AT50" i="21"/>
  <c r="AU60" i="21"/>
  <c r="AT60" i="21"/>
  <c r="AY51" i="21"/>
  <c r="AX51" i="21"/>
  <c r="V50" i="21"/>
  <c r="W50" i="21"/>
  <c r="W55" i="21"/>
  <c r="V55" i="21"/>
  <c r="AL45" i="21"/>
  <c r="AM45" i="21"/>
  <c r="F11" i="47"/>
  <c r="F15" i="21"/>
  <c r="B11" i="47" s="1"/>
  <c r="G15" i="21"/>
  <c r="G28" i="21"/>
  <c r="F24" i="47"/>
  <c r="F28" i="21"/>
  <c r="B24" i="47" s="1"/>
  <c r="AP57" i="21"/>
  <c r="AQ57" i="21"/>
  <c r="AP45" i="21"/>
  <c r="AQ45" i="21"/>
  <c r="E35" i="34"/>
  <c r="C37" i="34"/>
  <c r="C43" i="34" s="1"/>
  <c r="C45" i="34" s="1"/>
  <c r="N64" i="21"/>
  <c r="O64" i="21"/>
  <c r="S56" i="21"/>
  <c r="R56" i="21"/>
  <c r="K50" i="21"/>
  <c r="J50" i="21"/>
  <c r="J60" i="21"/>
  <c r="K60" i="21"/>
  <c r="AH57" i="21"/>
  <c r="AI57" i="21"/>
  <c r="AI55" i="21"/>
  <c r="AH55" i="21"/>
  <c r="G46" i="21"/>
  <c r="F46" i="21"/>
  <c r="AA66" i="21"/>
  <c r="Z66" i="21"/>
  <c r="AE62" i="21"/>
  <c r="AD62" i="21"/>
  <c r="AD65" i="21"/>
  <c r="AE65" i="21"/>
  <c r="AU58" i="21"/>
  <c r="AT58" i="21"/>
  <c r="AY52" i="21"/>
  <c r="AX52" i="21"/>
  <c r="AX46" i="21"/>
  <c r="AY46" i="21"/>
  <c r="V63" i="21"/>
  <c r="W63" i="21"/>
  <c r="AL49" i="21"/>
  <c r="AM49" i="21"/>
  <c r="F21" i="21"/>
  <c r="B17" i="47" s="1"/>
  <c r="G21" i="21"/>
  <c r="F17" i="47"/>
  <c r="G14" i="21"/>
  <c r="F10" i="47"/>
  <c r="F14" i="21"/>
  <c r="B10" i="47" s="1"/>
  <c r="AQ64" i="21"/>
  <c r="AP64" i="21"/>
  <c r="AQ68" i="21"/>
  <c r="AP68" i="21"/>
  <c r="N68" i="21"/>
  <c r="O68" i="21"/>
  <c r="O59" i="21"/>
  <c r="N59" i="21"/>
  <c r="S66" i="21"/>
  <c r="R66" i="21"/>
  <c r="J62" i="21"/>
  <c r="K62" i="21"/>
  <c r="K67" i="21"/>
  <c r="J67" i="21"/>
  <c r="AI48" i="21"/>
  <c r="AH48" i="21"/>
  <c r="AH60" i="21"/>
  <c r="AI60" i="21"/>
  <c r="G55" i="21"/>
  <c r="F55" i="21"/>
  <c r="W59" i="21"/>
  <c r="V59" i="21"/>
  <c r="S64" i="21"/>
  <c r="R64" i="21"/>
  <c r="E34" i="25"/>
  <c r="C36" i="25"/>
  <c r="C42" i="25" s="1"/>
  <c r="C44" i="25" s="1"/>
  <c r="AH59" i="21"/>
  <c r="AI59" i="21"/>
  <c r="AA52" i="21"/>
  <c r="Z52" i="21"/>
  <c r="Z62" i="21"/>
  <c r="AA62" i="21"/>
  <c r="AU68" i="21"/>
  <c r="AT68" i="21"/>
  <c r="W60" i="21"/>
  <c r="V60" i="21"/>
  <c r="V47" i="21"/>
  <c r="W47" i="21"/>
  <c r="F13" i="47"/>
  <c r="G17" i="21"/>
  <c r="F17" i="21"/>
  <c r="B13" i="47" s="1"/>
  <c r="AP54" i="21"/>
  <c r="AQ54" i="21"/>
  <c r="F49" i="21"/>
  <c r="G49" i="21"/>
  <c r="AT64" i="21"/>
  <c r="AU64" i="21"/>
  <c r="K54" i="21"/>
  <c r="J54" i="21"/>
  <c r="AE67" i="21"/>
  <c r="AD67" i="21"/>
  <c r="AM64" i="21"/>
  <c r="AL64" i="21"/>
  <c r="AQ65" i="21"/>
  <c r="AP65" i="21"/>
  <c r="F47" i="21"/>
  <c r="G47" i="21"/>
  <c r="O70" i="4"/>
  <c r="W70" i="4"/>
  <c r="N70" i="4"/>
  <c r="S70" i="4"/>
  <c r="K70" i="4"/>
  <c r="P70" i="4"/>
  <c r="L70" i="4"/>
  <c r="V70" i="4"/>
  <c r="J70" i="4"/>
  <c r="H70" i="4"/>
  <c r="U70" i="4"/>
  <c r="M70" i="4"/>
  <c r="F70" i="4"/>
  <c r="G70" i="4"/>
  <c r="T70" i="4"/>
  <c r="X70" i="4"/>
  <c r="E70" i="4"/>
  <c r="Q70" i="4"/>
  <c r="R70" i="4"/>
  <c r="I70" i="4"/>
  <c r="AE47" i="21"/>
  <c r="AD47" i="21"/>
  <c r="AY55" i="21"/>
  <c r="AX55" i="21"/>
  <c r="AM58" i="21"/>
  <c r="AL58" i="21"/>
  <c r="AP55" i="21"/>
  <c r="AQ55" i="21"/>
  <c r="J61" i="21"/>
  <c r="K61" i="21"/>
  <c r="D57" i="4"/>
  <c r="D55" i="4"/>
  <c r="D54" i="4"/>
  <c r="D56" i="4"/>
  <c r="C66" i="4"/>
  <c r="D58" i="4"/>
  <c r="D59" i="4"/>
  <c r="D53" i="4"/>
  <c r="AY49" i="21"/>
  <c r="AX49" i="21"/>
  <c r="AQ62" i="21"/>
  <c r="AP62" i="21"/>
  <c r="K63" i="21"/>
  <c r="J63" i="21"/>
  <c r="Z56" i="21"/>
  <c r="AA56" i="21"/>
  <c r="AD46" i="21"/>
  <c r="AE46" i="21"/>
  <c r="AX62" i="21"/>
  <c r="AY62" i="21"/>
  <c r="AX63" i="21"/>
  <c r="AY63" i="21"/>
  <c r="AM62" i="21"/>
  <c r="AL62" i="21"/>
  <c r="F4" i="47"/>
  <c r="G8" i="21"/>
  <c r="F8" i="21"/>
  <c r="B4" i="47" s="1"/>
  <c r="AP52" i="21"/>
  <c r="AQ52" i="21"/>
  <c r="AQ48" i="21"/>
  <c r="AP48" i="21"/>
  <c r="O62" i="21"/>
  <c r="N62" i="21"/>
  <c r="O46" i="21"/>
  <c r="N46" i="21"/>
  <c r="S53" i="21"/>
  <c r="R53" i="21"/>
  <c r="K52" i="21"/>
  <c r="J52" i="21"/>
  <c r="AY66" i="21"/>
  <c r="AX66" i="21"/>
  <c r="N66" i="21"/>
  <c r="O66" i="21"/>
  <c r="G64" i="21"/>
  <c r="F64" i="21"/>
  <c r="Z60" i="21"/>
  <c r="AA60" i="21"/>
  <c r="AD53" i="21"/>
  <c r="AE53" i="21"/>
  <c r="AE58" i="21"/>
  <c r="AD58" i="21"/>
  <c r="AU67" i="21"/>
  <c r="AT67" i="21"/>
  <c r="AY54" i="21"/>
  <c r="AX54" i="21"/>
  <c r="AX58" i="21"/>
  <c r="AY58" i="21"/>
  <c r="V67" i="21"/>
  <c r="W67" i="21"/>
  <c r="AM52" i="21"/>
  <c r="AL52" i="21"/>
  <c r="AM61" i="21"/>
  <c r="AL61" i="21"/>
  <c r="F25" i="47"/>
  <c r="F29" i="21"/>
  <c r="B25" i="47" s="1"/>
  <c r="G29" i="21"/>
  <c r="I133" i="57"/>
  <c r="AQ49" i="21"/>
  <c r="AP49" i="21"/>
  <c r="AQ67" i="21"/>
  <c r="AP67" i="21"/>
  <c r="N56" i="21"/>
  <c r="O56" i="21"/>
  <c r="N60" i="21"/>
  <c r="O60" i="21"/>
  <c r="R65" i="21"/>
  <c r="S65" i="21"/>
  <c r="S48" i="21"/>
  <c r="R48" i="21"/>
  <c r="J56" i="21"/>
  <c r="K56" i="21"/>
  <c r="AI63" i="21"/>
  <c r="AH63" i="21"/>
  <c r="F48" i="21"/>
  <c r="G48" i="21"/>
  <c r="F60" i="21"/>
  <c r="G60" i="21"/>
  <c r="AD57" i="21"/>
  <c r="AE57" i="21"/>
  <c r="W46" i="21"/>
  <c r="V46" i="21"/>
  <c r="AP56" i="21"/>
  <c r="AQ56" i="21"/>
  <c r="F61" i="21"/>
  <c r="G61" i="21"/>
  <c r="Z68" i="21"/>
  <c r="AA68" i="21"/>
  <c r="AU52" i="21"/>
  <c r="AT52" i="21"/>
  <c r="W53" i="21"/>
  <c r="V53" i="21"/>
  <c r="F6" i="21"/>
  <c r="E30" i="21"/>
  <c r="F2" i="47"/>
  <c r="G6" i="21"/>
  <c r="R68" i="21"/>
  <c r="S68" i="21"/>
  <c r="AD54" i="21"/>
  <c r="AE54" i="21"/>
  <c r="AM65" i="21"/>
  <c r="AL65" i="21"/>
  <c r="J57" i="21"/>
  <c r="K57" i="21"/>
  <c r="Z48" i="21"/>
  <c r="AA48" i="21"/>
  <c r="W58" i="21"/>
  <c r="V58" i="21"/>
  <c r="D12" i="34"/>
  <c r="D13" i="34" s="1"/>
  <c r="E13" i="34" s="1"/>
  <c r="F13" i="34" s="1"/>
  <c r="G13" i="34" s="1"/>
  <c r="H13" i="34" s="1"/>
  <c r="I13" i="34" s="1"/>
  <c r="C16" i="34"/>
  <c r="AI47" i="21"/>
  <c r="AH47" i="21"/>
  <c r="Z67" i="21"/>
  <c r="AA67" i="21"/>
  <c r="AX53" i="21"/>
  <c r="AY53" i="21"/>
  <c r="F21" i="47"/>
  <c r="G25" i="21"/>
  <c r="F25" i="21"/>
  <c r="B21" i="47" s="1"/>
  <c r="N58" i="21"/>
  <c r="O58" i="21"/>
  <c r="F54" i="21"/>
  <c r="G54" i="21"/>
  <c r="AA55" i="21"/>
  <c r="Z55" i="21"/>
  <c r="AX47" i="21"/>
  <c r="AY47" i="21"/>
  <c r="F9" i="21"/>
  <c r="B5" i="47" s="1"/>
  <c r="G9" i="21"/>
  <c r="F5" i="47"/>
  <c r="S54" i="21"/>
  <c r="R54" i="21"/>
  <c r="AH51" i="21"/>
  <c r="AI51" i="21"/>
  <c r="AY59" i="21"/>
  <c r="AX59" i="21"/>
  <c r="F53" i="21"/>
  <c r="G53" i="21"/>
  <c r="AU66" i="21"/>
  <c r="AT66" i="21"/>
  <c r="F14" i="47"/>
  <c r="G18" i="21"/>
  <c r="F18" i="21"/>
  <c r="B14" i="47" s="1"/>
  <c r="AI61" i="21"/>
  <c r="AH61" i="21"/>
  <c r="AA46" i="21"/>
  <c r="Z46" i="21"/>
  <c r="AM66" i="21"/>
  <c r="AL66" i="21"/>
  <c r="Z58" i="21"/>
  <c r="AA58" i="21"/>
  <c r="AE51" i="21"/>
  <c r="AD51" i="21"/>
  <c r="AE68" i="21"/>
  <c r="AD68" i="21"/>
  <c r="AT59" i="21"/>
  <c r="AU59" i="21"/>
  <c r="AX48" i="21"/>
  <c r="AY48" i="21"/>
  <c r="AX56" i="21"/>
  <c r="AY56" i="21"/>
  <c r="W54" i="21"/>
  <c r="V54" i="21"/>
  <c r="AL60" i="21"/>
  <c r="AM60" i="21"/>
  <c r="AL47" i="21"/>
  <c r="AM47" i="21"/>
  <c r="F22" i="47"/>
  <c r="F26" i="21"/>
  <c r="B22" i="47" s="1"/>
  <c r="G26" i="21"/>
  <c r="AP50" i="21"/>
  <c r="AQ50" i="21"/>
  <c r="O57" i="21"/>
  <c r="N57" i="21"/>
  <c r="N61" i="21"/>
  <c r="O61" i="21"/>
  <c r="R57" i="21"/>
  <c r="S57" i="21"/>
  <c r="S46" i="21"/>
  <c r="R46" i="21"/>
  <c r="K45" i="21"/>
  <c r="J45" i="21"/>
  <c r="C36" i="8"/>
  <c r="C42" i="8" s="1"/>
  <c r="C44" i="8" s="1"/>
  <c r="E34" i="8"/>
  <c r="AH64" i="21"/>
  <c r="AI64" i="21"/>
  <c r="F56" i="21"/>
  <c r="G56" i="21"/>
  <c r="G52" i="21"/>
  <c r="F52" i="21"/>
  <c r="Z50" i="21"/>
  <c r="AA50" i="21"/>
  <c r="AT65" i="21"/>
  <c r="AU65" i="21"/>
  <c r="AL68" i="21"/>
  <c r="AM68" i="21"/>
  <c r="J46" i="21"/>
  <c r="K46" i="21"/>
  <c r="AY68" i="21"/>
  <c r="AX68" i="21"/>
  <c r="N55" i="21"/>
  <c r="O55" i="21"/>
  <c r="AH56" i="21"/>
  <c r="AI56" i="21"/>
  <c r="AX67" i="21"/>
  <c r="AY67" i="21"/>
  <c r="N49" i="21"/>
  <c r="O49" i="21"/>
  <c r="S50" i="21"/>
  <c r="R50" i="21"/>
  <c r="AI54" i="21"/>
  <c r="AH54" i="21"/>
  <c r="AX57" i="21"/>
  <c r="AY57" i="21"/>
  <c r="AI49" i="21"/>
  <c r="AH49" i="21"/>
  <c r="AX64" i="21"/>
  <c r="AY64" i="21"/>
  <c r="AQ63" i="21"/>
  <c r="AP63" i="21"/>
  <c r="S52" i="21"/>
  <c r="R52" i="21"/>
  <c r="J65" i="21"/>
  <c r="K65" i="21"/>
  <c r="K59" i="21"/>
  <c r="J59" i="21"/>
  <c r="AE59" i="21"/>
  <c r="AD59" i="21"/>
  <c r="F8" i="47"/>
  <c r="F12" i="21"/>
  <c r="B8" i="47" s="1"/>
  <c r="G12" i="21"/>
  <c r="G51" i="21"/>
  <c r="F51" i="21"/>
  <c r="Z63" i="21"/>
  <c r="AA63" i="21"/>
  <c r="AD63" i="21"/>
  <c r="AE63" i="21"/>
  <c r="AD52" i="21"/>
  <c r="AE52" i="21"/>
  <c r="AU48" i="21"/>
  <c r="AT48" i="21"/>
  <c r="W48" i="21"/>
  <c r="V48" i="21"/>
  <c r="AM55" i="21"/>
  <c r="AL55" i="21"/>
  <c r="G11" i="21"/>
  <c r="F11" i="21"/>
  <c r="B7" i="47" s="1"/>
  <c r="F7" i="47"/>
  <c r="F15" i="47"/>
  <c r="F19" i="21"/>
  <c r="B15" i="47" s="1"/>
  <c r="G19" i="21"/>
  <c r="AQ58" i="21"/>
  <c r="AP58" i="21"/>
  <c r="N50" i="21"/>
  <c r="O50" i="21"/>
  <c r="O53" i="21"/>
  <c r="N53" i="21"/>
  <c r="R63" i="21"/>
  <c r="S63" i="21"/>
  <c r="K64" i="21"/>
  <c r="J64" i="21"/>
  <c r="G50" i="21"/>
  <c r="F50" i="21"/>
  <c r="W52" i="21"/>
  <c r="V52" i="21"/>
  <c r="F65" i="21"/>
  <c r="G65" i="21"/>
  <c r="AE45" i="21"/>
  <c r="AD45" i="21"/>
  <c r="AE55" i="21"/>
  <c r="AD55" i="21"/>
  <c r="AU49" i="21"/>
  <c r="AT49" i="21"/>
  <c r="AY45" i="21"/>
  <c r="AX45" i="21"/>
  <c r="AM53" i="21"/>
  <c r="AL53" i="21"/>
  <c r="F23" i="21"/>
  <c r="B19" i="47" s="1"/>
  <c r="F19" i="47"/>
  <c r="G23" i="21"/>
  <c r="AQ47" i="21"/>
  <c r="AP47" i="21"/>
  <c r="AQ59" i="21"/>
  <c r="AP59" i="21"/>
  <c r="N67" i="21"/>
  <c r="O67" i="21"/>
  <c r="R49" i="21"/>
  <c r="S49" i="21"/>
  <c r="R58" i="21"/>
  <c r="S58" i="21"/>
  <c r="K58" i="21"/>
  <c r="J58" i="21"/>
  <c r="G57" i="21"/>
  <c r="F57" i="21"/>
  <c r="AA61" i="21"/>
  <c r="Z61" i="21"/>
  <c r="Z53" i="21"/>
  <c r="AA53" i="21"/>
  <c r="AD49" i="21"/>
  <c r="AE49" i="21"/>
  <c r="AU56" i="21"/>
  <c r="AT56" i="21"/>
  <c r="AU47" i="21"/>
  <c r="AT47" i="21"/>
  <c r="AY65" i="21"/>
  <c r="AX65" i="21"/>
  <c r="W61" i="21"/>
  <c r="V61" i="21"/>
  <c r="V68" i="21"/>
  <c r="W68" i="21"/>
  <c r="AL67" i="21"/>
  <c r="AM67" i="21"/>
  <c r="AM46" i="21"/>
  <c r="AL46" i="21"/>
  <c r="F16" i="21"/>
  <c r="B12" i="47" s="1"/>
  <c r="G16" i="21"/>
  <c r="F12" i="47"/>
  <c r="E35" i="45"/>
  <c r="C37" i="45"/>
  <c r="C43" i="45" s="1"/>
  <c r="C45" i="45" s="1"/>
  <c r="AP51" i="21"/>
  <c r="AQ51" i="21"/>
  <c r="N48" i="21"/>
  <c r="O48" i="21"/>
  <c r="R62" i="21"/>
  <c r="S62" i="21"/>
  <c r="S45" i="21"/>
  <c r="R45" i="21"/>
  <c r="J55" i="21"/>
  <c r="K55" i="21"/>
  <c r="D12" i="8"/>
  <c r="D13" i="8" s="1"/>
  <c r="E13" i="8" s="1"/>
  <c r="F13" i="8" s="1"/>
  <c r="G13" i="8" s="1"/>
  <c r="H13" i="8" s="1"/>
  <c r="I13" i="8" s="1"/>
  <c r="C16" i="8"/>
  <c r="C18" i="8" s="1"/>
  <c r="AI66" i="21"/>
  <c r="AH66" i="21"/>
  <c r="G67" i="21"/>
  <c r="F67" i="21"/>
  <c r="G58" i="21"/>
  <c r="F58" i="21"/>
  <c r="AX61" i="21"/>
  <c r="AY61" i="21"/>
  <c r="AH46" i="21"/>
  <c r="AI46" i="21"/>
  <c r="AE56" i="21"/>
  <c r="AD56" i="21"/>
  <c r="W66" i="21"/>
  <c r="V66" i="21"/>
  <c r="AP60" i="21"/>
  <c r="AQ60" i="21"/>
  <c r="G63" i="21"/>
  <c r="F63" i="21"/>
  <c r="AT46" i="21"/>
  <c r="AU46" i="21"/>
  <c r="G10" i="21"/>
  <c r="F6" i="47"/>
  <c r="F10" i="21"/>
  <c r="B6" i="47" s="1"/>
  <c r="AI65" i="21"/>
  <c r="AH65" i="21"/>
  <c r="AE66" i="21"/>
  <c r="AD66" i="21"/>
  <c r="F27" i="21"/>
  <c r="B23" i="47" s="1"/>
  <c r="G27" i="21"/>
  <c r="F23" i="47"/>
  <c r="J49" i="21"/>
  <c r="K49" i="21"/>
  <c r="E35" i="27"/>
  <c r="C37" i="27"/>
  <c r="C43" i="27" s="1"/>
  <c r="C45" i="27" s="1"/>
  <c r="AD61" i="21"/>
  <c r="AE61" i="21"/>
  <c r="AU57" i="21"/>
  <c r="AT57" i="21"/>
  <c r="V45" i="21"/>
  <c r="W45" i="21"/>
  <c r="AL50" i="21"/>
  <c r="AM50" i="21"/>
  <c r="F16" i="47"/>
  <c r="F20" i="21"/>
  <c r="B16" i="47" s="1"/>
  <c r="G20" i="21"/>
  <c r="O51" i="21"/>
  <c r="N51" i="21"/>
  <c r="AI58" i="21"/>
  <c r="AH58" i="21"/>
  <c r="AT61" i="21"/>
  <c r="AU61" i="21"/>
  <c r="W56" i="21"/>
  <c r="V56" i="21"/>
  <c r="AM59" i="21"/>
  <c r="AL59" i="21"/>
  <c r="AP66" i="21"/>
  <c r="AQ66" i="21"/>
  <c r="N65" i="21"/>
  <c r="O65" i="21"/>
  <c r="O47" i="21"/>
  <c r="N47" i="21"/>
  <c r="K51" i="21"/>
  <c r="J51" i="21"/>
  <c r="F59" i="21"/>
  <c r="G59" i="21"/>
  <c r="AL54" i="21"/>
  <c r="AM54" i="21"/>
  <c r="AH53" i="21"/>
  <c r="AI53" i="21"/>
  <c r="AE60" i="21"/>
  <c r="AD60" i="21"/>
  <c r="AM48" i="21"/>
  <c r="AL48" i="21"/>
  <c r="J53" i="21"/>
  <c r="K53" i="21"/>
  <c r="G68" i="21"/>
  <c r="F68" i="21"/>
  <c r="V49" i="21"/>
  <c r="W49" i="21"/>
  <c r="AH67" i="21"/>
  <c r="AI67" i="21"/>
  <c r="Z51" i="21"/>
  <c r="AA51" i="21"/>
  <c r="Z45" i="21"/>
  <c r="AA45" i="21"/>
  <c r="AE64" i="21"/>
  <c r="AD64" i="21"/>
  <c r="AU54" i="21"/>
  <c r="AT54" i="21"/>
  <c r="AU51" i="21"/>
  <c r="AT51" i="21"/>
  <c r="AX60" i="21"/>
  <c r="AY60" i="21"/>
  <c r="W62" i="21"/>
  <c r="V62" i="21"/>
  <c r="V65" i="21"/>
  <c r="W65" i="21"/>
  <c r="AM57" i="21"/>
  <c r="AL57" i="21"/>
  <c r="E35" i="33"/>
  <c r="C37" i="33"/>
  <c r="C43" i="33" s="1"/>
  <c r="C45" i="33" s="1"/>
  <c r="F9" i="47"/>
  <c r="F13" i="21"/>
  <c r="B9" i="47" s="1"/>
  <c r="G13" i="21"/>
  <c r="C16" i="24"/>
  <c r="C18" i="24" s="1"/>
  <c r="D12" i="24"/>
  <c r="D13" i="24" s="1"/>
  <c r="E13" i="24" s="1"/>
  <c r="F13" i="24" s="1"/>
  <c r="G13" i="24" s="1"/>
  <c r="H13" i="24" s="1"/>
  <c r="AQ53" i="21"/>
  <c r="AP53" i="21"/>
  <c r="O63" i="21"/>
  <c r="N63" i="21"/>
  <c r="R67" i="21"/>
  <c r="S67" i="21"/>
  <c r="S59" i="21"/>
  <c r="R59" i="21"/>
  <c r="K66" i="21"/>
  <c r="J66" i="21"/>
  <c r="AH45" i="21"/>
  <c r="AI45" i="21"/>
  <c r="AH52" i="21"/>
  <c r="AI52" i="21"/>
  <c r="F66" i="21"/>
  <c r="G66" i="21"/>
  <c r="Z54" i="21"/>
  <c r="AA54" i="21"/>
  <c r="AT63" i="21"/>
  <c r="AU63" i="21"/>
  <c r="F3" i="47"/>
  <c r="F7" i="21"/>
  <c r="B3" i="47" s="1"/>
  <c r="G7" i="21"/>
  <c r="R61" i="21"/>
  <c r="S61" i="21"/>
  <c r="S55" i="21"/>
  <c r="R55" i="21"/>
  <c r="AA65" i="21"/>
  <c r="Z65" i="21"/>
  <c r="Z47" i="21"/>
  <c r="AA47" i="21"/>
  <c r="AE50" i="21"/>
  <c r="AD50" i="21"/>
  <c r="AU62" i="21"/>
  <c r="AT62" i="21"/>
  <c r="AU53" i="21"/>
  <c r="AT53" i="21"/>
  <c r="AX50" i="21"/>
  <c r="AY50" i="21"/>
  <c r="V51" i="21"/>
  <c r="W51" i="21"/>
  <c r="V64" i="21"/>
  <c r="W64" i="21"/>
  <c r="AL56" i="21"/>
  <c r="AM56" i="21"/>
  <c r="C16" i="33"/>
  <c r="D12" i="33"/>
  <c r="D13" i="33" s="1"/>
  <c r="E13" i="33" s="1"/>
  <c r="F13" i="33" s="1"/>
  <c r="G13" i="33" s="1"/>
  <c r="H13" i="33" s="1"/>
  <c r="I13" i="33" s="1"/>
  <c r="F22" i="21"/>
  <c r="B18" i="47" s="1"/>
  <c r="G22" i="21"/>
  <c r="F18" i="47"/>
  <c r="E34" i="24"/>
  <c r="C36" i="24"/>
  <c r="C42" i="24" s="1"/>
  <c r="C44" i="24" s="1"/>
  <c r="AQ61" i="21"/>
  <c r="AP61" i="21"/>
  <c r="N54" i="21"/>
  <c r="O54" i="21"/>
  <c r="S60" i="21"/>
  <c r="R60" i="21"/>
  <c r="S51" i="21"/>
  <c r="R51" i="21"/>
  <c r="K47" i="21"/>
  <c r="J47" i="21"/>
  <c r="AI68" i="21"/>
  <c r="AH68" i="21"/>
  <c r="AH50" i="21"/>
  <c r="AI50" i="21"/>
  <c r="F62" i="21"/>
  <c r="G62" i="21"/>
  <c r="BR24" i="4" l="1"/>
  <c r="CR24" i="4"/>
  <c r="F4" i="44"/>
  <c r="V8" i="11"/>
  <c r="CO19" i="46"/>
  <c r="CV19" i="7"/>
  <c r="DS19" i="26"/>
  <c r="DF19" i="26"/>
  <c r="CX19" i="7"/>
  <c r="DE19" i="46"/>
  <c r="CZ19" i="46"/>
  <c r="J22" i="26"/>
  <c r="CV19" i="23"/>
  <c r="DS19" i="7"/>
  <c r="CQ19" i="46"/>
  <c r="DS19" i="23"/>
  <c r="CV19" i="46"/>
  <c r="CW19" i="26"/>
  <c r="J25" i="13"/>
  <c r="B64" i="13" s="1"/>
  <c r="DX19" i="7"/>
  <c r="AG9" i="45"/>
  <c r="AJ26" i="4"/>
  <c r="AG9" i="33"/>
  <c r="AG9" i="34"/>
  <c r="N30" i="14"/>
  <c r="N24" i="14"/>
  <c r="N25" i="14" s="1"/>
  <c r="DN21" i="13"/>
  <c r="DN20" i="13"/>
  <c r="DN22" i="13" s="1"/>
  <c r="EE17" i="26"/>
  <c r="EE18" i="26"/>
  <c r="DM18" i="7"/>
  <c r="DM17" i="7"/>
  <c r="DM19" i="7" s="1"/>
  <c r="FN9" i="4"/>
  <c r="EZ16" i="46"/>
  <c r="EZ16" i="26"/>
  <c r="EZ16" i="23"/>
  <c r="EZ16" i="7"/>
  <c r="EZ19" i="13"/>
  <c r="DH18" i="26"/>
  <c r="DH17" i="26"/>
  <c r="DH19" i="26" s="1"/>
  <c r="DU16" i="46"/>
  <c r="DU19" i="13"/>
  <c r="EI9" i="4"/>
  <c r="DU16" i="23"/>
  <c r="DU16" i="7"/>
  <c r="DU16" i="26"/>
  <c r="DO18" i="7"/>
  <c r="DO17" i="7"/>
  <c r="DO19" i="7" s="1"/>
  <c r="CP19" i="26"/>
  <c r="EE17" i="23"/>
  <c r="EE18" i="23"/>
  <c r="DX19" i="26"/>
  <c r="CP19" i="23"/>
  <c r="K22" i="23" s="1"/>
  <c r="DW22" i="13"/>
  <c r="DL20" i="13"/>
  <c r="DL21" i="13"/>
  <c r="EN21" i="13"/>
  <c r="EN20" i="13"/>
  <c r="DI18" i="46"/>
  <c r="DI17" i="46"/>
  <c r="DI19" i="46" s="1"/>
  <c r="DN18" i="46"/>
  <c r="DN17" i="46"/>
  <c r="DN19" i="46" s="1"/>
  <c r="FD9" i="4"/>
  <c r="EP16" i="46"/>
  <c r="EP16" i="26"/>
  <c r="EP16" i="7"/>
  <c r="EP19" i="13"/>
  <c r="EP16" i="23"/>
  <c r="CO22" i="13"/>
  <c r="K25" i="13" s="1"/>
  <c r="DF19" i="23"/>
  <c r="DA19" i="23"/>
  <c r="DM17" i="23"/>
  <c r="DM18" i="23"/>
  <c r="EO18" i="7"/>
  <c r="EO17" i="7"/>
  <c r="EO19" i="7" s="1"/>
  <c r="CV19" i="26"/>
  <c r="CV22" i="13"/>
  <c r="EC19" i="23"/>
  <c r="DM18" i="26"/>
  <c r="DM17" i="26"/>
  <c r="DM19" i="26" s="1"/>
  <c r="DX16" i="23"/>
  <c r="DX16" i="7"/>
  <c r="DX16" i="46"/>
  <c r="DX19" i="13"/>
  <c r="EL9" i="4"/>
  <c r="DX16" i="26"/>
  <c r="DW18" i="26"/>
  <c r="DW17" i="26"/>
  <c r="DW19" i="26" s="1"/>
  <c r="EN17" i="46"/>
  <c r="EN18" i="46"/>
  <c r="DT16" i="23"/>
  <c r="DT16" i="46"/>
  <c r="EH9" i="4"/>
  <c r="DT16" i="26"/>
  <c r="DT16" i="7"/>
  <c r="DT19" i="13"/>
  <c r="DH18" i="7"/>
  <c r="DH17" i="7"/>
  <c r="DH19" i="7" s="1"/>
  <c r="DA18" i="46"/>
  <c r="DA17" i="46"/>
  <c r="DB19" i="46"/>
  <c r="DH17" i="46"/>
  <c r="DH18" i="46"/>
  <c r="DJ18" i="7"/>
  <c r="DJ17" i="7"/>
  <c r="DJ19" i="46"/>
  <c r="DO17" i="23"/>
  <c r="DO18" i="23"/>
  <c r="DW17" i="7"/>
  <c r="DW18" i="7"/>
  <c r="EE17" i="7"/>
  <c r="EE18" i="7"/>
  <c r="DL18" i="46"/>
  <c r="DL17" i="46"/>
  <c r="DL19" i="46" s="1"/>
  <c r="DJ17" i="23"/>
  <c r="DJ18" i="23"/>
  <c r="DZ16" i="46"/>
  <c r="EN9" i="4"/>
  <c r="DZ19" i="13"/>
  <c r="DZ16" i="26"/>
  <c r="DZ16" i="7"/>
  <c r="DZ16" i="23"/>
  <c r="DV21" i="13"/>
  <c r="DV20" i="13"/>
  <c r="DV22" i="13" s="1"/>
  <c r="DQ18" i="46"/>
  <c r="DQ17" i="46"/>
  <c r="DQ19" i="46" s="1"/>
  <c r="DD17" i="26"/>
  <c r="DD18" i="26"/>
  <c r="CR19" i="23"/>
  <c r="CR19" i="26"/>
  <c r="DK19" i="23"/>
  <c r="CW19" i="46"/>
  <c r="K22" i="46" s="1"/>
  <c r="DV18" i="46"/>
  <c r="DV17" i="46"/>
  <c r="DR18" i="7"/>
  <c r="DR17" i="7"/>
  <c r="DO16" i="7"/>
  <c r="DO16" i="46"/>
  <c r="DO16" i="26"/>
  <c r="EC9" i="4"/>
  <c r="DO16" i="23"/>
  <c r="DO19" i="13"/>
  <c r="DA19" i="26"/>
  <c r="DX19" i="23"/>
  <c r="EI20" i="13"/>
  <c r="EI21" i="13"/>
  <c r="DR22" i="13"/>
  <c r="DR17" i="23"/>
  <c r="DR18" i="23"/>
  <c r="CR19" i="7"/>
  <c r="DJ22" i="13"/>
  <c r="EH16" i="7"/>
  <c r="EH16" i="23"/>
  <c r="EV9" i="4"/>
  <c r="EH16" i="46"/>
  <c r="EH16" i="26"/>
  <c r="EH19" i="13"/>
  <c r="EJ18" i="7"/>
  <c r="EJ17" i="7"/>
  <c r="EJ19" i="7" s="1"/>
  <c r="DQ21" i="13"/>
  <c r="DQ20" i="13"/>
  <c r="DQ22" i="13" s="1"/>
  <c r="DC21" i="13"/>
  <c r="DC20" i="13"/>
  <c r="DW17" i="23"/>
  <c r="DW18" i="23"/>
  <c r="DI17" i="7"/>
  <c r="DI19" i="7" s="1"/>
  <c r="DI18" i="7"/>
  <c r="DB18" i="26"/>
  <c r="DB17" i="26"/>
  <c r="DB19" i="26" s="1"/>
  <c r="J22" i="7"/>
  <c r="EJ17" i="26"/>
  <c r="EJ18" i="26"/>
  <c r="EC16" i="23"/>
  <c r="EC19" i="13"/>
  <c r="EC16" i="26"/>
  <c r="EC16" i="7"/>
  <c r="EC16" i="46"/>
  <c r="EQ9" i="4"/>
  <c r="DD18" i="23"/>
  <c r="DD17" i="23"/>
  <c r="DD19" i="23" s="1"/>
  <c r="DG20" i="13"/>
  <c r="DG21" i="13"/>
  <c r="EI17" i="46"/>
  <c r="EI18" i="46"/>
  <c r="DS16" i="23"/>
  <c r="DS16" i="26"/>
  <c r="DS19" i="13"/>
  <c r="EG9" i="4"/>
  <c r="DS16" i="46"/>
  <c r="DS16" i="7"/>
  <c r="DR18" i="26"/>
  <c r="DR17" i="26"/>
  <c r="DR19" i="26" s="1"/>
  <c r="DB18" i="7"/>
  <c r="DB17" i="7"/>
  <c r="DB19" i="7" s="1"/>
  <c r="DH20" i="13"/>
  <c r="DH21" i="13"/>
  <c r="DG18" i="46"/>
  <c r="DG17" i="46"/>
  <c r="DM16" i="26"/>
  <c r="DM19" i="13"/>
  <c r="EA9" i="4"/>
  <c r="DM16" i="46"/>
  <c r="DM16" i="23"/>
  <c r="DM16" i="7"/>
  <c r="DH17" i="23"/>
  <c r="DH18" i="23"/>
  <c r="DO18" i="26"/>
  <c r="DO17" i="26"/>
  <c r="DO19" i="26" s="1"/>
  <c r="CP19" i="7"/>
  <c r="EO17" i="23"/>
  <c r="EO18" i="23"/>
  <c r="DJ18" i="26"/>
  <c r="DJ17" i="26"/>
  <c r="DJ19" i="26" s="1"/>
  <c r="DI20" i="13"/>
  <c r="DI22" i="13" s="1"/>
  <c r="DI21" i="13"/>
  <c r="EO17" i="26"/>
  <c r="EO18" i="26"/>
  <c r="DR19" i="46"/>
  <c r="ED21" i="13"/>
  <c r="ED20" i="13"/>
  <c r="ED18" i="46"/>
  <c r="ED17" i="46"/>
  <c r="ED19" i="46" s="1"/>
  <c r="DI18" i="23"/>
  <c r="DI17" i="23"/>
  <c r="DI19" i="23" s="1"/>
  <c r="DB18" i="23"/>
  <c r="DB17" i="23"/>
  <c r="DB19" i="23" s="1"/>
  <c r="EJ18" i="23"/>
  <c r="EJ17" i="23"/>
  <c r="EJ19" i="23" s="1"/>
  <c r="DD17" i="7"/>
  <c r="DD19" i="7" s="1"/>
  <c r="DD18" i="7"/>
  <c r="CW22" i="13"/>
  <c r="DI18" i="26"/>
  <c r="DI17" i="26"/>
  <c r="DI19" i="26" s="1"/>
  <c r="DA20" i="13"/>
  <c r="DA21" i="13"/>
  <c r="CU22" i="13"/>
  <c r="FI9" i="4"/>
  <c r="EU16" i="23"/>
  <c r="EU16" i="46"/>
  <c r="EU16" i="7"/>
  <c r="EU16" i="26"/>
  <c r="EU19" i="13"/>
  <c r="DC18" i="46"/>
  <c r="DC17" i="46"/>
  <c r="DC19" i="46" s="1"/>
  <c r="CZ22" i="13"/>
  <c r="EB19" i="46"/>
  <c r="G7" i="47"/>
  <c r="H7" i="47"/>
  <c r="G16" i="47"/>
  <c r="H16" i="47"/>
  <c r="J16" i="47" s="1"/>
  <c r="S69" i="21"/>
  <c r="J69" i="21"/>
  <c r="F74" i="21" s="1"/>
  <c r="F11" i="4" s="1"/>
  <c r="R11" i="4" s="1"/>
  <c r="AD11" i="4" s="1"/>
  <c r="AP11" i="4" s="1"/>
  <c r="BB11" i="4" s="1"/>
  <c r="BN11" i="4" s="1"/>
  <c r="BZ11" i="4" s="1"/>
  <c r="CL11" i="4" s="1"/>
  <c r="CX11" i="4" s="1"/>
  <c r="DJ11" i="4" s="1"/>
  <c r="DV11" i="4" s="1"/>
  <c r="EH11" i="4" s="1"/>
  <c r="ET11" i="4" s="1"/>
  <c r="FF11" i="4" s="1"/>
  <c r="FR11" i="4" s="1"/>
  <c r="GD11" i="4" s="1"/>
  <c r="GP11" i="4" s="1"/>
  <c r="HB11" i="4" s="1"/>
  <c r="HN11" i="4" s="1"/>
  <c r="HZ11" i="4" s="1"/>
  <c r="IL11" i="4" s="1"/>
  <c r="H8" i="47"/>
  <c r="G8" i="47"/>
  <c r="K69" i="21"/>
  <c r="G21" i="47"/>
  <c r="H21" i="47"/>
  <c r="H13" i="47"/>
  <c r="J13" i="47" s="1"/>
  <c r="G13" i="47"/>
  <c r="C19" i="24"/>
  <c r="B23" i="24"/>
  <c r="C22" i="24"/>
  <c r="B22" i="24"/>
  <c r="C23" i="24"/>
  <c r="G20" i="47"/>
  <c r="H20" i="47"/>
  <c r="H6" i="47"/>
  <c r="G6" i="47"/>
  <c r="H2" i="47"/>
  <c r="G2" i="47"/>
  <c r="F26" i="47"/>
  <c r="G19" i="47"/>
  <c r="H19" i="47"/>
  <c r="C18" i="34"/>
  <c r="C19" i="34" s="1"/>
  <c r="C49" i="34"/>
  <c r="C51" i="34" s="1"/>
  <c r="C55" i="14" s="1"/>
  <c r="H4" i="47"/>
  <c r="G4" i="47"/>
  <c r="AM69" i="21"/>
  <c r="H23" i="47"/>
  <c r="G23" i="47"/>
  <c r="AQ69" i="21"/>
  <c r="AY69" i="21"/>
  <c r="H9" i="47"/>
  <c r="G9" i="47"/>
  <c r="H12" i="47"/>
  <c r="G12" i="47"/>
  <c r="AD69" i="21"/>
  <c r="K74" i="21" s="1"/>
  <c r="K11" i="4" s="1"/>
  <c r="W11" i="4" s="1"/>
  <c r="AI11" i="4" s="1"/>
  <c r="AU11" i="4" s="1"/>
  <c r="BG11" i="4" s="1"/>
  <c r="BS11" i="4" s="1"/>
  <c r="CE11" i="4" s="1"/>
  <c r="CQ11" i="4" s="1"/>
  <c r="DC11" i="4" s="1"/>
  <c r="DO11" i="4" s="1"/>
  <c r="EA11" i="4" s="1"/>
  <c r="EM11" i="4" s="1"/>
  <c r="EY11" i="4" s="1"/>
  <c r="FK11" i="4" s="1"/>
  <c r="FW11" i="4" s="1"/>
  <c r="GI11" i="4" s="1"/>
  <c r="GU11" i="4" s="1"/>
  <c r="HG11" i="4" s="1"/>
  <c r="HS11" i="4" s="1"/>
  <c r="IE11" i="4" s="1"/>
  <c r="H14" i="47"/>
  <c r="J14" i="47" s="1"/>
  <c r="G14" i="47"/>
  <c r="F30" i="21"/>
  <c r="B2" i="47"/>
  <c r="B26" i="47" s="1"/>
  <c r="C2" i="47" s="1"/>
  <c r="G10" i="47"/>
  <c r="H10" i="47"/>
  <c r="AL69" i="21"/>
  <c r="M74" i="21" s="1"/>
  <c r="M11" i="4" s="1"/>
  <c r="Y11" i="4" s="1"/>
  <c r="AK11" i="4" s="1"/>
  <c r="AW11" i="4" s="1"/>
  <c r="BI11" i="4" s="1"/>
  <c r="BU11" i="4" s="1"/>
  <c r="CG11" i="4" s="1"/>
  <c r="CS11" i="4" s="1"/>
  <c r="DE11" i="4" s="1"/>
  <c r="DQ11" i="4" s="1"/>
  <c r="EC11" i="4" s="1"/>
  <c r="EO11" i="4" s="1"/>
  <c r="FA11" i="4" s="1"/>
  <c r="FM11" i="4" s="1"/>
  <c r="FY11" i="4" s="1"/>
  <c r="GK11" i="4" s="1"/>
  <c r="GW11" i="4" s="1"/>
  <c r="HI11" i="4" s="1"/>
  <c r="HU11" i="4" s="1"/>
  <c r="IG11" i="4" s="1"/>
  <c r="AT69" i="21"/>
  <c r="O74" i="21" s="1"/>
  <c r="O11" i="4" s="1"/>
  <c r="AA11" i="4" s="1"/>
  <c r="AM11" i="4" s="1"/>
  <c r="AY11" i="4" s="1"/>
  <c r="BK11" i="4" s="1"/>
  <c r="BW11" i="4" s="1"/>
  <c r="CI11" i="4" s="1"/>
  <c r="CU11" i="4" s="1"/>
  <c r="DG11" i="4" s="1"/>
  <c r="DS11" i="4" s="1"/>
  <c r="EE11" i="4" s="1"/>
  <c r="EQ11" i="4" s="1"/>
  <c r="FC11" i="4" s="1"/>
  <c r="FO11" i="4" s="1"/>
  <c r="GA11" i="4" s="1"/>
  <c r="GM11" i="4" s="1"/>
  <c r="GY11" i="4" s="1"/>
  <c r="HK11" i="4" s="1"/>
  <c r="HW11" i="4" s="1"/>
  <c r="II11" i="4" s="1"/>
  <c r="N69" i="21"/>
  <c r="G74" i="21" s="1"/>
  <c r="H22" i="47"/>
  <c r="G22" i="47"/>
  <c r="G18" i="47"/>
  <c r="H18" i="47"/>
  <c r="V69" i="21"/>
  <c r="I74" i="21" s="1"/>
  <c r="I11" i="4" s="1"/>
  <c r="U11" i="4" s="1"/>
  <c r="AG11" i="4" s="1"/>
  <c r="AS11" i="4" s="1"/>
  <c r="BE11" i="4" s="1"/>
  <c r="BQ11" i="4" s="1"/>
  <c r="CC11" i="4" s="1"/>
  <c r="CO11" i="4" s="1"/>
  <c r="DA11" i="4" s="1"/>
  <c r="DM11" i="4" s="1"/>
  <c r="DY11" i="4" s="1"/>
  <c r="EK11" i="4" s="1"/>
  <c r="EW11" i="4" s="1"/>
  <c r="FI11" i="4" s="1"/>
  <c r="FU11" i="4" s="1"/>
  <c r="GG11" i="4" s="1"/>
  <c r="GS11" i="4" s="1"/>
  <c r="HE11" i="4" s="1"/>
  <c r="HQ11" i="4" s="1"/>
  <c r="IC11" i="4" s="1"/>
  <c r="IO11" i="4" s="1"/>
  <c r="AA69" i="21"/>
  <c r="Z69" i="21"/>
  <c r="J74" i="21" s="1"/>
  <c r="J11" i="4" s="1"/>
  <c r="V11" i="4" s="1"/>
  <c r="AH11" i="4" s="1"/>
  <c r="AT11" i="4" s="1"/>
  <c r="BF11" i="4" s="1"/>
  <c r="BR11" i="4" s="1"/>
  <c r="CD11" i="4" s="1"/>
  <c r="CP11" i="4" s="1"/>
  <c r="DB11" i="4" s="1"/>
  <c r="DN11" i="4" s="1"/>
  <c r="DZ11" i="4" s="1"/>
  <c r="EL11" i="4" s="1"/>
  <c r="EX11" i="4" s="1"/>
  <c r="FJ11" i="4" s="1"/>
  <c r="FV11" i="4" s="1"/>
  <c r="GH11" i="4" s="1"/>
  <c r="GT11" i="4" s="1"/>
  <c r="HF11" i="4" s="1"/>
  <c r="HR11" i="4" s="1"/>
  <c r="ID11" i="4" s="1"/>
  <c r="G11" i="47"/>
  <c r="H11" i="47"/>
  <c r="AE69" i="21"/>
  <c r="F69" i="21"/>
  <c r="E74" i="21" s="1"/>
  <c r="E11" i="4" s="1"/>
  <c r="Q11" i="4" s="1"/>
  <c r="AC11" i="4" s="1"/>
  <c r="AO11" i="4" s="1"/>
  <c r="BA11" i="4" s="1"/>
  <c r="BM11" i="4" s="1"/>
  <c r="BY11" i="4" s="1"/>
  <c r="CK11" i="4" s="1"/>
  <c r="CW11" i="4" s="1"/>
  <c r="DI11" i="4" s="1"/>
  <c r="DU11" i="4" s="1"/>
  <c r="EG11" i="4" s="1"/>
  <c r="ES11" i="4" s="1"/>
  <c r="FE11" i="4" s="1"/>
  <c r="FQ11" i="4" s="1"/>
  <c r="GC11" i="4" s="1"/>
  <c r="GO11" i="4" s="1"/>
  <c r="HA11" i="4" s="1"/>
  <c r="HM11" i="4" s="1"/>
  <c r="HY11" i="4" s="1"/>
  <c r="IK11" i="4" s="1"/>
  <c r="AU69" i="21"/>
  <c r="O69" i="21"/>
  <c r="C18" i="33"/>
  <c r="C49" i="33"/>
  <c r="C51" i="33" s="1"/>
  <c r="C54" i="14" s="1"/>
  <c r="W69" i="21"/>
  <c r="AX69" i="21"/>
  <c r="P74" i="21" s="1"/>
  <c r="P11" i="4" s="1"/>
  <c r="AB11" i="4" s="1"/>
  <c r="AN11" i="4" s="1"/>
  <c r="AZ11" i="4" s="1"/>
  <c r="BL11" i="4" s="1"/>
  <c r="BX11" i="4" s="1"/>
  <c r="CJ11" i="4" s="1"/>
  <c r="CV11" i="4" s="1"/>
  <c r="DH11" i="4" s="1"/>
  <c r="DT11" i="4" s="1"/>
  <c r="EF11" i="4" s="1"/>
  <c r="ER11" i="4" s="1"/>
  <c r="FD11" i="4" s="1"/>
  <c r="FP11" i="4" s="1"/>
  <c r="GB11" i="4" s="1"/>
  <c r="GN11" i="4" s="1"/>
  <c r="GZ11" i="4" s="1"/>
  <c r="HL11" i="4" s="1"/>
  <c r="HX11" i="4" s="1"/>
  <c r="IJ11" i="4" s="1"/>
  <c r="G24" i="47"/>
  <c r="H24" i="47"/>
  <c r="H5" i="47"/>
  <c r="G5" i="47"/>
  <c r="AI69" i="21"/>
  <c r="C19" i="8"/>
  <c r="B23" i="8"/>
  <c r="B22" i="8"/>
  <c r="G17" i="47"/>
  <c r="H17" i="47"/>
  <c r="J17" i="47" s="1"/>
  <c r="G69" i="21"/>
  <c r="C19" i="25"/>
  <c r="B23" i="25"/>
  <c r="C23" i="25"/>
  <c r="C22" i="25"/>
  <c r="D23" i="25"/>
  <c r="D22" i="25"/>
  <c r="B22" i="25"/>
  <c r="G15" i="47"/>
  <c r="H15" i="47"/>
  <c r="J15" i="47" s="1"/>
  <c r="R69" i="21"/>
  <c r="H74" i="21" s="1"/>
  <c r="H25" i="47"/>
  <c r="G25" i="47"/>
  <c r="AP69" i="21"/>
  <c r="N74" i="21" s="1"/>
  <c r="N11" i="4" s="1"/>
  <c r="Z11" i="4" s="1"/>
  <c r="AL11" i="4" s="1"/>
  <c r="AX11" i="4" s="1"/>
  <c r="BJ11" i="4" s="1"/>
  <c r="BV11" i="4" s="1"/>
  <c r="CH11" i="4" s="1"/>
  <c r="CT11" i="4" s="1"/>
  <c r="DF11" i="4" s="1"/>
  <c r="DR11" i="4" s="1"/>
  <c r="ED11" i="4" s="1"/>
  <c r="EP11" i="4" s="1"/>
  <c r="FB11" i="4" s="1"/>
  <c r="FN11" i="4" s="1"/>
  <c r="FZ11" i="4" s="1"/>
  <c r="GL11" i="4" s="1"/>
  <c r="GX11" i="4" s="1"/>
  <c r="HJ11" i="4" s="1"/>
  <c r="HV11" i="4" s="1"/>
  <c r="IH11" i="4" s="1"/>
  <c r="AH69" i="21"/>
  <c r="L74" i="21" s="1"/>
  <c r="L11" i="4" s="1"/>
  <c r="X11" i="4" s="1"/>
  <c r="AJ11" i="4" s="1"/>
  <c r="AV11" i="4" s="1"/>
  <c r="BH11" i="4" s="1"/>
  <c r="BT11" i="4" s="1"/>
  <c r="CF11" i="4" s="1"/>
  <c r="CR11" i="4" s="1"/>
  <c r="DD11" i="4" s="1"/>
  <c r="DP11" i="4" s="1"/>
  <c r="EB11" i="4" s="1"/>
  <c r="EN11" i="4" s="1"/>
  <c r="EZ11" i="4" s="1"/>
  <c r="FL11" i="4" s="1"/>
  <c r="FX11" i="4" s="1"/>
  <c r="GJ11" i="4" s="1"/>
  <c r="GV11" i="4" s="1"/>
  <c r="HH11" i="4" s="1"/>
  <c r="HT11" i="4" s="1"/>
  <c r="IF11" i="4" s="1"/>
  <c r="G30" i="21"/>
  <c r="H6" i="2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" i="47"/>
  <c r="G3" i="47"/>
  <c r="I83" i="57"/>
  <c r="J133" i="57"/>
  <c r="J83" i="57" s="1"/>
  <c r="L133" i="57"/>
  <c r="BU24" i="4" l="1"/>
  <c r="CU24" i="4"/>
  <c r="DJ19" i="23"/>
  <c r="EO19" i="23"/>
  <c r="EJ19" i="26"/>
  <c r="B56" i="13"/>
  <c r="DM19" i="23"/>
  <c r="DA22" i="13"/>
  <c r="EI19" i="46"/>
  <c r="DG19" i="46"/>
  <c r="DV19" i="46"/>
  <c r="O30" i="14"/>
  <c r="O24" i="14"/>
  <c r="O25" i="14" s="1"/>
  <c r="AH9" i="45"/>
  <c r="AK26" i="4"/>
  <c r="AH9" i="34"/>
  <c r="AH9" i="33"/>
  <c r="DZ20" i="13"/>
  <c r="DZ21" i="13"/>
  <c r="FA17" i="7"/>
  <c r="FA18" i="7"/>
  <c r="EC17" i="46"/>
  <c r="EC18" i="46"/>
  <c r="K22" i="26"/>
  <c r="DH19" i="23"/>
  <c r="L22" i="23" s="1"/>
  <c r="EH21" i="13"/>
  <c r="EH20" i="13"/>
  <c r="EH22" i="13" s="1"/>
  <c r="DU18" i="26"/>
  <c r="DU17" i="26"/>
  <c r="DU19" i="26" s="1"/>
  <c r="EP17" i="46"/>
  <c r="EP18" i="46"/>
  <c r="ED22" i="13"/>
  <c r="DN17" i="7"/>
  <c r="DN18" i="7"/>
  <c r="EE16" i="26"/>
  <c r="EE19" i="13"/>
  <c r="EE16" i="7"/>
  <c r="EE16" i="23"/>
  <c r="ES9" i="4"/>
  <c r="EE16" i="46"/>
  <c r="EI17" i="26"/>
  <c r="EI18" i="26"/>
  <c r="EO9" i="4"/>
  <c r="EA19" i="13"/>
  <c r="EA16" i="26"/>
  <c r="EA16" i="7"/>
  <c r="EA16" i="46"/>
  <c r="EA16" i="23"/>
  <c r="DW19" i="7"/>
  <c r="ET9" i="4"/>
  <c r="EF16" i="26"/>
  <c r="EF16" i="7"/>
  <c r="EF19" i="13"/>
  <c r="EF16" i="23"/>
  <c r="EF16" i="46"/>
  <c r="FB16" i="7"/>
  <c r="FP9" i="4"/>
  <c r="FB19" i="13"/>
  <c r="FB16" i="23"/>
  <c r="FB16" i="46"/>
  <c r="FB16" i="26"/>
  <c r="EV18" i="7"/>
  <c r="EV17" i="7"/>
  <c r="EV19" i="7" s="1"/>
  <c r="DX18" i="46"/>
  <c r="DX17" i="46"/>
  <c r="DY18" i="23"/>
  <c r="DY17" i="23"/>
  <c r="EZ17" i="46"/>
  <c r="EZ18" i="46"/>
  <c r="DS18" i="46"/>
  <c r="DS17" i="46"/>
  <c r="DP18" i="23"/>
  <c r="DP17" i="23"/>
  <c r="DP19" i="23" s="1"/>
  <c r="FH9" i="4"/>
  <c r="ET16" i="46"/>
  <c r="ET16" i="23"/>
  <c r="ET16" i="26"/>
  <c r="ET16" i="7"/>
  <c r="ET19" i="13"/>
  <c r="DO17" i="46"/>
  <c r="DO18" i="46"/>
  <c r="DO19" i="23"/>
  <c r="DU17" i="23"/>
  <c r="DU18" i="23"/>
  <c r="DV17" i="7"/>
  <c r="DV18" i="7"/>
  <c r="EE19" i="26"/>
  <c r="EV17" i="26"/>
  <c r="EV18" i="26"/>
  <c r="EO16" i="23"/>
  <c r="EO16" i="26"/>
  <c r="EO16" i="46"/>
  <c r="FC9" i="4"/>
  <c r="EO19" i="13"/>
  <c r="EO16" i="7"/>
  <c r="DX20" i="13"/>
  <c r="DX21" i="13"/>
  <c r="K22" i="7"/>
  <c r="EI22" i="13"/>
  <c r="FA17" i="23"/>
  <c r="FA18" i="23"/>
  <c r="EU17" i="46"/>
  <c r="EU18" i="46"/>
  <c r="ED18" i="7"/>
  <c r="ED17" i="7"/>
  <c r="ED19" i="7" s="1"/>
  <c r="DY18" i="7"/>
  <c r="DY17" i="7"/>
  <c r="EP21" i="13"/>
  <c r="EP20" i="13"/>
  <c r="EP22" i="13" s="1"/>
  <c r="FA18" i="26"/>
  <c r="FA17" i="26"/>
  <c r="ED17" i="26"/>
  <c r="ED18" i="26"/>
  <c r="DT21" i="13"/>
  <c r="DT20" i="13"/>
  <c r="EQ18" i="7"/>
  <c r="EQ17" i="7"/>
  <c r="EQ19" i="7" s="1"/>
  <c r="EE19" i="23"/>
  <c r="FG16" i="26"/>
  <c r="FU9" i="4"/>
  <c r="FG16" i="46"/>
  <c r="FG16" i="23"/>
  <c r="FG16" i="7"/>
  <c r="FG19" i="13"/>
  <c r="DT18" i="7"/>
  <c r="DT17" i="7"/>
  <c r="DT19" i="7" s="1"/>
  <c r="EC21" i="13"/>
  <c r="EC20" i="13"/>
  <c r="DO21" i="13"/>
  <c r="DO20" i="13"/>
  <c r="DD19" i="26"/>
  <c r="L22" i="26" s="1"/>
  <c r="EE19" i="7"/>
  <c r="DU18" i="7"/>
  <c r="DU17" i="7"/>
  <c r="DU19" i="7" s="1"/>
  <c r="EQ17" i="26"/>
  <c r="EQ18" i="26"/>
  <c r="EH18" i="46"/>
  <c r="EH17" i="46"/>
  <c r="DP18" i="26"/>
  <c r="DP17" i="26"/>
  <c r="DP19" i="26" s="1"/>
  <c r="DT17" i="46"/>
  <c r="DT18" i="46"/>
  <c r="DM18" i="46"/>
  <c r="DM17" i="46"/>
  <c r="DT17" i="26"/>
  <c r="DT18" i="26"/>
  <c r="DY16" i="7"/>
  <c r="EM9" i="4"/>
  <c r="DY16" i="46"/>
  <c r="DY16" i="23"/>
  <c r="DY16" i="26"/>
  <c r="DY19" i="13"/>
  <c r="DT17" i="23"/>
  <c r="DT18" i="23"/>
  <c r="EI17" i="23"/>
  <c r="EI18" i="23"/>
  <c r="DP18" i="7"/>
  <c r="DP17" i="7"/>
  <c r="EA18" i="23"/>
  <c r="EA17" i="23"/>
  <c r="DV17" i="23"/>
  <c r="DV18" i="23"/>
  <c r="EO19" i="26"/>
  <c r="DM20" i="13"/>
  <c r="DM21" i="13"/>
  <c r="EI17" i="7"/>
  <c r="EI18" i="7"/>
  <c r="DR19" i="7"/>
  <c r="EA17" i="7"/>
  <c r="EA18" i="7"/>
  <c r="DJ19" i="7"/>
  <c r="EN19" i="46"/>
  <c r="EG16" i="46"/>
  <c r="EU9" i="4"/>
  <c r="EG16" i="26"/>
  <c r="EG19" i="13"/>
  <c r="EG16" i="23"/>
  <c r="EG16" i="7"/>
  <c r="EQ18" i="23"/>
  <c r="EQ17" i="23"/>
  <c r="EQ19" i="23" s="1"/>
  <c r="EV18" i="23"/>
  <c r="EV17" i="23"/>
  <c r="EV19" i="23" s="1"/>
  <c r="FZ9" i="4"/>
  <c r="FL16" i="7"/>
  <c r="FL19" i="13"/>
  <c r="FL16" i="23"/>
  <c r="FL16" i="26"/>
  <c r="FL16" i="46"/>
  <c r="ED18" i="23"/>
  <c r="ED17" i="23"/>
  <c r="DN18" i="23"/>
  <c r="DN17" i="23"/>
  <c r="DS20" i="13"/>
  <c r="DS21" i="13"/>
  <c r="DV17" i="26"/>
  <c r="DV18" i="26"/>
  <c r="DN17" i="26"/>
  <c r="DN18" i="26"/>
  <c r="EA18" i="26"/>
  <c r="EA17" i="26"/>
  <c r="EN22" i="13"/>
  <c r="DU20" i="13"/>
  <c r="DU21" i="13"/>
  <c r="DU17" i="46"/>
  <c r="DU18" i="46"/>
  <c r="DH19" i="46"/>
  <c r="DY18" i="26"/>
  <c r="DY17" i="26"/>
  <c r="DL22" i="13"/>
  <c r="DG22" i="13"/>
  <c r="EZ9" i="4"/>
  <c r="EL16" i="46"/>
  <c r="EL16" i="7"/>
  <c r="EL19" i="13"/>
  <c r="EL16" i="23"/>
  <c r="EL16" i="26"/>
  <c r="DW19" i="23"/>
  <c r="DR19" i="23"/>
  <c r="DZ18" i="46"/>
  <c r="DZ17" i="46"/>
  <c r="DZ19" i="46" s="1"/>
  <c r="EU20" i="13"/>
  <c r="EU21" i="13"/>
  <c r="DH22" i="13"/>
  <c r="DC22" i="13"/>
  <c r="DA19" i="46"/>
  <c r="EJ16" i="46"/>
  <c r="EJ16" i="26"/>
  <c r="EX9" i="4"/>
  <c r="EJ16" i="7"/>
  <c r="EJ19" i="13"/>
  <c r="EJ16" i="23"/>
  <c r="EZ20" i="13"/>
  <c r="EZ21" i="13"/>
  <c r="C7" i="47"/>
  <c r="C22" i="47"/>
  <c r="C25" i="47"/>
  <c r="C4" i="47"/>
  <c r="C14" i="47"/>
  <c r="C6" i="47"/>
  <c r="C5" i="47"/>
  <c r="C18" i="47"/>
  <c r="D22" i="33"/>
  <c r="C22" i="33"/>
  <c r="C19" i="33"/>
  <c r="G73" i="21"/>
  <c r="G10" i="4" s="1"/>
  <c r="S10" i="4" s="1"/>
  <c r="AE10" i="4" s="1"/>
  <c r="AQ10" i="4" s="1"/>
  <c r="BC10" i="4" s="1"/>
  <c r="BO10" i="4" s="1"/>
  <c r="CA10" i="4" s="1"/>
  <c r="CM10" i="4" s="1"/>
  <c r="CY10" i="4" s="1"/>
  <c r="DK10" i="4" s="1"/>
  <c r="DW10" i="4" s="1"/>
  <c r="EI10" i="4" s="1"/>
  <c r="EU10" i="4" s="1"/>
  <c r="FG10" i="4" s="1"/>
  <c r="FS10" i="4" s="1"/>
  <c r="GE10" i="4" s="1"/>
  <c r="GQ10" i="4" s="1"/>
  <c r="HC10" i="4" s="1"/>
  <c r="HO10" i="4" s="1"/>
  <c r="IA10" i="4" s="1"/>
  <c r="IM10" i="4" s="1"/>
  <c r="G75" i="21"/>
  <c r="G12" i="4" s="1"/>
  <c r="S12" i="4" s="1"/>
  <c r="AE12" i="4" s="1"/>
  <c r="AQ12" i="4" s="1"/>
  <c r="BC12" i="4" s="1"/>
  <c r="BO12" i="4" s="1"/>
  <c r="CA12" i="4" s="1"/>
  <c r="CM12" i="4" s="1"/>
  <c r="CY12" i="4" s="1"/>
  <c r="DK12" i="4" s="1"/>
  <c r="DW12" i="4" s="1"/>
  <c r="EI12" i="4" s="1"/>
  <c r="EU12" i="4" s="1"/>
  <c r="FG12" i="4" s="1"/>
  <c r="FS12" i="4" s="1"/>
  <c r="GE12" i="4" s="1"/>
  <c r="GQ12" i="4" s="1"/>
  <c r="HC12" i="4" s="1"/>
  <c r="HO12" i="4" s="1"/>
  <c r="IA12" i="4" s="1"/>
  <c r="IM12" i="4" s="1"/>
  <c r="O73" i="21"/>
  <c r="O10" i="4" s="1"/>
  <c r="AA10" i="4" s="1"/>
  <c r="AM10" i="4" s="1"/>
  <c r="AY10" i="4" s="1"/>
  <c r="BK10" i="4" s="1"/>
  <c r="BW10" i="4" s="1"/>
  <c r="CI10" i="4" s="1"/>
  <c r="CU10" i="4" s="1"/>
  <c r="DG10" i="4" s="1"/>
  <c r="DS10" i="4" s="1"/>
  <c r="EE10" i="4" s="1"/>
  <c r="EQ10" i="4" s="1"/>
  <c r="FC10" i="4" s="1"/>
  <c r="FO10" i="4" s="1"/>
  <c r="GA10" i="4" s="1"/>
  <c r="GM10" i="4" s="1"/>
  <c r="GY10" i="4" s="1"/>
  <c r="HK10" i="4" s="1"/>
  <c r="HW10" i="4" s="1"/>
  <c r="II10" i="4" s="1"/>
  <c r="O75" i="21"/>
  <c r="C17" i="47"/>
  <c r="J26" i="47"/>
  <c r="C11" i="47"/>
  <c r="C23" i="47"/>
  <c r="M73" i="21"/>
  <c r="M10" i="4" s="1"/>
  <c r="Y10" i="4" s="1"/>
  <c r="AK10" i="4" s="1"/>
  <c r="AW10" i="4" s="1"/>
  <c r="BI10" i="4" s="1"/>
  <c r="BU10" i="4" s="1"/>
  <c r="CG10" i="4" s="1"/>
  <c r="CS10" i="4" s="1"/>
  <c r="DE10" i="4" s="1"/>
  <c r="DQ10" i="4" s="1"/>
  <c r="EC10" i="4" s="1"/>
  <c r="EO10" i="4" s="1"/>
  <c r="FA10" i="4" s="1"/>
  <c r="FM10" i="4" s="1"/>
  <c r="FY10" i="4" s="1"/>
  <c r="GK10" i="4" s="1"/>
  <c r="GW10" i="4" s="1"/>
  <c r="HI10" i="4" s="1"/>
  <c r="HU10" i="4" s="1"/>
  <c r="IG10" i="4" s="1"/>
  <c r="M75" i="21"/>
  <c r="M12" i="4" s="1"/>
  <c r="K75" i="21"/>
  <c r="K12" i="4" s="1"/>
  <c r="W12" i="4" s="1"/>
  <c r="AI12" i="4" s="1"/>
  <c r="AU12" i="4" s="1"/>
  <c r="BG12" i="4" s="1"/>
  <c r="BS12" i="4" s="1"/>
  <c r="CE12" i="4" s="1"/>
  <c r="CQ12" i="4" s="1"/>
  <c r="DC12" i="4" s="1"/>
  <c r="DO12" i="4" s="1"/>
  <c r="EA12" i="4" s="1"/>
  <c r="EM12" i="4" s="1"/>
  <c r="EY12" i="4" s="1"/>
  <c r="FK12" i="4" s="1"/>
  <c r="FW12" i="4" s="1"/>
  <c r="GI12" i="4" s="1"/>
  <c r="GU12" i="4" s="1"/>
  <c r="HG12" i="4" s="1"/>
  <c r="HS12" i="4" s="1"/>
  <c r="IE12" i="4" s="1"/>
  <c r="K73" i="21"/>
  <c r="K10" i="4" s="1"/>
  <c r="W10" i="4" s="1"/>
  <c r="AI10" i="4" s="1"/>
  <c r="AU10" i="4" s="1"/>
  <c r="BG10" i="4" s="1"/>
  <c r="BS10" i="4" s="1"/>
  <c r="CE10" i="4" s="1"/>
  <c r="CQ10" i="4" s="1"/>
  <c r="DC10" i="4" s="1"/>
  <c r="DO10" i="4" s="1"/>
  <c r="EA10" i="4" s="1"/>
  <c r="EM10" i="4" s="1"/>
  <c r="EY10" i="4" s="1"/>
  <c r="FK10" i="4" s="1"/>
  <c r="FW10" i="4" s="1"/>
  <c r="GI10" i="4" s="1"/>
  <c r="GU10" i="4" s="1"/>
  <c r="HG10" i="4" s="1"/>
  <c r="HS10" i="4" s="1"/>
  <c r="IE10" i="4" s="1"/>
  <c r="C12" i="47"/>
  <c r="C16" i="47"/>
  <c r="G33" i="47"/>
  <c r="G34" i="47" s="1"/>
  <c r="H73" i="21"/>
  <c r="H10" i="4" s="1"/>
  <c r="T10" i="4" s="1"/>
  <c r="AF10" i="4" s="1"/>
  <c r="AR10" i="4" s="1"/>
  <c r="BD10" i="4" s="1"/>
  <c r="BP10" i="4" s="1"/>
  <c r="CB10" i="4" s="1"/>
  <c r="CN10" i="4" s="1"/>
  <c r="CZ10" i="4" s="1"/>
  <c r="DL10" i="4" s="1"/>
  <c r="DX10" i="4" s="1"/>
  <c r="EJ10" i="4" s="1"/>
  <c r="EV10" i="4" s="1"/>
  <c r="FH10" i="4" s="1"/>
  <c r="FT10" i="4" s="1"/>
  <c r="GF10" i="4" s="1"/>
  <c r="GR10" i="4" s="1"/>
  <c r="HD10" i="4" s="1"/>
  <c r="HP10" i="4" s="1"/>
  <c r="IB10" i="4" s="1"/>
  <c r="IN10" i="4" s="1"/>
  <c r="H75" i="21"/>
  <c r="H12" i="4" s="1"/>
  <c r="T12" i="4" s="1"/>
  <c r="AF12" i="4" s="1"/>
  <c r="AR12" i="4" s="1"/>
  <c r="BD12" i="4" s="1"/>
  <c r="BP12" i="4" s="1"/>
  <c r="CB12" i="4" s="1"/>
  <c r="CN12" i="4" s="1"/>
  <c r="CZ12" i="4" s="1"/>
  <c r="DL12" i="4" s="1"/>
  <c r="DX12" i="4" s="1"/>
  <c r="EJ12" i="4" s="1"/>
  <c r="EV12" i="4" s="1"/>
  <c r="FH12" i="4" s="1"/>
  <c r="FT12" i="4" s="1"/>
  <c r="GF12" i="4" s="1"/>
  <c r="GR12" i="4" s="1"/>
  <c r="HD12" i="4" s="1"/>
  <c r="HP12" i="4" s="1"/>
  <c r="IB12" i="4" s="1"/>
  <c r="IN12" i="4" s="1"/>
  <c r="F32" i="21"/>
  <c r="F35" i="21"/>
  <c r="H35" i="21" s="1"/>
  <c r="C20" i="47"/>
  <c r="F75" i="21"/>
  <c r="F73" i="21"/>
  <c r="F10" i="4" s="1"/>
  <c r="R10" i="4" s="1"/>
  <c r="AD10" i="4" s="1"/>
  <c r="AP10" i="4" s="1"/>
  <c r="BB10" i="4" s="1"/>
  <c r="BN10" i="4" s="1"/>
  <c r="BZ10" i="4" s="1"/>
  <c r="CL10" i="4" s="1"/>
  <c r="CX10" i="4" s="1"/>
  <c r="DJ10" i="4" s="1"/>
  <c r="DV10" i="4" s="1"/>
  <c r="EH10" i="4" s="1"/>
  <c r="ET10" i="4" s="1"/>
  <c r="FF10" i="4" s="1"/>
  <c r="FR10" i="4" s="1"/>
  <c r="GD10" i="4" s="1"/>
  <c r="GP10" i="4" s="1"/>
  <c r="HB10" i="4" s="1"/>
  <c r="HN10" i="4" s="1"/>
  <c r="HZ10" i="4" s="1"/>
  <c r="IL10" i="4" s="1"/>
  <c r="L75" i="21"/>
  <c r="L73" i="21"/>
  <c r="L10" i="4" s="1"/>
  <c r="X10" i="4" s="1"/>
  <c r="AJ10" i="4" s="1"/>
  <c r="AV10" i="4" s="1"/>
  <c r="BH10" i="4" s="1"/>
  <c r="BT10" i="4" s="1"/>
  <c r="CF10" i="4" s="1"/>
  <c r="CR10" i="4" s="1"/>
  <c r="DD10" i="4" s="1"/>
  <c r="DP10" i="4" s="1"/>
  <c r="EB10" i="4" s="1"/>
  <c r="EN10" i="4" s="1"/>
  <c r="EZ10" i="4" s="1"/>
  <c r="FL10" i="4" s="1"/>
  <c r="FX10" i="4" s="1"/>
  <c r="GJ10" i="4" s="1"/>
  <c r="GV10" i="4" s="1"/>
  <c r="HH10" i="4" s="1"/>
  <c r="HT10" i="4" s="1"/>
  <c r="IF10" i="4" s="1"/>
  <c r="G26" i="47"/>
  <c r="G28" i="47" s="1"/>
  <c r="G30" i="47" s="1"/>
  <c r="G31" i="47" s="1"/>
  <c r="C10" i="47"/>
  <c r="C8" i="47"/>
  <c r="P75" i="21"/>
  <c r="P73" i="21"/>
  <c r="P10" i="4" s="1"/>
  <c r="AB10" i="4" s="1"/>
  <c r="AN10" i="4" s="1"/>
  <c r="AZ10" i="4" s="1"/>
  <c r="BL10" i="4" s="1"/>
  <c r="BX10" i="4" s="1"/>
  <c r="CJ10" i="4" s="1"/>
  <c r="CV10" i="4" s="1"/>
  <c r="DH10" i="4" s="1"/>
  <c r="DT10" i="4" s="1"/>
  <c r="EF10" i="4" s="1"/>
  <c r="ER10" i="4" s="1"/>
  <c r="FD10" i="4" s="1"/>
  <c r="FP10" i="4" s="1"/>
  <c r="GB10" i="4" s="1"/>
  <c r="GN10" i="4" s="1"/>
  <c r="GZ10" i="4" s="1"/>
  <c r="HL10" i="4" s="1"/>
  <c r="HX10" i="4" s="1"/>
  <c r="IJ10" i="4" s="1"/>
  <c r="C3" i="47"/>
  <c r="H11" i="4"/>
  <c r="T11" i="4" s="1"/>
  <c r="AF11" i="4" s="1"/>
  <c r="AR11" i="4" s="1"/>
  <c r="BD11" i="4" s="1"/>
  <c r="BP11" i="4" s="1"/>
  <c r="CB11" i="4" s="1"/>
  <c r="CN11" i="4" s="1"/>
  <c r="CZ11" i="4" s="1"/>
  <c r="DL11" i="4" s="1"/>
  <c r="DX11" i="4" s="1"/>
  <c r="EJ11" i="4" s="1"/>
  <c r="EV11" i="4" s="1"/>
  <c r="FH11" i="4" s="1"/>
  <c r="FT11" i="4" s="1"/>
  <c r="GF11" i="4" s="1"/>
  <c r="GR11" i="4" s="1"/>
  <c r="HD11" i="4" s="1"/>
  <c r="HP11" i="4" s="1"/>
  <c r="IB11" i="4" s="1"/>
  <c r="IN11" i="4" s="1"/>
  <c r="I2" i="47"/>
  <c r="I3" i="47" s="1"/>
  <c r="I4" i="47" s="1"/>
  <c r="I5" i="47" s="1"/>
  <c r="I6" i="47" s="1"/>
  <c r="I7" i="47" s="1"/>
  <c r="I8" i="47" s="1"/>
  <c r="I9" i="47" s="1"/>
  <c r="I10" i="47" s="1"/>
  <c r="I11" i="47" s="1"/>
  <c r="I12" i="47" s="1"/>
  <c r="I13" i="47" s="1"/>
  <c r="I14" i="47" s="1"/>
  <c r="I15" i="47" s="1"/>
  <c r="I16" i="47" s="1"/>
  <c r="I17" i="47" s="1"/>
  <c r="I18" i="47" s="1"/>
  <c r="I19" i="47" s="1"/>
  <c r="I20" i="47" s="1"/>
  <c r="I21" i="47" s="1"/>
  <c r="I22" i="47" s="1"/>
  <c r="I23" i="47" s="1"/>
  <c r="I24" i="47" s="1"/>
  <c r="I25" i="47" s="1"/>
  <c r="H26" i="47"/>
  <c r="C15" i="47"/>
  <c r="C19" i="47"/>
  <c r="M133" i="57"/>
  <c r="M83" i="57" s="1"/>
  <c r="L83" i="57"/>
  <c r="L148" i="57" s="1"/>
  <c r="N75" i="21"/>
  <c r="N12" i="4" s="1"/>
  <c r="Z12" i="4" s="1"/>
  <c r="AL12" i="4" s="1"/>
  <c r="AX12" i="4" s="1"/>
  <c r="BJ12" i="4" s="1"/>
  <c r="BV12" i="4" s="1"/>
  <c r="CH12" i="4" s="1"/>
  <c r="CT12" i="4" s="1"/>
  <c r="DF12" i="4" s="1"/>
  <c r="DR12" i="4" s="1"/>
  <c r="ED12" i="4" s="1"/>
  <c r="EP12" i="4" s="1"/>
  <c r="FB12" i="4" s="1"/>
  <c r="FN12" i="4" s="1"/>
  <c r="FZ12" i="4" s="1"/>
  <c r="GL12" i="4" s="1"/>
  <c r="GX12" i="4" s="1"/>
  <c r="HJ12" i="4" s="1"/>
  <c r="HV12" i="4" s="1"/>
  <c r="IH12" i="4" s="1"/>
  <c r="N73" i="21"/>
  <c r="N10" i="4" s="1"/>
  <c r="Z10" i="4" s="1"/>
  <c r="AL10" i="4" s="1"/>
  <c r="AX10" i="4" s="1"/>
  <c r="BJ10" i="4" s="1"/>
  <c r="BV10" i="4" s="1"/>
  <c r="CH10" i="4" s="1"/>
  <c r="CT10" i="4" s="1"/>
  <c r="DF10" i="4" s="1"/>
  <c r="DR10" i="4" s="1"/>
  <c r="ED10" i="4" s="1"/>
  <c r="EP10" i="4" s="1"/>
  <c r="FB10" i="4" s="1"/>
  <c r="FN10" i="4" s="1"/>
  <c r="FZ10" i="4" s="1"/>
  <c r="GL10" i="4" s="1"/>
  <c r="GX10" i="4" s="1"/>
  <c r="HJ10" i="4" s="1"/>
  <c r="HV10" i="4" s="1"/>
  <c r="IH10" i="4" s="1"/>
  <c r="G36" i="47"/>
  <c r="G37" i="47" s="1"/>
  <c r="E73" i="21"/>
  <c r="E10" i="4" s="1"/>
  <c r="Q10" i="4" s="1"/>
  <c r="AC10" i="4" s="1"/>
  <c r="AO10" i="4" s="1"/>
  <c r="BA10" i="4" s="1"/>
  <c r="BM10" i="4" s="1"/>
  <c r="BY10" i="4" s="1"/>
  <c r="CK10" i="4" s="1"/>
  <c r="CW10" i="4" s="1"/>
  <c r="DI10" i="4" s="1"/>
  <c r="DU10" i="4" s="1"/>
  <c r="EG10" i="4" s="1"/>
  <c r="ES10" i="4" s="1"/>
  <c r="FE10" i="4" s="1"/>
  <c r="FQ10" i="4" s="1"/>
  <c r="GC10" i="4" s="1"/>
  <c r="GO10" i="4" s="1"/>
  <c r="HA10" i="4" s="1"/>
  <c r="HM10" i="4" s="1"/>
  <c r="HY10" i="4" s="1"/>
  <c r="IK10" i="4" s="1"/>
  <c r="E75" i="21"/>
  <c r="E78" i="21" s="1"/>
  <c r="E15" i="4" s="1"/>
  <c r="D29" i="23" s="1"/>
  <c r="D29" i="47"/>
  <c r="D30" i="47" s="1"/>
  <c r="D31" i="47" s="1"/>
  <c r="F37" i="21"/>
  <c r="F34" i="21"/>
  <c r="C13" i="47"/>
  <c r="J75" i="21"/>
  <c r="J73" i="21"/>
  <c r="J10" i="4" s="1"/>
  <c r="V10" i="4" s="1"/>
  <c r="AH10" i="4" s="1"/>
  <c r="AT10" i="4" s="1"/>
  <c r="BF10" i="4" s="1"/>
  <c r="BR10" i="4" s="1"/>
  <c r="CD10" i="4" s="1"/>
  <c r="CP10" i="4" s="1"/>
  <c r="DB10" i="4" s="1"/>
  <c r="DN10" i="4" s="1"/>
  <c r="DZ10" i="4" s="1"/>
  <c r="EL10" i="4" s="1"/>
  <c r="EX10" i="4" s="1"/>
  <c r="FJ10" i="4" s="1"/>
  <c r="FV10" i="4" s="1"/>
  <c r="GH10" i="4" s="1"/>
  <c r="GT10" i="4" s="1"/>
  <c r="HF10" i="4" s="1"/>
  <c r="HR10" i="4" s="1"/>
  <c r="ID10" i="4" s="1"/>
  <c r="C21" i="47"/>
  <c r="AE21" i="57"/>
  <c r="AB83" i="57"/>
  <c r="AB148" i="57" s="1"/>
  <c r="AB152" i="57" s="1"/>
  <c r="J148" i="57"/>
  <c r="I75" i="21"/>
  <c r="I73" i="21"/>
  <c r="I10" i="4" s="1"/>
  <c r="U10" i="4" s="1"/>
  <c r="AG10" i="4" s="1"/>
  <c r="AS10" i="4" s="1"/>
  <c r="BE10" i="4" s="1"/>
  <c r="BQ10" i="4" s="1"/>
  <c r="CC10" i="4" s="1"/>
  <c r="CO10" i="4" s="1"/>
  <c r="DA10" i="4" s="1"/>
  <c r="DM10" i="4" s="1"/>
  <c r="DY10" i="4" s="1"/>
  <c r="EK10" i="4" s="1"/>
  <c r="EW10" i="4" s="1"/>
  <c r="FI10" i="4" s="1"/>
  <c r="FU10" i="4" s="1"/>
  <c r="GG10" i="4" s="1"/>
  <c r="GS10" i="4" s="1"/>
  <c r="HE10" i="4" s="1"/>
  <c r="HQ10" i="4" s="1"/>
  <c r="IC10" i="4" s="1"/>
  <c r="IO10" i="4" s="1"/>
  <c r="G11" i="4"/>
  <c r="S11" i="4" s="1"/>
  <c r="AE11" i="4" s="1"/>
  <c r="AQ11" i="4" s="1"/>
  <c r="BC11" i="4" s="1"/>
  <c r="BO11" i="4" s="1"/>
  <c r="CA11" i="4" s="1"/>
  <c r="CM11" i="4" s="1"/>
  <c r="CY11" i="4" s="1"/>
  <c r="DK11" i="4" s="1"/>
  <c r="DW11" i="4" s="1"/>
  <c r="EI11" i="4" s="1"/>
  <c r="EU11" i="4" s="1"/>
  <c r="FG11" i="4" s="1"/>
  <c r="FS11" i="4" s="1"/>
  <c r="GE11" i="4" s="1"/>
  <c r="GQ11" i="4" s="1"/>
  <c r="HC11" i="4" s="1"/>
  <c r="HO11" i="4" s="1"/>
  <c r="IA11" i="4" s="1"/>
  <c r="IM11" i="4" s="1"/>
  <c r="C9" i="47"/>
  <c r="C24" i="47"/>
  <c r="I148" i="57"/>
  <c r="F5" i="57"/>
  <c r="AE20" i="57"/>
  <c r="P26" i="57"/>
  <c r="BX24" i="4" l="1"/>
  <c r="CX24" i="4"/>
  <c r="DS19" i="46"/>
  <c r="EP19" i="46"/>
  <c r="DU22" i="13"/>
  <c r="EA19" i="7"/>
  <c r="DT22" i="13"/>
  <c r="DU19" i="23"/>
  <c r="DT19" i="46"/>
  <c r="DU19" i="46"/>
  <c r="L22" i="46"/>
  <c r="DZ22" i="13"/>
  <c r="DT19" i="23"/>
  <c r="L25" i="13"/>
  <c r="DY19" i="26"/>
  <c r="DN19" i="23"/>
  <c r="EA19" i="23"/>
  <c r="DM19" i="46"/>
  <c r="EC22" i="13"/>
  <c r="P24" i="14"/>
  <c r="P25" i="14" s="1"/>
  <c r="P30" i="14"/>
  <c r="AL26" i="4"/>
  <c r="AI9" i="45"/>
  <c r="AI9" i="34"/>
  <c r="AI9" i="33"/>
  <c r="DZ18" i="7"/>
  <c r="DZ17" i="7"/>
  <c r="DZ19" i="7" s="1"/>
  <c r="FA19" i="23"/>
  <c r="DV19" i="7"/>
  <c r="EG17" i="23"/>
  <c r="EG18" i="23"/>
  <c r="EF17" i="23"/>
  <c r="EF18" i="23"/>
  <c r="EH18" i="7"/>
  <c r="EH17" i="7"/>
  <c r="EH19" i="7" s="1"/>
  <c r="EZ19" i="46"/>
  <c r="EF21" i="13"/>
  <c r="EF20" i="13"/>
  <c r="EF22" i="13" s="1"/>
  <c r="EF18" i="7"/>
  <c r="EF17" i="7"/>
  <c r="FH17" i="23"/>
  <c r="FH19" i="23" s="1"/>
  <c r="FH18" i="23"/>
  <c r="EP17" i="26"/>
  <c r="EP18" i="26"/>
  <c r="EA20" i="13"/>
  <c r="EA21" i="13"/>
  <c r="EP17" i="23"/>
  <c r="EP18" i="23"/>
  <c r="DV19" i="26"/>
  <c r="FH17" i="26"/>
  <c r="FH18" i="26"/>
  <c r="FN16" i="46"/>
  <c r="GB9" i="4"/>
  <c r="FN16" i="26"/>
  <c r="FN16" i="7"/>
  <c r="FN16" i="23"/>
  <c r="FN19" i="13"/>
  <c r="ED19" i="23"/>
  <c r="EH18" i="23"/>
  <c r="EH17" i="23"/>
  <c r="DV19" i="23"/>
  <c r="DT19" i="26"/>
  <c r="DO22" i="13"/>
  <c r="DY19" i="23"/>
  <c r="EG18" i="7"/>
  <c r="EG17" i="7"/>
  <c r="EG19" i="7" s="1"/>
  <c r="EE20" i="13"/>
  <c r="EE21" i="13"/>
  <c r="EC19" i="46"/>
  <c r="ET18" i="46"/>
  <c r="ET17" i="46"/>
  <c r="FB20" i="13"/>
  <c r="FB21" i="13"/>
  <c r="EQ19" i="26"/>
  <c r="DM22" i="13"/>
  <c r="EF17" i="46"/>
  <c r="EF18" i="46"/>
  <c r="EQ16" i="46"/>
  <c r="FE9" i="4"/>
  <c r="EQ16" i="23"/>
  <c r="EQ16" i="26"/>
  <c r="EQ19" i="13"/>
  <c r="EQ16" i="7"/>
  <c r="EF18" i="26"/>
  <c r="EF17" i="26"/>
  <c r="EF19" i="26" s="1"/>
  <c r="EZ22" i="13"/>
  <c r="FL17" i="46"/>
  <c r="FL19" i="46" s="1"/>
  <c r="FL18" i="46"/>
  <c r="FA19" i="7"/>
  <c r="EK18" i="23"/>
  <c r="EK17" i="23"/>
  <c r="EM17" i="23"/>
  <c r="EM18" i="23"/>
  <c r="FM17" i="26"/>
  <c r="FM18" i="26"/>
  <c r="ES16" i="23"/>
  <c r="FG9" i="4"/>
  <c r="ES16" i="46"/>
  <c r="ES16" i="26"/>
  <c r="ES19" i="13"/>
  <c r="ES16" i="7"/>
  <c r="DP19" i="7"/>
  <c r="FA19" i="26"/>
  <c r="DX22" i="13"/>
  <c r="DO19" i="46"/>
  <c r="DX19" i="46"/>
  <c r="DN19" i="7"/>
  <c r="EI19" i="26"/>
  <c r="EG21" i="13"/>
  <c r="EG20" i="13"/>
  <c r="EG22" i="13" s="1"/>
  <c r="EH18" i="26"/>
  <c r="EH17" i="26"/>
  <c r="ED19" i="26"/>
  <c r="EL21" i="13"/>
  <c r="EL20" i="13"/>
  <c r="EL22" i="13" s="1"/>
  <c r="FM18" i="23"/>
  <c r="FM17" i="23"/>
  <c r="FM19" i="23" s="1"/>
  <c r="EK18" i="7"/>
  <c r="EK17" i="7"/>
  <c r="EK19" i="7" s="1"/>
  <c r="EM18" i="7"/>
  <c r="EM17" i="7"/>
  <c r="EM19" i="7" s="1"/>
  <c r="FL20" i="13"/>
  <c r="FL21" i="13"/>
  <c r="EO21" i="13"/>
  <c r="EO20" i="13"/>
  <c r="EO22" i="13" s="1"/>
  <c r="EU18" i="7"/>
  <c r="EU17" i="7"/>
  <c r="EU19" i="7" s="1"/>
  <c r="EA17" i="46"/>
  <c r="EA18" i="46"/>
  <c r="EJ17" i="46"/>
  <c r="EJ18" i="46"/>
  <c r="FB18" i="46"/>
  <c r="FB17" i="46"/>
  <c r="DN19" i="26"/>
  <c r="DY20" i="13"/>
  <c r="DY21" i="13"/>
  <c r="FG17" i="46"/>
  <c r="FG18" i="46"/>
  <c r="FC18" i="23"/>
  <c r="FC17" i="23"/>
  <c r="FC19" i="23" s="1"/>
  <c r="DZ18" i="23"/>
  <c r="DZ17" i="23"/>
  <c r="DZ19" i="23" s="1"/>
  <c r="EU19" i="46"/>
  <c r="ER16" i="46"/>
  <c r="ER16" i="26"/>
  <c r="ER16" i="23"/>
  <c r="ER16" i="7"/>
  <c r="ER19" i="13"/>
  <c r="FF9" i="4"/>
  <c r="EJ21" i="13"/>
  <c r="EJ20" i="13"/>
  <c r="FJ9" i="4"/>
  <c r="EV16" i="46"/>
  <c r="EV16" i="23"/>
  <c r="EV16" i="7"/>
  <c r="EV19" i="13"/>
  <c r="EV16" i="26"/>
  <c r="EL18" i="46"/>
  <c r="EL17" i="46"/>
  <c r="EL19" i="46" s="1"/>
  <c r="EA19" i="26"/>
  <c r="FM17" i="7"/>
  <c r="FM18" i="7"/>
  <c r="EI19" i="23"/>
  <c r="FG21" i="13"/>
  <c r="FG20" i="13"/>
  <c r="FO9" i="4"/>
  <c r="FA16" i="23"/>
  <c r="FA16" i="7"/>
  <c r="FA16" i="26"/>
  <c r="FA16" i="46"/>
  <c r="FA19" i="13"/>
  <c r="EU18" i="26"/>
  <c r="EU17" i="26"/>
  <c r="EU19" i="26" s="1"/>
  <c r="EB17" i="7"/>
  <c r="EB18" i="7"/>
  <c r="FF16" i="46"/>
  <c r="FF16" i="7"/>
  <c r="FF16" i="26"/>
  <c r="FF16" i="23"/>
  <c r="FT9" i="4"/>
  <c r="FF19" i="13"/>
  <c r="FA9" i="4"/>
  <c r="EM16" i="46"/>
  <c r="EM16" i="23"/>
  <c r="EM16" i="26"/>
  <c r="EM19" i="13"/>
  <c r="EM16" i="7"/>
  <c r="DZ17" i="26"/>
  <c r="DZ18" i="26"/>
  <c r="FS16" i="46"/>
  <c r="FS16" i="7"/>
  <c r="FS16" i="23"/>
  <c r="FS19" i="13"/>
  <c r="FS16" i="26"/>
  <c r="GG9" i="4"/>
  <c r="EI19" i="7"/>
  <c r="EV19" i="26"/>
  <c r="DY18" i="46"/>
  <c r="DY17" i="46"/>
  <c r="FC18" i="7"/>
  <c r="FC17" i="7"/>
  <c r="FC19" i="7" s="1"/>
  <c r="EE18" i="46"/>
  <c r="EE17" i="46"/>
  <c r="EU22" i="13"/>
  <c r="DS22" i="13"/>
  <c r="EY9" i="4"/>
  <c r="EK16" i="23"/>
  <c r="EK16" i="46"/>
  <c r="EK16" i="7"/>
  <c r="EK16" i="26"/>
  <c r="EK19" i="13"/>
  <c r="EG18" i="26"/>
  <c r="EG17" i="26"/>
  <c r="EM17" i="26"/>
  <c r="EM18" i="26"/>
  <c r="EG18" i="46"/>
  <c r="EG17" i="46"/>
  <c r="EG19" i="46" s="1"/>
  <c r="EP18" i="7"/>
  <c r="EP17" i="7"/>
  <c r="ET21" i="13"/>
  <c r="ET20" i="13"/>
  <c r="ET22" i="13" s="1"/>
  <c r="EB18" i="23"/>
  <c r="EB17" i="23"/>
  <c r="EB19" i="23" s="1"/>
  <c r="EK18" i="26"/>
  <c r="EK17" i="26"/>
  <c r="EX19" i="13"/>
  <c r="EX16" i="46"/>
  <c r="FL9" i="4"/>
  <c r="EX16" i="26"/>
  <c r="EX16" i="23"/>
  <c r="EX16" i="7"/>
  <c r="FX16" i="46"/>
  <c r="GL9" i="4"/>
  <c r="FX19" i="13"/>
  <c r="FX16" i="7"/>
  <c r="FX16" i="23"/>
  <c r="FX16" i="26"/>
  <c r="EH19" i="46"/>
  <c r="FH17" i="7"/>
  <c r="FH18" i="7"/>
  <c r="DY19" i="7"/>
  <c r="EO17" i="46"/>
  <c r="EO18" i="46"/>
  <c r="EU17" i="23"/>
  <c r="EU18" i="23"/>
  <c r="FC17" i="26"/>
  <c r="FC18" i="26"/>
  <c r="EB18" i="26"/>
  <c r="EB17" i="26"/>
  <c r="EB19" i="26" s="1"/>
  <c r="D29" i="26"/>
  <c r="M78" i="21"/>
  <c r="M15" i="4" s="1"/>
  <c r="J12" i="4"/>
  <c r="V12" i="4" s="1"/>
  <c r="AH12" i="4" s="1"/>
  <c r="AT12" i="4" s="1"/>
  <c r="BF12" i="4" s="1"/>
  <c r="BR12" i="4" s="1"/>
  <c r="CD12" i="4" s="1"/>
  <c r="CP12" i="4" s="1"/>
  <c r="DB12" i="4" s="1"/>
  <c r="DN12" i="4" s="1"/>
  <c r="DZ12" i="4" s="1"/>
  <c r="EL12" i="4" s="1"/>
  <c r="EX12" i="4" s="1"/>
  <c r="FJ12" i="4" s="1"/>
  <c r="FV12" i="4" s="1"/>
  <c r="GH12" i="4" s="1"/>
  <c r="GT12" i="4" s="1"/>
  <c r="HF12" i="4" s="1"/>
  <c r="HR12" i="4" s="1"/>
  <c r="ID12" i="4" s="1"/>
  <c r="J76" i="21"/>
  <c r="J78" i="21"/>
  <c r="J15" i="4" s="1"/>
  <c r="O12" i="4"/>
  <c r="AA12" i="4" s="1"/>
  <c r="AM12" i="4" s="1"/>
  <c r="AY12" i="4" s="1"/>
  <c r="BK12" i="4" s="1"/>
  <c r="BW12" i="4" s="1"/>
  <c r="CI12" i="4" s="1"/>
  <c r="CU12" i="4" s="1"/>
  <c r="DG12" i="4" s="1"/>
  <c r="DS12" i="4" s="1"/>
  <c r="EE12" i="4" s="1"/>
  <c r="EQ12" i="4" s="1"/>
  <c r="FC12" i="4" s="1"/>
  <c r="FO12" i="4" s="1"/>
  <c r="GA12" i="4" s="1"/>
  <c r="GM12" i="4" s="1"/>
  <c r="GY12" i="4" s="1"/>
  <c r="HK12" i="4" s="1"/>
  <c r="HW12" i="4" s="1"/>
  <c r="II12" i="4" s="1"/>
  <c r="O76" i="21"/>
  <c r="O78" i="21"/>
  <c r="O15" i="4" s="1"/>
  <c r="I12" i="4"/>
  <c r="U12" i="4" s="1"/>
  <c r="AG12" i="4" s="1"/>
  <c r="AS12" i="4" s="1"/>
  <c r="BE12" i="4" s="1"/>
  <c r="BQ12" i="4" s="1"/>
  <c r="CC12" i="4" s="1"/>
  <c r="CO12" i="4" s="1"/>
  <c r="DA12" i="4" s="1"/>
  <c r="DM12" i="4" s="1"/>
  <c r="DY12" i="4" s="1"/>
  <c r="EK12" i="4" s="1"/>
  <c r="EW12" i="4" s="1"/>
  <c r="FI12" i="4" s="1"/>
  <c r="FU12" i="4" s="1"/>
  <c r="GG12" i="4" s="1"/>
  <c r="GS12" i="4" s="1"/>
  <c r="HE12" i="4" s="1"/>
  <c r="HQ12" i="4" s="1"/>
  <c r="IC12" i="4" s="1"/>
  <c r="IO12" i="4" s="1"/>
  <c r="I76" i="21"/>
  <c r="I78" i="21"/>
  <c r="I15" i="4" s="1"/>
  <c r="I150" i="57"/>
  <c r="I149" i="57"/>
  <c r="I151" i="57"/>
  <c r="Q15" i="4"/>
  <c r="P29" i="23" s="1"/>
  <c r="N78" i="21"/>
  <c r="N15" i="4" s="1"/>
  <c r="K78" i="21"/>
  <c r="K15" i="4" s="1"/>
  <c r="K76" i="21"/>
  <c r="F39" i="21"/>
  <c r="H32" i="21"/>
  <c r="F33" i="21"/>
  <c r="H34" i="21"/>
  <c r="M34" i="21"/>
  <c r="H78" i="21"/>
  <c r="H15" i="4" s="1"/>
  <c r="Y12" i="4"/>
  <c r="AK12" i="4" s="1"/>
  <c r="AW12" i="4" s="1"/>
  <c r="BI12" i="4" s="1"/>
  <c r="BU12" i="4" s="1"/>
  <c r="CG12" i="4" s="1"/>
  <c r="CS12" i="4" s="1"/>
  <c r="DE12" i="4" s="1"/>
  <c r="DQ12" i="4" s="1"/>
  <c r="EC12" i="4" s="1"/>
  <c r="EO12" i="4" s="1"/>
  <c r="FA12" i="4" s="1"/>
  <c r="FM12" i="4" s="1"/>
  <c r="FY12" i="4" s="1"/>
  <c r="GK12" i="4" s="1"/>
  <c r="GW12" i="4" s="1"/>
  <c r="HI12" i="4" s="1"/>
  <c r="HU12" i="4" s="1"/>
  <c r="IG12" i="4" s="1"/>
  <c r="L12" i="4"/>
  <c r="X12" i="4" s="1"/>
  <c r="AJ12" i="4" s="1"/>
  <c r="AV12" i="4" s="1"/>
  <c r="BH12" i="4" s="1"/>
  <c r="BT12" i="4" s="1"/>
  <c r="CF12" i="4" s="1"/>
  <c r="CR12" i="4" s="1"/>
  <c r="DD12" i="4" s="1"/>
  <c r="DP12" i="4" s="1"/>
  <c r="EB12" i="4" s="1"/>
  <c r="EN12" i="4" s="1"/>
  <c r="EZ12" i="4" s="1"/>
  <c r="FL12" i="4" s="1"/>
  <c r="FX12" i="4" s="1"/>
  <c r="GJ12" i="4" s="1"/>
  <c r="GV12" i="4" s="1"/>
  <c r="HH12" i="4" s="1"/>
  <c r="HT12" i="4" s="1"/>
  <c r="IF12" i="4" s="1"/>
  <c r="L78" i="21"/>
  <c r="L15" i="4" s="1"/>
  <c r="L76" i="21"/>
  <c r="M76" i="21"/>
  <c r="AA83" i="57"/>
  <c r="AA148" i="57" s="1"/>
  <c r="AA152" i="57" s="1"/>
  <c r="M148" i="57"/>
  <c r="F12" i="4"/>
  <c r="R12" i="4" s="1"/>
  <c r="AD12" i="4" s="1"/>
  <c r="AP12" i="4" s="1"/>
  <c r="BB12" i="4" s="1"/>
  <c r="BN12" i="4" s="1"/>
  <c r="BZ12" i="4" s="1"/>
  <c r="CL12" i="4" s="1"/>
  <c r="CX12" i="4" s="1"/>
  <c r="DJ12" i="4" s="1"/>
  <c r="DV12" i="4" s="1"/>
  <c r="EH12" i="4" s="1"/>
  <c r="ET12" i="4" s="1"/>
  <c r="FF12" i="4" s="1"/>
  <c r="FR12" i="4" s="1"/>
  <c r="GD12" i="4" s="1"/>
  <c r="GP12" i="4" s="1"/>
  <c r="HB12" i="4" s="1"/>
  <c r="HN12" i="4" s="1"/>
  <c r="HZ12" i="4" s="1"/>
  <c r="IL12" i="4" s="1"/>
  <c r="F76" i="21"/>
  <c r="F78" i="21"/>
  <c r="F15" i="4" s="1"/>
  <c r="G76" i="21"/>
  <c r="F38" i="21"/>
  <c r="H38" i="21" s="1"/>
  <c r="H37" i="21"/>
  <c r="H76" i="21"/>
  <c r="G78" i="21"/>
  <c r="G15" i="4" s="1"/>
  <c r="N76" i="21"/>
  <c r="E12" i="4"/>
  <c r="Q12" i="4" s="1"/>
  <c r="AC12" i="4" s="1"/>
  <c r="AO12" i="4" s="1"/>
  <c r="BA12" i="4" s="1"/>
  <c r="BM12" i="4" s="1"/>
  <c r="BY12" i="4" s="1"/>
  <c r="CK12" i="4" s="1"/>
  <c r="CW12" i="4" s="1"/>
  <c r="DI12" i="4" s="1"/>
  <c r="DU12" i="4" s="1"/>
  <c r="EG12" i="4" s="1"/>
  <c r="ES12" i="4" s="1"/>
  <c r="FE12" i="4" s="1"/>
  <c r="FQ12" i="4" s="1"/>
  <c r="GC12" i="4" s="1"/>
  <c r="GO12" i="4" s="1"/>
  <c r="HA12" i="4" s="1"/>
  <c r="HM12" i="4" s="1"/>
  <c r="HY12" i="4" s="1"/>
  <c r="IK12" i="4" s="1"/>
  <c r="E76" i="21"/>
  <c r="P12" i="4"/>
  <c r="AB12" i="4" s="1"/>
  <c r="AN12" i="4" s="1"/>
  <c r="AZ12" i="4" s="1"/>
  <c r="BL12" i="4" s="1"/>
  <c r="BX12" i="4" s="1"/>
  <c r="CJ12" i="4" s="1"/>
  <c r="CV12" i="4" s="1"/>
  <c r="DH12" i="4" s="1"/>
  <c r="DT12" i="4" s="1"/>
  <c r="EF12" i="4" s="1"/>
  <c r="ER12" i="4" s="1"/>
  <c r="FD12" i="4" s="1"/>
  <c r="FP12" i="4" s="1"/>
  <c r="GB12" i="4" s="1"/>
  <c r="GN12" i="4" s="1"/>
  <c r="GZ12" i="4" s="1"/>
  <c r="HL12" i="4" s="1"/>
  <c r="HX12" i="4" s="1"/>
  <c r="IJ12" i="4" s="1"/>
  <c r="P78" i="21"/>
  <c r="P15" i="4" s="1"/>
  <c r="P76" i="21"/>
  <c r="CA24" i="4" l="1"/>
  <c r="DA24" i="4"/>
  <c r="G90" i="11"/>
  <c r="G54" i="11"/>
  <c r="M25" i="13"/>
  <c r="C64" i="13" s="1"/>
  <c r="EA22" i="13"/>
  <c r="EU19" i="23"/>
  <c r="M22" i="46"/>
  <c r="C55" i="46" s="1"/>
  <c r="FC19" i="26"/>
  <c r="M22" i="7"/>
  <c r="EM19" i="26"/>
  <c r="EK19" i="26"/>
  <c r="Q24" i="14"/>
  <c r="Q25" i="14" s="1"/>
  <c r="Q30" i="14"/>
  <c r="AM26" i="4"/>
  <c r="AJ9" i="34"/>
  <c r="AJ9" i="33"/>
  <c r="AJ9" i="45"/>
  <c r="EK21" i="13"/>
  <c r="EK20" i="13"/>
  <c r="EX21" i="13"/>
  <c r="EX20" i="13"/>
  <c r="EX22" i="13" s="1"/>
  <c r="EH19" i="26"/>
  <c r="ET18" i="23"/>
  <c r="ET17" i="23"/>
  <c r="ET19" i="23" s="1"/>
  <c r="ER18" i="23"/>
  <c r="ER17" i="23"/>
  <c r="FJ19" i="13"/>
  <c r="FX9" i="4"/>
  <c r="FJ16" i="46"/>
  <c r="FJ16" i="26"/>
  <c r="FJ16" i="23"/>
  <c r="FJ16" i="7"/>
  <c r="ER20" i="13"/>
  <c r="ER21" i="13"/>
  <c r="GE16" i="26"/>
  <c r="GS9" i="4"/>
  <c r="GE19" i="13"/>
  <c r="GE16" i="23"/>
  <c r="GE16" i="7"/>
  <c r="GE16" i="46"/>
  <c r="ES21" i="13"/>
  <c r="ES20" i="13"/>
  <c r="EQ20" i="13"/>
  <c r="EQ21" i="13"/>
  <c r="FH19" i="26"/>
  <c r="FQ9" i="4"/>
  <c r="FC16" i="46"/>
  <c r="FC16" i="23"/>
  <c r="FC19" i="13"/>
  <c r="FC16" i="26"/>
  <c r="FC16" i="7"/>
  <c r="FM19" i="26"/>
  <c r="EQ18" i="46"/>
  <c r="EQ17" i="46"/>
  <c r="EQ19" i="46" s="1"/>
  <c r="DZ19" i="26"/>
  <c r="FY18" i="7"/>
  <c r="FY17" i="7"/>
  <c r="EP19" i="7"/>
  <c r="EE19" i="46"/>
  <c r="EN17" i="7"/>
  <c r="EN18" i="7"/>
  <c r="FA20" i="13"/>
  <c r="FA21" i="13"/>
  <c r="EW18" i="7"/>
  <c r="EW17" i="7"/>
  <c r="EW19" i="7" s="1"/>
  <c r="EM19" i="23"/>
  <c r="EF19" i="46"/>
  <c r="EG19" i="23"/>
  <c r="ES18" i="7"/>
  <c r="ES17" i="7"/>
  <c r="ES19" i="7" s="1"/>
  <c r="FG18" i="26"/>
  <c r="FG17" i="26"/>
  <c r="FG19" i="26" s="1"/>
  <c r="ER18" i="26"/>
  <c r="ER17" i="26"/>
  <c r="ER19" i="26" s="1"/>
  <c r="FH19" i="7"/>
  <c r="EK19" i="23"/>
  <c r="EH19" i="23"/>
  <c r="N22" i="23" s="1"/>
  <c r="FT18" i="23"/>
  <c r="FT17" i="23"/>
  <c r="FT18" i="7"/>
  <c r="FT17" i="7"/>
  <c r="FT19" i="7" s="1"/>
  <c r="EW16" i="46"/>
  <c r="EW16" i="26"/>
  <c r="EW16" i="7"/>
  <c r="EW16" i="23"/>
  <c r="FK9" i="4"/>
  <c r="EW19" i="13"/>
  <c r="EF19" i="23"/>
  <c r="EP19" i="26"/>
  <c r="EX17" i="46"/>
  <c r="EX18" i="46"/>
  <c r="GN9" i="4"/>
  <c r="FZ16" i="46"/>
  <c r="FZ16" i="26"/>
  <c r="FZ16" i="7"/>
  <c r="FZ16" i="23"/>
  <c r="FZ19" i="13"/>
  <c r="FG17" i="7"/>
  <c r="FG18" i="7"/>
  <c r="ES17" i="46"/>
  <c r="ES18" i="46"/>
  <c r="EA19" i="46"/>
  <c r="FX21" i="13"/>
  <c r="FX20" i="13"/>
  <c r="FX22" i="13" s="1"/>
  <c r="EM20" i="13"/>
  <c r="EM21" i="13"/>
  <c r="FA17" i="46"/>
  <c r="FA18" i="46"/>
  <c r="EW18" i="23"/>
  <c r="EW17" i="23"/>
  <c r="EW19" i="23" s="1"/>
  <c r="GX9" i="4"/>
  <c r="GJ16" i="46"/>
  <c r="GJ19" i="13"/>
  <c r="GJ16" i="7"/>
  <c r="GJ16" i="26"/>
  <c r="GJ16" i="23"/>
  <c r="EN17" i="26"/>
  <c r="EN18" i="26"/>
  <c r="FB17" i="26"/>
  <c r="FB18" i="26"/>
  <c r="FG19" i="46"/>
  <c r="FL22" i="13"/>
  <c r="FX17" i="46"/>
  <c r="FX18" i="46"/>
  <c r="EN17" i="23"/>
  <c r="EN18" i="23"/>
  <c r="FB18" i="7"/>
  <c r="FB17" i="7"/>
  <c r="FH16" i="7"/>
  <c r="FH16" i="23"/>
  <c r="FV9" i="4"/>
  <c r="FH19" i="13"/>
  <c r="FH16" i="26"/>
  <c r="FH16" i="46"/>
  <c r="EY17" i="7"/>
  <c r="EY18" i="7"/>
  <c r="DY19" i="46"/>
  <c r="EM18" i="46"/>
  <c r="EM17" i="46"/>
  <c r="EM19" i="46" s="1"/>
  <c r="FB18" i="23"/>
  <c r="FB17" i="23"/>
  <c r="EJ22" i="13"/>
  <c r="DY22" i="13"/>
  <c r="N25" i="13" s="1"/>
  <c r="FB22" i="13"/>
  <c r="FN21" i="13"/>
  <c r="FN20" i="13"/>
  <c r="FN22" i="13" s="1"/>
  <c r="ET18" i="7"/>
  <c r="ET17" i="7"/>
  <c r="FG17" i="23"/>
  <c r="FG18" i="23"/>
  <c r="EO19" i="46"/>
  <c r="FT17" i="26"/>
  <c r="FT18" i="26"/>
  <c r="EJ19" i="46"/>
  <c r="ET18" i="26"/>
  <c r="ET17" i="26"/>
  <c r="FN17" i="46"/>
  <c r="FN18" i="46"/>
  <c r="FS20" i="13"/>
  <c r="FS21" i="13"/>
  <c r="ES18" i="26"/>
  <c r="ES17" i="26"/>
  <c r="ES19" i="26" s="1"/>
  <c r="EE22" i="13"/>
  <c r="EL17" i="23"/>
  <c r="EL18" i="23"/>
  <c r="FY17" i="26"/>
  <c r="FY18" i="26"/>
  <c r="EW17" i="26"/>
  <c r="EW18" i="26"/>
  <c r="EV21" i="13"/>
  <c r="EV20" i="13"/>
  <c r="EV22" i="13" s="1"/>
  <c r="EV18" i="46"/>
  <c r="EV17" i="46"/>
  <c r="EV19" i="46" s="1"/>
  <c r="EY16" i="46"/>
  <c r="FM9" i="4"/>
  <c r="EY16" i="26"/>
  <c r="EY16" i="7"/>
  <c r="EY16" i="23"/>
  <c r="EY19" i="13"/>
  <c r="FM19" i="13"/>
  <c r="GA9" i="4"/>
  <c r="FM16" i="7"/>
  <c r="FM16" i="23"/>
  <c r="FM16" i="26"/>
  <c r="FM16" i="46"/>
  <c r="FO18" i="23"/>
  <c r="FO17" i="23"/>
  <c r="FR16" i="46"/>
  <c r="FR16" i="7"/>
  <c r="FR16" i="23"/>
  <c r="GF9" i="4"/>
  <c r="FR19" i="13"/>
  <c r="FR16" i="26"/>
  <c r="FO17" i="26"/>
  <c r="FO18" i="26"/>
  <c r="EL17" i="26"/>
  <c r="EL18" i="26"/>
  <c r="ES18" i="23"/>
  <c r="ES17" i="23"/>
  <c r="ER18" i="7"/>
  <c r="ER17" i="7"/>
  <c r="ER19" i="7" s="1"/>
  <c r="EL18" i="7"/>
  <c r="EL17" i="7"/>
  <c r="EL19" i="7" s="1"/>
  <c r="FM19" i="7"/>
  <c r="EK17" i="46"/>
  <c r="EK18" i="46"/>
  <c r="FF17" i="46"/>
  <c r="FF18" i="46"/>
  <c r="ER17" i="46"/>
  <c r="ER18" i="46"/>
  <c r="FE16" i="23"/>
  <c r="FS9" i="4"/>
  <c r="FE16" i="46"/>
  <c r="FE19" i="13"/>
  <c r="FE16" i="26"/>
  <c r="FE16" i="7"/>
  <c r="FS17" i="46"/>
  <c r="FS18" i="46"/>
  <c r="EB19" i="7"/>
  <c r="N22" i="7" s="1"/>
  <c r="EP19" i="23"/>
  <c r="FY17" i="23"/>
  <c r="FY18" i="23"/>
  <c r="EY17" i="23"/>
  <c r="EY18" i="23"/>
  <c r="M22" i="26"/>
  <c r="EY18" i="26"/>
  <c r="EY17" i="26"/>
  <c r="EG19" i="26"/>
  <c r="FF21" i="13"/>
  <c r="FF20" i="13"/>
  <c r="FF22" i="13" s="1"/>
  <c r="FG22" i="13"/>
  <c r="FR9" i="4"/>
  <c r="FD16" i="46"/>
  <c r="FD16" i="26"/>
  <c r="FD19" i="13"/>
  <c r="FD16" i="23"/>
  <c r="FD16" i="7"/>
  <c r="FB19" i="46"/>
  <c r="ET19" i="46"/>
  <c r="FO17" i="7"/>
  <c r="FO18" i="7"/>
  <c r="EF19" i="7"/>
  <c r="P29" i="26"/>
  <c r="AC15" i="4"/>
  <c r="AO15" i="4" s="1"/>
  <c r="P29" i="7"/>
  <c r="N13" i="4"/>
  <c r="N77" i="21"/>
  <c r="N14" i="4" s="1"/>
  <c r="G29" i="26"/>
  <c r="T15" i="4"/>
  <c r="G29" i="23"/>
  <c r="H33" i="21"/>
  <c r="J33" i="21"/>
  <c r="E13" i="4"/>
  <c r="E77" i="21"/>
  <c r="E14" i="4" s="1"/>
  <c r="V15" i="4"/>
  <c r="I29" i="23"/>
  <c r="I29" i="26"/>
  <c r="F29" i="26"/>
  <c r="F29" i="23"/>
  <c r="S15" i="4"/>
  <c r="J13" i="4"/>
  <c r="J77" i="21"/>
  <c r="J14" i="4" s="1"/>
  <c r="X15" i="4"/>
  <c r="K29" i="23"/>
  <c r="K29" i="7"/>
  <c r="K29" i="26"/>
  <c r="L150" i="57"/>
  <c r="M150" i="57" s="1"/>
  <c r="J150" i="57"/>
  <c r="I13" i="4"/>
  <c r="I77" i="21"/>
  <c r="N29" i="23"/>
  <c r="N29" i="26"/>
  <c r="AA15" i="4"/>
  <c r="N29" i="7"/>
  <c r="F13" i="4"/>
  <c r="F77" i="21"/>
  <c r="F14" i="4" s="1"/>
  <c r="K77" i="21"/>
  <c r="K13" i="4"/>
  <c r="H77" i="21"/>
  <c r="H14" i="4" s="1"/>
  <c r="H13" i="4"/>
  <c r="O77" i="21"/>
  <c r="O13" i="4"/>
  <c r="E29" i="26"/>
  <c r="E29" i="23"/>
  <c r="R15" i="4"/>
  <c r="J29" i="23"/>
  <c r="J29" i="26"/>
  <c r="W15" i="4"/>
  <c r="Y15" i="4"/>
  <c r="L29" i="26"/>
  <c r="L29" i="23"/>
  <c r="L29" i="7"/>
  <c r="M29" i="26"/>
  <c r="Z15" i="4"/>
  <c r="M29" i="23"/>
  <c r="M29" i="7"/>
  <c r="J151" i="57"/>
  <c r="L151" i="57"/>
  <c r="M151" i="57" s="1"/>
  <c r="U15" i="4"/>
  <c r="H29" i="26"/>
  <c r="H29" i="23"/>
  <c r="G77" i="21"/>
  <c r="G14" i="4" s="1"/>
  <c r="G13" i="4"/>
  <c r="P77" i="21"/>
  <c r="P13" i="4"/>
  <c r="L13" i="4"/>
  <c r="L77" i="21"/>
  <c r="L14" i="4" s="1"/>
  <c r="L149" i="57"/>
  <c r="J149" i="57"/>
  <c r="O29" i="26"/>
  <c r="AB15" i="4"/>
  <c r="O29" i="7"/>
  <c r="O29" i="23"/>
  <c r="M13" i="4"/>
  <c r="M77" i="21"/>
  <c r="I152" i="57"/>
  <c r="I161" i="57" s="1"/>
  <c r="AM29" i="46" l="1"/>
  <c r="AM35" i="13"/>
  <c r="C56" i="13"/>
  <c r="CD24" i="4"/>
  <c r="DD24" i="4"/>
  <c r="B24" i="4"/>
  <c r="C24" i="4" s="1"/>
  <c r="G8" i="11"/>
  <c r="G4" i="44" s="1"/>
  <c r="FA22" i="13"/>
  <c r="N22" i="46"/>
  <c r="ES19" i="23"/>
  <c r="N22" i="26"/>
  <c r="FS19" i="46"/>
  <c r="FG19" i="23"/>
  <c r="ET19" i="7"/>
  <c r="AN26" i="4"/>
  <c r="AK9" i="45"/>
  <c r="AK9" i="34"/>
  <c r="AK9" i="33"/>
  <c r="G80" i="21"/>
  <c r="FK17" i="23"/>
  <c r="FK18" i="23"/>
  <c r="FF17" i="7"/>
  <c r="FF18" i="7"/>
  <c r="FZ18" i="46"/>
  <c r="FZ17" i="46"/>
  <c r="FZ19" i="46" s="1"/>
  <c r="FK17" i="26"/>
  <c r="FK18" i="26"/>
  <c r="EN19" i="7"/>
  <c r="O22" i="7" s="1"/>
  <c r="FE21" i="13"/>
  <c r="FE20" i="13"/>
  <c r="FE22" i="13" s="1"/>
  <c r="FN18" i="26"/>
  <c r="FN17" i="26"/>
  <c r="FN19" i="26" s="1"/>
  <c r="EW19" i="26"/>
  <c r="FT19" i="26"/>
  <c r="EM22" i="13"/>
  <c r="EQ22" i="13"/>
  <c r="FV16" i="46"/>
  <c r="GJ9" i="4"/>
  <c r="FV16" i="26"/>
  <c r="FV16" i="7"/>
  <c r="FV16" i="23"/>
  <c r="FV19" i="13"/>
  <c r="FE17" i="46"/>
  <c r="FE18" i="46"/>
  <c r="FN18" i="23"/>
  <c r="FN17" i="23"/>
  <c r="FN19" i="23" s="1"/>
  <c r="EX19" i="46"/>
  <c r="FJ20" i="13"/>
  <c r="FJ21" i="13"/>
  <c r="EY19" i="26"/>
  <c r="FQ16" i="46"/>
  <c r="FQ16" i="26"/>
  <c r="FQ19" i="13"/>
  <c r="FQ16" i="23"/>
  <c r="GE9" i="4"/>
  <c r="FQ16" i="7"/>
  <c r="EL19" i="26"/>
  <c r="FN18" i="7"/>
  <c r="FN17" i="7"/>
  <c r="FY19" i="26"/>
  <c r="EY19" i="7"/>
  <c r="FB19" i="26"/>
  <c r="FY19" i="7"/>
  <c r="ES22" i="13"/>
  <c r="ER19" i="23"/>
  <c r="GA18" i="26"/>
  <c r="GA17" i="26"/>
  <c r="GA19" i="26" s="1"/>
  <c r="GC9" i="4"/>
  <c r="FO16" i="26"/>
  <c r="FO16" i="46"/>
  <c r="FO16" i="23"/>
  <c r="FO16" i="7"/>
  <c r="FO19" i="13"/>
  <c r="FM18" i="46"/>
  <c r="FM17" i="46"/>
  <c r="FF17" i="26"/>
  <c r="FF18" i="26"/>
  <c r="GL16" i="46"/>
  <c r="GZ9" i="4"/>
  <c r="GL16" i="26"/>
  <c r="GL16" i="7"/>
  <c r="GL19" i="13"/>
  <c r="GL16" i="23"/>
  <c r="EL19" i="23"/>
  <c r="FI18" i="26"/>
  <c r="FI17" i="26"/>
  <c r="FH20" i="13"/>
  <c r="FH21" i="13"/>
  <c r="GD16" i="46"/>
  <c r="GR9" i="4"/>
  <c r="GD16" i="23"/>
  <c r="GD16" i="7"/>
  <c r="GD19" i="13"/>
  <c r="GD16" i="26"/>
  <c r="GK17" i="7"/>
  <c r="GK18" i="7"/>
  <c r="GE21" i="13"/>
  <c r="GE20" i="13"/>
  <c r="GE22" i="13" s="1"/>
  <c r="FE18" i="23"/>
  <c r="FE17" i="23"/>
  <c r="FS17" i="23"/>
  <c r="FS18" i="23"/>
  <c r="EZ17" i="26"/>
  <c r="EZ18" i="26"/>
  <c r="FI17" i="7"/>
  <c r="FI18" i="7"/>
  <c r="GJ20" i="13"/>
  <c r="GJ21" i="13"/>
  <c r="FG19" i="7"/>
  <c r="EX18" i="26"/>
  <c r="EX17" i="26"/>
  <c r="EX19" i="26" s="1"/>
  <c r="FD18" i="7"/>
  <c r="FD17" i="7"/>
  <c r="HE9" i="4"/>
  <c r="GQ16" i="7"/>
  <c r="GQ16" i="23"/>
  <c r="GQ19" i="13"/>
  <c r="GQ16" i="26"/>
  <c r="GQ16" i="46"/>
  <c r="FD20" i="13"/>
  <c r="FD21" i="13"/>
  <c r="FY19" i="23"/>
  <c r="EK19" i="46"/>
  <c r="FS17" i="7"/>
  <c r="FS18" i="7"/>
  <c r="FK16" i="46"/>
  <c r="FY9" i="4"/>
  <c r="FK16" i="26"/>
  <c r="FK16" i="7"/>
  <c r="FK16" i="23"/>
  <c r="FK19" i="13"/>
  <c r="FS22" i="13"/>
  <c r="FB19" i="7"/>
  <c r="GJ17" i="46"/>
  <c r="GJ18" i="46"/>
  <c r="EW17" i="46"/>
  <c r="EW18" i="46"/>
  <c r="FD18" i="26"/>
  <c r="FD17" i="26"/>
  <c r="GF17" i="26"/>
  <c r="GF18" i="26"/>
  <c r="EK22" i="13"/>
  <c r="FX19" i="46"/>
  <c r="FF17" i="23"/>
  <c r="FF18" i="23"/>
  <c r="GM9" i="4"/>
  <c r="FY19" i="13"/>
  <c r="FY16" i="7"/>
  <c r="FY16" i="46"/>
  <c r="FY16" i="23"/>
  <c r="FY16" i="26"/>
  <c r="FH17" i="46"/>
  <c r="FH18" i="46"/>
  <c r="FO19" i="7"/>
  <c r="FM20" i="13"/>
  <c r="FM21" i="13"/>
  <c r="EN19" i="26"/>
  <c r="EW20" i="13"/>
  <c r="EW21" i="13"/>
  <c r="FS17" i="26"/>
  <c r="FS18" i="26"/>
  <c r="C47" i="26"/>
  <c r="C55" i="26"/>
  <c r="FO19" i="26"/>
  <c r="GE18" i="46"/>
  <c r="GE17" i="46"/>
  <c r="ER19" i="46"/>
  <c r="GK18" i="23"/>
  <c r="GK17" i="23"/>
  <c r="FR20" i="13"/>
  <c r="FR21" i="13"/>
  <c r="EZ17" i="23"/>
  <c r="EZ18" i="23"/>
  <c r="FT16" i="23"/>
  <c r="FT16" i="7"/>
  <c r="FT16" i="26"/>
  <c r="FT19" i="13"/>
  <c r="GH9" i="4"/>
  <c r="FT16" i="46"/>
  <c r="ES19" i="46"/>
  <c r="GF17" i="23"/>
  <c r="GF18" i="23"/>
  <c r="FF19" i="46"/>
  <c r="FI18" i="23"/>
  <c r="FI17" i="23"/>
  <c r="EX18" i="7"/>
  <c r="EX17" i="7"/>
  <c r="EX19" i="7" s="1"/>
  <c r="FE17" i="26"/>
  <c r="FE18" i="26"/>
  <c r="FR17" i="46"/>
  <c r="FR18" i="46"/>
  <c r="EY17" i="46"/>
  <c r="EY18" i="46"/>
  <c r="HJ9" i="4"/>
  <c r="GV16" i="23"/>
  <c r="GV16" i="46"/>
  <c r="GV16" i="7"/>
  <c r="GV19" i="13"/>
  <c r="GV16" i="26"/>
  <c r="FZ20" i="13"/>
  <c r="FZ21" i="13"/>
  <c r="FC20" i="13"/>
  <c r="FC21" i="13"/>
  <c r="FD18" i="46"/>
  <c r="FD17" i="46"/>
  <c r="FD19" i="46" s="1"/>
  <c r="FN19" i="46"/>
  <c r="GA18" i="23"/>
  <c r="GA17" i="23"/>
  <c r="GA19" i="23" s="1"/>
  <c r="FD17" i="23"/>
  <c r="FD18" i="23"/>
  <c r="ER22" i="13"/>
  <c r="FA19" i="46"/>
  <c r="FJ17" i="46"/>
  <c r="FJ18" i="46"/>
  <c r="EY21" i="13"/>
  <c r="EY20" i="13"/>
  <c r="EY22" i="13" s="1"/>
  <c r="FI16" i="46"/>
  <c r="FW9" i="4"/>
  <c r="FI16" i="23"/>
  <c r="FI16" i="26"/>
  <c r="FI19" i="13"/>
  <c r="FI16" i="7"/>
  <c r="GF17" i="7"/>
  <c r="GF18" i="7"/>
  <c r="EY19" i="23"/>
  <c r="GK17" i="26"/>
  <c r="GK18" i="26"/>
  <c r="EX18" i="23"/>
  <c r="EX17" i="23"/>
  <c r="FE18" i="7"/>
  <c r="FE17" i="7"/>
  <c r="EZ17" i="7"/>
  <c r="EZ18" i="7"/>
  <c r="H80" i="21"/>
  <c r="GD9" i="4"/>
  <c r="FP16" i="46"/>
  <c r="FP16" i="26"/>
  <c r="FP16" i="7"/>
  <c r="FP19" i="13"/>
  <c r="FP16" i="23"/>
  <c r="FO19" i="23"/>
  <c r="ET19" i="26"/>
  <c r="FB19" i="23"/>
  <c r="EN19" i="23"/>
  <c r="O22" i="23" s="1"/>
  <c r="GA18" i="7"/>
  <c r="GA17" i="7"/>
  <c r="GA19" i="7" s="1"/>
  <c r="FT19" i="23"/>
  <c r="FC18" i="46"/>
  <c r="FC17" i="46"/>
  <c r="FK18" i="7"/>
  <c r="FK17" i="7"/>
  <c r="FK19" i="7" s="1"/>
  <c r="AB29" i="7"/>
  <c r="AB29" i="23"/>
  <c r="AB29" i="26"/>
  <c r="L80" i="21"/>
  <c r="E80" i="21"/>
  <c r="F80" i="21"/>
  <c r="J80" i="21"/>
  <c r="N80" i="21"/>
  <c r="M14" i="4"/>
  <c r="M80" i="21"/>
  <c r="AA29" i="23"/>
  <c r="AA29" i="26"/>
  <c r="AA29" i="7"/>
  <c r="AN15" i="4"/>
  <c r="AI15" i="4"/>
  <c r="V29" i="26"/>
  <c r="V29" i="23"/>
  <c r="V29" i="7"/>
  <c r="F27" i="26"/>
  <c r="F28" i="26" s="1"/>
  <c r="F27" i="23"/>
  <c r="F28" i="23" s="1"/>
  <c r="S14" i="4"/>
  <c r="R29" i="26"/>
  <c r="R29" i="7"/>
  <c r="R29" i="23"/>
  <c r="AE15" i="4"/>
  <c r="F25" i="23"/>
  <c r="F26" i="23" s="1"/>
  <c r="S13" i="4"/>
  <c r="F25" i="26"/>
  <c r="F26" i="26" s="1"/>
  <c r="AM15" i="4"/>
  <c r="Z29" i="26"/>
  <c r="Z29" i="23"/>
  <c r="Z29" i="7"/>
  <c r="N25" i="26"/>
  <c r="N26" i="26" s="1"/>
  <c r="N25" i="23"/>
  <c r="N26" i="23" s="1"/>
  <c r="AA13" i="4"/>
  <c r="N25" i="7"/>
  <c r="N26" i="7" s="1"/>
  <c r="Q13" i="4"/>
  <c r="D25" i="26"/>
  <c r="D25" i="23"/>
  <c r="L25" i="23"/>
  <c r="L26" i="23" s="1"/>
  <c r="Y13" i="4"/>
  <c r="L25" i="7"/>
  <c r="L26" i="7" s="1"/>
  <c r="L25" i="26"/>
  <c r="L26" i="26" s="1"/>
  <c r="AD15" i="4"/>
  <c r="Q29" i="7"/>
  <c r="Q29" i="26"/>
  <c r="Q29" i="23"/>
  <c r="AG15" i="4"/>
  <c r="T29" i="26"/>
  <c r="T29" i="23"/>
  <c r="T29" i="7"/>
  <c r="I14" i="4"/>
  <c r="I80" i="21"/>
  <c r="U29" i="23"/>
  <c r="U29" i="26"/>
  <c r="U29" i="7"/>
  <c r="AH15" i="4"/>
  <c r="U13" i="4"/>
  <c r="H25" i="26"/>
  <c r="H26" i="26" s="1"/>
  <c r="H25" i="23"/>
  <c r="H26" i="23" s="1"/>
  <c r="Q14" i="4"/>
  <c r="D27" i="26"/>
  <c r="D28" i="26" s="1"/>
  <c r="D27" i="23"/>
  <c r="D28" i="23" s="1"/>
  <c r="O14" i="4"/>
  <c r="O80" i="21"/>
  <c r="M33" i="21"/>
  <c r="J37" i="21"/>
  <c r="M37" i="21" s="1"/>
  <c r="J152" i="57"/>
  <c r="T13" i="4"/>
  <c r="G25" i="23"/>
  <c r="G26" i="23" s="1"/>
  <c r="G25" i="26"/>
  <c r="G26" i="26" s="1"/>
  <c r="M149" i="57"/>
  <c r="M152" i="57" s="1"/>
  <c r="L152" i="57"/>
  <c r="Y29" i="7"/>
  <c r="Y29" i="26"/>
  <c r="AL15" i="4"/>
  <c r="Y29" i="23"/>
  <c r="G27" i="26"/>
  <c r="G28" i="26" s="1"/>
  <c r="G27" i="23"/>
  <c r="G28" i="23" s="1"/>
  <c r="T14" i="4"/>
  <c r="S29" i="7"/>
  <c r="S29" i="26"/>
  <c r="AF15" i="4"/>
  <c r="S29" i="23"/>
  <c r="K27" i="7"/>
  <c r="K28" i="7" s="1"/>
  <c r="X14" i="4"/>
  <c r="K27" i="23"/>
  <c r="K28" i="23" s="1"/>
  <c r="K27" i="26"/>
  <c r="K28" i="26" s="1"/>
  <c r="J25" i="26"/>
  <c r="J26" i="26" s="1"/>
  <c r="J25" i="23"/>
  <c r="J26" i="23" s="1"/>
  <c r="W13" i="4"/>
  <c r="W29" i="23"/>
  <c r="W29" i="7"/>
  <c r="W29" i="26"/>
  <c r="AJ15" i="4"/>
  <c r="X13" i="4"/>
  <c r="K25" i="23"/>
  <c r="K26" i="23" s="1"/>
  <c r="K25" i="7"/>
  <c r="K26" i="7" s="1"/>
  <c r="K25" i="26"/>
  <c r="K26" i="26" s="1"/>
  <c r="K14" i="4"/>
  <c r="K80" i="21"/>
  <c r="O25" i="7"/>
  <c r="O26" i="7" s="1"/>
  <c r="O25" i="23"/>
  <c r="O26" i="23" s="1"/>
  <c r="AB13" i="4"/>
  <c r="O25" i="26"/>
  <c r="O26" i="26" s="1"/>
  <c r="R14" i="4"/>
  <c r="E27" i="26"/>
  <c r="E28" i="26" s="1"/>
  <c r="E27" i="23"/>
  <c r="E28" i="23" s="1"/>
  <c r="I27" i="26"/>
  <c r="I28" i="26" s="1"/>
  <c r="V14" i="4"/>
  <c r="I27" i="23"/>
  <c r="I28" i="23" s="1"/>
  <c r="M27" i="7"/>
  <c r="M28" i="7" s="1"/>
  <c r="M27" i="23"/>
  <c r="M28" i="23" s="1"/>
  <c r="Z14" i="4"/>
  <c r="M27" i="26"/>
  <c r="M28" i="26" s="1"/>
  <c r="P14" i="4"/>
  <c r="P80" i="21"/>
  <c r="X29" i="7"/>
  <c r="AK15" i="4"/>
  <c r="X29" i="23"/>
  <c r="X29" i="26"/>
  <c r="R13" i="4"/>
  <c r="E25" i="23"/>
  <c r="E26" i="23" s="1"/>
  <c r="E25" i="26"/>
  <c r="E26" i="26" s="1"/>
  <c r="I25" i="26"/>
  <c r="I26" i="26" s="1"/>
  <c r="I25" i="23"/>
  <c r="I26" i="23" s="1"/>
  <c r="V13" i="4"/>
  <c r="Z13" i="4"/>
  <c r="M25" i="26"/>
  <c r="M26" i="26" s="1"/>
  <c r="M25" i="7"/>
  <c r="M26" i="7" s="1"/>
  <c r="M25" i="23"/>
  <c r="M26" i="23" s="1"/>
  <c r="BA15" i="4"/>
  <c r="AN29" i="23"/>
  <c r="AN29" i="7"/>
  <c r="AN29" i="26"/>
  <c r="AL29" i="46" l="1"/>
  <c r="AL35" i="13"/>
  <c r="AG29" i="46"/>
  <c r="AG35" i="13"/>
  <c r="AK29" i="46"/>
  <c r="AK35" i="13"/>
  <c r="AE29" i="46"/>
  <c r="AE35" i="13"/>
  <c r="AF29" i="46"/>
  <c r="AF35" i="13"/>
  <c r="AJ29" i="46"/>
  <c r="AJ35" i="13"/>
  <c r="AD29" i="46"/>
  <c r="AD35" i="13"/>
  <c r="AH29" i="46"/>
  <c r="AH35" i="13"/>
  <c r="AI29" i="46"/>
  <c r="AI35" i="13"/>
  <c r="AY29" i="46"/>
  <c r="AY35" i="13"/>
  <c r="CG24" i="4"/>
  <c r="DG24" i="4"/>
  <c r="FS19" i="26"/>
  <c r="O25" i="13"/>
  <c r="FM19" i="46"/>
  <c r="FN19" i="7"/>
  <c r="FE19" i="46"/>
  <c r="FI19" i="23"/>
  <c r="GK19" i="23"/>
  <c r="FF19" i="23"/>
  <c r="FE19" i="7"/>
  <c r="O22" i="46"/>
  <c r="EY19" i="46"/>
  <c r="GE19" i="46"/>
  <c r="FI19" i="26"/>
  <c r="AL9" i="45"/>
  <c r="AO26" i="4"/>
  <c r="AL9" i="33"/>
  <c r="AL9" i="34"/>
  <c r="FL18" i="26"/>
  <c r="FL17" i="26"/>
  <c r="FL19" i="26" s="1"/>
  <c r="FI18" i="46"/>
  <c r="FI17" i="46"/>
  <c r="FI19" i="46" s="1"/>
  <c r="EZ19" i="23"/>
  <c r="FW16" i="46"/>
  <c r="GK9" i="4"/>
  <c r="FW16" i="26"/>
  <c r="FW16" i="23"/>
  <c r="FW19" i="13"/>
  <c r="FW16" i="7"/>
  <c r="FC22" i="13"/>
  <c r="FR22" i="13"/>
  <c r="GD20" i="13"/>
  <c r="GD21" i="13"/>
  <c r="GF19" i="26"/>
  <c r="FS19" i="7"/>
  <c r="GE17" i="7"/>
  <c r="GE18" i="7"/>
  <c r="EX19" i="23"/>
  <c r="FJ19" i="46"/>
  <c r="FZ22" i="13"/>
  <c r="FM22" i="13"/>
  <c r="FD19" i="26"/>
  <c r="GJ22" i="13"/>
  <c r="GE17" i="23"/>
  <c r="GE18" i="23"/>
  <c r="FF19" i="26"/>
  <c r="GK19" i="7"/>
  <c r="GP16" i="46"/>
  <c r="GP19" i="13"/>
  <c r="GP16" i="7"/>
  <c r="HD9" i="4"/>
  <c r="GP16" i="23"/>
  <c r="GP16" i="26"/>
  <c r="EZ19" i="26"/>
  <c r="GM18" i="26"/>
  <c r="GM17" i="26"/>
  <c r="GM19" i="26" s="1"/>
  <c r="GE18" i="26"/>
  <c r="GE17" i="26"/>
  <c r="GE19" i="26" s="1"/>
  <c r="FI19" i="7"/>
  <c r="GF19" i="23"/>
  <c r="GR18" i="26"/>
  <c r="GR17" i="26"/>
  <c r="GR19" i="26" s="1"/>
  <c r="FP17" i="23"/>
  <c r="FP18" i="23"/>
  <c r="GQ9" i="4"/>
  <c r="GC16" i="23"/>
  <c r="GC16" i="26"/>
  <c r="GC19" i="13"/>
  <c r="GC16" i="46"/>
  <c r="GC16" i="7"/>
  <c r="FW17" i="26"/>
  <c r="FW18" i="26"/>
  <c r="GW18" i="26"/>
  <c r="GW17" i="26"/>
  <c r="GW19" i="26" s="1"/>
  <c r="FU16" i="23"/>
  <c r="FU16" i="46"/>
  <c r="FU16" i="7"/>
  <c r="FU16" i="26"/>
  <c r="GI9" i="4"/>
  <c r="FU19" i="13"/>
  <c r="O22" i="26"/>
  <c r="FR17" i="7"/>
  <c r="FR18" i="7"/>
  <c r="FQ18" i="7"/>
  <c r="FQ17" i="7"/>
  <c r="FD19" i="23"/>
  <c r="GW17" i="23"/>
  <c r="GW18" i="23"/>
  <c r="FT17" i="46"/>
  <c r="FT18" i="46"/>
  <c r="FZ18" i="23"/>
  <c r="FZ17" i="23"/>
  <c r="FZ19" i="23" s="1"/>
  <c r="GJ19" i="46"/>
  <c r="FQ18" i="26"/>
  <c r="FQ17" i="26"/>
  <c r="FQ19" i="26" s="1"/>
  <c r="GF19" i="7"/>
  <c r="HV9" i="4"/>
  <c r="HH19" i="13"/>
  <c r="HH16" i="23"/>
  <c r="HH16" i="26"/>
  <c r="HH16" i="46"/>
  <c r="HH16" i="7"/>
  <c r="GF16" i="7"/>
  <c r="GT9" i="4"/>
  <c r="GF16" i="46"/>
  <c r="GF16" i="23"/>
  <c r="GF16" i="26"/>
  <c r="GF19" i="13"/>
  <c r="FY18" i="46"/>
  <c r="FY17" i="46"/>
  <c r="FY19" i="46" s="1"/>
  <c r="GQ20" i="13"/>
  <c r="GQ21" i="13"/>
  <c r="FS19" i="23"/>
  <c r="FO18" i="46"/>
  <c r="FO17" i="46"/>
  <c r="FR18" i="23"/>
  <c r="FR17" i="23"/>
  <c r="GH16" i="46"/>
  <c r="GH16" i="7"/>
  <c r="GH16" i="26"/>
  <c r="GH19" i="13"/>
  <c r="GV9" i="4"/>
  <c r="GH16" i="23"/>
  <c r="FP17" i="46"/>
  <c r="FP18" i="46"/>
  <c r="FJ18" i="7"/>
  <c r="FJ17" i="7"/>
  <c r="FJ19" i="7" s="1"/>
  <c r="FT21" i="13"/>
  <c r="FT20" i="13"/>
  <c r="FZ18" i="7"/>
  <c r="FZ17" i="7"/>
  <c r="GR17" i="23"/>
  <c r="GR18" i="23"/>
  <c r="FE19" i="23"/>
  <c r="FP18" i="26"/>
  <c r="FP17" i="26"/>
  <c r="FP19" i="26" s="1"/>
  <c r="FQ20" i="13"/>
  <c r="FQ21" i="13"/>
  <c r="FV17" i="46"/>
  <c r="FV18" i="46"/>
  <c r="FF19" i="7"/>
  <c r="GX16" i="7"/>
  <c r="GX19" i="13"/>
  <c r="GX16" i="23"/>
  <c r="HL9" i="4"/>
  <c r="GX16" i="46"/>
  <c r="GX16" i="26"/>
  <c r="FK17" i="46"/>
  <c r="FK18" i="46"/>
  <c r="GV20" i="13"/>
  <c r="GV21" i="13"/>
  <c r="GD18" i="46"/>
  <c r="GD17" i="46"/>
  <c r="EW19" i="46"/>
  <c r="FO20" i="13"/>
  <c r="FO21" i="13"/>
  <c r="FZ17" i="26"/>
  <c r="FZ18" i="26"/>
  <c r="FW18" i="7"/>
  <c r="FW17" i="7"/>
  <c r="FI21" i="13"/>
  <c r="FI20" i="13"/>
  <c r="FI22" i="13" s="1"/>
  <c r="GR17" i="7"/>
  <c r="GR18" i="7"/>
  <c r="FE19" i="26"/>
  <c r="FJ22" i="13"/>
  <c r="EZ19" i="7"/>
  <c r="EW22" i="13"/>
  <c r="GL17" i="46"/>
  <c r="GL18" i="46"/>
  <c r="GK19" i="26"/>
  <c r="FD22" i="13"/>
  <c r="FW18" i="23"/>
  <c r="FW17" i="23"/>
  <c r="FW19" i="23" s="1"/>
  <c r="GV17" i="46"/>
  <c r="GV19" i="46" s="1"/>
  <c r="GV18" i="46"/>
  <c r="GQ17" i="46"/>
  <c r="GQ18" i="46"/>
  <c r="FP17" i="7"/>
  <c r="FP18" i="7"/>
  <c r="FU18" i="26"/>
  <c r="FU17" i="26"/>
  <c r="FU19" i="26" s="1"/>
  <c r="FY20" i="13"/>
  <c r="FY21" i="13"/>
  <c r="GO9" i="4"/>
  <c r="GA16" i="46"/>
  <c r="GA16" i="23"/>
  <c r="GA19" i="13"/>
  <c r="GA16" i="26"/>
  <c r="GA16" i="7"/>
  <c r="FJ17" i="26"/>
  <c r="FJ19" i="26" s="1"/>
  <c r="FJ18" i="26"/>
  <c r="FU17" i="7"/>
  <c r="FU18" i="7"/>
  <c r="GK16" i="46"/>
  <c r="GK19" i="13"/>
  <c r="GK16" i="26"/>
  <c r="GK16" i="23"/>
  <c r="GK16" i="7"/>
  <c r="GY9" i="4"/>
  <c r="FL17" i="23"/>
  <c r="FL18" i="23"/>
  <c r="HQ9" i="4"/>
  <c r="HC16" i="46"/>
  <c r="HC19" i="13"/>
  <c r="HC16" i="23"/>
  <c r="HC16" i="26"/>
  <c r="HC16" i="7"/>
  <c r="GL21" i="13"/>
  <c r="GL20" i="13"/>
  <c r="FQ17" i="46"/>
  <c r="FQ18" i="46"/>
  <c r="FK19" i="23"/>
  <c r="FV21" i="13"/>
  <c r="FV20" i="13"/>
  <c r="FV22" i="13" s="1"/>
  <c r="FQ17" i="23"/>
  <c r="FQ18" i="23"/>
  <c r="GW18" i="7"/>
  <c r="GW17" i="7"/>
  <c r="GW19" i="7" s="1"/>
  <c r="FH19" i="46"/>
  <c r="FK19" i="26"/>
  <c r="FP21" i="13"/>
  <c r="FP20" i="13"/>
  <c r="FH22" i="13"/>
  <c r="GB16" i="46"/>
  <c r="GP9" i="4"/>
  <c r="GB19" i="13"/>
  <c r="GB16" i="23"/>
  <c r="GB16" i="26"/>
  <c r="GB16" i="7"/>
  <c r="FK20" i="13"/>
  <c r="FK21" i="13"/>
  <c r="GM17" i="23"/>
  <c r="GM18" i="23"/>
  <c r="FR17" i="26"/>
  <c r="FR18" i="26"/>
  <c r="FC19" i="46"/>
  <c r="FJ18" i="23"/>
  <c r="FJ17" i="23"/>
  <c r="FR19" i="46"/>
  <c r="FU18" i="23"/>
  <c r="FU17" i="23"/>
  <c r="FU19" i="23" s="1"/>
  <c r="FL18" i="7"/>
  <c r="FL17" i="7"/>
  <c r="FL19" i="7" s="1"/>
  <c r="FD19" i="7"/>
  <c r="GM17" i="7"/>
  <c r="GM18" i="7"/>
  <c r="M38" i="21"/>
  <c r="E33" i="26"/>
  <c r="E38" i="26" s="1"/>
  <c r="E33" i="23"/>
  <c r="E38" i="23" s="1"/>
  <c r="R27" i="7"/>
  <c r="R28" i="7" s="1"/>
  <c r="R27" i="26"/>
  <c r="R28" i="26" s="1"/>
  <c r="R27" i="23"/>
  <c r="R28" i="23" s="1"/>
  <c r="AE14" i="4"/>
  <c r="S27" i="23"/>
  <c r="S28" i="23" s="1"/>
  <c r="S27" i="26"/>
  <c r="S28" i="26" s="1"/>
  <c r="AF14" i="4"/>
  <c r="S27" i="7"/>
  <c r="S28" i="7" s="1"/>
  <c r="AH14" i="4"/>
  <c r="U27" i="7"/>
  <c r="U28" i="7" s="1"/>
  <c r="U27" i="23"/>
  <c r="U28" i="23" s="1"/>
  <c r="U27" i="26"/>
  <c r="U28" i="26" s="1"/>
  <c r="N27" i="26"/>
  <c r="N28" i="26" s="1"/>
  <c r="N27" i="23"/>
  <c r="N28" i="23" s="1"/>
  <c r="AA14" i="4"/>
  <c r="N27" i="7"/>
  <c r="N28" i="7" s="1"/>
  <c r="AF29" i="7"/>
  <c r="AF29" i="23"/>
  <c r="AF29" i="26"/>
  <c r="AS15" i="4"/>
  <c r="Q25" i="23"/>
  <c r="Q26" i="23" s="1"/>
  <c r="Q25" i="26"/>
  <c r="Q26" i="26" s="1"/>
  <c r="Q25" i="7"/>
  <c r="Q26" i="7" s="1"/>
  <c r="AD13" i="4"/>
  <c r="AX15" i="4"/>
  <c r="AK29" i="7"/>
  <c r="AK29" i="26"/>
  <c r="AK29" i="23"/>
  <c r="U25" i="7"/>
  <c r="U26" i="7" s="1"/>
  <c r="AH13" i="4"/>
  <c r="U25" i="26"/>
  <c r="U26" i="26" s="1"/>
  <c r="U25" i="23"/>
  <c r="U26" i="23" s="1"/>
  <c r="W25" i="26"/>
  <c r="W26" i="26" s="1"/>
  <c r="W25" i="23"/>
  <c r="W26" i="23" s="1"/>
  <c r="AJ13" i="4"/>
  <c r="W25" i="7"/>
  <c r="W26" i="7" s="1"/>
  <c r="AI13" i="4"/>
  <c r="V25" i="23"/>
  <c r="V26" i="23" s="1"/>
  <c r="V25" i="7"/>
  <c r="V26" i="7" s="1"/>
  <c r="V25" i="26"/>
  <c r="V26" i="26" s="1"/>
  <c r="F33" i="26"/>
  <c r="F38" i="26" s="1"/>
  <c r="AM29" i="26"/>
  <c r="AZ15" i="4"/>
  <c r="AM29" i="7"/>
  <c r="AM29" i="23"/>
  <c r="Q27" i="23"/>
  <c r="Q28" i="23" s="1"/>
  <c r="Q27" i="7"/>
  <c r="Q28" i="7" s="1"/>
  <c r="Q27" i="26"/>
  <c r="Q28" i="26" s="1"/>
  <c r="AD14" i="4"/>
  <c r="AU15" i="4"/>
  <c r="AH29" i="7"/>
  <c r="AH29" i="26"/>
  <c r="AH29" i="23"/>
  <c r="AP15" i="4"/>
  <c r="AC29" i="7"/>
  <c r="AC29" i="23"/>
  <c r="AC29" i="26"/>
  <c r="AN13" i="4"/>
  <c r="AA25" i="26"/>
  <c r="AA26" i="26" s="1"/>
  <c r="AA25" i="23"/>
  <c r="AA26" i="23" s="1"/>
  <c r="AA25" i="7"/>
  <c r="AA26" i="7" s="1"/>
  <c r="AW15" i="4"/>
  <c r="AJ29" i="26"/>
  <c r="AJ29" i="7"/>
  <c r="AJ29" i="23"/>
  <c r="AC153" i="57"/>
  <c r="O154" i="57"/>
  <c r="L153" i="57"/>
  <c r="AA156" i="57"/>
  <c r="P163" i="57"/>
  <c r="L161" i="57"/>
  <c r="AA157" i="57"/>
  <c r="P162" i="57"/>
  <c r="AT15" i="4"/>
  <c r="AG29" i="7"/>
  <c r="AG29" i="26"/>
  <c r="AG29" i="23"/>
  <c r="X25" i="7"/>
  <c r="X26" i="7" s="1"/>
  <c r="X25" i="23"/>
  <c r="X26" i="23" s="1"/>
  <c r="AK13" i="4"/>
  <c r="X25" i="26"/>
  <c r="X26" i="26" s="1"/>
  <c r="AE13" i="4"/>
  <c r="R25" i="23"/>
  <c r="R26" i="23" s="1"/>
  <c r="R25" i="26"/>
  <c r="R26" i="26" s="1"/>
  <c r="R25" i="7"/>
  <c r="R26" i="7" s="1"/>
  <c r="AA153" i="57"/>
  <c r="J161" i="57"/>
  <c r="AI29" i="23"/>
  <c r="AI29" i="7"/>
  <c r="AI29" i="26"/>
  <c r="AV15" i="4"/>
  <c r="AG13" i="4"/>
  <c r="T25" i="23"/>
  <c r="T26" i="23" s="1"/>
  <c r="T25" i="7"/>
  <c r="T26" i="7" s="1"/>
  <c r="T25" i="26"/>
  <c r="T26" i="26" s="1"/>
  <c r="W27" i="7"/>
  <c r="W28" i="7" s="1"/>
  <c r="W27" i="26"/>
  <c r="W28" i="26" s="1"/>
  <c r="W27" i="23"/>
  <c r="W28" i="23" s="1"/>
  <c r="AJ14" i="4"/>
  <c r="C20" i="4"/>
  <c r="M161" i="57"/>
  <c r="BW25" i="4" s="1"/>
  <c r="AB154" i="57"/>
  <c r="AA155" i="57"/>
  <c r="I153" i="57"/>
  <c r="AC30" i="13"/>
  <c r="AC40" i="13" s="1"/>
  <c r="P161" i="57"/>
  <c r="AD153" i="57"/>
  <c r="D4" i="30"/>
  <c r="AA154" i="57"/>
  <c r="M153" i="57"/>
  <c r="F33" i="23"/>
  <c r="F38" i="23" s="1"/>
  <c r="U14" i="4"/>
  <c r="H27" i="26"/>
  <c r="H28" i="26" s="1"/>
  <c r="H27" i="23"/>
  <c r="H28" i="23" s="1"/>
  <c r="Z25" i="23"/>
  <c r="Z26" i="23" s="1"/>
  <c r="AM13" i="4"/>
  <c r="Z25" i="26"/>
  <c r="Z26" i="26" s="1"/>
  <c r="Z25" i="7"/>
  <c r="Z26" i="7" s="1"/>
  <c r="AL29" i="26"/>
  <c r="AL29" i="23"/>
  <c r="AY15" i="4"/>
  <c r="AL29" i="7"/>
  <c r="O27" i="23"/>
  <c r="O28" i="23" s="1"/>
  <c r="AB14" i="4"/>
  <c r="O27" i="26"/>
  <c r="O28" i="26" s="1"/>
  <c r="O27" i="7"/>
  <c r="O28" i="7" s="1"/>
  <c r="J27" i="26"/>
  <c r="J28" i="26" s="1"/>
  <c r="W14" i="4"/>
  <c r="J27" i="23"/>
  <c r="J28" i="23" s="1"/>
  <c r="G33" i="26"/>
  <c r="G38" i="26" s="1"/>
  <c r="D26" i="23"/>
  <c r="D33" i="23" s="1"/>
  <c r="AQ15" i="4"/>
  <c r="AD29" i="26"/>
  <c r="AD29" i="7"/>
  <c r="AD29" i="23"/>
  <c r="G33" i="23"/>
  <c r="G38" i="23" s="1"/>
  <c r="D26" i="26"/>
  <c r="D33" i="26" s="1"/>
  <c r="P27" i="7"/>
  <c r="P28" i="7" s="1"/>
  <c r="P27" i="26"/>
  <c r="P28" i="26" s="1"/>
  <c r="P27" i="23"/>
  <c r="P28" i="23" s="1"/>
  <c r="AC14" i="4"/>
  <c r="Y25" i="7"/>
  <c r="Y26" i="7" s="1"/>
  <c r="AL13" i="4"/>
  <c r="Y25" i="26"/>
  <c r="Y26" i="26" s="1"/>
  <c r="Y25" i="23"/>
  <c r="Y26" i="23" s="1"/>
  <c r="Y27" i="7"/>
  <c r="Y28" i="7" s="1"/>
  <c r="Y27" i="23"/>
  <c r="Y28" i="23" s="1"/>
  <c r="Y27" i="26"/>
  <c r="Y28" i="26" s="1"/>
  <c r="AL14" i="4"/>
  <c r="AR15" i="4"/>
  <c r="AE29" i="7"/>
  <c r="AE29" i="23"/>
  <c r="AE29" i="26"/>
  <c r="AF13" i="4"/>
  <c r="S25" i="26"/>
  <c r="S26" i="26" s="1"/>
  <c r="S25" i="23"/>
  <c r="S26" i="23" s="1"/>
  <c r="S25" i="7"/>
  <c r="S26" i="7" s="1"/>
  <c r="AC13" i="4"/>
  <c r="P25" i="26"/>
  <c r="P26" i="26" s="1"/>
  <c r="P25" i="7"/>
  <c r="P26" i="7" s="1"/>
  <c r="P25" i="23"/>
  <c r="P26" i="23" s="1"/>
  <c r="L27" i="7"/>
  <c r="L28" i="7" s="1"/>
  <c r="L27" i="23"/>
  <c r="L28" i="23" s="1"/>
  <c r="Y14" i="4"/>
  <c r="L27" i="26"/>
  <c r="L28" i="26" s="1"/>
  <c r="AZ29" i="23"/>
  <c r="AZ29" i="26"/>
  <c r="AZ29" i="7"/>
  <c r="BM15" i="4"/>
  <c r="AD33" i="13" l="1"/>
  <c r="AD34" i="13" s="1"/>
  <c r="AD27" i="46"/>
  <c r="AD28" i="46" s="1"/>
  <c r="AF27" i="46"/>
  <c r="AF28" i="46" s="1"/>
  <c r="AF33" i="13"/>
  <c r="AF34" i="13" s="1"/>
  <c r="AQ29" i="46"/>
  <c r="AQ35" i="13"/>
  <c r="AV29" i="46"/>
  <c r="AV35" i="13"/>
  <c r="AF25" i="46"/>
  <c r="AF26" i="46" s="1"/>
  <c r="AF31" i="13"/>
  <c r="AH25" i="46"/>
  <c r="AH26" i="46" s="1"/>
  <c r="AH31" i="13"/>
  <c r="AG25" i="46"/>
  <c r="AG26" i="46" s="1"/>
  <c r="AG31" i="13"/>
  <c r="AX29" i="46"/>
  <c r="AX35" i="13"/>
  <c r="AS29" i="46"/>
  <c r="AS35" i="13"/>
  <c r="AN29" i="46"/>
  <c r="AN35" i="13"/>
  <c r="AL25" i="46"/>
  <c r="AL26" i="46" s="1"/>
  <c r="AL31" i="13"/>
  <c r="AU29" i="46"/>
  <c r="AU35" i="13"/>
  <c r="AR29" i="46"/>
  <c r="AR35" i="13"/>
  <c r="AI25" i="46"/>
  <c r="AI26" i="46" s="1"/>
  <c r="AI31" i="13"/>
  <c r="AT29" i="46"/>
  <c r="AT35" i="13"/>
  <c r="AE31" i="13"/>
  <c r="AE25" i="46"/>
  <c r="AE26" i="46" s="1"/>
  <c r="AH27" i="46"/>
  <c r="AH28" i="46" s="1"/>
  <c r="AH33" i="13"/>
  <c r="AH34" i="13" s="1"/>
  <c r="AK31" i="13"/>
  <c r="AK25" i="46"/>
  <c r="AK26" i="46" s="1"/>
  <c r="AW29" i="46"/>
  <c r="AW35" i="13"/>
  <c r="AO29" i="46"/>
  <c r="AO35" i="13"/>
  <c r="AJ31" i="13"/>
  <c r="AJ25" i="46"/>
  <c r="AJ26" i="46" s="1"/>
  <c r="AJ27" i="46"/>
  <c r="AJ28" i="46" s="1"/>
  <c r="AJ33" i="13"/>
  <c r="AJ34" i="13" s="1"/>
  <c r="AP35" i="13"/>
  <c r="AP29" i="46"/>
  <c r="AD25" i="46"/>
  <c r="AD26" i="46" s="1"/>
  <c r="AD31" i="13"/>
  <c r="BK29" i="46"/>
  <c r="BK35" i="13"/>
  <c r="W47" i="13"/>
  <c r="AC46" i="13"/>
  <c r="BU38" i="13"/>
  <c r="BU32" i="46"/>
  <c r="CJ24" i="4"/>
  <c r="DJ24" i="4"/>
  <c r="GD19" i="46"/>
  <c r="P22" i="23"/>
  <c r="FK22" i="13"/>
  <c r="FR19" i="23"/>
  <c r="FQ19" i="7"/>
  <c r="FZ19" i="7"/>
  <c r="FO19" i="46"/>
  <c r="P22" i="26"/>
  <c r="FU19" i="7"/>
  <c r="GQ19" i="46"/>
  <c r="AP26" i="4"/>
  <c r="AM9" i="33"/>
  <c r="AM9" i="45"/>
  <c r="AM9" i="34"/>
  <c r="GB17" i="26"/>
  <c r="GB18" i="26"/>
  <c r="FP19" i="23"/>
  <c r="IC9" i="4"/>
  <c r="HO16" i="23"/>
  <c r="HO19" i="13"/>
  <c r="HO16" i="26"/>
  <c r="HO16" i="46"/>
  <c r="HO16" i="7"/>
  <c r="GB17" i="23"/>
  <c r="GB18" i="23"/>
  <c r="FV17" i="7"/>
  <c r="FV18" i="7"/>
  <c r="GM19" i="23"/>
  <c r="GA17" i="46"/>
  <c r="GA18" i="46"/>
  <c r="FO22" i="13"/>
  <c r="FP19" i="46"/>
  <c r="GF21" i="13"/>
  <c r="GF20" i="13"/>
  <c r="GF22" i="13" s="1"/>
  <c r="FU17" i="46"/>
  <c r="FU18" i="46"/>
  <c r="GE19" i="23"/>
  <c r="FX17" i="7"/>
  <c r="FX18" i="7"/>
  <c r="FQ19" i="23"/>
  <c r="FL19" i="23"/>
  <c r="GM16" i="46"/>
  <c r="HA9" i="4"/>
  <c r="GM16" i="26"/>
  <c r="GM16" i="23"/>
  <c r="GM16" i="7"/>
  <c r="GM19" i="13"/>
  <c r="GL19" i="46"/>
  <c r="P22" i="46"/>
  <c r="FV19" i="46"/>
  <c r="GI18" i="23"/>
  <c r="GI17" i="23"/>
  <c r="GG17" i="26"/>
  <c r="GG18" i="26"/>
  <c r="FV18" i="23"/>
  <c r="FV17" i="23"/>
  <c r="FW21" i="13"/>
  <c r="FW20" i="13"/>
  <c r="FW22" i="13" s="1"/>
  <c r="FV18" i="26"/>
  <c r="FV17" i="26"/>
  <c r="GI17" i="7"/>
  <c r="GI19" i="7" s="1"/>
  <c r="GI18" i="7"/>
  <c r="FW19" i="26"/>
  <c r="FW18" i="46"/>
  <c r="FW17" i="46"/>
  <c r="FW19" i="46" s="1"/>
  <c r="GG16" i="46"/>
  <c r="GG19" i="13"/>
  <c r="GU9" i="4"/>
  <c r="GG16" i="23"/>
  <c r="GG16" i="26"/>
  <c r="GG16" i="7"/>
  <c r="GG17" i="23"/>
  <c r="GG18" i="23"/>
  <c r="FU20" i="13"/>
  <c r="FU21" i="13"/>
  <c r="GA20" i="13"/>
  <c r="GA21" i="13"/>
  <c r="GT16" i="46"/>
  <c r="GT16" i="7"/>
  <c r="HH9" i="4"/>
  <c r="GT16" i="23"/>
  <c r="GT16" i="26"/>
  <c r="GT19" i="13"/>
  <c r="HD17" i="23"/>
  <c r="HD19" i="23" s="1"/>
  <c r="HD18" i="23"/>
  <c r="GW16" i="46"/>
  <c r="GW16" i="26"/>
  <c r="GW16" i="23"/>
  <c r="GW16" i="7"/>
  <c r="HK9" i="4"/>
  <c r="GW19" i="13"/>
  <c r="GC17" i="7"/>
  <c r="GC18" i="7"/>
  <c r="GL18" i="7"/>
  <c r="GL17" i="7"/>
  <c r="GF17" i="46"/>
  <c r="GF18" i="46"/>
  <c r="FX18" i="26"/>
  <c r="FX17" i="26"/>
  <c r="HB9" i="4"/>
  <c r="GN16" i="46"/>
  <c r="GN19" i="13"/>
  <c r="GN16" i="23"/>
  <c r="GN16" i="7"/>
  <c r="GN16" i="26"/>
  <c r="FQ19" i="46"/>
  <c r="Q22" i="46" s="1"/>
  <c r="GK17" i="46"/>
  <c r="GK18" i="46"/>
  <c r="FP19" i="7"/>
  <c r="Q22" i="7" s="1"/>
  <c r="FK19" i="46"/>
  <c r="HH18" i="46"/>
  <c r="HH17" i="46"/>
  <c r="HH19" i="46" s="1"/>
  <c r="GC17" i="46"/>
  <c r="GC18" i="46"/>
  <c r="GQ17" i="26"/>
  <c r="GQ18" i="26"/>
  <c r="GB17" i="46"/>
  <c r="GB18" i="46"/>
  <c r="GL22" i="13"/>
  <c r="GR19" i="7"/>
  <c r="GY17" i="26"/>
  <c r="GY18" i="26"/>
  <c r="GR19" i="23"/>
  <c r="HI17" i="26"/>
  <c r="HI18" i="26"/>
  <c r="GC20" i="13"/>
  <c r="GC21" i="13"/>
  <c r="GQ18" i="23"/>
  <c r="GQ17" i="23"/>
  <c r="GQ19" i="23" s="1"/>
  <c r="GE19" i="7"/>
  <c r="GM19" i="7"/>
  <c r="GH20" i="13"/>
  <c r="GH21" i="13"/>
  <c r="GI18" i="26"/>
  <c r="GI17" i="26"/>
  <c r="GC17" i="23"/>
  <c r="GC18" i="23"/>
  <c r="GL18" i="26"/>
  <c r="GL17" i="26"/>
  <c r="GL19" i="26" s="1"/>
  <c r="GW19" i="23"/>
  <c r="GB21" i="13"/>
  <c r="GB20" i="13"/>
  <c r="GK21" i="13"/>
  <c r="GK20" i="13"/>
  <c r="GK22" i="13" s="1"/>
  <c r="HI17" i="7"/>
  <c r="HI18" i="7"/>
  <c r="GD18" i="7"/>
  <c r="GD17" i="7"/>
  <c r="GX18" i="46"/>
  <c r="GX17" i="46"/>
  <c r="GX19" i="46" s="1"/>
  <c r="HI18" i="23"/>
  <c r="HI17" i="23"/>
  <c r="HI19" i="23" s="1"/>
  <c r="GD17" i="26"/>
  <c r="GD18" i="26"/>
  <c r="HP9" i="4"/>
  <c r="HB16" i="46"/>
  <c r="HB16" i="23"/>
  <c r="HB16" i="26"/>
  <c r="HB19" i="13"/>
  <c r="HB16" i="7"/>
  <c r="GY18" i="7"/>
  <c r="GY17" i="7"/>
  <c r="GD22" i="13"/>
  <c r="HC17" i="46"/>
  <c r="HC18" i="46"/>
  <c r="FZ19" i="26"/>
  <c r="P25" i="13"/>
  <c r="FY22" i="13"/>
  <c r="FQ22" i="13"/>
  <c r="FT19" i="46"/>
  <c r="GC18" i="26"/>
  <c r="GC17" i="26"/>
  <c r="GC19" i="26" s="1"/>
  <c r="GL17" i="23"/>
  <c r="GL18" i="23"/>
  <c r="FJ19" i="23"/>
  <c r="FP22" i="13"/>
  <c r="HD18" i="7"/>
  <c r="HD17" i="7"/>
  <c r="HX9" i="4"/>
  <c r="HJ16" i="46"/>
  <c r="HJ16" i="23"/>
  <c r="HJ16" i="26"/>
  <c r="HJ16" i="7"/>
  <c r="HJ19" i="13"/>
  <c r="HH21" i="13"/>
  <c r="HH20" i="13"/>
  <c r="FR19" i="7"/>
  <c r="GD18" i="23"/>
  <c r="GD17" i="23"/>
  <c r="GQ18" i="7"/>
  <c r="GQ17" i="7"/>
  <c r="GQ19" i="7" s="1"/>
  <c r="GB18" i="7"/>
  <c r="GB17" i="7"/>
  <c r="GB19" i="7" s="1"/>
  <c r="GX20" i="13"/>
  <c r="GX21" i="13"/>
  <c r="GP17" i="46"/>
  <c r="GP18" i="46"/>
  <c r="HC21" i="13"/>
  <c r="HC20" i="13"/>
  <c r="HC22" i="13" s="1"/>
  <c r="GQ22" i="13"/>
  <c r="FR19" i="26"/>
  <c r="Q22" i="26" s="1"/>
  <c r="FX17" i="23"/>
  <c r="FX18" i="23"/>
  <c r="GR16" i="23"/>
  <c r="HF9" i="4"/>
  <c r="GR16" i="46"/>
  <c r="GR16" i="26"/>
  <c r="GR19" i="13"/>
  <c r="GR16" i="7"/>
  <c r="GW9" i="4"/>
  <c r="GI16" i="46"/>
  <c r="GI16" i="7"/>
  <c r="GI19" i="13"/>
  <c r="GI16" i="26"/>
  <c r="GI16" i="23"/>
  <c r="GV22" i="13"/>
  <c r="GG18" i="7"/>
  <c r="GG17" i="7"/>
  <c r="GG19" i="7" s="1"/>
  <c r="GH18" i="46"/>
  <c r="GH17" i="46"/>
  <c r="GH19" i="46" s="1"/>
  <c r="HD17" i="26"/>
  <c r="HD18" i="26"/>
  <c r="FW19" i="7"/>
  <c r="GY18" i="23"/>
  <c r="GY17" i="23"/>
  <c r="FT22" i="13"/>
  <c r="IH9" i="4"/>
  <c r="HT19" i="13"/>
  <c r="HT16" i="7"/>
  <c r="HT16" i="26"/>
  <c r="HT16" i="46"/>
  <c r="HT16" i="23"/>
  <c r="GO19" i="13"/>
  <c r="HC9" i="4"/>
  <c r="GO16" i="46"/>
  <c r="GO16" i="7"/>
  <c r="GO16" i="26"/>
  <c r="GO16" i="23"/>
  <c r="GP20" i="13"/>
  <c r="GP21" i="13"/>
  <c r="AB27" i="7"/>
  <c r="AB28" i="7" s="1"/>
  <c r="AB27" i="26"/>
  <c r="AB28" i="26" s="1"/>
  <c r="AO14" i="4"/>
  <c r="AB27" i="23"/>
  <c r="AB28" i="23" s="1"/>
  <c r="BX25" i="4"/>
  <c r="AI14" i="4"/>
  <c r="V27" i="26"/>
  <c r="V28" i="26" s="1"/>
  <c r="V27" i="23"/>
  <c r="V28" i="23" s="1"/>
  <c r="V27" i="7"/>
  <c r="V28" i="7" s="1"/>
  <c r="AY13" i="4"/>
  <c r="AL25" i="23"/>
  <c r="AL26" i="23" s="1"/>
  <c r="AL25" i="7"/>
  <c r="AL26" i="7" s="1"/>
  <c r="AL25" i="26"/>
  <c r="AL26" i="26" s="1"/>
  <c r="C31" i="4"/>
  <c r="C120" i="45"/>
  <c r="BI15" i="4"/>
  <c r="AV29" i="23"/>
  <c r="AV29" i="26"/>
  <c r="AV29" i="7"/>
  <c r="BG15" i="4"/>
  <c r="AT29" i="26"/>
  <c r="AT29" i="7"/>
  <c r="AT29" i="23"/>
  <c r="AW29" i="26"/>
  <c r="AW29" i="7"/>
  <c r="AW29" i="23"/>
  <c r="BJ15" i="4"/>
  <c r="AU29" i="23"/>
  <c r="BH15" i="4"/>
  <c r="AU29" i="7"/>
  <c r="AU29" i="26"/>
  <c r="AS29" i="7"/>
  <c r="AS29" i="26"/>
  <c r="BF15" i="4"/>
  <c r="AS29" i="23"/>
  <c r="AC27" i="7"/>
  <c r="AC28" i="7" s="1"/>
  <c r="AP14" i="4"/>
  <c r="AC27" i="23"/>
  <c r="AC28" i="23" s="1"/>
  <c r="AC27" i="26"/>
  <c r="AC28" i="26" s="1"/>
  <c r="AI25" i="26"/>
  <c r="AI26" i="26" s="1"/>
  <c r="AI25" i="7"/>
  <c r="AI26" i="7" s="1"/>
  <c r="AI25" i="23"/>
  <c r="AI26" i="23" s="1"/>
  <c r="AV13" i="4"/>
  <c r="AE27" i="7"/>
  <c r="AE28" i="7" s="1"/>
  <c r="AE27" i="26"/>
  <c r="AE28" i="26" s="1"/>
  <c r="AR14" i="4"/>
  <c r="AE27" i="23"/>
  <c r="AE28" i="23" s="1"/>
  <c r="AR13" i="4"/>
  <c r="AE25" i="7"/>
  <c r="AE26" i="7" s="1"/>
  <c r="AE25" i="23"/>
  <c r="AE26" i="23" s="1"/>
  <c r="AE25" i="26"/>
  <c r="AE26" i="26" s="1"/>
  <c r="Z27" i="26"/>
  <c r="Z28" i="26" s="1"/>
  <c r="Z27" i="7"/>
  <c r="Z28" i="7" s="1"/>
  <c r="Z27" i="23"/>
  <c r="Z28" i="23" s="1"/>
  <c r="AM14" i="4"/>
  <c r="AQ13" i="4"/>
  <c r="AD25" i="7"/>
  <c r="AD26" i="7" s="1"/>
  <c r="AD25" i="26"/>
  <c r="AD26" i="26" s="1"/>
  <c r="AD25" i="23"/>
  <c r="AD26" i="23" s="1"/>
  <c r="AM25" i="7"/>
  <c r="AM26" i="7" s="1"/>
  <c r="AM25" i="26"/>
  <c r="AM26" i="26" s="1"/>
  <c r="AZ13" i="4"/>
  <c r="AM25" i="23"/>
  <c r="AM26" i="23" s="1"/>
  <c r="C36" i="23"/>
  <c r="D38" i="23"/>
  <c r="AC25" i="26"/>
  <c r="AC26" i="26" s="1"/>
  <c r="AP13" i="4"/>
  <c r="AC25" i="23"/>
  <c r="AC26" i="23" s="1"/>
  <c r="AC25" i="7"/>
  <c r="AC26" i="7" s="1"/>
  <c r="AB25" i="26"/>
  <c r="AB26" i="26" s="1"/>
  <c r="AB25" i="7"/>
  <c r="AB26" i="7" s="1"/>
  <c r="AO13" i="4"/>
  <c r="AB25" i="23"/>
  <c r="AB26" i="23" s="1"/>
  <c r="AX29" i="26"/>
  <c r="AX29" i="23"/>
  <c r="BK15" i="4"/>
  <c r="AX29" i="7"/>
  <c r="H5" i="30"/>
  <c r="H7" i="30" s="1"/>
  <c r="H6" i="30" s="1"/>
  <c r="BE15" i="4"/>
  <c r="AR29" i="7"/>
  <c r="AR29" i="26"/>
  <c r="AR29" i="23"/>
  <c r="AD27" i="7"/>
  <c r="AD28" i="7" s="1"/>
  <c r="AQ14" i="4"/>
  <c r="AD27" i="26"/>
  <c r="AD28" i="26" s="1"/>
  <c r="AD27" i="23"/>
  <c r="AD28" i="23" s="1"/>
  <c r="AQ29" i="23"/>
  <c r="AQ29" i="7"/>
  <c r="BD15" i="4"/>
  <c r="AQ29" i="26"/>
  <c r="AI27" i="7"/>
  <c r="AI28" i="7" s="1"/>
  <c r="AI27" i="23"/>
  <c r="AI28" i="23" s="1"/>
  <c r="AV14" i="4"/>
  <c r="AI27" i="26"/>
  <c r="AI28" i="26" s="1"/>
  <c r="AH25" i="26"/>
  <c r="AH26" i="26" s="1"/>
  <c r="AH25" i="7"/>
  <c r="AH26" i="7" s="1"/>
  <c r="AU13" i="4"/>
  <c r="AH25" i="23"/>
  <c r="AH26" i="23" s="1"/>
  <c r="AK27" i="7"/>
  <c r="AK28" i="7" s="1"/>
  <c r="AK27" i="23"/>
  <c r="AK28" i="23" s="1"/>
  <c r="AK27" i="26"/>
  <c r="AK28" i="26" s="1"/>
  <c r="AX14" i="4"/>
  <c r="AA27" i="7"/>
  <c r="AA28" i="7" s="1"/>
  <c r="AA27" i="26"/>
  <c r="AA28" i="26" s="1"/>
  <c r="AA27" i="23"/>
  <c r="AA28" i="23" s="1"/>
  <c r="AN14" i="4"/>
  <c r="AF25" i="7"/>
  <c r="AF26" i="7" s="1"/>
  <c r="AF25" i="23"/>
  <c r="AF26" i="23" s="1"/>
  <c r="AF25" i="26"/>
  <c r="AF26" i="26" s="1"/>
  <c r="AS13" i="4"/>
  <c r="AK25" i="7"/>
  <c r="AK26" i="7" s="1"/>
  <c r="AX13" i="4"/>
  <c r="AK25" i="26"/>
  <c r="AK26" i="26" s="1"/>
  <c r="AK25" i="23"/>
  <c r="AK26" i="23" s="1"/>
  <c r="AO29" i="7"/>
  <c r="BB15" i="4"/>
  <c r="AO29" i="23"/>
  <c r="AO29" i="26"/>
  <c r="X27" i="23"/>
  <c r="X28" i="23" s="1"/>
  <c r="X27" i="26"/>
  <c r="X28" i="26" s="1"/>
  <c r="AK14" i="4"/>
  <c r="X27" i="7"/>
  <c r="X28" i="7" s="1"/>
  <c r="D38" i="26"/>
  <c r="C36" i="26"/>
  <c r="T27" i="23"/>
  <c r="T28" i="23" s="1"/>
  <c r="AG14" i="4"/>
  <c r="T27" i="26"/>
  <c r="T28" i="26" s="1"/>
  <c r="T27" i="7"/>
  <c r="T28" i="7" s="1"/>
  <c r="H33" i="26"/>
  <c r="H38" i="26" s="1"/>
  <c r="AJ25" i="7"/>
  <c r="AJ26" i="7" s="1"/>
  <c r="AJ25" i="23"/>
  <c r="AJ26" i="23" s="1"/>
  <c r="AW13" i="4"/>
  <c r="AJ25" i="26"/>
  <c r="AJ26" i="26" s="1"/>
  <c r="AY29" i="26"/>
  <c r="AY29" i="23"/>
  <c r="BL15" i="4"/>
  <c r="AY29" i="7"/>
  <c r="AG25" i="7"/>
  <c r="AG26" i="7" s="1"/>
  <c r="AG25" i="23"/>
  <c r="AG26" i="23" s="1"/>
  <c r="AT13" i="4"/>
  <c r="AG25" i="26"/>
  <c r="AG26" i="26" s="1"/>
  <c r="AG27" i="7"/>
  <c r="AG28" i="7" s="1"/>
  <c r="AT14" i="4"/>
  <c r="AG27" i="26"/>
  <c r="AG28" i="26" s="1"/>
  <c r="AG27" i="23"/>
  <c r="AG28" i="23" s="1"/>
  <c r="AP29" i="7"/>
  <c r="AP29" i="23"/>
  <c r="AP29" i="26"/>
  <c r="BC15" i="4"/>
  <c r="H33" i="23"/>
  <c r="H38" i="23" s="1"/>
  <c r="BL29" i="23"/>
  <c r="BL29" i="7"/>
  <c r="BL29" i="26"/>
  <c r="BY15" i="4"/>
  <c r="AF32" i="13" l="1"/>
  <c r="G14" i="14" s="1"/>
  <c r="AH32" i="13"/>
  <c r="I14" i="14" s="1"/>
  <c r="AG32" i="13"/>
  <c r="AL32" i="13"/>
  <c r="AI32" i="13"/>
  <c r="AE32" i="13"/>
  <c r="AK32" i="13"/>
  <c r="AJ32" i="13"/>
  <c r="K14" i="14" s="1"/>
  <c r="AM27" i="46"/>
  <c r="AM28" i="46" s="1"/>
  <c r="AM33" i="13"/>
  <c r="AM34" i="13" s="1"/>
  <c r="AG27" i="46"/>
  <c r="AG28" i="46" s="1"/>
  <c r="AG33" i="13"/>
  <c r="AG34" i="13" s="1"/>
  <c r="AW31" i="13"/>
  <c r="AW32" i="13" s="1"/>
  <c r="AW25" i="46"/>
  <c r="AW26" i="46" s="1"/>
  <c r="BG35" i="13"/>
  <c r="BG29" i="46"/>
  <c r="BE35" i="13"/>
  <c r="BE29" i="46"/>
  <c r="BH35" i="13"/>
  <c r="BH29" i="46"/>
  <c r="BF35" i="13"/>
  <c r="BF29" i="46"/>
  <c r="BD35" i="13"/>
  <c r="BD29" i="46"/>
  <c r="AN27" i="46"/>
  <c r="AN28" i="46" s="1"/>
  <c r="AN33" i="13"/>
  <c r="AN34" i="13" s="1"/>
  <c r="AT31" i="13"/>
  <c r="AT32" i="13" s="1"/>
  <c r="AT25" i="46"/>
  <c r="AT26" i="46" s="1"/>
  <c r="AP27" i="46"/>
  <c r="AP28" i="46" s="1"/>
  <c r="AP33" i="13"/>
  <c r="AP34" i="13" s="1"/>
  <c r="AP31" i="13"/>
  <c r="AP25" i="46"/>
  <c r="AP26" i="46" s="1"/>
  <c r="AK33" i="13"/>
  <c r="AK34" i="13" s="1"/>
  <c r="AK27" i="46"/>
  <c r="AK28" i="46" s="1"/>
  <c r="AO31" i="13"/>
  <c r="AO25" i="46"/>
  <c r="AO26" i="46" s="1"/>
  <c r="AX31" i="13"/>
  <c r="AX32" i="13" s="1"/>
  <c r="AX25" i="46"/>
  <c r="AX26" i="46" s="1"/>
  <c r="AN31" i="13"/>
  <c r="AN25" i="46"/>
  <c r="AN26" i="46" s="1"/>
  <c r="AM25" i="46"/>
  <c r="AM26" i="46" s="1"/>
  <c r="AM31" i="13"/>
  <c r="BI29" i="46"/>
  <c r="BI35" i="13"/>
  <c r="BC29" i="46"/>
  <c r="BC35" i="13"/>
  <c r="AO27" i="46"/>
  <c r="AO28" i="46" s="1"/>
  <c r="AO33" i="13"/>
  <c r="AO34" i="13" s="1"/>
  <c r="BB35" i="13"/>
  <c r="BB29" i="46"/>
  <c r="AT33" i="13"/>
  <c r="AT34" i="13" s="1"/>
  <c r="AT27" i="46"/>
  <c r="AT28" i="46" s="1"/>
  <c r="AS31" i="13"/>
  <c r="AS32" i="13" s="1"/>
  <c r="AS25" i="46"/>
  <c r="AS26" i="46" s="1"/>
  <c r="AV33" i="13"/>
  <c r="AV34" i="13" s="1"/>
  <c r="AV27" i="46"/>
  <c r="AV28" i="46" s="1"/>
  <c r="AL27" i="46"/>
  <c r="AL28" i="46" s="1"/>
  <c r="AL33" i="13"/>
  <c r="AL34" i="13" s="1"/>
  <c r="AQ25" i="46"/>
  <c r="AQ26" i="46" s="1"/>
  <c r="AQ31" i="13"/>
  <c r="AQ32" i="13" s="1"/>
  <c r="AV31" i="13"/>
  <c r="AV32" i="13" s="1"/>
  <c r="AV25" i="46"/>
  <c r="AV26" i="46" s="1"/>
  <c r="AZ35" i="13"/>
  <c r="AZ29" i="46"/>
  <c r="AI27" i="46"/>
  <c r="AI28" i="46" s="1"/>
  <c r="AI33" i="13"/>
  <c r="AI34" i="13" s="1"/>
  <c r="AE33" i="13"/>
  <c r="AE34" i="13" s="1"/>
  <c r="AE27" i="46"/>
  <c r="AE28" i="46" s="1"/>
  <c r="AU31" i="13"/>
  <c r="AU32" i="13" s="1"/>
  <c r="AU25" i="46"/>
  <c r="AU26" i="46" s="1"/>
  <c r="BJ29" i="46"/>
  <c r="BJ35" i="13"/>
  <c r="AR25" i="46"/>
  <c r="AR26" i="46" s="1"/>
  <c r="AR31" i="13"/>
  <c r="AR32" i="13" s="1"/>
  <c r="AR33" i="13"/>
  <c r="AR34" i="13" s="1"/>
  <c r="AR27" i="46"/>
  <c r="AR28" i="46" s="1"/>
  <c r="BA29" i="46"/>
  <c r="BA35" i="13"/>
  <c r="BW29" i="46"/>
  <c r="BW35" i="13"/>
  <c r="BV32" i="46"/>
  <c r="BV38" i="13"/>
  <c r="CM24" i="4"/>
  <c r="DM24" i="4"/>
  <c r="H54" i="11"/>
  <c r="FU22" i="13"/>
  <c r="GI19" i="26"/>
  <c r="FV19" i="23"/>
  <c r="HI19" i="26"/>
  <c r="FX19" i="7"/>
  <c r="GA19" i="46"/>
  <c r="GY19" i="26"/>
  <c r="GY19" i="23"/>
  <c r="HD19" i="7"/>
  <c r="GQ19" i="26"/>
  <c r="FX19" i="26"/>
  <c r="GI19" i="23"/>
  <c r="Q22" i="23"/>
  <c r="GL19" i="7"/>
  <c r="GC19" i="7"/>
  <c r="Q25" i="13"/>
  <c r="GD19" i="23"/>
  <c r="GB22" i="13"/>
  <c r="AN9" i="34"/>
  <c r="AN9" i="45"/>
  <c r="AN9" i="33"/>
  <c r="AQ26" i="4"/>
  <c r="AK40" i="13"/>
  <c r="AK46" i="13" s="1"/>
  <c r="HT20" i="13"/>
  <c r="HT21" i="13"/>
  <c r="GN18" i="26"/>
  <c r="GN17" i="26"/>
  <c r="HK17" i="23"/>
  <c r="HK18" i="23"/>
  <c r="GX18" i="26"/>
  <c r="GX17" i="26"/>
  <c r="GX19" i="26" s="1"/>
  <c r="IJ9" i="4"/>
  <c r="HV16" i="46"/>
  <c r="HV19" i="13"/>
  <c r="HV16" i="7"/>
  <c r="HV16" i="26"/>
  <c r="HV16" i="23"/>
  <c r="FV19" i="7"/>
  <c r="GS18" i="7"/>
  <c r="GS17" i="7"/>
  <c r="GB19" i="46"/>
  <c r="GN18" i="46"/>
  <c r="GN17" i="46"/>
  <c r="GN19" i="46" s="1"/>
  <c r="GH17" i="26"/>
  <c r="GH18" i="26"/>
  <c r="GP22" i="13"/>
  <c r="GR20" i="13"/>
  <c r="GR21" i="13"/>
  <c r="GY19" i="7"/>
  <c r="GD19" i="7"/>
  <c r="GH22" i="13"/>
  <c r="GZ16" i="7"/>
  <c r="HN9" i="4"/>
  <c r="GZ16" i="46"/>
  <c r="GZ19" i="13"/>
  <c r="GZ16" i="23"/>
  <c r="GZ16" i="26"/>
  <c r="GH18" i="23"/>
  <c r="GH17" i="23"/>
  <c r="GB19" i="23"/>
  <c r="GX17" i="7"/>
  <c r="GX18" i="7"/>
  <c r="GJ18" i="7"/>
  <c r="GJ17" i="7"/>
  <c r="GX18" i="23"/>
  <c r="GX17" i="23"/>
  <c r="GX19" i="23" s="1"/>
  <c r="GO18" i="23"/>
  <c r="GO17" i="23"/>
  <c r="GO19" i="23" s="1"/>
  <c r="GS18" i="26"/>
  <c r="GS17" i="26"/>
  <c r="HO20" i="13"/>
  <c r="HO21" i="13"/>
  <c r="GG19" i="26"/>
  <c r="GO18" i="7"/>
  <c r="GO17" i="7"/>
  <c r="GT20" i="13"/>
  <c r="GT21" i="13"/>
  <c r="HI19" i="7"/>
  <c r="IA16" i="46"/>
  <c r="IA16" i="26"/>
  <c r="IA16" i="23"/>
  <c r="IA19" i="13"/>
  <c r="IO9" i="4"/>
  <c r="IA16" i="7"/>
  <c r="GG19" i="23"/>
  <c r="GX22" i="13"/>
  <c r="GN21" i="13"/>
  <c r="GN20" i="13"/>
  <c r="GF19" i="46"/>
  <c r="HA16" i="46"/>
  <c r="HA16" i="23"/>
  <c r="HO9" i="4"/>
  <c r="HA16" i="26"/>
  <c r="HA19" i="13"/>
  <c r="HA16" i="7"/>
  <c r="HC18" i="26"/>
  <c r="HC17" i="26"/>
  <c r="HC19" i="26" s="1"/>
  <c r="HF16" i="46"/>
  <c r="HF16" i="23"/>
  <c r="HF19" i="13"/>
  <c r="HF16" i="26"/>
  <c r="HT9" i="4"/>
  <c r="HF16" i="7"/>
  <c r="FU19" i="46"/>
  <c r="GO20" i="13"/>
  <c r="GO21" i="13"/>
  <c r="FX19" i="23"/>
  <c r="HC17" i="23"/>
  <c r="HC18" i="23"/>
  <c r="GC22" i="13"/>
  <c r="GU17" i="7"/>
  <c r="GU18" i="7"/>
  <c r="HU17" i="23"/>
  <c r="HU18" i="23"/>
  <c r="HH22" i="13"/>
  <c r="HB17" i="46"/>
  <c r="HB18" i="46"/>
  <c r="GT18" i="46"/>
  <c r="GT17" i="46"/>
  <c r="GT19" i="46" s="1"/>
  <c r="GI21" i="13"/>
  <c r="GI20" i="13"/>
  <c r="HK17" i="26"/>
  <c r="HK18" i="26"/>
  <c r="GO17" i="26"/>
  <c r="GO18" i="26"/>
  <c r="HJ17" i="46"/>
  <c r="HJ18" i="46"/>
  <c r="GM18" i="46"/>
  <c r="GM17" i="46"/>
  <c r="GM19" i="46" s="1"/>
  <c r="HC19" i="46"/>
  <c r="GW17" i="46"/>
  <c r="GW18" i="46"/>
  <c r="GP17" i="23"/>
  <c r="GP18" i="23"/>
  <c r="HG9" i="4"/>
  <c r="GS16" i="46"/>
  <c r="GS19" i="13"/>
  <c r="GS16" i="23"/>
  <c r="GS16" i="7"/>
  <c r="GS16" i="26"/>
  <c r="HP18" i="7"/>
  <c r="HP17" i="7"/>
  <c r="GG21" i="13"/>
  <c r="GG20" i="13"/>
  <c r="GG22" i="13" s="1"/>
  <c r="GS18" i="23"/>
  <c r="GS17" i="23"/>
  <c r="GS19" i="23" s="1"/>
  <c r="GP17" i="26"/>
  <c r="GP18" i="26"/>
  <c r="GR17" i="46"/>
  <c r="GR18" i="46"/>
  <c r="HD19" i="26"/>
  <c r="HC17" i="7"/>
  <c r="HC18" i="7"/>
  <c r="GC19" i="46"/>
  <c r="GU17" i="26"/>
  <c r="GU18" i="26"/>
  <c r="GO17" i="46"/>
  <c r="GO18" i="46"/>
  <c r="HB21" i="13"/>
  <c r="HB20" i="13"/>
  <c r="HB22" i="13" s="1"/>
  <c r="GU17" i="23"/>
  <c r="GU18" i="23"/>
  <c r="HP18" i="23"/>
  <c r="HP17" i="23"/>
  <c r="HP19" i="23" s="1"/>
  <c r="GM20" i="13"/>
  <c r="GM21" i="13"/>
  <c r="HU17" i="26"/>
  <c r="HU18" i="26"/>
  <c r="GJ17" i="23"/>
  <c r="GJ18" i="23"/>
  <c r="HJ20" i="13"/>
  <c r="HJ21" i="13"/>
  <c r="GK19" i="46"/>
  <c r="GW20" i="13"/>
  <c r="GW21" i="13"/>
  <c r="GA22" i="13"/>
  <c r="R25" i="13" s="1"/>
  <c r="FV19" i="26"/>
  <c r="GN17" i="7"/>
  <c r="GN19" i="7" s="1"/>
  <c r="GN18" i="7"/>
  <c r="GB19" i="26"/>
  <c r="IF16" i="46"/>
  <c r="IF16" i="26"/>
  <c r="IF19" i="13"/>
  <c r="IF16" i="23"/>
  <c r="IF16" i="7"/>
  <c r="GP19" i="46"/>
  <c r="GC19" i="23"/>
  <c r="HM9" i="4"/>
  <c r="GY16" i="46"/>
  <c r="GY16" i="23"/>
  <c r="GY16" i="7"/>
  <c r="GY19" i="13"/>
  <c r="GY16" i="26"/>
  <c r="GI17" i="46"/>
  <c r="GI19" i="46" s="1"/>
  <c r="GI18" i="46"/>
  <c r="GU16" i="46"/>
  <c r="HI9" i="4"/>
  <c r="GU16" i="23"/>
  <c r="GU16" i="7"/>
  <c r="GU16" i="26"/>
  <c r="GU19" i="13"/>
  <c r="GH17" i="7"/>
  <c r="GH18" i="7"/>
  <c r="HO18" i="46"/>
  <c r="HO17" i="46"/>
  <c r="HO19" i="46" s="1"/>
  <c r="GP17" i="7"/>
  <c r="GP18" i="7"/>
  <c r="HD16" i="46"/>
  <c r="HR9" i="4"/>
  <c r="HD16" i="26"/>
  <c r="HD19" i="13"/>
  <c r="HD16" i="23"/>
  <c r="HD16" i="7"/>
  <c r="GG17" i="46"/>
  <c r="GG18" i="46"/>
  <c r="HP17" i="26"/>
  <c r="HP18" i="26"/>
  <c r="GL19" i="23"/>
  <c r="HT17" i="46"/>
  <c r="HT18" i="46"/>
  <c r="HN16" i="46"/>
  <c r="HN16" i="26"/>
  <c r="IB9" i="4"/>
  <c r="HN19" i="13"/>
  <c r="HN16" i="23"/>
  <c r="HN16" i="7"/>
  <c r="HU18" i="7"/>
  <c r="HU17" i="7"/>
  <c r="HU19" i="7" s="1"/>
  <c r="GJ18" i="26"/>
  <c r="GJ17" i="26"/>
  <c r="HK18" i="7"/>
  <c r="HK17" i="7"/>
  <c r="GD19" i="26"/>
  <c r="HI16" i="7"/>
  <c r="HW9" i="4"/>
  <c r="HI16" i="46"/>
  <c r="HI19" i="13"/>
  <c r="HI16" i="23"/>
  <c r="HI16" i="26"/>
  <c r="GN18" i="23"/>
  <c r="GN17" i="23"/>
  <c r="H4" i="30"/>
  <c r="AB46" i="13"/>
  <c r="Y46" i="13"/>
  <c r="BJ13" i="4"/>
  <c r="AW25" i="7"/>
  <c r="AW26" i="7" s="1"/>
  <c r="AW25" i="23"/>
  <c r="AW26" i="23" s="1"/>
  <c r="AW25" i="26"/>
  <c r="AW26" i="26" s="1"/>
  <c r="BI29" i="26"/>
  <c r="BI29" i="7"/>
  <c r="BV15" i="4"/>
  <c r="BI29" i="23"/>
  <c r="BC29" i="7"/>
  <c r="BC29" i="26"/>
  <c r="BP15" i="4"/>
  <c r="BC29" i="23"/>
  <c r="BQ15" i="4"/>
  <c r="BD29" i="26"/>
  <c r="BD29" i="23"/>
  <c r="BD29" i="7"/>
  <c r="AD32" i="13"/>
  <c r="BD13" i="4"/>
  <c r="AQ25" i="26"/>
  <c r="AQ26" i="26" s="1"/>
  <c r="AQ25" i="7"/>
  <c r="AQ26" i="7" s="1"/>
  <c r="AQ25" i="23"/>
  <c r="AQ26" i="23" s="1"/>
  <c r="BH29" i="7"/>
  <c r="BU15" i="4"/>
  <c r="BH29" i="23"/>
  <c r="BH29" i="26"/>
  <c r="AS27" i="7"/>
  <c r="AS28" i="7" s="1"/>
  <c r="BF14" i="4"/>
  <c r="AS27" i="26"/>
  <c r="AS28" i="26" s="1"/>
  <c r="AS27" i="23"/>
  <c r="AS28" i="23" s="1"/>
  <c r="AV25" i="7"/>
  <c r="AV26" i="7" s="1"/>
  <c r="BI13" i="4"/>
  <c r="AV25" i="26"/>
  <c r="AV26" i="26" s="1"/>
  <c r="AV25" i="23"/>
  <c r="AV26" i="23" s="1"/>
  <c r="AJ27" i="23"/>
  <c r="AJ28" i="23" s="1"/>
  <c r="AW14" i="4"/>
  <c r="AJ27" i="7"/>
  <c r="AJ28" i="7" s="1"/>
  <c r="AJ27" i="26"/>
  <c r="AJ28" i="26" s="1"/>
  <c r="BB14" i="4"/>
  <c r="AO27" i="23"/>
  <c r="AO28" i="23" s="1"/>
  <c r="AO27" i="26"/>
  <c r="AO28" i="26" s="1"/>
  <c r="AO27" i="7"/>
  <c r="AO28" i="7" s="1"/>
  <c r="Z46" i="13"/>
  <c r="AN25" i="26"/>
  <c r="AN26" i="26" s="1"/>
  <c r="BA13" i="4"/>
  <c r="AN25" i="23"/>
  <c r="AN26" i="23" s="1"/>
  <c r="AN25" i="7"/>
  <c r="AN26" i="7" s="1"/>
  <c r="AR25" i="26"/>
  <c r="AR26" i="26" s="1"/>
  <c r="AR25" i="23"/>
  <c r="AR26" i="23" s="1"/>
  <c r="BE13" i="4"/>
  <c r="AR25" i="7"/>
  <c r="AR26" i="7" s="1"/>
  <c r="BF13" i="4"/>
  <c r="AS25" i="26"/>
  <c r="AS26" i="26" s="1"/>
  <c r="AS25" i="23"/>
  <c r="AS26" i="23" s="1"/>
  <c r="AS25" i="7"/>
  <c r="AS26" i="7" s="1"/>
  <c r="AL27" i="7"/>
  <c r="AL28" i="7" s="1"/>
  <c r="AL27" i="26"/>
  <c r="AL28" i="26" s="1"/>
  <c r="AY14" i="4"/>
  <c r="AL27" i="23"/>
  <c r="AL28" i="23" s="1"/>
  <c r="BE29" i="26"/>
  <c r="BE29" i="23"/>
  <c r="BR15" i="4"/>
  <c r="BE29" i="7"/>
  <c r="BY25" i="4"/>
  <c r="AM27" i="7"/>
  <c r="AM28" i="7" s="1"/>
  <c r="AZ14" i="4"/>
  <c r="AM27" i="23"/>
  <c r="AM28" i="23" s="1"/>
  <c r="AM27" i="26"/>
  <c r="AM28" i="26" s="1"/>
  <c r="BW15" i="4"/>
  <c r="BJ29" i="23"/>
  <c r="BJ29" i="26"/>
  <c r="BJ29" i="7"/>
  <c r="D39" i="23"/>
  <c r="E39" i="23" s="1"/>
  <c r="F39" i="23" s="1"/>
  <c r="G39" i="23" s="1"/>
  <c r="H39" i="23" s="1"/>
  <c r="C42" i="23"/>
  <c r="C43" i="23" s="1"/>
  <c r="BH13" i="4"/>
  <c r="AU25" i="26"/>
  <c r="AU26" i="26" s="1"/>
  <c r="AU25" i="23"/>
  <c r="AU26" i="23" s="1"/>
  <c r="AU25" i="7"/>
  <c r="AU26" i="7" s="1"/>
  <c r="AN27" i="23"/>
  <c r="AN28" i="23" s="1"/>
  <c r="AN27" i="26"/>
  <c r="AN28" i="26" s="1"/>
  <c r="BA14" i="4"/>
  <c r="AN27" i="7"/>
  <c r="AN28" i="7" s="1"/>
  <c r="BT15" i="4"/>
  <c r="BG29" i="7"/>
  <c r="BG29" i="23"/>
  <c r="BG29" i="26"/>
  <c r="D39" i="26"/>
  <c r="E39" i="26" s="1"/>
  <c r="F39" i="26" s="1"/>
  <c r="G39" i="26" s="1"/>
  <c r="H39" i="26" s="1"/>
  <c r="C42" i="26"/>
  <c r="C43" i="26" s="1"/>
  <c r="BB29" i="7"/>
  <c r="BB29" i="23"/>
  <c r="BO15" i="4"/>
  <c r="BB29" i="26"/>
  <c r="BA29" i="23"/>
  <c r="BA29" i="7"/>
  <c r="BA29" i="26"/>
  <c r="BN15" i="4"/>
  <c r="B14" i="30"/>
  <c r="C132" i="30"/>
  <c r="C14" i="30"/>
  <c r="G279" i="30"/>
  <c r="H75" i="30"/>
  <c r="D331" i="30"/>
  <c r="C341" i="30"/>
  <c r="G208" i="30"/>
  <c r="B320" i="30"/>
  <c r="F264" i="30"/>
  <c r="F299" i="30"/>
  <c r="F253" i="30"/>
  <c r="G30" i="30"/>
  <c r="D310" i="30"/>
  <c r="F174" i="30"/>
  <c r="E341" i="30"/>
  <c r="H323" i="30"/>
  <c r="B213" i="30"/>
  <c r="C352" i="30"/>
  <c r="H254" i="30"/>
  <c r="B160" i="30"/>
  <c r="D166" i="30"/>
  <c r="E257" i="30"/>
  <c r="F247" i="30"/>
  <c r="C266" i="30"/>
  <c r="B139" i="30"/>
  <c r="B60" i="30"/>
  <c r="H58" i="30"/>
  <c r="D126" i="30"/>
  <c r="E243" i="30"/>
  <c r="B247" i="30"/>
  <c r="C99" i="30"/>
  <c r="G50" i="30"/>
  <c r="E118" i="30"/>
  <c r="F330" i="30"/>
  <c r="D154" i="30"/>
  <c r="D246" i="30"/>
  <c r="B298" i="30"/>
  <c r="E328" i="30"/>
  <c r="H285" i="30"/>
  <c r="C279" i="30"/>
  <c r="C51" i="30"/>
  <c r="B284" i="30"/>
  <c r="F25" i="30"/>
  <c r="H131" i="30"/>
  <c r="C228" i="30"/>
  <c r="C167" i="30"/>
  <c r="B233" i="30"/>
  <c r="F12" i="30"/>
  <c r="H185" i="30"/>
  <c r="F43" i="30"/>
  <c r="G351" i="30"/>
  <c r="D322" i="30"/>
  <c r="F28" i="30"/>
  <c r="D34" i="30"/>
  <c r="G282" i="30"/>
  <c r="H253" i="30"/>
  <c r="E76" i="30"/>
  <c r="G149" i="30"/>
  <c r="G39" i="30"/>
  <c r="G17" i="30"/>
  <c r="H140" i="30"/>
  <c r="F298" i="30"/>
  <c r="H236" i="30"/>
  <c r="E70" i="30"/>
  <c r="B205" i="30"/>
  <c r="C18" i="30"/>
  <c r="B363" i="30"/>
  <c r="D49" i="30"/>
  <c r="C206" i="30"/>
  <c r="E141" i="30"/>
  <c r="G185" i="30"/>
  <c r="H347" i="30"/>
  <c r="F72" i="30"/>
  <c r="G66" i="30"/>
  <c r="H153" i="30"/>
  <c r="H49" i="30"/>
  <c r="E169" i="30"/>
  <c r="B28" i="30"/>
  <c r="G126" i="30"/>
  <c r="H125" i="30"/>
  <c r="H193" i="30"/>
  <c r="B98" i="30"/>
  <c r="C20" i="30"/>
  <c r="B304" i="30"/>
  <c r="C271" i="30"/>
  <c r="H210" i="30"/>
  <c r="E99" i="30"/>
  <c r="C185" i="30"/>
  <c r="C37" i="30"/>
  <c r="B16" i="30"/>
  <c r="C217" i="30"/>
  <c r="C98" i="30"/>
  <c r="D29" i="30"/>
  <c r="E367" i="30"/>
  <c r="F116" i="30"/>
  <c r="H87" i="30"/>
  <c r="F363" i="30"/>
  <c r="C40" i="30"/>
  <c r="C175" i="30"/>
  <c r="F230" i="30"/>
  <c r="C190" i="30"/>
  <c r="G321" i="30"/>
  <c r="G224" i="30"/>
  <c r="C327" i="30"/>
  <c r="C108" i="30"/>
  <c r="H251" i="30"/>
  <c r="D21" i="30"/>
  <c r="G70" i="30"/>
  <c r="G354" i="30"/>
  <c r="G15" i="30"/>
  <c r="G101" i="30"/>
  <c r="E283" i="30"/>
  <c r="B278" i="30"/>
  <c r="D101" i="30"/>
  <c r="G35" i="30"/>
  <c r="D24" i="30"/>
  <c r="B111" i="30"/>
  <c r="G192" i="30"/>
  <c r="F147" i="30"/>
  <c r="F162" i="30"/>
  <c r="G180" i="30"/>
  <c r="H200" i="30"/>
  <c r="C267" i="30"/>
  <c r="E39" i="30"/>
  <c r="E246" i="30"/>
  <c r="H242" i="30"/>
  <c r="D40" i="30"/>
  <c r="B71" i="30"/>
  <c r="B20" i="30"/>
  <c r="H39" i="30"/>
  <c r="B202" i="30"/>
  <c r="F228" i="30"/>
  <c r="D248" i="30"/>
  <c r="G54" i="30"/>
  <c r="F109" i="30"/>
  <c r="D61" i="30"/>
  <c r="E21" i="30"/>
  <c r="G145" i="30"/>
  <c r="H329" i="30"/>
  <c r="C281" i="30"/>
  <c r="E63" i="30"/>
  <c r="F136" i="30"/>
  <c r="D177" i="30"/>
  <c r="G256" i="30"/>
  <c r="B289" i="30"/>
  <c r="B295" i="30"/>
  <c r="B256" i="30"/>
  <c r="D252" i="30"/>
  <c r="H107" i="30"/>
  <c r="C229" i="30"/>
  <c r="E112" i="30"/>
  <c r="F139" i="30"/>
  <c r="E325" i="30"/>
  <c r="D203" i="30"/>
  <c r="F352" i="30"/>
  <c r="D315" i="30"/>
  <c r="H129" i="30"/>
  <c r="B231" i="30"/>
  <c r="F320" i="30"/>
  <c r="D95" i="30"/>
  <c r="D176" i="30"/>
  <c r="E218" i="30"/>
  <c r="E135" i="30"/>
  <c r="G319" i="30"/>
  <c r="E234" i="30"/>
  <c r="B29" i="30"/>
  <c r="G295" i="30"/>
  <c r="C105" i="30"/>
  <c r="E167" i="30"/>
  <c r="H21" i="30"/>
  <c r="D181" i="30"/>
  <c r="D251" i="30"/>
  <c r="F163" i="30"/>
  <c r="C211" i="30"/>
  <c r="C323" i="30"/>
  <c r="C170" i="30"/>
  <c r="F190" i="30"/>
  <c r="F131" i="30"/>
  <c r="H32" i="30"/>
  <c r="E207" i="30"/>
  <c r="B59" i="30"/>
  <c r="G16" i="30"/>
  <c r="H297" i="30"/>
  <c r="E30" i="30"/>
  <c r="C290" i="30"/>
  <c r="C362" i="30"/>
  <c r="F63" i="30"/>
  <c r="F108" i="30"/>
  <c r="H273" i="30"/>
  <c r="H150" i="30"/>
  <c r="C122" i="30"/>
  <c r="E170" i="30"/>
  <c r="C220" i="30"/>
  <c r="C204" i="30"/>
  <c r="E332" i="30"/>
  <c r="G280" i="30"/>
  <c r="G49" i="30"/>
  <c r="B152" i="30"/>
  <c r="G257" i="30"/>
  <c r="E146" i="30"/>
  <c r="C331" i="30"/>
  <c r="C297" i="30"/>
  <c r="B132" i="30"/>
  <c r="B67" i="30"/>
  <c r="B342" i="30"/>
  <c r="H362" i="30"/>
  <c r="E242" i="30"/>
  <c r="F288" i="30"/>
  <c r="E114" i="30"/>
  <c r="B345" i="30"/>
  <c r="D317" i="30"/>
  <c r="C135" i="30"/>
  <c r="G250" i="30"/>
  <c r="C357" i="30"/>
  <c r="E345" i="30"/>
  <c r="H224" i="30"/>
  <c r="H298" i="30"/>
  <c r="C148" i="30"/>
  <c r="H67" i="30"/>
  <c r="F368" i="30"/>
  <c r="C345" i="30"/>
  <c r="G14" i="30"/>
  <c r="C66" i="30"/>
  <c r="E131" i="30"/>
  <c r="H234" i="30"/>
  <c r="H282" i="30"/>
  <c r="E185" i="30"/>
  <c r="B200" i="30"/>
  <c r="H165" i="30"/>
  <c r="F44" i="30"/>
  <c r="D58" i="30"/>
  <c r="F19" i="30"/>
  <c r="C174" i="30"/>
  <c r="G86" i="30"/>
  <c r="H11" i="30"/>
  <c r="F215" i="30"/>
  <c r="H240" i="30"/>
  <c r="C247" i="30"/>
  <c r="F206" i="30"/>
  <c r="E20" i="30"/>
  <c r="C131" i="30"/>
  <c r="C367" i="30"/>
  <c r="F332" i="30"/>
  <c r="B225" i="30"/>
  <c r="E46" i="30"/>
  <c r="G116" i="30"/>
  <c r="F198" i="30"/>
  <c r="C85" i="30"/>
  <c r="E319" i="30"/>
  <c r="D228" i="30"/>
  <c r="F142" i="30"/>
  <c r="C205" i="30"/>
  <c r="E84" i="30"/>
  <c r="B165" i="30"/>
  <c r="G234" i="30"/>
  <c r="H292" i="30"/>
  <c r="B242" i="30"/>
  <c r="F171" i="30"/>
  <c r="B114" i="30"/>
  <c r="E190" i="30"/>
  <c r="B199" i="30"/>
  <c r="E11" i="30"/>
  <c r="F294" i="30"/>
  <c r="G314" i="30"/>
  <c r="D162" i="30"/>
  <c r="H26" i="30"/>
  <c r="H122" i="30"/>
  <c r="H330" i="30"/>
  <c r="D121" i="30"/>
  <c r="H167" i="30"/>
  <c r="C302" i="30"/>
  <c r="C112" i="30"/>
  <c r="G247" i="30"/>
  <c r="H316" i="30"/>
  <c r="F160" i="30"/>
  <c r="E194" i="30"/>
  <c r="D127" i="30"/>
  <c r="H104" i="30"/>
  <c r="E292" i="30"/>
  <c r="H324" i="30"/>
  <c r="C353" i="30"/>
  <c r="F285" i="30"/>
  <c r="F180" i="30"/>
  <c r="D33" i="30"/>
  <c r="F164" i="30"/>
  <c r="E225" i="30"/>
  <c r="B151" i="30"/>
  <c r="E183" i="30"/>
  <c r="C194" i="30"/>
  <c r="B55" i="30"/>
  <c r="C54" i="30"/>
  <c r="B12" i="30"/>
  <c r="G288" i="30"/>
  <c r="F112" i="30"/>
  <c r="G45" i="30"/>
  <c r="E88" i="30"/>
  <c r="G320" i="30"/>
  <c r="F290" i="30"/>
  <c r="G168" i="30"/>
  <c r="B296" i="30"/>
  <c r="C160" i="30"/>
  <c r="C103" i="30"/>
  <c r="E265" i="30"/>
  <c r="B203" i="30"/>
  <c r="B131" i="30"/>
  <c r="F83" i="30"/>
  <c r="D169" i="30"/>
  <c r="E340" i="30"/>
  <c r="E237" i="30"/>
  <c r="B349" i="30"/>
  <c r="D215" i="30"/>
  <c r="D149" i="30"/>
  <c r="F184" i="30"/>
  <c r="G187" i="30"/>
  <c r="F258" i="30"/>
  <c r="E35" i="30"/>
  <c r="F120" i="30"/>
  <c r="B136" i="30"/>
  <c r="E87" i="30"/>
  <c r="H133" i="30"/>
  <c r="F14" i="30"/>
  <c r="H353" i="30"/>
  <c r="H160" i="30"/>
  <c r="G131" i="30"/>
  <c r="G100" i="30"/>
  <c r="H130" i="30"/>
  <c r="B97" i="30"/>
  <c r="B302" i="30"/>
  <c r="C321" i="30"/>
  <c r="D192" i="30"/>
  <c r="D27" i="30"/>
  <c r="H72" i="30"/>
  <c r="D145" i="30"/>
  <c r="C12" i="30"/>
  <c r="E91" i="30"/>
  <c r="C294" i="30"/>
  <c r="G129" i="30"/>
  <c r="B18" i="30"/>
  <c r="G175" i="30"/>
  <c r="E128" i="30"/>
  <c r="C57" i="30"/>
  <c r="G183" i="30"/>
  <c r="H50" i="30"/>
  <c r="H294" i="30"/>
  <c r="D214" i="30"/>
  <c r="H226" i="30"/>
  <c r="E347" i="30"/>
  <c r="F241" i="30"/>
  <c r="F268" i="30"/>
  <c r="F252" i="30"/>
  <c r="E355" i="30"/>
  <c r="F56" i="30"/>
  <c r="F94" i="30"/>
  <c r="G92" i="30"/>
  <c r="H220" i="30"/>
  <c r="E251" i="30"/>
  <c r="E322" i="30"/>
  <c r="E161" i="30"/>
  <c r="H312" i="30"/>
  <c r="D346" i="30"/>
  <c r="H142" i="30"/>
  <c r="D217" i="30"/>
  <c r="H95" i="30"/>
  <c r="E89" i="30"/>
  <c r="G19" i="30"/>
  <c r="E293" i="30"/>
  <c r="H105" i="30"/>
  <c r="H206" i="30"/>
  <c r="B303" i="30"/>
  <c r="E65" i="30"/>
  <c r="H207" i="30"/>
  <c r="H225" i="30"/>
  <c r="B27" i="30"/>
  <c r="F98" i="30"/>
  <c r="E51" i="30"/>
  <c r="G299" i="30"/>
  <c r="C92" i="30"/>
  <c r="H12" i="30"/>
  <c r="C305" i="30"/>
  <c r="F261" i="30"/>
  <c r="D281" i="30"/>
  <c r="C282" i="30"/>
  <c r="E151" i="30"/>
  <c r="F46" i="30"/>
  <c r="B260" i="30"/>
  <c r="G78" i="30"/>
  <c r="G205" i="30"/>
  <c r="B191" i="30"/>
  <c r="H248" i="30"/>
  <c r="C117" i="30"/>
  <c r="D239" i="30"/>
  <c r="E245" i="30"/>
  <c r="E17" i="30"/>
  <c r="E275" i="30"/>
  <c r="B34" i="30"/>
  <c r="G125" i="30"/>
  <c r="G342" i="30"/>
  <c r="E259" i="30"/>
  <c r="C45" i="30"/>
  <c r="D233" i="30"/>
  <c r="H121" i="30"/>
  <c r="D199" i="30"/>
  <c r="D259" i="30"/>
  <c r="C340" i="30"/>
  <c r="H262" i="30"/>
  <c r="B234" i="30"/>
  <c r="C311" i="30"/>
  <c r="C212" i="30"/>
  <c r="D368" i="30"/>
  <c r="H119" i="30"/>
  <c r="F267" i="30"/>
  <c r="C154" i="30"/>
  <c r="C21" i="30"/>
  <c r="F238" i="30"/>
  <c r="D324" i="30"/>
  <c r="H177" i="30"/>
  <c r="D80" i="30"/>
  <c r="D275" i="30"/>
  <c r="C142" i="30"/>
  <c r="E36" i="30"/>
  <c r="D69" i="30"/>
  <c r="F22" i="30"/>
  <c r="G58" i="30"/>
  <c r="B93" i="30"/>
  <c r="G333" i="30"/>
  <c r="D84" i="30"/>
  <c r="D132" i="30"/>
  <c r="B81" i="30"/>
  <c r="F49" i="30"/>
  <c r="E119" i="30"/>
  <c r="C70" i="30"/>
  <c r="G177" i="30"/>
  <c r="F97" i="30"/>
  <c r="D336" i="30"/>
  <c r="H126" i="30"/>
  <c r="C243" i="30"/>
  <c r="E152" i="30"/>
  <c r="D367" i="30"/>
  <c r="F20" i="30"/>
  <c r="H230" i="30"/>
  <c r="C312" i="30"/>
  <c r="F111" i="30"/>
  <c r="F99" i="30"/>
  <c r="B261" i="30"/>
  <c r="H342" i="30"/>
  <c r="C356" i="30"/>
  <c r="B361" i="30"/>
  <c r="E24" i="30"/>
  <c r="G204" i="30"/>
  <c r="F36" i="30"/>
  <c r="C38" i="30"/>
  <c r="H258" i="30"/>
  <c r="E14" i="30"/>
  <c r="D343" i="30"/>
  <c r="F88" i="30"/>
  <c r="G305" i="30"/>
  <c r="E274" i="30"/>
  <c r="G31" i="30"/>
  <c r="G76" i="30"/>
  <c r="C285" i="30"/>
  <c r="C176" i="30"/>
  <c r="H194" i="30"/>
  <c r="D300" i="30"/>
  <c r="C101" i="30"/>
  <c r="F355" i="30"/>
  <c r="G362" i="30"/>
  <c r="D152" i="30"/>
  <c r="F249" i="30"/>
  <c r="B329" i="30"/>
  <c r="E164" i="30"/>
  <c r="D272" i="30"/>
  <c r="G94" i="30"/>
  <c r="B140" i="30"/>
  <c r="F104" i="30"/>
  <c r="B128" i="30"/>
  <c r="F73" i="30"/>
  <c r="D191" i="30"/>
  <c r="D329" i="30"/>
  <c r="B10" i="30"/>
  <c r="H219" i="30"/>
  <c r="G277" i="30"/>
  <c r="F197" i="30"/>
  <c r="C227" i="30"/>
  <c r="F161" i="30"/>
  <c r="G289" i="30"/>
  <c r="G118" i="30"/>
  <c r="B323" i="30"/>
  <c r="G46" i="30"/>
  <c r="D210" i="30"/>
  <c r="G88" i="30"/>
  <c r="F39" i="30"/>
  <c r="H339" i="30"/>
  <c r="F172" i="30"/>
  <c r="G41" i="30"/>
  <c r="F222" i="30"/>
  <c r="G356" i="30"/>
  <c r="E217" i="30"/>
  <c r="E12" i="30"/>
  <c r="D119" i="30"/>
  <c r="F224" i="30"/>
  <c r="E364" i="30"/>
  <c r="G221" i="30"/>
  <c r="C143" i="30"/>
  <c r="H260" i="30"/>
  <c r="H36" i="30"/>
  <c r="F75" i="30"/>
  <c r="D156" i="30"/>
  <c r="G218" i="30"/>
  <c r="H166" i="30"/>
  <c r="B238" i="30"/>
  <c r="E307" i="30"/>
  <c r="C121" i="30"/>
  <c r="E205" i="30"/>
  <c r="C84" i="30"/>
  <c r="H24" i="30"/>
  <c r="B232" i="30"/>
  <c r="B49" i="30"/>
  <c r="G42" i="30"/>
  <c r="H88" i="30"/>
  <c r="B177" i="30"/>
  <c r="D15" i="30"/>
  <c r="H144" i="30"/>
  <c r="E109" i="30"/>
  <c r="B108" i="30"/>
  <c r="B198" i="30"/>
  <c r="H20" i="30"/>
  <c r="B146" i="30"/>
  <c r="H79" i="30"/>
  <c r="G258" i="30"/>
  <c r="G154" i="30"/>
  <c r="B103" i="30"/>
  <c r="F29" i="30"/>
  <c r="D109" i="30"/>
  <c r="G104" i="30"/>
  <c r="H199" i="30"/>
  <c r="E299" i="30"/>
  <c r="H27" i="30"/>
  <c r="C90" i="30"/>
  <c r="F60" i="30"/>
  <c r="B63" i="30"/>
  <c r="H65" i="30"/>
  <c r="H98" i="30"/>
  <c r="G67" i="30"/>
  <c r="B184" i="30"/>
  <c r="D254" i="30"/>
  <c r="G334" i="30"/>
  <c r="G267" i="30"/>
  <c r="E342" i="30"/>
  <c r="E188" i="30"/>
  <c r="C134" i="30"/>
  <c r="H41" i="30"/>
  <c r="F260" i="30"/>
  <c r="B269" i="30"/>
  <c r="G167" i="30"/>
  <c r="D74" i="30"/>
  <c r="H195" i="30"/>
  <c r="B317" i="30"/>
  <c r="F209" i="30"/>
  <c r="F356" i="30"/>
  <c r="B79" i="30"/>
  <c r="E323" i="30"/>
  <c r="B95" i="30"/>
  <c r="H257" i="30"/>
  <c r="B310" i="30"/>
  <c r="F13" i="30"/>
  <c r="E309" i="30"/>
  <c r="G144" i="30"/>
  <c r="F254" i="30"/>
  <c r="B110" i="30"/>
  <c r="D147" i="30"/>
  <c r="F32" i="30"/>
  <c r="E153" i="30"/>
  <c r="F348" i="30"/>
  <c r="H40" i="30"/>
  <c r="G65" i="30"/>
  <c r="E168" i="30"/>
  <c r="C95" i="30"/>
  <c r="F80" i="30"/>
  <c r="D65" i="30"/>
  <c r="B56" i="30"/>
  <c r="E338" i="30"/>
  <c r="C234" i="30"/>
  <c r="C137" i="30"/>
  <c r="H222" i="30"/>
  <c r="H223" i="30"/>
  <c r="H134" i="30"/>
  <c r="F85" i="30"/>
  <c r="G77" i="30"/>
  <c r="H73" i="30"/>
  <c r="F195" i="30"/>
  <c r="F124" i="30"/>
  <c r="D148" i="30"/>
  <c r="C150" i="30"/>
  <c r="B222" i="30"/>
  <c r="F129" i="30"/>
  <c r="E104" i="30"/>
  <c r="B148" i="30"/>
  <c r="B224" i="30"/>
  <c r="H139" i="30"/>
  <c r="F291" i="30"/>
  <c r="E318" i="30"/>
  <c r="C60" i="30"/>
  <c r="B171" i="30"/>
  <c r="C320" i="30"/>
  <c r="D125" i="30"/>
  <c r="D39" i="30"/>
  <c r="H280" i="30"/>
  <c r="B194" i="30"/>
  <c r="D26" i="30"/>
  <c r="C165" i="30"/>
  <c r="G212" i="30"/>
  <c r="D330" i="30"/>
  <c r="B82" i="30"/>
  <c r="D43" i="30"/>
  <c r="G33" i="30"/>
  <c r="G98" i="30"/>
  <c r="C130" i="30"/>
  <c r="D195" i="30"/>
  <c r="G244" i="30"/>
  <c r="D83" i="30"/>
  <c r="F339" i="30"/>
  <c r="D265" i="30"/>
  <c r="B332" i="30"/>
  <c r="F331" i="30"/>
  <c r="D278" i="30"/>
  <c r="E116" i="30"/>
  <c r="C146" i="30"/>
  <c r="H59" i="30"/>
  <c r="B211" i="30"/>
  <c r="C233" i="30"/>
  <c r="F145" i="30"/>
  <c r="B134" i="30"/>
  <c r="F203" i="30"/>
  <c r="H110" i="30"/>
  <c r="E177" i="30"/>
  <c r="G79" i="30"/>
  <c r="B135" i="30"/>
  <c r="E40" i="30"/>
  <c r="D352" i="30"/>
  <c r="E306" i="30"/>
  <c r="B143" i="30"/>
  <c r="D17" i="30"/>
  <c r="B106" i="30"/>
  <c r="F244" i="30"/>
  <c r="F236" i="30"/>
  <c r="H204" i="30"/>
  <c r="B227" i="30"/>
  <c r="E171" i="30"/>
  <c r="E310" i="30"/>
  <c r="C96" i="30"/>
  <c r="H69" i="30"/>
  <c r="F361" i="30"/>
  <c r="H99" i="30"/>
  <c r="C255" i="30"/>
  <c r="B283" i="30"/>
  <c r="G114" i="30"/>
  <c r="G18" i="30"/>
  <c r="B83" i="30"/>
  <c r="H288" i="30"/>
  <c r="B252" i="30"/>
  <c r="H241" i="30"/>
  <c r="C102" i="30"/>
  <c r="G115" i="30"/>
  <c r="H227" i="30"/>
  <c r="D286" i="30"/>
  <c r="E200" i="30"/>
  <c r="H249" i="30"/>
  <c r="H218" i="30"/>
  <c r="C334" i="30"/>
  <c r="G22" i="30"/>
  <c r="F289" i="30"/>
  <c r="D219" i="30"/>
  <c r="B321" i="30"/>
  <c r="G135" i="30"/>
  <c r="G203" i="30"/>
  <c r="D327" i="30"/>
  <c r="F35" i="30"/>
  <c r="C81" i="30"/>
  <c r="H244" i="30"/>
  <c r="E139" i="30"/>
  <c r="F292" i="30"/>
  <c r="D229" i="30"/>
  <c r="F354" i="30"/>
  <c r="F183" i="30"/>
  <c r="D75" i="30"/>
  <c r="E224" i="30"/>
  <c r="F316" i="30"/>
  <c r="E208" i="30"/>
  <c r="B26" i="30"/>
  <c r="C123" i="30"/>
  <c r="F246" i="30"/>
  <c r="H291" i="30"/>
  <c r="H232" i="30"/>
  <c r="C274" i="30"/>
  <c r="B92" i="30"/>
  <c r="G213" i="30"/>
  <c r="D294" i="30"/>
  <c r="F187" i="30"/>
  <c r="H364" i="30"/>
  <c r="B221" i="30"/>
  <c r="B116" i="30"/>
  <c r="F62" i="30"/>
  <c r="D178" i="30"/>
  <c r="E62" i="30"/>
  <c r="H310" i="30"/>
  <c r="H235" i="30"/>
  <c r="B240" i="30"/>
  <c r="C63" i="30"/>
  <c r="C262" i="30"/>
  <c r="G84" i="30"/>
  <c r="E211" i="30"/>
  <c r="D253" i="30"/>
  <c r="B195" i="30"/>
  <c r="B330" i="30"/>
  <c r="B118" i="30"/>
  <c r="B228" i="30"/>
  <c r="E298" i="30"/>
  <c r="B206" i="30"/>
  <c r="B358" i="30"/>
  <c r="D50" i="30"/>
  <c r="E100" i="30"/>
  <c r="G201" i="30"/>
  <c r="F135" i="30"/>
  <c r="E34" i="30"/>
  <c r="F284" i="30"/>
  <c r="G251" i="30"/>
  <c r="B241" i="30"/>
  <c r="F122" i="30"/>
  <c r="C239" i="30"/>
  <c r="D307" i="30"/>
  <c r="F220" i="30"/>
  <c r="E81" i="30"/>
  <c r="D353" i="30"/>
  <c r="C350" i="30"/>
  <c r="C289" i="30"/>
  <c r="D283" i="30"/>
  <c r="D256" i="30"/>
  <c r="C69" i="30"/>
  <c r="E369" i="30"/>
  <c r="G189" i="30"/>
  <c r="E166" i="30"/>
  <c r="F168" i="30"/>
  <c r="B300" i="30"/>
  <c r="E165" i="30"/>
  <c r="D303" i="30"/>
  <c r="F192" i="30"/>
  <c r="G352" i="30"/>
  <c r="F61" i="30"/>
  <c r="F302" i="30"/>
  <c r="F182" i="30"/>
  <c r="E357" i="30"/>
  <c r="E297" i="30"/>
  <c r="C48" i="30"/>
  <c r="C31" i="30"/>
  <c r="B236" i="30"/>
  <c r="B336" i="30"/>
  <c r="C300" i="30"/>
  <c r="B155" i="30"/>
  <c r="F239" i="30"/>
  <c r="C184" i="30"/>
  <c r="C82" i="30"/>
  <c r="D107" i="30"/>
  <c r="E19" i="30"/>
  <c r="E32" i="30"/>
  <c r="F272" i="30"/>
  <c r="F343" i="30"/>
  <c r="F42" i="30"/>
  <c r="C87" i="30"/>
  <c r="E56" i="30"/>
  <c r="F69" i="30"/>
  <c r="H198" i="30"/>
  <c r="H245" i="30"/>
  <c r="H338" i="30"/>
  <c r="C248" i="30"/>
  <c r="D349" i="30"/>
  <c r="F31" i="30"/>
  <c r="B273" i="30"/>
  <c r="B50" i="30"/>
  <c r="C186" i="30"/>
  <c r="C140" i="30"/>
  <c r="B175" i="30"/>
  <c r="E125" i="30"/>
  <c r="D258" i="30"/>
  <c r="G269" i="30"/>
  <c r="E284" i="30"/>
  <c r="F34" i="30"/>
  <c r="G62" i="30"/>
  <c r="E240" i="30"/>
  <c r="F87" i="30"/>
  <c r="G155" i="30"/>
  <c r="G20" i="30"/>
  <c r="G99" i="30"/>
  <c r="F165" i="30"/>
  <c r="G283" i="30"/>
  <c r="D120" i="30"/>
  <c r="D312" i="30"/>
  <c r="G112" i="30"/>
  <c r="C113" i="30"/>
  <c r="C222" i="30"/>
  <c r="C200" i="30"/>
  <c r="F176" i="30"/>
  <c r="D323" i="30"/>
  <c r="G296" i="30"/>
  <c r="E59" i="30"/>
  <c r="D197" i="30"/>
  <c r="G230" i="30"/>
  <c r="G326" i="30"/>
  <c r="B262" i="30"/>
  <c r="H10" i="30"/>
  <c r="B183" i="30"/>
  <c r="H64" i="30"/>
  <c r="C50" i="30"/>
  <c r="D271" i="30"/>
  <c r="H289" i="30"/>
  <c r="G170" i="30"/>
  <c r="D340" i="30"/>
  <c r="C58" i="30"/>
  <c r="F107" i="30"/>
  <c r="D129" i="30"/>
  <c r="B359" i="30"/>
  <c r="H149" i="30"/>
  <c r="B145" i="30"/>
  <c r="B305" i="30"/>
  <c r="H31" i="30"/>
  <c r="F68" i="30"/>
  <c r="G47" i="30"/>
  <c r="D123" i="30"/>
  <c r="B368" i="30"/>
  <c r="G275" i="30"/>
  <c r="H343" i="30"/>
  <c r="F362" i="30"/>
  <c r="C151" i="30"/>
  <c r="F121" i="30"/>
  <c r="B223" i="30"/>
  <c r="F146" i="30"/>
  <c r="B69" i="30"/>
  <c r="E282" i="30"/>
  <c r="B153" i="30"/>
  <c r="C183" i="30"/>
  <c r="H175" i="30"/>
  <c r="G181" i="30"/>
  <c r="D90" i="30"/>
  <c r="D85" i="30"/>
  <c r="G273" i="30"/>
  <c r="B142" i="30"/>
  <c r="G36" i="30"/>
  <c r="B259" i="30"/>
  <c r="F144" i="30"/>
  <c r="B343" i="30"/>
  <c r="G26" i="30"/>
  <c r="G110" i="30"/>
  <c r="C88" i="30"/>
  <c r="G146" i="30"/>
  <c r="C64" i="30"/>
  <c r="G176" i="30"/>
  <c r="B51" i="30"/>
  <c r="C41" i="30"/>
  <c r="E204" i="30"/>
  <c r="G264" i="30"/>
  <c r="H118" i="30"/>
  <c r="C136" i="30"/>
  <c r="F324" i="30"/>
  <c r="D356" i="30"/>
  <c r="H18" i="30"/>
  <c r="F37" i="30"/>
  <c r="B335" i="30"/>
  <c r="B30" i="30"/>
  <c r="F336" i="30"/>
  <c r="F151" i="30"/>
  <c r="G186" i="30"/>
  <c r="H151" i="30"/>
  <c r="G11" i="30"/>
  <c r="B364" i="30"/>
  <c r="E244" i="30"/>
  <c r="E356" i="30"/>
  <c r="D25" i="30"/>
  <c r="D60" i="30"/>
  <c r="D175" i="30"/>
  <c r="E107" i="30"/>
  <c r="H325" i="30"/>
  <c r="F173" i="30"/>
  <c r="E296" i="30"/>
  <c r="D188" i="30"/>
  <c r="B164" i="30"/>
  <c r="B166" i="30"/>
  <c r="E102" i="30"/>
  <c r="D59" i="30"/>
  <c r="B129" i="30"/>
  <c r="B357" i="30"/>
  <c r="E193" i="30"/>
  <c r="D292" i="30"/>
  <c r="G13" i="30"/>
  <c r="F189" i="30"/>
  <c r="G200" i="30"/>
  <c r="F143" i="30"/>
  <c r="D241" i="30"/>
  <c r="C52" i="30"/>
  <c r="C235" i="30"/>
  <c r="D23" i="30"/>
  <c r="G306" i="30"/>
  <c r="H313" i="30"/>
  <c r="H363" i="30"/>
  <c r="B80" i="30"/>
  <c r="E173" i="30"/>
  <c r="E53" i="30"/>
  <c r="C337" i="30"/>
  <c r="D48" i="30"/>
  <c r="G73" i="30"/>
  <c r="D208" i="30"/>
  <c r="H346" i="30"/>
  <c r="F159" i="30"/>
  <c r="G272" i="30"/>
  <c r="B287" i="30"/>
  <c r="C260" i="30"/>
  <c r="B124" i="30"/>
  <c r="C315" i="30"/>
  <c r="H109" i="30"/>
  <c r="H340" i="30"/>
  <c r="H188" i="30"/>
  <c r="C115" i="30"/>
  <c r="F202" i="30"/>
  <c r="E92" i="30"/>
  <c r="C104" i="30"/>
  <c r="B293" i="30"/>
  <c r="H182" i="30"/>
  <c r="G363" i="30"/>
  <c r="D270" i="30"/>
  <c r="D93" i="30"/>
  <c r="G309" i="30"/>
  <c r="F41" i="30"/>
  <c r="G132" i="30"/>
  <c r="D42" i="30"/>
  <c r="B266" i="30"/>
  <c r="H171" i="30"/>
  <c r="C272" i="30"/>
  <c r="D293" i="30"/>
  <c r="E235" i="30"/>
  <c r="D10" i="30"/>
  <c r="E49" i="30"/>
  <c r="E229" i="30"/>
  <c r="D320" i="30"/>
  <c r="E61" i="30"/>
  <c r="C182" i="30"/>
  <c r="E43" i="30"/>
  <c r="B337" i="30"/>
  <c r="H229" i="30"/>
  <c r="F245" i="30"/>
  <c r="G254" i="30"/>
  <c r="B40" i="30"/>
  <c r="D257" i="30"/>
  <c r="H267" i="30"/>
  <c r="E305" i="30"/>
  <c r="G32" i="30"/>
  <c r="C355" i="30"/>
  <c r="C359" i="30"/>
  <c r="H124" i="30"/>
  <c r="B248" i="30"/>
  <c r="F270" i="30"/>
  <c r="E209" i="30"/>
  <c r="E315" i="30"/>
  <c r="B318" i="30"/>
  <c r="E97" i="30"/>
  <c r="E126" i="30"/>
  <c r="C245" i="30"/>
  <c r="E23" i="30"/>
  <c r="D22" i="30"/>
  <c r="H243" i="30"/>
  <c r="D196" i="30"/>
  <c r="B179" i="30"/>
  <c r="G43" i="30"/>
  <c r="C309" i="30"/>
  <c r="D53" i="30"/>
  <c r="E147" i="30"/>
  <c r="D76" i="30"/>
  <c r="F152" i="30"/>
  <c r="G304" i="30"/>
  <c r="G25" i="30"/>
  <c r="H250" i="30"/>
  <c r="C329" i="30"/>
  <c r="D263" i="30"/>
  <c r="H215" i="30"/>
  <c r="E31" i="30"/>
  <c r="B78" i="30"/>
  <c r="E256" i="30"/>
  <c r="C109" i="30"/>
  <c r="F349" i="30"/>
  <c r="G172" i="30"/>
  <c r="G346" i="30"/>
  <c r="G57" i="30"/>
  <c r="F321" i="30"/>
  <c r="F325" i="30"/>
  <c r="F93" i="30"/>
  <c r="G60" i="30"/>
  <c r="B130" i="30"/>
  <c r="H189" i="30"/>
  <c r="C71" i="30"/>
  <c r="G80" i="30"/>
  <c r="E68" i="30"/>
  <c r="G206" i="30"/>
  <c r="G239" i="30"/>
  <c r="C124" i="30"/>
  <c r="F323" i="30"/>
  <c r="D212" i="30"/>
  <c r="C36" i="30"/>
  <c r="H350" i="30"/>
  <c r="C67" i="30"/>
  <c r="D79" i="30"/>
  <c r="D244" i="30"/>
  <c r="H136" i="30"/>
  <c r="H202" i="30"/>
  <c r="E85" i="30"/>
  <c r="F196" i="30"/>
  <c r="H33" i="30"/>
  <c r="G263" i="30"/>
  <c r="F205" i="30"/>
  <c r="F123" i="30"/>
  <c r="D157" i="30"/>
  <c r="F185" i="30"/>
  <c r="H264" i="30"/>
  <c r="D290" i="30"/>
  <c r="F71" i="30"/>
  <c r="C173" i="30"/>
  <c r="G292" i="30"/>
  <c r="C172" i="30"/>
  <c r="C162" i="30"/>
  <c r="D240" i="30"/>
  <c r="B70" i="30"/>
  <c r="C161" i="30"/>
  <c r="G340" i="30"/>
  <c r="F231" i="30"/>
  <c r="C197" i="30"/>
  <c r="H333" i="30"/>
  <c r="F350" i="30"/>
  <c r="H169" i="30"/>
  <c r="F277" i="30"/>
  <c r="E301" i="30"/>
  <c r="C293" i="30"/>
  <c r="C225" i="30"/>
  <c r="F133" i="30"/>
  <c r="H53" i="30"/>
  <c r="C273" i="30"/>
  <c r="B100" i="30"/>
  <c r="F279" i="30"/>
  <c r="F317" i="30"/>
  <c r="H314" i="30"/>
  <c r="H302" i="30"/>
  <c r="H278" i="30"/>
  <c r="G353" i="30"/>
  <c r="B282" i="30"/>
  <c r="G266" i="30"/>
  <c r="H279" i="30"/>
  <c r="F66" i="30"/>
  <c r="H176" i="30"/>
  <c r="F300" i="30"/>
  <c r="D14" i="30"/>
  <c r="H345" i="30"/>
  <c r="G308" i="30"/>
  <c r="C128" i="30"/>
  <c r="B102" i="30"/>
  <c r="H132" i="30"/>
  <c r="B204" i="30"/>
  <c r="C264" i="30"/>
  <c r="F54" i="30"/>
  <c r="D106" i="30"/>
  <c r="D105" i="30"/>
  <c r="D160" i="30"/>
  <c r="G174" i="30"/>
  <c r="H231" i="30"/>
  <c r="E174" i="30"/>
  <c r="H348" i="30"/>
  <c r="B181" i="30"/>
  <c r="E136" i="30"/>
  <c r="E271" i="30"/>
  <c r="B220" i="30"/>
  <c r="C265" i="30"/>
  <c r="H296" i="30"/>
  <c r="B11" i="30"/>
  <c r="H94" i="30"/>
  <c r="B36" i="30"/>
  <c r="F191" i="30"/>
  <c r="E196" i="30"/>
  <c r="D289" i="30"/>
  <c r="E228" i="30"/>
  <c r="B207" i="30"/>
  <c r="F125" i="30"/>
  <c r="F278" i="30"/>
  <c r="H17" i="30"/>
  <c r="D135" i="30"/>
  <c r="B121" i="30"/>
  <c r="D344" i="30"/>
  <c r="C55" i="30"/>
  <c r="B187" i="30"/>
  <c r="D266" i="30"/>
  <c r="D242" i="30"/>
  <c r="D351" i="30"/>
  <c r="H358" i="30"/>
  <c r="C80" i="30"/>
  <c r="G134" i="30"/>
  <c r="C269" i="30"/>
  <c r="B87" i="30"/>
  <c r="B38" i="30"/>
  <c r="G124" i="30"/>
  <c r="C30" i="30"/>
  <c r="H16" i="30"/>
  <c r="H96" i="30"/>
  <c r="E327" i="30"/>
  <c r="C268" i="30"/>
  <c r="G243" i="30"/>
  <c r="C34" i="30"/>
  <c r="B294" i="30"/>
  <c r="E300" i="30"/>
  <c r="C342" i="30"/>
  <c r="C369" i="30"/>
  <c r="H135" i="30"/>
  <c r="G270" i="30"/>
  <c r="D170" i="30"/>
  <c r="H100" i="30"/>
  <c r="D190" i="30"/>
  <c r="G162" i="30"/>
  <c r="H214" i="30"/>
  <c r="D67" i="30"/>
  <c r="B168" i="30"/>
  <c r="H266" i="30"/>
  <c r="C127" i="30"/>
  <c r="F293" i="30"/>
  <c r="B90" i="30"/>
  <c r="B58" i="30"/>
  <c r="H52" i="30"/>
  <c r="D20" i="30"/>
  <c r="B217" i="30"/>
  <c r="E82" i="30"/>
  <c r="H265" i="30"/>
  <c r="H275" i="30"/>
  <c r="D72" i="30"/>
  <c r="G260" i="30"/>
  <c r="F52" i="30"/>
  <c r="E304" i="30"/>
  <c r="G265" i="30"/>
  <c r="G198" i="30"/>
  <c r="F141" i="30"/>
  <c r="B86" i="30"/>
  <c r="D114" i="30"/>
  <c r="C152" i="30"/>
  <c r="E50" i="30"/>
  <c r="D62" i="30"/>
  <c r="G348" i="30"/>
  <c r="G211" i="30"/>
  <c r="D227" i="30"/>
  <c r="G93" i="30"/>
  <c r="E189" i="30"/>
  <c r="C280" i="30"/>
  <c r="F340" i="30"/>
  <c r="E255" i="30"/>
  <c r="B41" i="30"/>
  <c r="H172" i="30"/>
  <c r="H277" i="30"/>
  <c r="B44" i="30"/>
  <c r="D92" i="30"/>
  <c r="E361" i="30"/>
  <c r="G96" i="30"/>
  <c r="B193" i="30"/>
  <c r="G105" i="30"/>
  <c r="C22" i="30"/>
  <c r="C119" i="30"/>
  <c r="H252" i="30"/>
  <c r="G274" i="30"/>
  <c r="D225" i="30"/>
  <c r="H113" i="30"/>
  <c r="F64" i="30"/>
  <c r="D269" i="30"/>
  <c r="B75" i="30"/>
  <c r="F40" i="30"/>
  <c r="E158" i="30"/>
  <c r="C263" i="30"/>
  <c r="E230" i="30"/>
  <c r="G367" i="30"/>
  <c r="G316" i="30"/>
  <c r="H361" i="30"/>
  <c r="G178" i="30"/>
  <c r="F45" i="30"/>
  <c r="H38" i="30"/>
  <c r="F101" i="30"/>
  <c r="B362" i="30"/>
  <c r="D172" i="30"/>
  <c r="F341" i="30"/>
  <c r="E254" i="30"/>
  <c r="C344" i="30"/>
  <c r="D102" i="30"/>
  <c r="B360" i="30"/>
  <c r="E267" i="30"/>
  <c r="C210" i="30"/>
  <c r="D232" i="30"/>
  <c r="C319" i="30"/>
  <c r="G169" i="30"/>
  <c r="D313" i="30"/>
  <c r="G344" i="30"/>
  <c r="B144" i="30"/>
  <c r="E181" i="30"/>
  <c r="E290" i="30"/>
  <c r="E144" i="30"/>
  <c r="H154" i="30"/>
  <c r="D360" i="30"/>
  <c r="F106" i="30"/>
  <c r="G159" i="30"/>
  <c r="B314" i="30"/>
  <c r="F287" i="30"/>
  <c r="D339" i="30"/>
  <c r="H221" i="30"/>
  <c r="C10" i="30"/>
  <c r="C330" i="30"/>
  <c r="G349" i="30"/>
  <c r="G157" i="30"/>
  <c r="C178" i="30"/>
  <c r="D124" i="30"/>
  <c r="D268" i="30"/>
  <c r="D223" i="30"/>
  <c r="H43" i="30"/>
  <c r="D359" i="30"/>
  <c r="H13" i="30"/>
  <c r="F360" i="30"/>
  <c r="B17" i="30"/>
  <c r="H181" i="30"/>
  <c r="B46" i="30"/>
  <c r="D31" i="30"/>
  <c r="G242" i="30"/>
  <c r="B32" i="30"/>
  <c r="D361" i="30"/>
  <c r="B109" i="30"/>
  <c r="H19" i="30"/>
  <c r="C213" i="30"/>
  <c r="E27" i="30"/>
  <c r="E321" i="30"/>
  <c r="G91" i="30"/>
  <c r="H111" i="30"/>
  <c r="E29" i="30"/>
  <c r="G10" i="30"/>
  <c r="D326" i="30"/>
  <c r="C73" i="30"/>
  <c r="F140" i="30"/>
  <c r="F312" i="30"/>
  <c r="G287" i="30"/>
  <c r="H303" i="30"/>
  <c r="D264" i="30"/>
  <c r="D131" i="30"/>
  <c r="G237" i="30"/>
  <c r="H308" i="30"/>
  <c r="F103" i="30"/>
  <c r="C317" i="30"/>
  <c r="H97" i="30"/>
  <c r="H174" i="30"/>
  <c r="F212" i="30"/>
  <c r="E260" i="30"/>
  <c r="E38" i="30"/>
  <c r="E311" i="30"/>
  <c r="D193" i="30"/>
  <c r="H281" i="30"/>
  <c r="G276" i="30"/>
  <c r="D180" i="30"/>
  <c r="G271" i="30"/>
  <c r="C250" i="30"/>
  <c r="E175" i="30"/>
  <c r="G151" i="30"/>
  <c r="F16" i="30"/>
  <c r="G148" i="30"/>
  <c r="H56" i="30"/>
  <c r="G103" i="30"/>
  <c r="D16" i="30"/>
  <c r="C16" i="30"/>
  <c r="C110" i="30"/>
  <c r="F282" i="30"/>
  <c r="G233" i="30"/>
  <c r="C295" i="30"/>
  <c r="F283" i="30"/>
  <c r="F297" i="30"/>
  <c r="D89" i="30"/>
  <c r="G109" i="30"/>
  <c r="C354" i="30"/>
  <c r="B169" i="30"/>
  <c r="D137" i="30"/>
  <c r="G95" i="30"/>
  <c r="G107" i="30"/>
  <c r="H216" i="30"/>
  <c r="H46" i="30"/>
  <c r="C299" i="30"/>
  <c r="G188" i="30"/>
  <c r="G227" i="30"/>
  <c r="C339" i="30"/>
  <c r="C199" i="30"/>
  <c r="B54" i="30"/>
  <c r="B163" i="30"/>
  <c r="D12" i="30"/>
  <c r="C310" i="30"/>
  <c r="G182" i="30"/>
  <c r="B268" i="30"/>
  <c r="B311" i="30"/>
  <c r="B138" i="30"/>
  <c r="E137" i="30"/>
  <c r="F213" i="30"/>
  <c r="G268" i="30"/>
  <c r="G248" i="30"/>
  <c r="E176" i="30"/>
  <c r="F78" i="30"/>
  <c r="E42" i="30"/>
  <c r="H201" i="30"/>
  <c r="E212" i="30"/>
  <c r="D130" i="30"/>
  <c r="B350" i="30"/>
  <c r="E106" i="30"/>
  <c r="H306" i="30"/>
  <c r="D179" i="30"/>
  <c r="E348" i="30"/>
  <c r="G106" i="30"/>
  <c r="E111" i="30"/>
  <c r="H30" i="30"/>
  <c r="G160" i="30"/>
  <c r="E47" i="30"/>
  <c r="F208" i="30"/>
  <c r="C270" i="30"/>
  <c r="H159" i="30"/>
  <c r="H28" i="30"/>
  <c r="H80" i="30"/>
  <c r="G285" i="30"/>
  <c r="G74" i="30"/>
  <c r="H45" i="30"/>
  <c r="D354" i="30"/>
  <c r="E252" i="30"/>
  <c r="F118" i="30"/>
  <c r="F170" i="30"/>
  <c r="F138" i="30"/>
  <c r="G209" i="30"/>
  <c r="E261" i="30"/>
  <c r="F334" i="30"/>
  <c r="H237" i="30"/>
  <c r="B68" i="30"/>
  <c r="H357" i="30"/>
  <c r="H141" i="30"/>
  <c r="F216" i="30"/>
  <c r="E138" i="30"/>
  <c r="F102" i="30"/>
  <c r="H156" i="30"/>
  <c r="H63" i="30"/>
  <c r="E132" i="30"/>
  <c r="B173" i="30"/>
  <c r="B274" i="30"/>
  <c r="H44" i="30"/>
  <c r="G297" i="30"/>
  <c r="B258" i="30"/>
  <c r="C358" i="30"/>
  <c r="E37" i="30"/>
  <c r="F240" i="30"/>
  <c r="G72" i="30"/>
  <c r="E285" i="30"/>
  <c r="H138" i="30"/>
  <c r="E203" i="30"/>
  <c r="D318" i="30"/>
  <c r="D184" i="30"/>
  <c r="G278" i="30"/>
  <c r="G40" i="30"/>
  <c r="G156" i="30"/>
  <c r="G315" i="30"/>
  <c r="H29" i="30"/>
  <c r="D267" i="30"/>
  <c r="D103" i="30"/>
  <c r="D168" i="30"/>
  <c r="H116" i="30"/>
  <c r="H192" i="30"/>
  <c r="H108" i="30"/>
  <c r="C156" i="30"/>
  <c r="G318" i="30"/>
  <c r="C147" i="30"/>
  <c r="H366" i="30"/>
  <c r="C298" i="30"/>
  <c r="C72" i="30"/>
  <c r="C351" i="30"/>
  <c r="E202" i="30"/>
  <c r="B333" i="30"/>
  <c r="G69" i="30"/>
  <c r="C11" i="30"/>
  <c r="F59" i="30"/>
  <c r="G241" i="30"/>
  <c r="F265" i="30"/>
  <c r="G128" i="30"/>
  <c r="G240" i="30"/>
  <c r="B276" i="30"/>
  <c r="B255" i="30"/>
  <c r="F207" i="30"/>
  <c r="C361" i="30"/>
  <c r="E80" i="30"/>
  <c r="C360" i="30"/>
  <c r="G108" i="30"/>
  <c r="F250" i="30"/>
  <c r="B19" i="30"/>
  <c r="C276" i="30"/>
  <c r="E121" i="30"/>
  <c r="C32" i="30"/>
  <c r="C114" i="30"/>
  <c r="H299" i="30"/>
  <c r="E115" i="30"/>
  <c r="D205" i="30"/>
  <c r="H162" i="30"/>
  <c r="E98" i="30"/>
  <c r="D136" i="30"/>
  <c r="C89" i="30"/>
  <c r="D284" i="30"/>
  <c r="G219" i="30"/>
  <c r="E149" i="30"/>
  <c r="F314" i="30"/>
  <c r="G365" i="30"/>
  <c r="G369" i="30"/>
  <c r="C349" i="30"/>
  <c r="F96" i="30"/>
  <c r="D100" i="30"/>
  <c r="G133" i="30"/>
  <c r="C343" i="30"/>
  <c r="E362" i="30"/>
  <c r="D153" i="30"/>
  <c r="F342" i="30"/>
  <c r="G345" i="30"/>
  <c r="C241" i="30"/>
  <c r="F167" i="30"/>
  <c r="B219" i="30"/>
  <c r="C126" i="30"/>
  <c r="F50" i="30"/>
  <c r="E162" i="30"/>
  <c r="G194" i="30"/>
  <c r="D328" i="30"/>
  <c r="C214" i="30"/>
  <c r="D207" i="30"/>
  <c r="H272" i="30"/>
  <c r="C316" i="30"/>
  <c r="E249" i="30"/>
  <c r="G232" i="30"/>
  <c r="C193" i="30"/>
  <c r="C24" i="30"/>
  <c r="E192" i="30"/>
  <c r="D37" i="30"/>
  <c r="E60" i="30"/>
  <c r="H328" i="30"/>
  <c r="B351" i="30"/>
  <c r="D308" i="30"/>
  <c r="C33" i="30"/>
  <c r="E10" i="30"/>
  <c r="E163" i="30"/>
  <c r="H55" i="30"/>
  <c r="D226" i="30"/>
  <c r="D245" i="30"/>
  <c r="H293" i="30"/>
  <c r="H321" i="30"/>
  <c r="B366" i="30"/>
  <c r="B257" i="30"/>
  <c r="H60" i="30"/>
  <c r="G127" i="30"/>
  <c r="C100" i="30"/>
  <c r="C249" i="30"/>
  <c r="D341" i="30"/>
  <c r="G190" i="30"/>
  <c r="D342" i="30"/>
  <c r="G335" i="30"/>
  <c r="G202" i="30"/>
  <c r="H196" i="30"/>
  <c r="F119" i="30"/>
  <c r="F338" i="30"/>
  <c r="B251" i="30"/>
  <c r="F105" i="30"/>
  <c r="F307" i="30"/>
  <c r="G311" i="30"/>
  <c r="E270" i="30"/>
  <c r="F117" i="30"/>
  <c r="B254" i="30"/>
  <c r="F235" i="30"/>
  <c r="D282" i="30"/>
  <c r="F353" i="30"/>
  <c r="D298" i="30"/>
  <c r="F48" i="30"/>
  <c r="G235" i="30"/>
  <c r="E263" i="30"/>
  <c r="G23" i="30"/>
  <c r="E79" i="30"/>
  <c r="H259" i="30"/>
  <c r="E222" i="30"/>
  <c r="F30" i="30"/>
  <c r="C256" i="30"/>
  <c r="D202" i="30"/>
  <c r="B21" i="30"/>
  <c r="C23" i="30"/>
  <c r="B297" i="30"/>
  <c r="G83" i="30"/>
  <c r="D189" i="30"/>
  <c r="C252" i="30"/>
  <c r="F255" i="30"/>
  <c r="F79" i="30"/>
  <c r="G231" i="30"/>
  <c r="B277" i="30"/>
  <c r="E154" i="30"/>
  <c r="G136" i="30"/>
  <c r="F65" i="30"/>
  <c r="B216" i="30"/>
  <c r="B24" i="30"/>
  <c r="F110" i="30"/>
  <c r="D213" i="30"/>
  <c r="F306" i="30"/>
  <c r="H228" i="30"/>
  <c r="F345" i="30"/>
  <c r="B347" i="30"/>
  <c r="C17" i="30"/>
  <c r="F51" i="30"/>
  <c r="D335" i="30"/>
  <c r="B73" i="30"/>
  <c r="G343" i="30"/>
  <c r="B290" i="30"/>
  <c r="H66" i="30"/>
  <c r="D108" i="30"/>
  <c r="B301" i="30"/>
  <c r="G52" i="30"/>
  <c r="F33" i="30"/>
  <c r="H239" i="30"/>
  <c r="G63" i="30"/>
  <c r="H305" i="30"/>
  <c r="D73" i="30"/>
  <c r="D218" i="30"/>
  <c r="F269" i="30"/>
  <c r="D319" i="30"/>
  <c r="H307" i="30"/>
  <c r="G196" i="30"/>
  <c r="B239" i="30"/>
  <c r="F326" i="30"/>
  <c r="B13" i="30"/>
  <c r="G338" i="30"/>
  <c r="H311" i="30"/>
  <c r="E55" i="30"/>
  <c r="H143" i="30"/>
  <c r="B53" i="30"/>
  <c r="B150" i="30"/>
  <c r="B354" i="30"/>
  <c r="B288" i="30"/>
  <c r="G228" i="30"/>
  <c r="B112" i="30"/>
  <c r="B365" i="30"/>
  <c r="B306" i="30"/>
  <c r="F266" i="30"/>
  <c r="D365" i="30"/>
  <c r="F304" i="30"/>
  <c r="D363" i="30"/>
  <c r="H367" i="30"/>
  <c r="F221" i="30"/>
  <c r="F18" i="30"/>
  <c r="E74" i="30"/>
  <c r="D133" i="30"/>
  <c r="G303" i="30"/>
  <c r="G56" i="30"/>
  <c r="E331" i="30"/>
  <c r="D97" i="30"/>
  <c r="E130" i="30"/>
  <c r="C19" i="30"/>
  <c r="D309" i="30"/>
  <c r="D159" i="30"/>
  <c r="D118" i="30"/>
  <c r="D325" i="30"/>
  <c r="G89" i="30"/>
  <c r="C49" i="30"/>
  <c r="F177" i="30"/>
  <c r="E124" i="30"/>
  <c r="F193" i="30"/>
  <c r="C275" i="30"/>
  <c r="C198" i="30"/>
  <c r="E339" i="30"/>
  <c r="C141" i="30"/>
  <c r="G246" i="30"/>
  <c r="E220" i="30"/>
  <c r="C74" i="30"/>
  <c r="H191" i="30"/>
  <c r="E313" i="30"/>
  <c r="F90" i="30"/>
  <c r="E105" i="30"/>
  <c r="C13" i="30"/>
  <c r="E329" i="30"/>
  <c r="B197" i="30"/>
  <c r="H295" i="30"/>
  <c r="F271" i="30"/>
  <c r="G358" i="30"/>
  <c r="B215" i="30"/>
  <c r="F76" i="30"/>
  <c r="G229" i="30"/>
  <c r="G21" i="30"/>
  <c r="C325" i="30"/>
  <c r="E22" i="30"/>
  <c r="C191" i="30"/>
  <c r="C195" i="30"/>
  <c r="B209" i="30"/>
  <c r="C116" i="30"/>
  <c r="H213" i="30"/>
  <c r="F58" i="30"/>
  <c r="H317" i="30"/>
  <c r="G28" i="30"/>
  <c r="D276" i="30"/>
  <c r="C79" i="30"/>
  <c r="C53" i="30"/>
  <c r="C308" i="30"/>
  <c r="H256" i="30"/>
  <c r="F303" i="30"/>
  <c r="E337" i="30"/>
  <c r="F346" i="30"/>
  <c r="B272" i="30"/>
  <c r="G215" i="30"/>
  <c r="G323" i="30"/>
  <c r="E286" i="30"/>
  <c r="F158" i="30"/>
  <c r="C216" i="30"/>
  <c r="F223" i="30"/>
  <c r="F301" i="30"/>
  <c r="E248" i="30"/>
  <c r="F274" i="30"/>
  <c r="H233" i="30"/>
  <c r="D348" i="30"/>
  <c r="G12" i="30"/>
  <c r="H92" i="30"/>
  <c r="B94" i="30"/>
  <c r="C296" i="30"/>
  <c r="D221" i="30"/>
  <c r="B280" i="30"/>
  <c r="E269" i="30"/>
  <c r="F225" i="30"/>
  <c r="E143" i="30"/>
  <c r="E145" i="30"/>
  <c r="C61" i="30"/>
  <c r="H120" i="30"/>
  <c r="C366" i="30"/>
  <c r="F155" i="30"/>
  <c r="C155" i="30"/>
  <c r="F210" i="30"/>
  <c r="C164" i="30"/>
  <c r="E359" i="30"/>
  <c r="B141" i="30"/>
  <c r="D182" i="30"/>
  <c r="G29" i="30"/>
  <c r="B115" i="30"/>
  <c r="D332" i="30"/>
  <c r="B65" i="30"/>
  <c r="D366" i="30"/>
  <c r="D297" i="30"/>
  <c r="D200" i="30"/>
  <c r="D41" i="30"/>
  <c r="H284" i="30"/>
  <c r="H255" i="30"/>
  <c r="G341" i="30"/>
  <c r="F315" i="30"/>
  <c r="C338" i="30"/>
  <c r="G123" i="30"/>
  <c r="D28" i="30"/>
  <c r="D222" i="30"/>
  <c r="C242" i="30"/>
  <c r="B281" i="30"/>
  <c r="D304" i="30"/>
  <c r="C39" i="30"/>
  <c r="E333" i="30"/>
  <c r="C157" i="30"/>
  <c r="G361" i="30"/>
  <c r="B84" i="30"/>
  <c r="C306" i="30"/>
  <c r="D96" i="30"/>
  <c r="G97" i="30"/>
  <c r="H349" i="30"/>
  <c r="H309" i="30"/>
  <c r="F351" i="30"/>
  <c r="C226" i="30"/>
  <c r="F153" i="30"/>
  <c r="B31" i="30"/>
  <c r="E330" i="30"/>
  <c r="G120" i="30"/>
  <c r="F156" i="30"/>
  <c r="F21" i="30"/>
  <c r="H186" i="30"/>
  <c r="G249" i="30"/>
  <c r="E326" i="30"/>
  <c r="F333" i="30"/>
  <c r="E291" i="30"/>
  <c r="H86" i="30"/>
  <c r="H103" i="30"/>
  <c r="G137" i="30"/>
  <c r="G71" i="30"/>
  <c r="C107" i="30"/>
  <c r="F305" i="30"/>
  <c r="H209" i="30"/>
  <c r="C236" i="30"/>
  <c r="D138" i="30"/>
  <c r="G48" i="30"/>
  <c r="G350" i="30"/>
  <c r="F115" i="30"/>
  <c r="C363" i="30"/>
  <c r="E44" i="30"/>
  <c r="D11" i="30"/>
  <c r="H211" i="30"/>
  <c r="E226" i="30"/>
  <c r="B15" i="30"/>
  <c r="C76" i="30"/>
  <c r="H112" i="30"/>
  <c r="G51" i="30"/>
  <c r="C120" i="30"/>
  <c r="E206" i="30"/>
  <c r="B338" i="30"/>
  <c r="B267" i="30"/>
  <c r="F329" i="30"/>
  <c r="G262" i="30"/>
  <c r="F169" i="30"/>
  <c r="D161" i="30"/>
  <c r="G164" i="30"/>
  <c r="D63" i="30"/>
  <c r="G259" i="30"/>
  <c r="B315" i="30"/>
  <c r="B125" i="30"/>
  <c r="G81" i="30"/>
  <c r="D146" i="30"/>
  <c r="D32" i="30"/>
  <c r="C77" i="30"/>
  <c r="H101" i="30"/>
  <c r="B340" i="30"/>
  <c r="H128" i="30"/>
  <c r="G102" i="30"/>
  <c r="B154" i="30"/>
  <c r="F91" i="30"/>
  <c r="H61" i="30"/>
  <c r="G24" i="30"/>
  <c r="D18" i="30"/>
  <c r="E57" i="30"/>
  <c r="B157" i="30"/>
  <c r="F337" i="30"/>
  <c r="D81" i="30"/>
  <c r="F276" i="30"/>
  <c r="H320" i="30"/>
  <c r="E140" i="30"/>
  <c r="E272" i="30"/>
  <c r="B263" i="30"/>
  <c r="G216" i="30"/>
  <c r="E172" i="30"/>
  <c r="E156" i="30"/>
  <c r="B308" i="30"/>
  <c r="F358" i="30"/>
  <c r="E312" i="30"/>
  <c r="C246" i="30"/>
  <c r="G301" i="30"/>
  <c r="C139" i="30"/>
  <c r="E180" i="30"/>
  <c r="C187" i="30"/>
  <c r="D143" i="30"/>
  <c r="F308" i="30"/>
  <c r="C68" i="30"/>
  <c r="G286" i="30"/>
  <c r="E278" i="30"/>
  <c r="F67" i="30"/>
  <c r="E195" i="30"/>
  <c r="F214" i="30"/>
  <c r="C283" i="30"/>
  <c r="F218" i="30"/>
  <c r="B312" i="30"/>
  <c r="B35" i="30"/>
  <c r="D82" i="30"/>
  <c r="E45" i="30"/>
  <c r="E179" i="30"/>
  <c r="C26" i="30"/>
  <c r="F328" i="30"/>
  <c r="B22" i="30"/>
  <c r="G161" i="30"/>
  <c r="E182" i="30"/>
  <c r="E58" i="30"/>
  <c r="F199" i="30"/>
  <c r="F242" i="30"/>
  <c r="D209" i="30"/>
  <c r="C328" i="30"/>
  <c r="C240" i="30"/>
  <c r="E78" i="30"/>
  <c r="E303" i="30"/>
  <c r="D305" i="30"/>
  <c r="C218" i="30"/>
  <c r="E160" i="30"/>
  <c r="D112" i="30"/>
  <c r="G327" i="30"/>
  <c r="D46" i="30"/>
  <c r="D71" i="30"/>
  <c r="B126" i="30"/>
  <c r="G332" i="30"/>
  <c r="E127" i="30"/>
  <c r="C158" i="30"/>
  <c r="D347" i="30"/>
  <c r="D262" i="30"/>
  <c r="H203" i="30"/>
  <c r="H184" i="30"/>
  <c r="G87" i="30"/>
  <c r="B299" i="30"/>
  <c r="G302" i="30"/>
  <c r="F10" i="30"/>
  <c r="D345" i="30"/>
  <c r="D362" i="30"/>
  <c r="C46" i="30"/>
  <c r="C65" i="30"/>
  <c r="D91" i="30"/>
  <c r="D171" i="30"/>
  <c r="F200" i="30"/>
  <c r="H269" i="30"/>
  <c r="E317" i="30"/>
  <c r="H146" i="30"/>
  <c r="D358" i="30"/>
  <c r="G313" i="30"/>
  <c r="E77" i="30"/>
  <c r="F217" i="30"/>
  <c r="C303" i="30"/>
  <c r="B113" i="30"/>
  <c r="B149" i="30"/>
  <c r="C347" i="30"/>
  <c r="C258" i="30"/>
  <c r="H157" i="30"/>
  <c r="G210" i="30"/>
  <c r="G293" i="30"/>
  <c r="B322" i="30"/>
  <c r="D198" i="30"/>
  <c r="F70" i="30"/>
  <c r="B235" i="30"/>
  <c r="E250" i="30"/>
  <c r="B355" i="30"/>
  <c r="B265" i="30"/>
  <c r="C257" i="30"/>
  <c r="C253" i="30"/>
  <c r="G222" i="30"/>
  <c r="E120" i="30"/>
  <c r="C180" i="30"/>
  <c r="C259" i="30"/>
  <c r="B325" i="30"/>
  <c r="G44" i="30"/>
  <c r="B339" i="30"/>
  <c r="D144" i="30"/>
  <c r="F243" i="30"/>
  <c r="B159" i="30"/>
  <c r="G291" i="30"/>
  <c r="H158" i="30"/>
  <c r="E103" i="30"/>
  <c r="C364" i="30"/>
  <c r="H355" i="30"/>
  <c r="B57" i="30"/>
  <c r="H270" i="30"/>
  <c r="G245" i="30"/>
  <c r="G226" i="30"/>
  <c r="C208" i="30"/>
  <c r="D187" i="30"/>
  <c r="C93" i="30"/>
  <c r="B174" i="30"/>
  <c r="F248" i="30"/>
  <c r="G357" i="30"/>
  <c r="E95" i="30"/>
  <c r="B158" i="30"/>
  <c r="H304" i="30"/>
  <c r="B279" i="30"/>
  <c r="F263" i="30"/>
  <c r="H205" i="30"/>
  <c r="D88" i="30"/>
  <c r="B156" i="30"/>
  <c r="H106" i="30"/>
  <c r="H238" i="30"/>
  <c r="E186" i="30"/>
  <c r="E52" i="30"/>
  <c r="H183" i="30"/>
  <c r="H77" i="30"/>
  <c r="H290" i="30"/>
  <c r="B341" i="30"/>
  <c r="D206" i="30"/>
  <c r="H351" i="30"/>
  <c r="G59" i="30"/>
  <c r="D163" i="30"/>
  <c r="D45" i="30"/>
  <c r="G307" i="30"/>
  <c r="G179" i="30"/>
  <c r="B105" i="30"/>
  <c r="E352" i="30"/>
  <c r="H318" i="30"/>
  <c r="H71" i="30"/>
  <c r="C224" i="30"/>
  <c r="C42" i="30"/>
  <c r="G68" i="30"/>
  <c r="C35" i="30"/>
  <c r="B33" i="30"/>
  <c r="G121" i="30"/>
  <c r="H74" i="30"/>
  <c r="G324" i="30"/>
  <c r="F132" i="30"/>
  <c r="H268" i="30"/>
  <c r="D186" i="30"/>
  <c r="B243" i="30"/>
  <c r="H319" i="30"/>
  <c r="F286" i="30"/>
  <c r="G310" i="30"/>
  <c r="E213" i="30"/>
  <c r="C238" i="30"/>
  <c r="C223" i="30"/>
  <c r="C29" i="30"/>
  <c r="E18" i="30"/>
  <c r="C125" i="30"/>
  <c r="H164" i="30"/>
  <c r="B344" i="30"/>
  <c r="D55" i="30"/>
  <c r="F211" i="30"/>
  <c r="E266" i="30"/>
  <c r="G298" i="30"/>
  <c r="E354" i="30"/>
  <c r="C149" i="30"/>
  <c r="F273" i="30"/>
  <c r="F55" i="30"/>
  <c r="D128" i="30"/>
  <c r="C129" i="30"/>
  <c r="D287" i="30"/>
  <c r="E363" i="30"/>
  <c r="G184" i="30"/>
  <c r="F186" i="30"/>
  <c r="D151" i="30"/>
  <c r="H148" i="30"/>
  <c r="E215" i="30"/>
  <c r="E253" i="30"/>
  <c r="D57" i="30"/>
  <c r="E191" i="30"/>
  <c r="G252" i="30"/>
  <c r="E350" i="30"/>
  <c r="E233" i="30"/>
  <c r="F84" i="30"/>
  <c r="F166" i="30"/>
  <c r="E16" i="30"/>
  <c r="F26" i="30"/>
  <c r="D30" i="30"/>
  <c r="E178" i="30"/>
  <c r="E349" i="30"/>
  <c r="F81" i="30"/>
  <c r="D51" i="30"/>
  <c r="H54" i="30"/>
  <c r="E288" i="30"/>
  <c r="C43" i="30"/>
  <c r="H123" i="30"/>
  <c r="H327" i="30"/>
  <c r="E71" i="30"/>
  <c r="C332" i="30"/>
  <c r="H114" i="30"/>
  <c r="C230" i="30"/>
  <c r="C59" i="30"/>
  <c r="G217" i="30"/>
  <c r="B190" i="30"/>
  <c r="D211" i="30"/>
  <c r="F322" i="30"/>
  <c r="G37" i="30"/>
  <c r="G368" i="30"/>
  <c r="B85" i="30"/>
  <c r="F295" i="30"/>
  <c r="B212" i="30"/>
  <c r="F157" i="30"/>
  <c r="C209" i="30"/>
  <c r="F15" i="30"/>
  <c r="E216" i="30"/>
  <c r="E232" i="30"/>
  <c r="E108" i="30"/>
  <c r="C138" i="30"/>
  <c r="B316" i="30"/>
  <c r="D204" i="30"/>
  <c r="E198" i="30"/>
  <c r="D235" i="30"/>
  <c r="G281" i="30"/>
  <c r="C188" i="30"/>
  <c r="B356" i="30"/>
  <c r="F237" i="30"/>
  <c r="G193" i="30"/>
  <c r="B201" i="30"/>
  <c r="G153" i="30"/>
  <c r="D167" i="30"/>
  <c r="E368" i="30"/>
  <c r="B271" i="30"/>
  <c r="B324" i="30"/>
  <c r="G328" i="30"/>
  <c r="H326" i="30"/>
  <c r="B244" i="30"/>
  <c r="F262" i="30"/>
  <c r="D334" i="30"/>
  <c r="F366" i="30"/>
  <c r="E360" i="30"/>
  <c r="E314" i="30"/>
  <c r="C189" i="30"/>
  <c r="H336" i="30"/>
  <c r="C261" i="30"/>
  <c r="G90" i="30"/>
  <c r="H115" i="30"/>
  <c r="B249" i="30"/>
  <c r="G223" i="30"/>
  <c r="F296" i="30"/>
  <c r="B45" i="30"/>
  <c r="C106" i="30"/>
  <c r="D183" i="30"/>
  <c r="C203" i="30"/>
  <c r="E94" i="30"/>
  <c r="B352" i="30"/>
  <c r="E26" i="30"/>
  <c r="D47" i="30"/>
  <c r="H57" i="30"/>
  <c r="D260" i="30"/>
  <c r="D78" i="30"/>
  <c r="E346" i="30"/>
  <c r="H93" i="30"/>
  <c r="E344" i="30"/>
  <c r="E366" i="30"/>
  <c r="H102" i="30"/>
  <c r="B192" i="30"/>
  <c r="B88" i="30"/>
  <c r="F275" i="30"/>
  <c r="B39" i="30"/>
  <c r="C27" i="30"/>
  <c r="H356" i="30"/>
  <c r="G238" i="30"/>
  <c r="C169" i="30"/>
  <c r="H368" i="30"/>
  <c r="B334" i="30"/>
  <c r="H68" i="30"/>
  <c r="F23" i="30"/>
  <c r="G140" i="30"/>
  <c r="E239" i="30"/>
  <c r="F175" i="30"/>
  <c r="C307" i="30"/>
  <c r="C324" i="30"/>
  <c r="G82" i="30"/>
  <c r="B147" i="30"/>
  <c r="G171" i="30"/>
  <c r="H190" i="30"/>
  <c r="B319" i="30"/>
  <c r="D311" i="30"/>
  <c r="F89" i="30"/>
  <c r="G364" i="30"/>
  <c r="G366" i="30"/>
  <c r="H315" i="30"/>
  <c r="E41" i="30"/>
  <c r="E353" i="30"/>
  <c r="D99" i="30"/>
  <c r="D110" i="30"/>
  <c r="G34" i="30"/>
  <c r="E295" i="30"/>
  <c r="H173" i="30"/>
  <c r="H62" i="30"/>
  <c r="D173" i="30"/>
  <c r="G207" i="30"/>
  <c r="B176" i="30"/>
  <c r="G253" i="30"/>
  <c r="E96" i="30"/>
  <c r="D115" i="30"/>
  <c r="F318" i="30"/>
  <c r="C318" i="30"/>
  <c r="D291" i="30"/>
  <c r="E69" i="30"/>
  <c r="E294" i="30"/>
  <c r="F100" i="30"/>
  <c r="F367" i="30"/>
  <c r="B43" i="30"/>
  <c r="E262" i="30"/>
  <c r="H152" i="30"/>
  <c r="E101" i="30"/>
  <c r="C348" i="30"/>
  <c r="D302" i="30"/>
  <c r="H344" i="30"/>
  <c r="G225" i="30"/>
  <c r="D19" i="30"/>
  <c r="B61" i="30"/>
  <c r="G255" i="30"/>
  <c r="F259" i="30"/>
  <c r="E281" i="30"/>
  <c r="E25" i="30"/>
  <c r="F365" i="30"/>
  <c r="F181" i="30"/>
  <c r="E343" i="30"/>
  <c r="D134" i="30"/>
  <c r="C368" i="30"/>
  <c r="E129" i="30"/>
  <c r="D237" i="30"/>
  <c r="D350" i="30"/>
  <c r="E287" i="30"/>
  <c r="H354" i="30"/>
  <c r="E289" i="30"/>
  <c r="F113" i="30"/>
  <c r="E54" i="30"/>
  <c r="D155" i="30"/>
  <c r="C91" i="30"/>
  <c r="C304" i="30"/>
  <c r="G290" i="30"/>
  <c r="D333" i="30"/>
  <c r="G53" i="30"/>
  <c r="D238" i="30"/>
  <c r="C288" i="30"/>
  <c r="D295" i="30"/>
  <c r="B96" i="30"/>
  <c r="H145" i="30"/>
  <c r="F364" i="30"/>
  <c r="F201" i="30"/>
  <c r="B172" i="30"/>
  <c r="F232" i="30"/>
  <c r="H163" i="30"/>
  <c r="F137" i="30"/>
  <c r="B348" i="30"/>
  <c r="D288" i="30"/>
  <c r="F257" i="30"/>
  <c r="B64" i="30"/>
  <c r="E110" i="30"/>
  <c r="B123" i="30"/>
  <c r="B170" i="30"/>
  <c r="H334" i="30"/>
  <c r="B331" i="30"/>
  <c r="E122" i="30"/>
  <c r="D316" i="30"/>
  <c r="B237" i="30"/>
  <c r="E93" i="30"/>
  <c r="B119" i="30"/>
  <c r="C284" i="30"/>
  <c r="B245" i="30"/>
  <c r="G143" i="30"/>
  <c r="H137" i="30"/>
  <c r="B127" i="30"/>
  <c r="C111" i="30"/>
  <c r="D285" i="30"/>
  <c r="C94" i="30"/>
  <c r="H117" i="30"/>
  <c r="H283" i="30"/>
  <c r="G85" i="30"/>
  <c r="G199" i="30"/>
  <c r="H263" i="30"/>
  <c r="F154" i="30"/>
  <c r="E223" i="30"/>
  <c r="H15" i="30"/>
  <c r="B178" i="30"/>
  <c r="B62" i="30"/>
  <c r="D364" i="30"/>
  <c r="D279" i="30"/>
  <c r="C166" i="30"/>
  <c r="G119" i="30"/>
  <c r="C202" i="30"/>
  <c r="E33" i="30"/>
  <c r="G329" i="30"/>
  <c r="B367" i="30"/>
  <c r="D249" i="30"/>
  <c r="G139" i="30"/>
  <c r="H90" i="30"/>
  <c r="F179" i="30"/>
  <c r="C181" i="30"/>
  <c r="F251" i="30"/>
  <c r="H70" i="30"/>
  <c r="H82" i="30"/>
  <c r="E221" i="30"/>
  <c r="B210" i="30"/>
  <c r="H352" i="30"/>
  <c r="G55" i="30"/>
  <c r="D337" i="30"/>
  <c r="C97" i="30"/>
  <c r="E351" i="30"/>
  <c r="B264" i="30"/>
  <c r="B286" i="30"/>
  <c r="B91" i="30"/>
  <c r="D236" i="30"/>
  <c r="B42" i="30"/>
  <c r="F309" i="30"/>
  <c r="G61" i="30"/>
  <c r="D13" i="30"/>
  <c r="G220" i="30"/>
  <c r="E148" i="30"/>
  <c r="C232" i="30"/>
  <c r="G130" i="30"/>
  <c r="C168" i="30"/>
  <c r="D220" i="30"/>
  <c r="F24" i="30"/>
  <c r="F149" i="30"/>
  <c r="F17" i="30"/>
  <c r="B369" i="30"/>
  <c r="C47" i="30"/>
  <c r="B309" i="30"/>
  <c r="G147" i="30"/>
  <c r="E358" i="30"/>
  <c r="C231" i="30"/>
  <c r="F194" i="30"/>
  <c r="H331" i="30"/>
  <c r="H335" i="30"/>
  <c r="E264" i="30"/>
  <c r="G339" i="30"/>
  <c r="B326" i="30"/>
  <c r="E238" i="30"/>
  <c r="E236" i="30"/>
  <c r="E316" i="30"/>
  <c r="C277" i="30"/>
  <c r="C196" i="30"/>
  <c r="D243" i="30"/>
  <c r="B182" i="30"/>
  <c r="B327" i="30"/>
  <c r="D158" i="30"/>
  <c r="B162" i="30"/>
  <c r="E320" i="30"/>
  <c r="B23" i="30"/>
  <c r="C177" i="30"/>
  <c r="D141" i="30"/>
  <c r="E227" i="30"/>
  <c r="C333" i="30"/>
  <c r="C28" i="30"/>
  <c r="D261" i="30"/>
  <c r="H300" i="30"/>
  <c r="H247" i="30"/>
  <c r="E184" i="30"/>
  <c r="E75" i="30"/>
  <c r="H187" i="30"/>
  <c r="F219" i="30"/>
  <c r="G191" i="30"/>
  <c r="E308" i="30"/>
  <c r="B275" i="30"/>
  <c r="G337" i="30"/>
  <c r="H197" i="30"/>
  <c r="G152" i="30"/>
  <c r="H337" i="30"/>
  <c r="F311" i="30"/>
  <c r="C322" i="30"/>
  <c r="D117" i="30"/>
  <c r="E86" i="30"/>
  <c r="C163" i="30"/>
  <c r="F82" i="30"/>
  <c r="H246" i="30"/>
  <c r="B189" i="30"/>
  <c r="D52" i="30"/>
  <c r="E241" i="30"/>
  <c r="H147" i="30"/>
  <c r="H47" i="30"/>
  <c r="F233" i="30"/>
  <c r="G236" i="30"/>
  <c r="D66" i="30"/>
  <c r="E159" i="30"/>
  <c r="F57" i="30"/>
  <c r="F77" i="30"/>
  <c r="H81" i="30"/>
  <c r="H37" i="30"/>
  <c r="D87" i="30"/>
  <c r="G360" i="30"/>
  <c r="E280" i="30"/>
  <c r="F234" i="30"/>
  <c r="C314" i="30"/>
  <c r="G325" i="30"/>
  <c r="F281" i="30"/>
  <c r="E48" i="30"/>
  <c r="F53" i="30"/>
  <c r="B107" i="30"/>
  <c r="B230" i="30"/>
  <c r="B137" i="30"/>
  <c r="D174" i="30"/>
  <c r="F369" i="30"/>
  <c r="B214" i="30"/>
  <c r="B226" i="30"/>
  <c r="D68" i="30"/>
  <c r="C313" i="30"/>
  <c r="E268" i="30"/>
  <c r="G75" i="30"/>
  <c r="C207" i="30"/>
  <c r="D357" i="30"/>
  <c r="D70" i="30"/>
  <c r="C15" i="30"/>
  <c r="E64" i="30"/>
  <c r="E231" i="30"/>
  <c r="H42" i="30"/>
  <c r="H168" i="30"/>
  <c r="F229" i="30"/>
  <c r="D116" i="30"/>
  <c r="B117" i="30"/>
  <c r="F128" i="30"/>
  <c r="B167" i="30"/>
  <c r="C75" i="30"/>
  <c r="G322" i="30"/>
  <c r="B353" i="30"/>
  <c r="E83" i="30"/>
  <c r="F178" i="30"/>
  <c r="F130" i="30"/>
  <c r="G173" i="30"/>
  <c r="G150" i="30"/>
  <c r="E157" i="30"/>
  <c r="G141" i="30"/>
  <c r="F359" i="30"/>
  <c r="B122" i="30"/>
  <c r="D44" i="30"/>
  <c r="F344" i="30"/>
  <c r="F127" i="30"/>
  <c r="F27" i="30"/>
  <c r="B77" i="30"/>
  <c r="F188" i="30"/>
  <c r="G117" i="30"/>
  <c r="E15" i="30"/>
  <c r="C133" i="30"/>
  <c r="H25" i="30"/>
  <c r="G122" i="30"/>
  <c r="E219" i="30"/>
  <c r="F335" i="30"/>
  <c r="E142" i="30"/>
  <c r="C335" i="30"/>
  <c r="E72" i="30"/>
  <c r="G195" i="30"/>
  <c r="E123" i="30"/>
  <c r="B196" i="30"/>
  <c r="D224" i="30"/>
  <c r="C83" i="30"/>
  <c r="C179" i="30"/>
  <c r="F150" i="30"/>
  <c r="D113" i="30"/>
  <c r="B250" i="30"/>
  <c r="B185" i="30"/>
  <c r="B47" i="30"/>
  <c r="D280" i="30"/>
  <c r="G336" i="30"/>
  <c r="G359" i="30"/>
  <c r="H365" i="30"/>
  <c r="D111" i="30"/>
  <c r="H127" i="30"/>
  <c r="G317" i="30"/>
  <c r="F226" i="30"/>
  <c r="H84" i="30"/>
  <c r="C237" i="30"/>
  <c r="B188" i="30"/>
  <c r="H274" i="30"/>
  <c r="F92" i="30"/>
  <c r="H261" i="30"/>
  <c r="E277" i="30"/>
  <c r="D314" i="30"/>
  <c r="B313" i="30"/>
  <c r="C171" i="30"/>
  <c r="D140" i="30"/>
  <c r="C25" i="30"/>
  <c r="H35" i="30"/>
  <c r="C365" i="30"/>
  <c r="B89" i="30"/>
  <c r="D164" i="30"/>
  <c r="E13" i="30"/>
  <c r="D35" i="30"/>
  <c r="B72" i="30"/>
  <c r="H301" i="30"/>
  <c r="D98" i="30"/>
  <c r="C78" i="30"/>
  <c r="G330" i="30"/>
  <c r="E273" i="30"/>
  <c r="B104" i="30"/>
  <c r="G294" i="30"/>
  <c r="D250" i="30"/>
  <c r="C215" i="30"/>
  <c r="C286" i="30"/>
  <c r="F11" i="30"/>
  <c r="E302" i="30"/>
  <c r="H369" i="30"/>
  <c r="C251" i="30"/>
  <c r="C291" i="30"/>
  <c r="G64" i="30"/>
  <c r="G158" i="30"/>
  <c r="H51" i="30"/>
  <c r="D94" i="30"/>
  <c r="F114" i="30"/>
  <c r="H34" i="30"/>
  <c r="H78" i="30"/>
  <c r="H91" i="30"/>
  <c r="H89" i="30"/>
  <c r="H178" i="30"/>
  <c r="D306" i="30"/>
  <c r="G166" i="30"/>
  <c r="B328" i="30"/>
  <c r="H180" i="30"/>
  <c r="C56" i="30"/>
  <c r="H161" i="30"/>
  <c r="B52" i="30"/>
  <c r="B76" i="30"/>
  <c r="E90" i="30"/>
  <c r="C153" i="30"/>
  <c r="B270" i="30"/>
  <c r="H271" i="30"/>
  <c r="E210" i="30"/>
  <c r="H359" i="30"/>
  <c r="F313" i="30"/>
  <c r="D355" i="30"/>
  <c r="E365" i="30"/>
  <c r="G347" i="30"/>
  <c r="H208" i="30"/>
  <c r="E66" i="30"/>
  <c r="D150" i="30"/>
  <c r="E334" i="30"/>
  <c r="E117" i="30"/>
  <c r="E247" i="30"/>
  <c r="D299" i="30"/>
  <c r="D54" i="30"/>
  <c r="C301" i="30"/>
  <c r="F280" i="30"/>
  <c r="H276" i="30"/>
  <c r="G300" i="30"/>
  <c r="B229" i="30"/>
  <c r="D36" i="30"/>
  <c r="F310" i="30"/>
  <c r="D165" i="30"/>
  <c r="B346" i="30"/>
  <c r="H22" i="30"/>
  <c r="F95" i="30"/>
  <c r="F38" i="30"/>
  <c r="H76" i="30"/>
  <c r="D216" i="30"/>
  <c r="C287" i="30"/>
  <c r="G142" i="30"/>
  <c r="C221" i="30"/>
  <c r="H322" i="30"/>
  <c r="E150" i="30"/>
  <c r="H179" i="30"/>
  <c r="C326" i="30"/>
  <c r="F74" i="30"/>
  <c r="H23" i="30"/>
  <c r="H170" i="30"/>
  <c r="F126" i="30"/>
  <c r="H360" i="30"/>
  <c r="C144" i="30"/>
  <c r="E187" i="30"/>
  <c r="E336" i="30"/>
  <c r="H341" i="30"/>
  <c r="B208" i="30"/>
  <c r="D142" i="30"/>
  <c r="G312" i="30"/>
  <c r="B99" i="30"/>
  <c r="B133" i="30"/>
  <c r="D231" i="30"/>
  <c r="H85" i="30"/>
  <c r="E197" i="30"/>
  <c r="B101" i="30"/>
  <c r="D56" i="30"/>
  <c r="G261" i="30"/>
  <c r="B180" i="30"/>
  <c r="H83" i="30"/>
  <c r="C346" i="30"/>
  <c r="G165" i="30"/>
  <c r="B120" i="30"/>
  <c r="G38" i="30"/>
  <c r="B292" i="30"/>
  <c r="B218" i="30"/>
  <c r="F327" i="30"/>
  <c r="C86" i="30"/>
  <c r="B253" i="30"/>
  <c r="F134" i="30"/>
  <c r="E324" i="30"/>
  <c r="B74" i="30"/>
  <c r="H217" i="30"/>
  <c r="B48" i="30"/>
  <c r="E276" i="30"/>
  <c r="H286" i="30"/>
  <c r="D185" i="30"/>
  <c r="C159" i="30"/>
  <c r="D122" i="30"/>
  <c r="G138" i="30"/>
  <c r="F86" i="30"/>
  <c r="H212" i="30"/>
  <c r="B307" i="30"/>
  <c r="B37" i="30"/>
  <c r="B66" i="30"/>
  <c r="G214" i="30"/>
  <c r="H48" i="30"/>
  <c r="D255" i="30"/>
  <c r="G331" i="30"/>
  <c r="C118" i="30"/>
  <c r="E201" i="30"/>
  <c r="D64" i="30"/>
  <c r="E155" i="30"/>
  <c r="D296" i="30"/>
  <c r="D194" i="30"/>
  <c r="C254" i="30"/>
  <c r="H155" i="30"/>
  <c r="D321" i="30"/>
  <c r="C201" i="30"/>
  <c r="B285" i="30"/>
  <c r="F148" i="30"/>
  <c r="C219" i="30"/>
  <c r="G197" i="30"/>
  <c r="E214" i="30"/>
  <c r="H14" i="30"/>
  <c r="B25" i="30"/>
  <c r="B161" i="30"/>
  <c r="G163" i="30"/>
  <c r="H332" i="30"/>
  <c r="D86" i="30"/>
  <c r="E258" i="30"/>
  <c r="D201" i="30"/>
  <c r="D247" i="30"/>
  <c r="F319" i="30"/>
  <c r="F204" i="30"/>
  <c r="G113" i="30"/>
  <c r="E73" i="30"/>
  <c r="E279" i="30"/>
  <c r="F357" i="30"/>
  <c r="D277" i="30"/>
  <c r="D104" i="30"/>
  <c r="C192" i="30"/>
  <c r="F47" i="30"/>
  <c r="G355" i="30"/>
  <c r="D234" i="30"/>
  <c r="D273" i="30"/>
  <c r="C336" i="30"/>
  <c r="G284" i="30"/>
  <c r="H287" i="30"/>
  <c r="F347" i="30"/>
  <c r="G27" i="30"/>
  <c r="D77" i="30"/>
  <c r="D369" i="30"/>
  <c r="D274" i="30"/>
  <c r="C244" i="30"/>
  <c r="G111" i="30"/>
  <c r="E134" i="30"/>
  <c r="D139" i="30"/>
  <c r="F256" i="30"/>
  <c r="D38" i="30"/>
  <c r="D338" i="30"/>
  <c r="B186" i="30"/>
  <c r="E335" i="30"/>
  <c r="C44" i="30"/>
  <c r="F227" i="30"/>
  <c r="E133" i="30"/>
  <c r="E199" i="30"/>
  <c r="B246" i="30"/>
  <c r="E28" i="30"/>
  <c r="C278" i="30"/>
  <c r="B291" i="30"/>
  <c r="C145" i="30"/>
  <c r="D230" i="30"/>
  <c r="D301" i="30"/>
  <c r="E113" i="30"/>
  <c r="C62" i="30"/>
  <c r="E67" i="30"/>
  <c r="C292" i="30"/>
  <c r="AP25" i="7"/>
  <c r="AP26" i="7" s="1"/>
  <c r="AP25" i="26"/>
  <c r="AP26" i="26" s="1"/>
  <c r="AP25" i="23"/>
  <c r="AP26" i="23" s="1"/>
  <c r="BC13" i="4"/>
  <c r="AP27" i="7"/>
  <c r="AP28" i="7" s="1"/>
  <c r="AP27" i="26"/>
  <c r="AP28" i="26" s="1"/>
  <c r="AP27" i="23"/>
  <c r="AP28" i="23" s="1"/>
  <c r="BC14" i="4"/>
  <c r="BF29" i="7"/>
  <c r="BF29" i="26"/>
  <c r="BS15" i="4"/>
  <c r="BF29" i="23"/>
  <c r="AX25" i="7"/>
  <c r="AX26" i="7" s="1"/>
  <c r="BK13" i="4"/>
  <c r="AX25" i="26"/>
  <c r="AX26" i="26" s="1"/>
  <c r="AX25" i="23"/>
  <c r="AX26" i="23" s="1"/>
  <c r="AW27" i="7"/>
  <c r="AW28" i="7" s="1"/>
  <c r="AW27" i="26"/>
  <c r="AW28" i="26" s="1"/>
  <c r="BJ14" i="4"/>
  <c r="AW27" i="23"/>
  <c r="AW28" i="23" s="1"/>
  <c r="AH27" i="26"/>
  <c r="AH28" i="26" s="1"/>
  <c r="AH27" i="7"/>
  <c r="AH28" i="7" s="1"/>
  <c r="AU14" i="4"/>
  <c r="AH27" i="23"/>
  <c r="AH28" i="23" s="1"/>
  <c r="AQ27" i="26"/>
  <c r="AQ28" i="26" s="1"/>
  <c r="AQ27" i="23"/>
  <c r="AQ28" i="23" s="1"/>
  <c r="BD14" i="4"/>
  <c r="AQ27" i="7"/>
  <c r="AQ28" i="7" s="1"/>
  <c r="AT25" i="7"/>
  <c r="AT26" i="7" s="1"/>
  <c r="BG13" i="4"/>
  <c r="AT25" i="23"/>
  <c r="AT26" i="23" s="1"/>
  <c r="AT25" i="26"/>
  <c r="AT26" i="26" s="1"/>
  <c r="AO25" i="7"/>
  <c r="AO26" i="7" s="1"/>
  <c r="AO25" i="26"/>
  <c r="AO26" i="26" s="1"/>
  <c r="BB13" i="4"/>
  <c r="AO25" i="23"/>
  <c r="AO26" i="23" s="1"/>
  <c r="BX15" i="4"/>
  <c r="BK29" i="23"/>
  <c r="BK29" i="7"/>
  <c r="BK29" i="26"/>
  <c r="AF27" i="23"/>
  <c r="AF28" i="23" s="1"/>
  <c r="AF27" i="26"/>
  <c r="AF28" i="26" s="1"/>
  <c r="AS14" i="4"/>
  <c r="AF27" i="7"/>
  <c r="AF28" i="7" s="1"/>
  <c r="AU27" i="26"/>
  <c r="AU28" i="26" s="1"/>
  <c r="BH14" i="4"/>
  <c r="AU27" i="7"/>
  <c r="AU28" i="7" s="1"/>
  <c r="AU27" i="23"/>
  <c r="AU28" i="23" s="1"/>
  <c r="BL13" i="4"/>
  <c r="AY25" i="26"/>
  <c r="AY26" i="26" s="1"/>
  <c r="AY25" i="7"/>
  <c r="AY26" i="7" s="1"/>
  <c r="AY25" i="23"/>
  <c r="AY26" i="23" s="1"/>
  <c r="BX29" i="26"/>
  <c r="CK15" i="4"/>
  <c r="BX29" i="7"/>
  <c r="BX29" i="23"/>
  <c r="AG40" i="13" l="1"/>
  <c r="AG46" i="13" s="1"/>
  <c r="AE40" i="13"/>
  <c r="AE46" i="13" s="1"/>
  <c r="H14" i="14"/>
  <c r="M14" i="14"/>
  <c r="M16" i="14" s="1"/>
  <c r="J14" i="14"/>
  <c r="F14" i="14"/>
  <c r="L14" i="14"/>
  <c r="L31" i="14" s="1"/>
  <c r="AP32" i="13"/>
  <c r="AO32" i="13"/>
  <c r="AN32" i="13"/>
  <c r="AM32" i="13"/>
  <c r="G26" i="14"/>
  <c r="G16" i="14"/>
  <c r="G31" i="14"/>
  <c r="BH25" i="46"/>
  <c r="BH26" i="46" s="1"/>
  <c r="BH31" i="13"/>
  <c r="BH32" i="13" s="1"/>
  <c r="BT29" i="46"/>
  <c r="BT35" i="13"/>
  <c r="BN29" i="46"/>
  <c r="BN35" i="13"/>
  <c r="BO35" i="13"/>
  <c r="BO29" i="46"/>
  <c r="AD40" i="13"/>
  <c r="AD46" i="13" s="1"/>
  <c r="E14" i="14"/>
  <c r="E16" i="14" s="1"/>
  <c r="BB25" i="46"/>
  <c r="BB26" i="46" s="1"/>
  <c r="BB31" i="13"/>
  <c r="BB32" i="13" s="1"/>
  <c r="BS29" i="46"/>
  <c r="BS35" i="13"/>
  <c r="BD27" i="46"/>
  <c r="BD28" i="46" s="1"/>
  <c r="BD33" i="13"/>
  <c r="BD34" i="13" s="1"/>
  <c r="BG25" i="46"/>
  <c r="BG26" i="46" s="1"/>
  <c r="BG31" i="13"/>
  <c r="BG32" i="13" s="1"/>
  <c r="AU33" i="13"/>
  <c r="AU34" i="13" s="1"/>
  <c r="AU27" i="46"/>
  <c r="AU28" i="46" s="1"/>
  <c r="AZ27" i="46"/>
  <c r="AZ28" i="46" s="1"/>
  <c r="AZ33" i="13"/>
  <c r="AZ34" i="13" s="1"/>
  <c r="AY25" i="46"/>
  <c r="AY26" i="46" s="1"/>
  <c r="AY31" i="13"/>
  <c r="AY32" i="13" s="1"/>
  <c r="BC25" i="46"/>
  <c r="BC26" i="46" s="1"/>
  <c r="BC31" i="13"/>
  <c r="BC32" i="13" s="1"/>
  <c r="BD25" i="46"/>
  <c r="BD26" i="46" s="1"/>
  <c r="BD31" i="13"/>
  <c r="BD32" i="13" s="1"/>
  <c r="AW33" i="13"/>
  <c r="AW34" i="13" s="1"/>
  <c r="AW27" i="46"/>
  <c r="AW28" i="46" s="1"/>
  <c r="BP29" i="46"/>
  <c r="BP35" i="13"/>
  <c r="AX27" i="46"/>
  <c r="AX28" i="46" s="1"/>
  <c r="AX33" i="13"/>
  <c r="AX34" i="13" s="1"/>
  <c r="BU29" i="46"/>
  <c r="BU35" i="13"/>
  <c r="BF31" i="13"/>
  <c r="BF32" i="13" s="1"/>
  <c r="BF25" i="46"/>
  <c r="BF26" i="46" s="1"/>
  <c r="AY33" i="13"/>
  <c r="AY34" i="13" s="1"/>
  <c r="AY27" i="46"/>
  <c r="AY28" i="46" s="1"/>
  <c r="BR35" i="13"/>
  <c r="BR29" i="46"/>
  <c r="BM29" i="46"/>
  <c r="BM35" i="13"/>
  <c r="BL29" i="46"/>
  <c r="BL35" i="13"/>
  <c r="BA31" i="13"/>
  <c r="BA32" i="13" s="1"/>
  <c r="BA25" i="46"/>
  <c r="BA26" i="46" s="1"/>
  <c r="BA33" i="13"/>
  <c r="BA34" i="13" s="1"/>
  <c r="BA27" i="46"/>
  <c r="BA28" i="46" s="1"/>
  <c r="BQ29" i="46"/>
  <c r="BQ35" i="13"/>
  <c r="BI25" i="46"/>
  <c r="BI26" i="46" s="1"/>
  <c r="BI31" i="13"/>
  <c r="BI32" i="13" s="1"/>
  <c r="BH27" i="46"/>
  <c r="BH28" i="46" s="1"/>
  <c r="BH33" i="13"/>
  <c r="BH34" i="13" s="1"/>
  <c r="AS33" i="13"/>
  <c r="AS34" i="13" s="1"/>
  <c r="AS27" i="46"/>
  <c r="AS28" i="46" s="1"/>
  <c r="BB33" i="13"/>
  <c r="BB34" i="13" s="1"/>
  <c r="BB27" i="46"/>
  <c r="BB28" i="46" s="1"/>
  <c r="BE25" i="46"/>
  <c r="BE26" i="46" s="1"/>
  <c r="BE31" i="13"/>
  <c r="BE32" i="13" s="1"/>
  <c r="AZ25" i="46"/>
  <c r="AZ26" i="46" s="1"/>
  <c r="AZ31" i="13"/>
  <c r="AZ32" i="13" s="1"/>
  <c r="BV29" i="46"/>
  <c r="BV35" i="13"/>
  <c r="AQ33" i="13"/>
  <c r="AQ34" i="13" s="1"/>
  <c r="AQ27" i="46"/>
  <c r="AQ28" i="46" s="1"/>
  <c r="BF33" i="13"/>
  <c r="BF34" i="13" s="1"/>
  <c r="BF27" i="46"/>
  <c r="BF28" i="46" s="1"/>
  <c r="BJ31" i="13"/>
  <c r="BJ32" i="13" s="1"/>
  <c r="BJ25" i="46"/>
  <c r="BJ26" i="46" s="1"/>
  <c r="CI29" i="46"/>
  <c r="CI35" i="13"/>
  <c r="BW38" i="13"/>
  <c r="BW32" i="46"/>
  <c r="CP24" i="4"/>
  <c r="DP24" i="4"/>
  <c r="H8" i="11"/>
  <c r="H4" i="44" s="1"/>
  <c r="H90" i="11"/>
  <c r="GO22" i="13"/>
  <c r="HK19" i="7"/>
  <c r="R22" i="46"/>
  <c r="GN22" i="13"/>
  <c r="R22" i="23"/>
  <c r="GO19" i="26"/>
  <c r="GP19" i="23"/>
  <c r="R22" i="7"/>
  <c r="GN19" i="23"/>
  <c r="GU19" i="23"/>
  <c r="GU19" i="26"/>
  <c r="GR22" i="13"/>
  <c r="GH19" i="26"/>
  <c r="HP19" i="7"/>
  <c r="AR26" i="4"/>
  <c r="AO9" i="45"/>
  <c r="AO9" i="34"/>
  <c r="AO9" i="33"/>
  <c r="HZ16" i="46"/>
  <c r="HZ16" i="23"/>
  <c r="HZ16" i="26"/>
  <c r="IN9" i="4"/>
  <c r="HZ19" i="13"/>
  <c r="HZ16" i="7"/>
  <c r="HJ17" i="23"/>
  <c r="HJ18" i="23"/>
  <c r="HO17" i="26"/>
  <c r="HO18" i="26"/>
  <c r="GZ18" i="23"/>
  <c r="GZ17" i="23"/>
  <c r="GZ19" i="23" s="1"/>
  <c r="HA17" i="7"/>
  <c r="HA18" i="7"/>
  <c r="IA20" i="13"/>
  <c r="IA22" i="13" s="1"/>
  <c r="IA21" i="13"/>
  <c r="HI18" i="46"/>
  <c r="HI17" i="46"/>
  <c r="HY9" i="4"/>
  <c r="HK16" i="46"/>
  <c r="HK19" i="13"/>
  <c r="HK16" i="23"/>
  <c r="HK16" i="26"/>
  <c r="HK16" i="7"/>
  <c r="IB18" i="23"/>
  <c r="IB17" i="23"/>
  <c r="IB19" i="23" s="1"/>
  <c r="HW18" i="26"/>
  <c r="HW17" i="26"/>
  <c r="HW19" i="26" s="1"/>
  <c r="HU16" i="46"/>
  <c r="HU16" i="7"/>
  <c r="II9" i="4"/>
  <c r="HU16" i="23"/>
  <c r="HU19" i="13"/>
  <c r="HU16" i="26"/>
  <c r="HT19" i="46"/>
  <c r="GO19" i="46"/>
  <c r="HJ19" i="46"/>
  <c r="GU19" i="7"/>
  <c r="HB18" i="7"/>
  <c r="HB17" i="7"/>
  <c r="HB19" i="7" s="1"/>
  <c r="IB18" i="26"/>
  <c r="IB17" i="26"/>
  <c r="IB19" i="26" s="1"/>
  <c r="HW17" i="7"/>
  <c r="HW18" i="7"/>
  <c r="HJ17" i="7"/>
  <c r="HJ18" i="7"/>
  <c r="GH19" i="7"/>
  <c r="HJ22" i="13"/>
  <c r="HA21" i="13"/>
  <c r="HA20" i="13"/>
  <c r="HA22" i="13" s="1"/>
  <c r="IA18" i="46"/>
  <c r="IA17" i="46"/>
  <c r="IA19" i="46" s="1"/>
  <c r="GJ19" i="7"/>
  <c r="HV21" i="13"/>
  <c r="HV20" i="13"/>
  <c r="GW22" i="13"/>
  <c r="HF18" i="46"/>
  <c r="HF17" i="46"/>
  <c r="HF19" i="46" s="1"/>
  <c r="HU19" i="23"/>
  <c r="HB17" i="26"/>
  <c r="HB18" i="26"/>
  <c r="HB18" i="23"/>
  <c r="HB17" i="23"/>
  <c r="GJ19" i="26"/>
  <c r="GG19" i="46"/>
  <c r="GV17" i="23"/>
  <c r="GV18" i="23"/>
  <c r="IG18" i="26"/>
  <c r="IG17" i="26"/>
  <c r="IG19" i="26" s="1"/>
  <c r="HU19" i="26"/>
  <c r="HC19" i="7"/>
  <c r="GS20" i="13"/>
  <c r="GS21" i="13"/>
  <c r="GI22" i="13"/>
  <c r="HA18" i="46"/>
  <c r="HA17" i="46"/>
  <c r="HA19" i="46" s="1"/>
  <c r="GO19" i="7"/>
  <c r="HC19" i="23"/>
  <c r="HK19" i="26"/>
  <c r="HE17" i="7"/>
  <c r="HE18" i="7"/>
  <c r="HG16" i="46"/>
  <c r="HU9" i="4"/>
  <c r="HG16" i="23"/>
  <c r="HG16" i="7"/>
  <c r="HG16" i="26"/>
  <c r="HG19" i="13"/>
  <c r="IF17" i="46"/>
  <c r="IF18" i="46"/>
  <c r="GS17" i="46"/>
  <c r="GS18" i="46"/>
  <c r="S22" i="46"/>
  <c r="GH19" i="23"/>
  <c r="S22" i="23" s="1"/>
  <c r="IM16" i="46"/>
  <c r="IM19" i="13"/>
  <c r="HM16" i="46"/>
  <c r="HM19" i="13"/>
  <c r="IA9" i="4"/>
  <c r="HM16" i="26"/>
  <c r="HM16" i="23"/>
  <c r="HM16" i="7"/>
  <c r="HE18" i="23"/>
  <c r="HE17" i="23"/>
  <c r="HE19" i="23" s="1"/>
  <c r="GU17" i="46"/>
  <c r="GU18" i="46"/>
  <c r="GM22" i="13"/>
  <c r="HE16" i="23"/>
  <c r="HE19" i="13"/>
  <c r="HE16" i="26"/>
  <c r="HS9" i="4"/>
  <c r="HE16" i="7"/>
  <c r="HE16" i="46"/>
  <c r="HK19" i="23"/>
  <c r="HJ18" i="26"/>
  <c r="HJ17" i="26"/>
  <c r="HJ19" i="26" s="1"/>
  <c r="HZ9" i="4"/>
  <c r="HL16" i="46"/>
  <c r="HL16" i="23"/>
  <c r="HL16" i="26"/>
  <c r="HL19" i="13"/>
  <c r="HL16" i="7"/>
  <c r="HI21" i="13"/>
  <c r="HI20" i="13"/>
  <c r="HI22" i="13" s="1"/>
  <c r="GJ19" i="23"/>
  <c r="GV18" i="7"/>
  <c r="GV17" i="7"/>
  <c r="GT22" i="13"/>
  <c r="HD20" i="13"/>
  <c r="HD21" i="13"/>
  <c r="GR19" i="46"/>
  <c r="HG18" i="7"/>
  <c r="HG17" i="7"/>
  <c r="HA18" i="26"/>
  <c r="HA17" i="26"/>
  <c r="HA19" i="26" s="1"/>
  <c r="GN19" i="26"/>
  <c r="GY17" i="46"/>
  <c r="GY18" i="46"/>
  <c r="HW17" i="23"/>
  <c r="HW18" i="23"/>
  <c r="GU20" i="13"/>
  <c r="GU21" i="13"/>
  <c r="HP19" i="26"/>
  <c r="IG17" i="23"/>
  <c r="IG18" i="23"/>
  <c r="GT17" i="7"/>
  <c r="GT18" i="7"/>
  <c r="HO17" i="7"/>
  <c r="HO18" i="7"/>
  <c r="HE18" i="26"/>
  <c r="HE17" i="26"/>
  <c r="HE19" i="26" s="1"/>
  <c r="HR16" i="46"/>
  <c r="IF9" i="4"/>
  <c r="HR16" i="26"/>
  <c r="HR16" i="7"/>
  <c r="HR19" i="13"/>
  <c r="HR16" i="23"/>
  <c r="HA18" i="23"/>
  <c r="HA17" i="23"/>
  <c r="GZ17" i="7"/>
  <c r="GZ18" i="7"/>
  <c r="HG18" i="23"/>
  <c r="HG17" i="23"/>
  <c r="HG19" i="23" s="1"/>
  <c r="GP19" i="7"/>
  <c r="HN17" i="46"/>
  <c r="HN18" i="46"/>
  <c r="IG18" i="7"/>
  <c r="IG17" i="7"/>
  <c r="IG19" i="7" s="1"/>
  <c r="GT18" i="26"/>
  <c r="GT17" i="26"/>
  <c r="HV18" i="46"/>
  <c r="HV17" i="46"/>
  <c r="IH19" i="13"/>
  <c r="IH16" i="23"/>
  <c r="IH16" i="26"/>
  <c r="IH16" i="46"/>
  <c r="IH16" i="7"/>
  <c r="IF21" i="13"/>
  <c r="IF20" i="13"/>
  <c r="GT18" i="23"/>
  <c r="GT17" i="23"/>
  <c r="GT19" i="23" s="1"/>
  <c r="GX19" i="7"/>
  <c r="HO17" i="23"/>
  <c r="HO18" i="23"/>
  <c r="HP16" i="46"/>
  <c r="HP16" i="7"/>
  <c r="HP16" i="26"/>
  <c r="HP16" i="23"/>
  <c r="HP19" i="13"/>
  <c r="ID9" i="4"/>
  <c r="GZ17" i="26"/>
  <c r="GZ18" i="26"/>
  <c r="R22" i="26"/>
  <c r="GP19" i="26"/>
  <c r="HB19" i="46"/>
  <c r="HG18" i="26"/>
  <c r="HG17" i="26"/>
  <c r="HG19" i="26" s="1"/>
  <c r="HO22" i="13"/>
  <c r="GZ20" i="13"/>
  <c r="GZ21" i="13"/>
  <c r="IB18" i="7"/>
  <c r="IB17" i="7"/>
  <c r="GV18" i="26"/>
  <c r="GV17" i="26"/>
  <c r="X46" i="13"/>
  <c r="X47" i="13" s="1"/>
  <c r="Y47" i="13" s="1"/>
  <c r="Z47" i="13" s="1"/>
  <c r="HN21" i="13"/>
  <c r="HN20" i="13"/>
  <c r="HD17" i="46"/>
  <c r="HD18" i="46"/>
  <c r="GY21" i="13"/>
  <c r="GY20" i="13"/>
  <c r="GY22" i="13" s="1"/>
  <c r="GW19" i="46"/>
  <c r="HF20" i="13"/>
  <c r="HF21" i="13"/>
  <c r="GS19" i="26"/>
  <c r="GZ17" i="46"/>
  <c r="GZ18" i="46"/>
  <c r="GS19" i="7"/>
  <c r="HT22" i="13"/>
  <c r="AA46" i="13"/>
  <c r="AL40" i="13"/>
  <c r="AL46" i="13" s="1"/>
  <c r="AI40" i="13"/>
  <c r="AI46" i="13" s="1"/>
  <c r="BE27" i="26"/>
  <c r="BE28" i="26" s="1"/>
  <c r="BE27" i="7"/>
  <c r="BE28" i="7" s="1"/>
  <c r="BR14" i="4"/>
  <c r="BE27" i="23"/>
  <c r="BE28" i="23" s="1"/>
  <c r="BP14" i="4"/>
  <c r="BC27" i="26"/>
  <c r="BC28" i="26" s="1"/>
  <c r="BC27" i="7"/>
  <c r="BC28" i="7" s="1"/>
  <c r="BC27" i="23"/>
  <c r="BC28" i="23" s="1"/>
  <c r="BN13" i="4"/>
  <c r="BA25" i="23"/>
  <c r="BA26" i="23" s="1"/>
  <c r="BA25" i="7"/>
  <c r="BA26" i="7" s="1"/>
  <c r="BA25" i="26"/>
  <c r="BA26" i="26" s="1"/>
  <c r="AZ25" i="26"/>
  <c r="AZ26" i="26" s="1"/>
  <c r="AZ25" i="23"/>
  <c r="AZ26" i="23" s="1"/>
  <c r="AZ25" i="7"/>
  <c r="AZ26" i="7" s="1"/>
  <c r="BM13" i="4"/>
  <c r="BI14" i="4"/>
  <c r="AV27" i="23"/>
  <c r="AV28" i="23" s="1"/>
  <c r="AV27" i="7"/>
  <c r="AV28" i="7" s="1"/>
  <c r="AV27" i="26"/>
  <c r="AV28" i="26" s="1"/>
  <c r="AZ27" i="7"/>
  <c r="AZ28" i="7" s="1"/>
  <c r="AZ27" i="23"/>
  <c r="AZ28" i="23" s="1"/>
  <c r="AZ27" i="26"/>
  <c r="AZ28" i="26" s="1"/>
  <c r="BM14" i="4"/>
  <c r="BT14" i="4"/>
  <c r="BG27" i="26"/>
  <c r="BG28" i="26" s="1"/>
  <c r="BG27" i="23"/>
  <c r="BG28" i="23" s="1"/>
  <c r="BG27" i="7"/>
  <c r="BG28" i="7" s="1"/>
  <c r="BN29" i="23"/>
  <c r="BN29" i="26"/>
  <c r="CA15" i="4"/>
  <c r="BN29" i="7"/>
  <c r="BU29" i="26"/>
  <c r="CH15" i="4"/>
  <c r="BU29" i="23"/>
  <c r="BU29" i="7"/>
  <c r="BW13" i="4"/>
  <c r="BJ25" i="23"/>
  <c r="BJ26" i="23" s="1"/>
  <c r="BJ25" i="7"/>
  <c r="BJ26" i="7" s="1"/>
  <c r="BJ25" i="26"/>
  <c r="BJ26" i="26" s="1"/>
  <c r="L4" i="30" a="1"/>
  <c r="BB27" i="23"/>
  <c r="BB28" i="23" s="1"/>
  <c r="BO14" i="4"/>
  <c r="BB27" i="26"/>
  <c r="BB28" i="26" s="1"/>
  <c r="BB27" i="7"/>
  <c r="BB28" i="7" s="1"/>
  <c r="BV29" i="7"/>
  <c r="CI15" i="4"/>
  <c r="BV29" i="23"/>
  <c r="BV29" i="26"/>
  <c r="BS29" i="26"/>
  <c r="BS29" i="7"/>
  <c r="BS29" i="23"/>
  <c r="CF15" i="4"/>
  <c r="BT29" i="7"/>
  <c r="BT29" i="23"/>
  <c r="BT29" i="26"/>
  <c r="CG15" i="4"/>
  <c r="BR29" i="7"/>
  <c r="BR29" i="23"/>
  <c r="CE15" i="4"/>
  <c r="BR29" i="26"/>
  <c r="BZ25" i="4"/>
  <c r="L2" i="30" a="1"/>
  <c r="BU13" i="4"/>
  <c r="BH25" i="26"/>
  <c r="BH26" i="26" s="1"/>
  <c r="BH25" i="7"/>
  <c r="BH26" i="7" s="1"/>
  <c r="BH25" i="23"/>
  <c r="BH26" i="23" s="1"/>
  <c r="BE14" i="4"/>
  <c r="AR27" i="23"/>
  <c r="AR28" i="23" s="1"/>
  <c r="AR27" i="7"/>
  <c r="AR28" i="7" s="1"/>
  <c r="AR27" i="26"/>
  <c r="AR28" i="26" s="1"/>
  <c r="BE25" i="7"/>
  <c r="BE26" i="7" s="1"/>
  <c r="BE25" i="26"/>
  <c r="BE26" i="26" s="1"/>
  <c r="BR13" i="4"/>
  <c r="BE25" i="23"/>
  <c r="BE26" i="23" s="1"/>
  <c r="AJ40" i="13"/>
  <c r="AJ46" i="13" s="1"/>
  <c r="AY27" i="23"/>
  <c r="AY28" i="23" s="1"/>
  <c r="AY27" i="26"/>
  <c r="AY28" i="26" s="1"/>
  <c r="AY27" i="7"/>
  <c r="AY28" i="7" s="1"/>
  <c r="BL14" i="4"/>
  <c r="BO29" i="23"/>
  <c r="CB15" i="4"/>
  <c r="BO29" i="7"/>
  <c r="BO29" i="26"/>
  <c r="BB25" i="7"/>
  <c r="BB26" i="7" s="1"/>
  <c r="BB25" i="26"/>
  <c r="BB26" i="26" s="1"/>
  <c r="BB25" i="23"/>
  <c r="BB26" i="23" s="1"/>
  <c r="BO13" i="4"/>
  <c r="CD15" i="4"/>
  <c r="BQ29" i="23"/>
  <c r="BQ29" i="26"/>
  <c r="BQ29" i="7"/>
  <c r="BA27" i="23"/>
  <c r="BA28" i="23" s="1"/>
  <c r="BN14" i="4"/>
  <c r="BA27" i="7"/>
  <c r="BA28" i="7" s="1"/>
  <c r="BA27" i="26"/>
  <c r="BA28" i="26" s="1"/>
  <c r="BQ13" i="4"/>
  <c r="BD25" i="26"/>
  <c r="BD26" i="26" s="1"/>
  <c r="BD25" i="7"/>
  <c r="BD26" i="7" s="1"/>
  <c r="BD25" i="23"/>
  <c r="BD26" i="23" s="1"/>
  <c r="BI25" i="7"/>
  <c r="BI26" i="7" s="1"/>
  <c r="BI25" i="26"/>
  <c r="BI26" i="26" s="1"/>
  <c r="BV13" i="4"/>
  <c r="BI25" i="23"/>
  <c r="BI26" i="23" s="1"/>
  <c r="I16" i="14"/>
  <c r="I31" i="14"/>
  <c r="I26" i="14"/>
  <c r="BZ15" i="4"/>
  <c r="BM29" i="23"/>
  <c r="BM29" i="26"/>
  <c r="BM29" i="7"/>
  <c r="K31" i="14"/>
  <c r="K16" i="14"/>
  <c r="K26" i="14"/>
  <c r="BF25" i="23"/>
  <c r="BF26" i="23" s="1"/>
  <c r="BF25" i="7"/>
  <c r="BF26" i="7" s="1"/>
  <c r="BS13" i="4"/>
  <c r="BF25" i="26"/>
  <c r="BF26" i="26" s="1"/>
  <c r="L3" i="30" a="1"/>
  <c r="BI27" i="23"/>
  <c r="BI28" i="23" s="1"/>
  <c r="BV14" i="4"/>
  <c r="BI27" i="7"/>
  <c r="BI28" i="7" s="1"/>
  <c r="BI27" i="26"/>
  <c r="BI28" i="26" s="1"/>
  <c r="BK25" i="26"/>
  <c r="BK26" i="26" s="1"/>
  <c r="BX13" i="4"/>
  <c r="BK25" i="7"/>
  <c r="BK26" i="7" s="1"/>
  <c r="BK25" i="23"/>
  <c r="BK26" i="23" s="1"/>
  <c r="BG25" i="7"/>
  <c r="BG26" i="7" s="1"/>
  <c r="BG25" i="23"/>
  <c r="BG26" i="23" s="1"/>
  <c r="BG25" i="26"/>
  <c r="BG26" i="26" s="1"/>
  <c r="BT13" i="4"/>
  <c r="BW29" i="23"/>
  <c r="BW29" i="26"/>
  <c r="BW29" i="7"/>
  <c r="CJ15" i="4"/>
  <c r="AT27" i="26"/>
  <c r="AT28" i="26" s="1"/>
  <c r="AT27" i="7"/>
  <c r="AT28" i="7" s="1"/>
  <c r="AT27" i="23"/>
  <c r="AT28" i="23" s="1"/>
  <c r="BG14" i="4"/>
  <c r="BP29" i="26"/>
  <c r="CC15" i="4"/>
  <c r="BP29" i="23"/>
  <c r="BP29" i="7"/>
  <c r="AF40" i="13"/>
  <c r="AH40" i="13"/>
  <c r="AH46" i="13" s="1"/>
  <c r="L5" i="30" a="1"/>
  <c r="BK14" i="4"/>
  <c r="AX27" i="26"/>
  <c r="AX28" i="26" s="1"/>
  <c r="AX27" i="7"/>
  <c r="AX28" i="7" s="1"/>
  <c r="AX27" i="23"/>
  <c r="AX28" i="23" s="1"/>
  <c r="BC25" i="23"/>
  <c r="BC26" i="23" s="1"/>
  <c r="BC25" i="7"/>
  <c r="BC26" i="7" s="1"/>
  <c r="BP13" i="4"/>
  <c r="BC25" i="26"/>
  <c r="BC26" i="26" s="1"/>
  <c r="CW15" i="4"/>
  <c r="CJ29" i="23"/>
  <c r="CJ29" i="7"/>
  <c r="CJ29" i="26"/>
  <c r="H26" i="14" l="1"/>
  <c r="H16" i="14"/>
  <c r="H19" i="14" s="1"/>
  <c r="H31" i="14"/>
  <c r="H32" i="14" s="1"/>
  <c r="J16" i="14"/>
  <c r="J31" i="14"/>
  <c r="J26" i="14"/>
  <c r="F26" i="14"/>
  <c r="F31" i="14"/>
  <c r="F16" i="14"/>
  <c r="Q14" i="14"/>
  <c r="Q31" i="14" s="1"/>
  <c r="AP40" i="13"/>
  <c r="AP46" i="13" s="1"/>
  <c r="Q26" i="14"/>
  <c r="Q16" i="14"/>
  <c r="P14" i="14"/>
  <c r="AO40" i="13"/>
  <c r="AO46" i="13" s="1"/>
  <c r="AN40" i="13"/>
  <c r="AN46" i="13" s="1"/>
  <c r="O14" i="14"/>
  <c r="AM40" i="13"/>
  <c r="AM46" i="13" s="1"/>
  <c r="N14" i="14"/>
  <c r="G19" i="14"/>
  <c r="G17" i="14"/>
  <c r="G33" i="14"/>
  <c r="G32" i="14"/>
  <c r="BP33" i="13"/>
  <c r="BP34" i="13" s="1"/>
  <c r="BP27" i="46"/>
  <c r="BP28" i="46" s="1"/>
  <c r="BN33" i="13"/>
  <c r="BN34" i="13" s="1"/>
  <c r="BN27" i="46"/>
  <c r="BN28" i="46" s="1"/>
  <c r="BL25" i="46"/>
  <c r="BL26" i="46" s="1"/>
  <c r="BL31" i="13"/>
  <c r="BL32" i="13" s="1"/>
  <c r="BK25" i="46"/>
  <c r="BK26" i="46" s="1"/>
  <c r="BK31" i="13"/>
  <c r="BK32" i="13" s="1"/>
  <c r="BG33" i="13"/>
  <c r="BG34" i="13" s="1"/>
  <c r="BG27" i="46"/>
  <c r="BG28" i="46" s="1"/>
  <c r="BK33" i="13"/>
  <c r="BK34" i="13" s="1"/>
  <c r="BK27" i="46"/>
  <c r="BK28" i="46" s="1"/>
  <c r="BR33" i="13"/>
  <c r="BR34" i="13" s="1"/>
  <c r="BR27" i="46"/>
  <c r="BR28" i="46" s="1"/>
  <c r="BY29" i="46"/>
  <c r="BY35" i="13"/>
  <c r="CF29" i="46"/>
  <c r="CF35" i="13"/>
  <c r="BU25" i="46"/>
  <c r="BU26" i="46" s="1"/>
  <c r="BU31" i="13"/>
  <c r="BU32" i="13" s="1"/>
  <c r="BM33" i="13"/>
  <c r="BM34" i="13" s="1"/>
  <c r="BM27" i="46"/>
  <c r="BM28" i="46" s="1"/>
  <c r="CG35" i="13"/>
  <c r="CG29" i="46"/>
  <c r="CD29" i="46"/>
  <c r="CD35" i="13"/>
  <c r="CE29" i="46"/>
  <c r="CE35" i="13"/>
  <c r="CC29" i="46"/>
  <c r="CC35" i="13"/>
  <c r="BS31" i="13"/>
  <c r="BS32" i="13" s="1"/>
  <c r="BS25" i="46"/>
  <c r="BS26" i="46" s="1"/>
  <c r="BC27" i="46"/>
  <c r="BC28" i="46" s="1"/>
  <c r="BC33" i="13"/>
  <c r="BC34" i="13" s="1"/>
  <c r="BP25" i="46"/>
  <c r="BP26" i="46" s="1"/>
  <c r="BP31" i="13"/>
  <c r="BP32" i="13" s="1"/>
  <c r="BJ27" i="46"/>
  <c r="BJ28" i="46" s="1"/>
  <c r="BJ33" i="13"/>
  <c r="BJ34" i="13" s="1"/>
  <c r="BZ29" i="46"/>
  <c r="BZ35" i="13"/>
  <c r="BM25" i="46"/>
  <c r="BM26" i="46" s="1"/>
  <c r="BM31" i="13"/>
  <c r="BM32" i="13" s="1"/>
  <c r="CB29" i="46"/>
  <c r="CB35" i="13"/>
  <c r="BL33" i="13"/>
  <c r="BL34" i="13" s="1"/>
  <c r="BL27" i="46"/>
  <c r="BL28" i="46" s="1"/>
  <c r="BO25" i="46"/>
  <c r="BO26" i="46" s="1"/>
  <c r="BO31" i="13"/>
  <c r="BO32" i="13" s="1"/>
  <c r="BT31" i="13"/>
  <c r="BT32" i="13" s="1"/>
  <c r="BT25" i="46"/>
  <c r="BT26" i="46" s="1"/>
  <c r="BX29" i="46"/>
  <c r="BX35" i="13"/>
  <c r="BQ25" i="46"/>
  <c r="BQ26" i="46" s="1"/>
  <c r="BQ31" i="13"/>
  <c r="BQ32" i="13" s="1"/>
  <c r="BT27" i="46"/>
  <c r="BT28" i="46" s="1"/>
  <c r="BT33" i="13"/>
  <c r="BT34" i="13" s="1"/>
  <c r="BV31" i="13"/>
  <c r="BV32" i="13" s="1"/>
  <c r="BV25" i="46"/>
  <c r="BV26" i="46" s="1"/>
  <c r="BR31" i="13"/>
  <c r="BR32" i="13" s="1"/>
  <c r="BR25" i="46"/>
  <c r="BR26" i="46" s="1"/>
  <c r="CH29" i="46"/>
  <c r="CH35" i="13"/>
  <c r="BE33" i="13"/>
  <c r="BE34" i="13" s="1"/>
  <c r="BE27" i="46"/>
  <c r="BE28" i="46" s="1"/>
  <c r="CA35" i="13"/>
  <c r="CA29" i="46"/>
  <c r="BI27" i="46"/>
  <c r="BI28" i="46" s="1"/>
  <c r="BI33" i="13"/>
  <c r="BI34" i="13" s="1"/>
  <c r="BN25" i="46"/>
  <c r="BN26" i="46" s="1"/>
  <c r="BN31" i="13"/>
  <c r="BN32" i="13" s="1"/>
  <c r="CU29" i="46"/>
  <c r="CU35" i="13"/>
  <c r="BX38" i="13"/>
  <c r="BX32" i="46"/>
  <c r="H17" i="14"/>
  <c r="H33" i="14"/>
  <c r="CS24" i="4"/>
  <c r="AU22" i="4"/>
  <c r="BK22" i="4"/>
  <c r="CA22" i="4"/>
  <c r="AW22" i="4"/>
  <c r="BM22" i="4"/>
  <c r="AH22" i="4"/>
  <c r="BN22" i="4"/>
  <c r="AL22" i="4"/>
  <c r="BB22" i="4"/>
  <c r="BR22" i="4"/>
  <c r="CH22" i="4"/>
  <c r="AV22" i="4"/>
  <c r="BL22" i="4"/>
  <c r="CB22" i="4"/>
  <c r="AG22" i="4"/>
  <c r="CC22" i="4"/>
  <c r="AX22" i="4"/>
  <c r="CD22" i="4"/>
  <c r="AI22" i="4"/>
  <c r="AY22" i="4"/>
  <c r="BO22" i="4"/>
  <c r="CE22" i="4"/>
  <c r="AJ22" i="4"/>
  <c r="AZ22" i="4"/>
  <c r="BP22" i="4"/>
  <c r="CF22" i="4"/>
  <c r="AK22" i="4"/>
  <c r="BA22" i="4"/>
  <c r="BQ22" i="4"/>
  <c r="CG22" i="4"/>
  <c r="AM22" i="4"/>
  <c r="BC22" i="4"/>
  <c r="BS22" i="4"/>
  <c r="CI22" i="4"/>
  <c r="AN22" i="4"/>
  <c r="BD22" i="4"/>
  <c r="BT22" i="4"/>
  <c r="CJ22" i="4"/>
  <c r="AO22" i="4"/>
  <c r="BY22" i="4"/>
  <c r="AP22" i="4"/>
  <c r="BZ22" i="4"/>
  <c r="BF22" i="4"/>
  <c r="AQ22" i="4"/>
  <c r="CK22" i="4"/>
  <c r="BG22" i="4"/>
  <c r="AR22" i="4"/>
  <c r="CL22" i="4"/>
  <c r="AS22" i="4"/>
  <c r="CM22" i="4"/>
  <c r="AT22" i="4"/>
  <c r="BE22" i="4"/>
  <c r="BH22" i="4"/>
  <c r="BI22" i="4"/>
  <c r="BJ22" i="4"/>
  <c r="BU22" i="4"/>
  <c r="BV22" i="4"/>
  <c r="BW22" i="4"/>
  <c r="BX22" i="4"/>
  <c r="AN21" i="4"/>
  <c r="BD21" i="4"/>
  <c r="BT21" i="4"/>
  <c r="CJ21" i="4"/>
  <c r="AP21" i="4"/>
  <c r="BV21" i="4"/>
  <c r="AQ21" i="4"/>
  <c r="BW21" i="4"/>
  <c r="AU21" i="4"/>
  <c r="BK21" i="4"/>
  <c r="CA21" i="4"/>
  <c r="AO21" i="4"/>
  <c r="BE21" i="4"/>
  <c r="BU21" i="4"/>
  <c r="CK21" i="4"/>
  <c r="BF21" i="4"/>
  <c r="CL21" i="4"/>
  <c r="BG21" i="4"/>
  <c r="CM21" i="4"/>
  <c r="AR21" i="4"/>
  <c r="BH21" i="4"/>
  <c r="BX21" i="4"/>
  <c r="AS21" i="4"/>
  <c r="BI21" i="4"/>
  <c r="BY21" i="4"/>
  <c r="AT21" i="4"/>
  <c r="BJ21" i="4"/>
  <c r="BZ21" i="4"/>
  <c r="AV21" i="4"/>
  <c r="BL21" i="4"/>
  <c r="CB21" i="4"/>
  <c r="AG21" i="4"/>
  <c r="AW21" i="4"/>
  <c r="BM21" i="4"/>
  <c r="CC21" i="4"/>
  <c r="AH21" i="4"/>
  <c r="AX21" i="4"/>
  <c r="BN21" i="4"/>
  <c r="CD21" i="4"/>
  <c r="AJ21" i="4"/>
  <c r="CG21" i="4"/>
  <c r="AI21" i="4"/>
  <c r="AK21" i="4"/>
  <c r="CH21" i="4"/>
  <c r="BB21" i="4"/>
  <c r="AL21" i="4"/>
  <c r="CI21" i="4"/>
  <c r="BC21" i="4"/>
  <c r="AM21" i="4"/>
  <c r="AY21" i="4"/>
  <c r="AZ21" i="4"/>
  <c r="BA21" i="4"/>
  <c r="BO21" i="4"/>
  <c r="BP21" i="4"/>
  <c r="BQ21" i="4"/>
  <c r="BR21" i="4"/>
  <c r="BS21" i="4"/>
  <c r="CE21" i="4"/>
  <c r="CF21" i="4"/>
  <c r="DS24" i="4"/>
  <c r="HO19" i="7"/>
  <c r="HE19" i="7"/>
  <c r="S22" i="26"/>
  <c r="IG19" i="23"/>
  <c r="HJ19" i="23"/>
  <c r="HN22" i="13"/>
  <c r="HA19" i="23"/>
  <c r="GT19" i="26"/>
  <c r="AP9" i="45"/>
  <c r="AP9" i="33"/>
  <c r="AQ40" i="13"/>
  <c r="AP9" i="34"/>
  <c r="AS26" i="4"/>
  <c r="GZ22" i="13"/>
  <c r="HU18" i="46"/>
  <c r="HU17" i="46"/>
  <c r="HU19" i="46" s="1"/>
  <c r="GY19" i="46"/>
  <c r="HF22" i="13"/>
  <c r="HN19" i="46"/>
  <c r="HM18" i="23"/>
  <c r="HM17" i="23"/>
  <c r="IF19" i="46"/>
  <c r="GS22" i="13"/>
  <c r="HO19" i="26"/>
  <c r="IF22" i="13"/>
  <c r="HG19" i="7"/>
  <c r="HL18" i="46"/>
  <c r="HL17" i="46"/>
  <c r="HG21" i="13"/>
  <c r="HG20" i="13"/>
  <c r="HG22" i="13" s="1"/>
  <c r="HV22" i="13"/>
  <c r="HL18" i="7"/>
  <c r="HL17" i="7"/>
  <c r="HL19" i="7" s="1"/>
  <c r="HS18" i="7"/>
  <c r="HS17" i="7"/>
  <c r="HS19" i="7" s="1"/>
  <c r="HF17" i="26"/>
  <c r="HF18" i="26"/>
  <c r="IG16" i="46"/>
  <c r="IG19" i="13"/>
  <c r="IG16" i="26"/>
  <c r="IG16" i="23"/>
  <c r="IG16" i="7"/>
  <c r="GZ19" i="46"/>
  <c r="HS17" i="26"/>
  <c r="HS18" i="26"/>
  <c r="HE21" i="13"/>
  <c r="HE20" i="13"/>
  <c r="HA19" i="7"/>
  <c r="HO19" i="23"/>
  <c r="HM17" i="7"/>
  <c r="HM18" i="7"/>
  <c r="HW19" i="7"/>
  <c r="S25" i="13"/>
  <c r="HN17" i="7"/>
  <c r="HN18" i="7"/>
  <c r="HH18" i="7"/>
  <c r="HH17" i="7"/>
  <c r="IA18" i="7"/>
  <c r="IA17" i="7"/>
  <c r="GT19" i="7"/>
  <c r="HN17" i="26"/>
  <c r="HN18" i="26"/>
  <c r="HH18" i="23"/>
  <c r="HH17" i="23"/>
  <c r="HH19" i="23" s="1"/>
  <c r="HZ21" i="13"/>
  <c r="HZ20" i="13"/>
  <c r="HZ22" i="13" s="1"/>
  <c r="GZ19" i="26"/>
  <c r="IH18" i="46"/>
  <c r="IH17" i="46"/>
  <c r="GZ19" i="7"/>
  <c r="HD22" i="13"/>
  <c r="HY16" i="46"/>
  <c r="HY19" i="13"/>
  <c r="IM9" i="4"/>
  <c r="HY16" i="7"/>
  <c r="HY16" i="26"/>
  <c r="HY16" i="23"/>
  <c r="HS16" i="46"/>
  <c r="HS16" i="7"/>
  <c r="HS16" i="26"/>
  <c r="IG9" i="4"/>
  <c r="HS19" i="13"/>
  <c r="HS16" i="23"/>
  <c r="HK18" i="46"/>
  <c r="HK17" i="46"/>
  <c r="IL16" i="46"/>
  <c r="IL19" i="13"/>
  <c r="HV17" i="7"/>
  <c r="HV18" i="7"/>
  <c r="ID16" i="26"/>
  <c r="ID19" i="13"/>
  <c r="ID16" i="46"/>
  <c r="ID16" i="23"/>
  <c r="ID16" i="7"/>
  <c r="HL20" i="13"/>
  <c r="HL21" i="13"/>
  <c r="HD19" i="46"/>
  <c r="HN17" i="23"/>
  <c r="HN19" i="23" s="1"/>
  <c r="HN18" i="23"/>
  <c r="HL17" i="23"/>
  <c r="HL18" i="23"/>
  <c r="HK20" i="13"/>
  <c r="HK21" i="13"/>
  <c r="IB16" i="26"/>
  <c r="IB16" i="7"/>
  <c r="IB19" i="13"/>
  <c r="IB16" i="23"/>
  <c r="IB16" i="46"/>
  <c r="HM20" i="13"/>
  <c r="HM21" i="13"/>
  <c r="HG18" i="46"/>
  <c r="HG17" i="46"/>
  <c r="HG19" i="46" s="1"/>
  <c r="GV19" i="23"/>
  <c r="IK9" i="4"/>
  <c r="HW16" i="46"/>
  <c r="HW19" i="13"/>
  <c r="HW16" i="23"/>
  <c r="HW16" i="7"/>
  <c r="HW16" i="26"/>
  <c r="IA17" i="26"/>
  <c r="IA18" i="26"/>
  <c r="HQ17" i="7"/>
  <c r="HQ18" i="7"/>
  <c r="HF18" i="23"/>
  <c r="HF17" i="23"/>
  <c r="HF19" i="23" s="1"/>
  <c r="HB19" i="26"/>
  <c r="GS19" i="46"/>
  <c r="T22" i="46" s="1"/>
  <c r="GU19" i="46"/>
  <c r="HX16" i="46"/>
  <c r="IL9" i="4"/>
  <c r="HX16" i="23"/>
  <c r="HX19" i="13"/>
  <c r="HX16" i="26"/>
  <c r="HX16" i="7"/>
  <c r="HH18" i="26"/>
  <c r="HH17" i="26"/>
  <c r="HL18" i="26"/>
  <c r="HL17" i="26"/>
  <c r="D47" i="26"/>
  <c r="D55" i="26"/>
  <c r="G50" i="13"/>
  <c r="G51" i="13" s="1"/>
  <c r="G52" i="13" s="1"/>
  <c r="GV19" i="26"/>
  <c r="T22" i="26" s="1"/>
  <c r="HP21" i="13"/>
  <c r="HP20" i="13"/>
  <c r="HP22" i="13" s="1"/>
  <c r="GV19" i="7"/>
  <c r="HE18" i="46"/>
  <c r="HE17" i="46"/>
  <c r="HM18" i="46"/>
  <c r="HM17" i="46"/>
  <c r="HV17" i="26"/>
  <c r="HV19" i="26" s="1"/>
  <c r="HV18" i="26"/>
  <c r="HI19" i="46"/>
  <c r="IA17" i="23"/>
  <c r="IA18" i="23"/>
  <c r="HW19" i="23"/>
  <c r="IM21" i="13"/>
  <c r="IM20" i="13"/>
  <c r="IM22" i="13" s="1"/>
  <c r="HP18" i="46"/>
  <c r="HP17" i="46"/>
  <c r="HJ19" i="7"/>
  <c r="HR18" i="46"/>
  <c r="HR17" i="46"/>
  <c r="HR19" i="46" s="1"/>
  <c r="HM18" i="26"/>
  <c r="HM17" i="26"/>
  <c r="HM19" i="26" s="1"/>
  <c r="HQ18" i="23"/>
  <c r="HQ17" i="23"/>
  <c r="IH20" i="13"/>
  <c r="IH21" i="13"/>
  <c r="HS17" i="23"/>
  <c r="HS18" i="23"/>
  <c r="HF17" i="7"/>
  <c r="HF18" i="7"/>
  <c r="HU21" i="13"/>
  <c r="HU20" i="13"/>
  <c r="HZ17" i="46"/>
  <c r="HZ18" i="46"/>
  <c r="IB19" i="7"/>
  <c r="HQ18" i="26"/>
  <c r="HQ17" i="26"/>
  <c r="HV19" i="46"/>
  <c r="HR21" i="13"/>
  <c r="HR20" i="13"/>
  <c r="GU22" i="13"/>
  <c r="HQ16" i="46"/>
  <c r="HQ16" i="7"/>
  <c r="IE9" i="4"/>
  <c r="HQ16" i="26"/>
  <c r="HQ16" i="23"/>
  <c r="HQ19" i="13"/>
  <c r="IM17" i="46"/>
  <c r="IM18" i="46"/>
  <c r="HB19" i="23"/>
  <c r="S22" i="7"/>
  <c r="HV18" i="23"/>
  <c r="HV17" i="23"/>
  <c r="M26" i="14"/>
  <c r="M31" i="14"/>
  <c r="M33" i="14" s="1"/>
  <c r="AA47" i="13"/>
  <c r="AB47" i="13" s="1"/>
  <c r="AC47" i="13" s="1"/>
  <c r="AD47" i="13" s="1"/>
  <c r="AE47" i="13" s="1"/>
  <c r="E43" i="13"/>
  <c r="L16" i="14"/>
  <c r="L19" i="14" s="1"/>
  <c r="E31" i="14"/>
  <c r="E33" i="14" s="1"/>
  <c r="E26" i="14"/>
  <c r="L26" i="14"/>
  <c r="AF46" i="13"/>
  <c r="BH27" i="23"/>
  <c r="BH28" i="23" s="1"/>
  <c r="BH27" i="7"/>
  <c r="BH28" i="7" s="1"/>
  <c r="BH27" i="26"/>
  <c r="BH28" i="26" s="1"/>
  <c r="BU14" i="4"/>
  <c r="BU25" i="26"/>
  <c r="BU26" i="26" s="1"/>
  <c r="CH13" i="4"/>
  <c r="BU25" i="7"/>
  <c r="BU26" i="7" s="1"/>
  <c r="BU25" i="23"/>
  <c r="BU26" i="23" s="1"/>
  <c r="BR25" i="23"/>
  <c r="BR26" i="23" s="1"/>
  <c r="BR25" i="7"/>
  <c r="BR26" i="7" s="1"/>
  <c r="CE13" i="4"/>
  <c r="BR25" i="26"/>
  <c r="BR26" i="26" s="1"/>
  <c r="M19" i="14"/>
  <c r="M17" i="14"/>
  <c r="CQ15" i="4"/>
  <c r="CD29" i="23"/>
  <c r="CD29" i="7"/>
  <c r="CD29" i="26"/>
  <c r="CB29" i="26"/>
  <c r="CB29" i="7"/>
  <c r="CB29" i="23"/>
  <c r="CO15" i="4"/>
  <c r="BW14" i="4"/>
  <c r="BJ27" i="7"/>
  <c r="BJ28" i="7" s="1"/>
  <c r="BJ27" i="26"/>
  <c r="BJ28" i="26" s="1"/>
  <c r="BJ27" i="23"/>
  <c r="BJ28" i="23" s="1"/>
  <c r="I32" i="14"/>
  <c r="I33" i="14"/>
  <c r="BM27" i="26"/>
  <c r="BM28" i="26" s="1"/>
  <c r="BM27" i="7"/>
  <c r="BM28" i="7" s="1"/>
  <c r="BM27" i="23"/>
  <c r="BM28" i="23" s="1"/>
  <c r="BZ14" i="4"/>
  <c r="CN15" i="4"/>
  <c r="CA29" i="26"/>
  <c r="CA29" i="23"/>
  <c r="CA29" i="7"/>
  <c r="BW25" i="23"/>
  <c r="BW26" i="23" s="1"/>
  <c r="BW25" i="26"/>
  <c r="BW26" i="26" s="1"/>
  <c r="CJ13" i="4"/>
  <c r="BW25" i="7"/>
  <c r="BW26" i="7" s="1"/>
  <c r="BP25" i="26"/>
  <c r="BP26" i="26" s="1"/>
  <c r="CC13" i="4"/>
  <c r="BP25" i="7"/>
  <c r="BP26" i="7" s="1"/>
  <c r="BP25" i="23"/>
  <c r="BP26" i="23" s="1"/>
  <c r="CA25" i="4"/>
  <c r="BS25" i="7"/>
  <c r="BS26" i="7" s="1"/>
  <c r="BS25" i="26"/>
  <c r="BS26" i="26" s="1"/>
  <c r="CF13" i="4"/>
  <c r="BS25" i="23"/>
  <c r="BS26" i="23" s="1"/>
  <c r="CM15" i="4"/>
  <c r="BZ29" i="7"/>
  <c r="BZ29" i="26"/>
  <c r="BZ29" i="23"/>
  <c r="BT25" i="26"/>
  <c r="BT26" i="26" s="1"/>
  <c r="BT25" i="7"/>
  <c r="BT26" i="7" s="1"/>
  <c r="CG13" i="4"/>
  <c r="BT25" i="23"/>
  <c r="BT26" i="23" s="1"/>
  <c r="CC29" i="26"/>
  <c r="CP15" i="4"/>
  <c r="CC29" i="7"/>
  <c r="CC29" i="23"/>
  <c r="BK27" i="7"/>
  <c r="BK28" i="7" s="1"/>
  <c r="BK27" i="26"/>
  <c r="BK28" i="26" s="1"/>
  <c r="BK27" i="23"/>
  <c r="BK28" i="23" s="1"/>
  <c r="BX14" i="4"/>
  <c r="BL27" i="23"/>
  <c r="BL28" i="23" s="1"/>
  <c r="BL27" i="26"/>
  <c r="BL28" i="26" s="1"/>
  <c r="BY14" i="4"/>
  <c r="BL27" i="7"/>
  <c r="BL28" i="7" s="1"/>
  <c r="BQ27" i="26"/>
  <c r="BQ28" i="26" s="1"/>
  <c r="BQ27" i="7"/>
  <c r="BQ28" i="7" s="1"/>
  <c r="BQ27" i="23"/>
  <c r="BQ28" i="23" s="1"/>
  <c r="CD14" i="4"/>
  <c r="AO35" i="22"/>
  <c r="X35" i="22"/>
  <c r="J35" i="22"/>
  <c r="AV35" i="22"/>
  <c r="S35" i="22"/>
  <c r="AG35" i="22"/>
  <c r="BG35" i="22"/>
  <c r="AJ35" i="22"/>
  <c r="AP35" i="22"/>
  <c r="K35" i="22"/>
  <c r="AZ35" i="22"/>
  <c r="AA35" i="22"/>
  <c r="BH35" i="22"/>
  <c r="AR35" i="22"/>
  <c r="G35" i="22"/>
  <c r="E35" i="22"/>
  <c r="N35" i="22"/>
  <c r="BD35" i="22"/>
  <c r="I35" i="22"/>
  <c r="AS35" i="22"/>
  <c r="D35" i="22"/>
  <c r="AK35" i="22"/>
  <c r="AI35" i="22"/>
  <c r="V35" i="22"/>
  <c r="T35" i="22"/>
  <c r="AN35" i="22"/>
  <c r="U35" i="22"/>
  <c r="O35" i="22"/>
  <c r="BJ35" i="22"/>
  <c r="R35" i="22"/>
  <c r="BE35" i="22"/>
  <c r="AT35" i="22"/>
  <c r="AB35" i="22"/>
  <c r="AH35" i="22"/>
  <c r="AD35" i="22"/>
  <c r="BC35" i="22"/>
  <c r="Y35" i="22"/>
  <c r="BF35" i="22"/>
  <c r="Z35" i="22"/>
  <c r="AX35" i="22"/>
  <c r="M35" i="22"/>
  <c r="BA35" i="22"/>
  <c r="AF35" i="22"/>
  <c r="BB35" i="22"/>
  <c r="H35" i="22"/>
  <c r="AE35" i="22"/>
  <c r="AM35" i="22"/>
  <c r="Q35" i="22"/>
  <c r="F35" i="22"/>
  <c r="AY35" i="22"/>
  <c r="AU35" i="22"/>
  <c r="AQ35" i="22"/>
  <c r="W35" i="22"/>
  <c r="AF21" i="4" s="1"/>
  <c r="P35" i="22"/>
  <c r="AW35" i="22"/>
  <c r="BI35" i="22"/>
  <c r="L35" i="22"/>
  <c r="AC35" i="22"/>
  <c r="AL35" i="22"/>
  <c r="BM25" i="7"/>
  <c r="BM26" i="7" s="1"/>
  <c r="BM25" i="23"/>
  <c r="BM26" i="23" s="1"/>
  <c r="BZ13" i="4"/>
  <c r="BM25" i="26"/>
  <c r="BM26" i="26" s="1"/>
  <c r="BY29" i="7"/>
  <c r="BY29" i="23"/>
  <c r="BY29" i="26"/>
  <c r="CL15" i="4"/>
  <c r="CF29" i="7"/>
  <c r="CF29" i="26"/>
  <c r="CS15" i="4"/>
  <c r="CF29" i="23"/>
  <c r="BO27" i="7"/>
  <c r="BO28" i="7" s="1"/>
  <c r="BO27" i="23"/>
  <c r="BO28" i="23" s="1"/>
  <c r="BO27" i="26"/>
  <c r="BO28" i="26" s="1"/>
  <c r="CB14" i="4"/>
  <c r="BF27" i="26"/>
  <c r="BF28" i="26" s="1"/>
  <c r="BF27" i="7"/>
  <c r="BF28" i="7" s="1"/>
  <c r="BF27" i="23"/>
  <c r="BF28" i="23" s="1"/>
  <c r="BS14" i="4"/>
  <c r="BL25" i="23"/>
  <c r="BL26" i="23" s="1"/>
  <c r="BL25" i="26"/>
  <c r="BL26" i="26" s="1"/>
  <c r="BL25" i="7"/>
  <c r="BL26" i="7" s="1"/>
  <c r="BY13" i="4"/>
  <c r="X33" i="22"/>
  <c r="AD6" i="30"/>
  <c r="AX23" i="4" s="1"/>
  <c r="R6" i="30"/>
  <c r="AL23" i="4" s="1"/>
  <c r="N33" i="22"/>
  <c r="AI33" i="22"/>
  <c r="AZ6" i="30"/>
  <c r="BT23" i="4" s="1"/>
  <c r="W33" i="22"/>
  <c r="AL6" i="30"/>
  <c r="BF23" i="4" s="1"/>
  <c r="O6" i="30"/>
  <c r="AI23" i="4" s="1"/>
  <c r="N6" i="30"/>
  <c r="AH23" i="4" s="1"/>
  <c r="BA33" i="22"/>
  <c r="BD6" i="30"/>
  <c r="BX23" i="4" s="1"/>
  <c r="AE6" i="30"/>
  <c r="AY23" i="4" s="1"/>
  <c r="AH6" i="30"/>
  <c r="BB23" i="4" s="1"/>
  <c r="AH33" i="22"/>
  <c r="AD33" i="22"/>
  <c r="AE33" i="22"/>
  <c r="AP33" i="22"/>
  <c r="AA33" i="22"/>
  <c r="BM6" i="30"/>
  <c r="CG23" i="4" s="1"/>
  <c r="AC33" i="22"/>
  <c r="AN33" i="22"/>
  <c r="AU33" i="22"/>
  <c r="AQ6" i="30"/>
  <c r="BK23" i="4" s="1"/>
  <c r="BS6" i="30"/>
  <c r="CM23" i="4" s="1"/>
  <c r="M33" i="22"/>
  <c r="AF6" i="30"/>
  <c r="AZ23" i="4" s="1"/>
  <c r="AO6" i="30"/>
  <c r="BI23" i="4" s="1"/>
  <c r="BB6" i="30"/>
  <c r="BV23" i="4" s="1"/>
  <c r="AA6" i="30"/>
  <c r="AU23" i="4" s="1"/>
  <c r="AG33" i="22"/>
  <c r="P33" i="22"/>
  <c r="Q33" i="22"/>
  <c r="AJ6" i="30"/>
  <c r="BD23" i="4" s="1"/>
  <c r="AR33" i="22"/>
  <c r="H33" i="22"/>
  <c r="V6" i="30"/>
  <c r="AP23" i="4" s="1"/>
  <c r="BC33" i="22"/>
  <c r="AT6" i="30"/>
  <c r="BN23" i="4" s="1"/>
  <c r="J33" i="22"/>
  <c r="P6" i="30"/>
  <c r="AJ23" i="4" s="1"/>
  <c r="BD33" i="22"/>
  <c r="AI6" i="30"/>
  <c r="BC23" i="4" s="1"/>
  <c r="AB33" i="22"/>
  <c r="AN6" i="30"/>
  <c r="BH23" i="4" s="1"/>
  <c r="BJ6" i="30"/>
  <c r="CD23" i="4" s="1"/>
  <c r="AM6" i="30"/>
  <c r="BG23" i="4" s="1"/>
  <c r="U6" i="30"/>
  <c r="AO23" i="4" s="1"/>
  <c r="AL33" i="22"/>
  <c r="AM33" i="22"/>
  <c r="BL6" i="30"/>
  <c r="CF23" i="4" s="1"/>
  <c r="BH33" i="22"/>
  <c r="X6" i="30"/>
  <c r="AR23" i="4" s="1"/>
  <c r="AG6" i="30"/>
  <c r="BA23" i="4" s="1"/>
  <c r="AY33" i="22"/>
  <c r="AC6" i="30"/>
  <c r="AW23" i="4" s="1"/>
  <c r="BF6" i="30"/>
  <c r="BZ23" i="4" s="1"/>
  <c r="Z33" i="22"/>
  <c r="V33" i="22"/>
  <c r="T6" i="30"/>
  <c r="AN23" i="4" s="1"/>
  <c r="BI33" i="22"/>
  <c r="BH6" i="30"/>
  <c r="CB23" i="4" s="1"/>
  <c r="AP6" i="30"/>
  <c r="BJ23" i="4" s="1"/>
  <c r="BA6" i="30"/>
  <c r="BU23" i="4" s="1"/>
  <c r="AS6" i="30"/>
  <c r="BM23" i="4" s="1"/>
  <c r="T33" i="22"/>
  <c r="M6" i="30"/>
  <c r="AG23" i="4" s="1"/>
  <c r="AX6" i="30"/>
  <c r="BR23" i="4" s="1"/>
  <c r="K33" i="22"/>
  <c r="BN6" i="30"/>
  <c r="CH23" i="4" s="1"/>
  <c r="BC6" i="30"/>
  <c r="BW23" i="4" s="1"/>
  <c r="D33" i="22"/>
  <c r="AS33" i="22"/>
  <c r="BP6" i="30"/>
  <c r="CJ23" i="4" s="1"/>
  <c r="AQ33" i="22"/>
  <c r="AR6" i="30"/>
  <c r="BL23" i="4" s="1"/>
  <c r="Y6" i="30"/>
  <c r="AS23" i="4" s="1"/>
  <c r="AJ33" i="22"/>
  <c r="U33" i="22"/>
  <c r="AU6" i="30"/>
  <c r="BO23" i="4" s="1"/>
  <c r="BO6" i="30"/>
  <c r="CI23" i="4" s="1"/>
  <c r="BK6" i="30"/>
  <c r="CE23" i="4" s="1"/>
  <c r="AK6" i="30"/>
  <c r="BE23" i="4" s="1"/>
  <c r="BG6" i="30"/>
  <c r="CA23" i="4" s="1"/>
  <c r="AX33" i="22"/>
  <c r="AT33" i="22"/>
  <c r="L33" i="22"/>
  <c r="Z6" i="30"/>
  <c r="AT23" i="4" s="1"/>
  <c r="BF33" i="22"/>
  <c r="BJ33" i="22"/>
  <c r="S33" i="22"/>
  <c r="O33" i="22"/>
  <c r="Q6" i="30"/>
  <c r="AK23" i="4" s="1"/>
  <c r="BR6" i="30"/>
  <c r="CL23" i="4" s="1"/>
  <c r="AK33" i="22"/>
  <c r="BQ6" i="30"/>
  <c r="CK23" i="4" s="1"/>
  <c r="F33" i="22"/>
  <c r="BI6" i="30"/>
  <c r="CC23" i="4" s="1"/>
  <c r="W6" i="30"/>
  <c r="AQ23" i="4" s="1"/>
  <c r="G33" i="22"/>
  <c r="BB33" i="22"/>
  <c r="AW6" i="30"/>
  <c r="BQ23" i="4" s="1"/>
  <c r="Y33" i="22"/>
  <c r="AY6" i="30"/>
  <c r="BS23" i="4" s="1"/>
  <c r="AV6" i="30"/>
  <c r="BP23" i="4" s="1"/>
  <c r="BG33" i="22"/>
  <c r="AV33" i="22"/>
  <c r="BE33" i="22"/>
  <c r="BE6" i="30"/>
  <c r="BY23" i="4" s="1"/>
  <c r="R33" i="22"/>
  <c r="I33" i="22"/>
  <c r="AO33" i="22"/>
  <c r="AF33" i="22"/>
  <c r="AB6" i="30"/>
  <c r="AV23" i="4" s="1"/>
  <c r="AZ33" i="22"/>
  <c r="S6" i="30"/>
  <c r="AM23" i="4" s="1"/>
  <c r="AW33" i="22"/>
  <c r="E33" i="22"/>
  <c r="BO25" i="7"/>
  <c r="BO26" i="7" s="1"/>
  <c r="BO25" i="26"/>
  <c r="BO26" i="26" s="1"/>
  <c r="CB13" i="4"/>
  <c r="BO25" i="23"/>
  <c r="BO26" i="23" s="1"/>
  <c r="K19" i="14"/>
  <c r="K17" i="14"/>
  <c r="L32" i="14"/>
  <c r="L33" i="14"/>
  <c r="CE29" i="26"/>
  <c r="CE29" i="7"/>
  <c r="CE29" i="23"/>
  <c r="CR15" i="4"/>
  <c r="CI29" i="23"/>
  <c r="CI29" i="7"/>
  <c r="CI29" i="26"/>
  <c r="CV15" i="4"/>
  <c r="BD27" i="26"/>
  <c r="BD28" i="26" s="1"/>
  <c r="BD27" i="23"/>
  <c r="BD28" i="23" s="1"/>
  <c r="BD27" i="7"/>
  <c r="BD28" i="7" s="1"/>
  <c r="BQ14" i="4"/>
  <c r="CD13" i="4"/>
  <c r="BQ25" i="23"/>
  <c r="BQ26" i="23" s="1"/>
  <c r="BQ25" i="7"/>
  <c r="BQ26" i="7" s="1"/>
  <c r="BQ25" i="26"/>
  <c r="BQ26" i="26" s="1"/>
  <c r="E19" i="14"/>
  <c r="E17" i="14"/>
  <c r="K33" i="14"/>
  <c r="K32" i="14"/>
  <c r="BN27" i="26"/>
  <c r="BN28" i="26" s="1"/>
  <c r="CA14" i="4"/>
  <c r="BN27" i="23"/>
  <c r="BN28" i="23" s="1"/>
  <c r="BN27" i="7"/>
  <c r="BN28" i="7" s="1"/>
  <c r="CG29" i="26"/>
  <c r="CG29" i="23"/>
  <c r="CG29" i="7"/>
  <c r="CT15" i="4"/>
  <c r="AW34" i="22"/>
  <c r="BH34" i="22"/>
  <c r="AV34" i="22"/>
  <c r="S34" i="22"/>
  <c r="V34" i="22"/>
  <c r="AZ34" i="22"/>
  <c r="AL34" i="22"/>
  <c r="BJ34" i="22"/>
  <c r="BI34" i="22"/>
  <c r="J34" i="22"/>
  <c r="D34" i="22"/>
  <c r="Y34" i="22"/>
  <c r="BA34" i="22"/>
  <c r="I34" i="22"/>
  <c r="AP34" i="22"/>
  <c r="U34" i="22"/>
  <c r="N34" i="22"/>
  <c r="BF34" i="22"/>
  <c r="K34" i="22"/>
  <c r="BD34" i="22"/>
  <c r="AR34" i="22"/>
  <c r="AE34" i="22"/>
  <c r="M34" i="22"/>
  <c r="BB34" i="22"/>
  <c r="AG34" i="22"/>
  <c r="AX34" i="22"/>
  <c r="AN34" i="22"/>
  <c r="AF34" i="22"/>
  <c r="AI34" i="22"/>
  <c r="O34" i="22"/>
  <c r="AU34" i="22"/>
  <c r="AK34" i="22"/>
  <c r="G34" i="22"/>
  <c r="Z34" i="22"/>
  <c r="AS34" i="22"/>
  <c r="F34" i="22"/>
  <c r="AM34" i="22"/>
  <c r="Q34" i="22"/>
  <c r="W34" i="22"/>
  <c r="AB34" i="22"/>
  <c r="AQ34" i="22"/>
  <c r="BE34" i="22"/>
  <c r="L34" i="22"/>
  <c r="P34" i="22"/>
  <c r="AA34" i="22"/>
  <c r="BC34" i="22"/>
  <c r="AJ34" i="22"/>
  <c r="AC34" i="22"/>
  <c r="AD34" i="22"/>
  <c r="BG34" i="22"/>
  <c r="X34" i="22"/>
  <c r="H34" i="22"/>
  <c r="R34" i="22"/>
  <c r="AO34" i="22"/>
  <c r="AT34" i="22"/>
  <c r="AY34" i="22"/>
  <c r="AH34" i="22"/>
  <c r="T34" i="22"/>
  <c r="AF22" i="4" s="1"/>
  <c r="E34" i="22"/>
  <c r="I17" i="14"/>
  <c r="I19" i="14"/>
  <c r="CH29" i="26"/>
  <c r="CU15" i="4"/>
  <c r="CH29" i="7"/>
  <c r="CH29" i="23"/>
  <c r="CI13" i="4"/>
  <c r="BV25" i="7"/>
  <c r="BV26" i="7" s="1"/>
  <c r="BV25" i="23"/>
  <c r="BV26" i="23" s="1"/>
  <c r="BV25" i="26"/>
  <c r="BV26" i="26" s="1"/>
  <c r="BS27" i="26"/>
  <c r="BS28" i="26" s="1"/>
  <c r="CF14" i="4"/>
  <c r="BS27" i="7"/>
  <c r="BS28" i="7" s="1"/>
  <c r="BS27" i="23"/>
  <c r="BS28" i="23" s="1"/>
  <c r="BU27" i="7"/>
  <c r="BU28" i="7" s="1"/>
  <c r="BU27" i="26"/>
  <c r="BU28" i="26" s="1"/>
  <c r="BU27" i="23"/>
  <c r="BU28" i="23" s="1"/>
  <c r="CH14" i="4"/>
  <c r="BN25" i="26"/>
  <c r="BN26" i="26" s="1"/>
  <c r="BN25" i="23"/>
  <c r="BN26" i="23" s="1"/>
  <c r="CA13" i="4"/>
  <c r="BN25" i="7"/>
  <c r="BN26" i="7" s="1"/>
  <c r="DI15" i="4"/>
  <c r="CV29" i="7"/>
  <c r="CV29" i="23"/>
  <c r="CV29" i="26"/>
  <c r="F33" i="14" l="1"/>
  <c r="F32" i="14"/>
  <c r="F19" i="14"/>
  <c r="F17" i="14"/>
  <c r="J17" i="14"/>
  <c r="J19" i="14"/>
  <c r="J33" i="14"/>
  <c r="J32" i="14"/>
  <c r="O31" i="14"/>
  <c r="O26" i="14"/>
  <c r="O16" i="14"/>
  <c r="Q33" i="14"/>
  <c r="Q32" i="14"/>
  <c r="Q17" i="14"/>
  <c r="Q19" i="14"/>
  <c r="P31" i="14"/>
  <c r="P16" i="14"/>
  <c r="P26" i="14"/>
  <c r="BS33" i="13"/>
  <c r="BS34" i="13" s="1"/>
  <c r="BS27" i="46"/>
  <c r="BS28" i="46" s="1"/>
  <c r="CF31" i="13"/>
  <c r="CF32" i="13" s="1"/>
  <c r="CF25" i="46"/>
  <c r="CF26" i="46" s="1"/>
  <c r="CC31" i="13"/>
  <c r="CC32" i="13" s="1"/>
  <c r="CC25" i="46"/>
  <c r="CC26" i="46" s="1"/>
  <c r="CO35" i="13"/>
  <c r="CO29" i="46"/>
  <c r="CM35" i="13"/>
  <c r="CM29" i="46"/>
  <c r="BU27" i="46"/>
  <c r="BU28" i="46" s="1"/>
  <c r="BU33" i="13"/>
  <c r="BU34" i="13" s="1"/>
  <c r="BX27" i="46"/>
  <c r="BX28" i="46" s="1"/>
  <c r="BX33" i="13"/>
  <c r="BX34" i="13" s="1"/>
  <c r="CL35" i="13"/>
  <c r="CL29" i="46"/>
  <c r="CH25" i="46"/>
  <c r="CH26" i="46" s="1"/>
  <c r="CH31" i="13"/>
  <c r="CH32" i="13" s="1"/>
  <c r="CA25" i="46"/>
  <c r="CA26" i="46" s="1"/>
  <c r="CA31" i="13"/>
  <c r="CA32" i="13" s="1"/>
  <c r="CD25" i="46"/>
  <c r="CD26" i="46" s="1"/>
  <c r="CD31" i="13"/>
  <c r="CD32" i="13" s="1"/>
  <c r="CK35" i="13"/>
  <c r="CK29" i="46"/>
  <c r="CE25" i="46"/>
  <c r="CE26" i="46" s="1"/>
  <c r="CE31" i="13"/>
  <c r="CE32" i="13" s="1"/>
  <c r="CN35" i="13"/>
  <c r="CN29" i="46"/>
  <c r="BV33" i="13"/>
  <c r="BV34" i="13" s="1"/>
  <c r="BV27" i="46"/>
  <c r="BV28" i="46" s="1"/>
  <c r="BW33" i="13"/>
  <c r="BW34" i="13" s="1"/>
  <c r="BW27" i="46"/>
  <c r="BW28" i="46" s="1"/>
  <c r="CB27" i="46"/>
  <c r="CB28" i="46" s="1"/>
  <c r="CB33" i="13"/>
  <c r="CB34" i="13" s="1"/>
  <c r="BX25" i="46"/>
  <c r="BX26" i="46" s="1"/>
  <c r="BX31" i="13"/>
  <c r="BX32" i="13" s="1"/>
  <c r="CJ35" i="13"/>
  <c r="CJ29" i="46"/>
  <c r="CQ35" i="13"/>
  <c r="CQ29" i="46"/>
  <c r="BZ27" i="46"/>
  <c r="BZ28" i="46" s="1"/>
  <c r="BZ33" i="13"/>
  <c r="BZ34" i="13" s="1"/>
  <c r="BQ27" i="46"/>
  <c r="BQ28" i="46" s="1"/>
  <c r="BQ33" i="13"/>
  <c r="BQ34" i="13" s="1"/>
  <c r="BW25" i="46"/>
  <c r="BW26" i="46" s="1"/>
  <c r="BW31" i="13"/>
  <c r="BW32" i="13" s="1"/>
  <c r="BZ31" i="13"/>
  <c r="BZ32" i="13" s="1"/>
  <c r="BZ25" i="46"/>
  <c r="BZ26" i="46" s="1"/>
  <c r="CP29" i="46"/>
  <c r="CP35" i="13"/>
  <c r="CT29" i="46"/>
  <c r="CT35" i="13"/>
  <c r="BO27" i="46"/>
  <c r="BO28" i="46" s="1"/>
  <c r="BO33" i="13"/>
  <c r="BO34" i="13" s="1"/>
  <c r="CB25" i="46"/>
  <c r="CB26" i="46" s="1"/>
  <c r="CB31" i="13"/>
  <c r="CB32" i="13" s="1"/>
  <c r="BY33" i="13"/>
  <c r="BY34" i="13" s="1"/>
  <c r="BY27" i="46"/>
  <c r="BY28" i="46" s="1"/>
  <c r="CR29" i="46"/>
  <c r="CR35" i="13"/>
  <c r="CS29" i="46"/>
  <c r="CS35" i="13"/>
  <c r="CG31" i="13"/>
  <c r="CG32" i="13" s="1"/>
  <c r="CG25" i="46"/>
  <c r="CG26" i="46" s="1"/>
  <c r="CD33" i="13"/>
  <c r="CD34" i="13" s="1"/>
  <c r="CD27" i="46"/>
  <c r="CD28" i="46" s="1"/>
  <c r="CF27" i="46"/>
  <c r="CF28" i="46" s="1"/>
  <c r="CF33" i="13"/>
  <c r="CF34" i="13" s="1"/>
  <c r="BY31" i="13"/>
  <c r="BY32" i="13" s="1"/>
  <c r="BY25" i="46"/>
  <c r="BY26" i="46" s="1"/>
  <c r="DG29" i="46"/>
  <c r="DG35" i="13"/>
  <c r="BY32" i="46"/>
  <c r="BY38" i="13"/>
  <c r="CV24" i="4"/>
  <c r="BC10" i="27"/>
  <c r="Y7" i="30"/>
  <c r="AA7" i="30"/>
  <c r="AP10" i="27"/>
  <c r="AZ10" i="27"/>
  <c r="AT10" i="27"/>
  <c r="AW10" i="27"/>
  <c r="X10" i="27"/>
  <c r="BD10" i="27"/>
  <c r="BQ10" i="27"/>
  <c r="AF10" i="27"/>
  <c r="AN7" i="30"/>
  <c r="BB10" i="27"/>
  <c r="BN10" i="27"/>
  <c r="BL10" i="27"/>
  <c r="AF7" i="30"/>
  <c r="AE10" i="27"/>
  <c r="AX10" i="27"/>
  <c r="BH10" i="27"/>
  <c r="AE7" i="30"/>
  <c r="AO7" i="30"/>
  <c r="AG10" i="27"/>
  <c r="BG7" i="30"/>
  <c r="AX7" i="30"/>
  <c r="X7" i="30"/>
  <c r="AR27" i="4"/>
  <c r="BK10" i="27"/>
  <c r="AB7" i="30"/>
  <c r="BO7" i="30"/>
  <c r="AS10" i="27"/>
  <c r="BA7" i="30"/>
  <c r="AP7" i="30"/>
  <c r="U7" i="30"/>
  <c r="BL7" i="30"/>
  <c r="AD7" i="30"/>
  <c r="BH7" i="30"/>
  <c r="AM7" i="30"/>
  <c r="DV24" i="4"/>
  <c r="IH22" i="13"/>
  <c r="HQ19" i="7"/>
  <c r="HS19" i="23"/>
  <c r="IA19" i="26"/>
  <c r="T22" i="7"/>
  <c r="T25" i="13"/>
  <c r="HM19" i="46"/>
  <c r="HK19" i="46"/>
  <c r="IH19" i="46"/>
  <c r="HV19" i="7"/>
  <c r="HV19" i="23"/>
  <c r="HQ19" i="26"/>
  <c r="HE19" i="46"/>
  <c r="HP19" i="46"/>
  <c r="HU22" i="13"/>
  <c r="HE22" i="13"/>
  <c r="AQ46" i="13"/>
  <c r="H50" i="13" s="1"/>
  <c r="H51" i="13" s="1"/>
  <c r="H52" i="13" s="1"/>
  <c r="F43" i="13"/>
  <c r="Q7" i="30"/>
  <c r="M10" i="27"/>
  <c r="P7" i="30"/>
  <c r="AQ9" i="34"/>
  <c r="AT26" i="4"/>
  <c r="AQ9" i="45"/>
  <c r="AR40" i="13"/>
  <c r="AR46" i="13" s="1"/>
  <c r="AQ9" i="33"/>
  <c r="O36" i="22"/>
  <c r="BJ36" i="22"/>
  <c r="HK22" i="13"/>
  <c r="HX21" i="13"/>
  <c r="HX20" i="13"/>
  <c r="HX22" i="13" s="1"/>
  <c r="HX18" i="23"/>
  <c r="HX17" i="23"/>
  <c r="HX19" i="23" s="1"/>
  <c r="HN19" i="7"/>
  <c r="IG18" i="46"/>
  <c r="IG17" i="46"/>
  <c r="IG19" i="46" s="1"/>
  <c r="HY18" i="23"/>
  <c r="HY17" i="23"/>
  <c r="HW21" i="13"/>
  <c r="HW20" i="13"/>
  <c r="HW22" i="13" s="1"/>
  <c r="HL19" i="23"/>
  <c r="IM19" i="46"/>
  <c r="HZ19" i="46"/>
  <c r="IJ16" i="46"/>
  <c r="IJ19" i="13"/>
  <c r="HW17" i="46"/>
  <c r="HW18" i="46"/>
  <c r="HT18" i="23"/>
  <c r="HT17" i="23"/>
  <c r="HT19" i="23" s="1"/>
  <c r="HF19" i="26"/>
  <c r="HM19" i="23"/>
  <c r="IC17" i="26"/>
  <c r="IC18" i="26"/>
  <c r="IL21" i="13"/>
  <c r="IL20" i="13"/>
  <c r="IL22" i="13" s="1"/>
  <c r="HY18" i="26"/>
  <c r="HY17" i="26"/>
  <c r="HY19" i="26" s="1"/>
  <c r="HX17" i="7"/>
  <c r="HX18" i="7"/>
  <c r="HQ21" i="13"/>
  <c r="HQ20" i="13"/>
  <c r="HX18" i="46"/>
  <c r="HX17" i="46"/>
  <c r="HX19" i="46" s="1"/>
  <c r="HT18" i="7"/>
  <c r="HT17" i="7"/>
  <c r="HT19" i="7" s="1"/>
  <c r="IE17" i="7"/>
  <c r="IE18" i="7"/>
  <c r="HS18" i="46"/>
  <c r="HS17" i="46"/>
  <c r="AE36" i="22"/>
  <c r="HQ18" i="46"/>
  <c r="HQ17" i="46"/>
  <c r="HQ19" i="46" s="1"/>
  <c r="HM22" i="13"/>
  <c r="IE18" i="23"/>
  <c r="IE17" i="23"/>
  <c r="HZ17" i="23"/>
  <c r="HZ18" i="23"/>
  <c r="HN19" i="26"/>
  <c r="HY17" i="46"/>
  <c r="HY18" i="46"/>
  <c r="HM19" i="7"/>
  <c r="HR17" i="26"/>
  <c r="HR18" i="26"/>
  <c r="IC16" i="26"/>
  <c r="IC16" i="46"/>
  <c r="IC16" i="7"/>
  <c r="IC16" i="23"/>
  <c r="IC19" i="13"/>
  <c r="IB17" i="46"/>
  <c r="IB18" i="46"/>
  <c r="ID17" i="46"/>
  <c r="ID18" i="46"/>
  <c r="HZ18" i="26"/>
  <c r="HZ17" i="26"/>
  <c r="HZ19" i="26" s="1"/>
  <c r="IH17" i="26"/>
  <c r="IH18" i="26"/>
  <c r="IG21" i="13"/>
  <c r="IG20" i="13"/>
  <c r="II16" i="46"/>
  <c r="II19" i="13"/>
  <c r="HR18" i="23"/>
  <c r="HR17" i="23"/>
  <c r="IE19" i="13"/>
  <c r="IE16" i="7"/>
  <c r="IE16" i="23"/>
  <c r="IE16" i="26"/>
  <c r="IE16" i="46"/>
  <c r="HF19" i="7"/>
  <c r="HR22" i="13"/>
  <c r="IA19" i="23"/>
  <c r="HL19" i="26"/>
  <c r="IC17" i="23"/>
  <c r="IC18" i="23"/>
  <c r="ID21" i="13"/>
  <c r="ID20" i="13"/>
  <c r="HZ18" i="7"/>
  <c r="HZ17" i="7"/>
  <c r="HZ19" i="7" s="1"/>
  <c r="IA19" i="7"/>
  <c r="HS19" i="26"/>
  <c r="HL19" i="46"/>
  <c r="IH17" i="23"/>
  <c r="IH18" i="23"/>
  <c r="HY18" i="7"/>
  <c r="HY17" i="7"/>
  <c r="HY19" i="7" s="1"/>
  <c r="IL18" i="46"/>
  <c r="IL17" i="46"/>
  <c r="IL19" i="46" s="1"/>
  <c r="HT18" i="26"/>
  <c r="HT17" i="26"/>
  <c r="HL22" i="13"/>
  <c r="IB21" i="13"/>
  <c r="IB20" i="13"/>
  <c r="IE18" i="26"/>
  <c r="IE17" i="26"/>
  <c r="IE19" i="26" s="1"/>
  <c r="IK16" i="46"/>
  <c r="IK19" i="13"/>
  <c r="HX17" i="26"/>
  <c r="HX18" i="26"/>
  <c r="HS20" i="13"/>
  <c r="HS21" i="13"/>
  <c r="HR17" i="7"/>
  <c r="HR18" i="7"/>
  <c r="HQ19" i="23"/>
  <c r="HH19" i="26"/>
  <c r="IC18" i="7"/>
  <c r="IC17" i="7"/>
  <c r="IC19" i="7" s="1"/>
  <c r="HY20" i="13"/>
  <c r="HY21" i="13"/>
  <c r="HH19" i="7"/>
  <c r="IH18" i="7"/>
  <c r="IH17" i="7"/>
  <c r="B9" i="4"/>
  <c r="L17" i="14"/>
  <c r="AM36" i="22"/>
  <c r="M32" i="14"/>
  <c r="E32" i="14"/>
  <c r="AB36" i="22"/>
  <c r="BH36" i="22"/>
  <c r="H36" i="22"/>
  <c r="AO36" i="22"/>
  <c r="Z36" i="22"/>
  <c r="T36" i="22"/>
  <c r="Y36" i="22"/>
  <c r="BB36" i="22"/>
  <c r="J36" i="22"/>
  <c r="AL36" i="22"/>
  <c r="AU36" i="22"/>
  <c r="AJ36" i="22"/>
  <c r="AH36" i="22"/>
  <c r="AI36" i="22"/>
  <c r="U36" i="22"/>
  <c r="M36" i="22"/>
  <c r="AZ36" i="22"/>
  <c r="D36" i="22"/>
  <c r="AA36" i="22"/>
  <c r="AV36" i="22"/>
  <c r="S36" i="22"/>
  <c r="V36" i="22"/>
  <c r="AT36" i="22"/>
  <c r="BF36" i="22"/>
  <c r="AN36" i="22"/>
  <c r="H22" i="11"/>
  <c r="AD36" i="22"/>
  <c r="N36" i="22"/>
  <c r="AC36" i="22"/>
  <c r="BI36" i="22"/>
  <c r="AJ10" i="27"/>
  <c r="AC37" i="22"/>
  <c r="W7" i="30"/>
  <c r="AJ27" i="4"/>
  <c r="N37" i="22"/>
  <c r="AK7" i="30"/>
  <c r="AB37" i="22"/>
  <c r="AI10" i="27"/>
  <c r="G31" i="11"/>
  <c r="BW27" i="23"/>
  <c r="BW28" i="23" s="1"/>
  <c r="BW27" i="26"/>
  <c r="BW28" i="26" s="1"/>
  <c r="BW27" i="7"/>
  <c r="BW28" i="7" s="1"/>
  <c r="CJ14" i="4"/>
  <c r="DC15" i="4"/>
  <c r="CP29" i="23"/>
  <c r="CP29" i="26"/>
  <c r="CP29" i="7"/>
  <c r="AY36" i="22"/>
  <c r="AF36" i="22"/>
  <c r="CU29" i="26"/>
  <c r="CU29" i="7"/>
  <c r="DH15" i="4"/>
  <c r="CU29" i="23"/>
  <c r="AO27" i="4"/>
  <c r="S37" i="22"/>
  <c r="BI7" i="30"/>
  <c r="AZ37" i="22"/>
  <c r="BK7" i="30"/>
  <c r="BB37" i="22"/>
  <c r="BJ10" i="27"/>
  <c r="BC37" i="22"/>
  <c r="R7" i="30"/>
  <c r="I37" i="22"/>
  <c r="CA27" i="7"/>
  <c r="CA28" i="7" s="1"/>
  <c r="CA27" i="23"/>
  <c r="CA28" i="23" s="1"/>
  <c r="CA27" i="26"/>
  <c r="CA28" i="26" s="1"/>
  <c r="CN14" i="4"/>
  <c r="H31" i="11"/>
  <c r="N31" i="14"/>
  <c r="N26" i="14"/>
  <c r="N16" i="14"/>
  <c r="BC36" i="22"/>
  <c r="Q36" i="22"/>
  <c r="BM10" i="27"/>
  <c r="BF37" i="22"/>
  <c r="AQ10" i="27"/>
  <c r="AJ37" i="22"/>
  <c r="AJ7" i="30"/>
  <c r="AA37" i="22"/>
  <c r="AB10" i="27"/>
  <c r="AQ27" i="4"/>
  <c r="U37" i="22"/>
  <c r="AK36" i="22"/>
  <c r="CB25" i="4"/>
  <c r="BA10" i="27"/>
  <c r="AT37" i="22"/>
  <c r="BN7" i="30"/>
  <c r="BE37" i="22"/>
  <c r="CT13" i="4"/>
  <c r="CG25" i="23"/>
  <c r="CG26" i="23" s="1"/>
  <c r="CG25" i="26"/>
  <c r="CG26" i="26" s="1"/>
  <c r="CG25" i="7"/>
  <c r="CG26" i="7" s="1"/>
  <c r="Q10" i="27"/>
  <c r="J37" i="22"/>
  <c r="K10" i="27"/>
  <c r="D37" i="22"/>
  <c r="BO10" i="27"/>
  <c r="BH37" i="22"/>
  <c r="M7" i="30"/>
  <c r="CG14" i="4"/>
  <c r="BT27" i="23"/>
  <c r="BT28" i="23" s="1"/>
  <c r="BT27" i="7"/>
  <c r="BT28" i="7" s="1"/>
  <c r="BT27" i="26"/>
  <c r="BT28" i="26" s="1"/>
  <c r="AN10" i="27"/>
  <c r="AG37" i="22"/>
  <c r="U10" i="27"/>
  <c r="BP10" i="27"/>
  <c r="BI37" i="22"/>
  <c r="I36" i="22"/>
  <c r="BE7" i="30"/>
  <c r="AV37" i="22"/>
  <c r="W10" i="27"/>
  <c r="AL27" i="4"/>
  <c r="P37" i="22"/>
  <c r="AH7" i="30"/>
  <c r="Y37" i="22"/>
  <c r="S7" i="30"/>
  <c r="W36" i="22"/>
  <c r="CL29" i="7"/>
  <c r="CY15" i="4"/>
  <c r="CL29" i="23"/>
  <c r="CL29" i="26"/>
  <c r="C34" i="22"/>
  <c r="R36" i="22"/>
  <c r="P36" i="22"/>
  <c r="AS36" i="22"/>
  <c r="CC25" i="23"/>
  <c r="CC26" i="23" s="1"/>
  <c r="CP13" i="4"/>
  <c r="CC25" i="7"/>
  <c r="CC26" i="7" s="1"/>
  <c r="CC25" i="26"/>
  <c r="CC26" i="26" s="1"/>
  <c r="AR7" i="30"/>
  <c r="AI37" i="22"/>
  <c r="T7" i="30"/>
  <c r="AG27" i="4"/>
  <c r="K37" i="22"/>
  <c r="AL10" i="27"/>
  <c r="AE37" i="22"/>
  <c r="BB7" i="30"/>
  <c r="AS37" i="22"/>
  <c r="AC10" i="27"/>
  <c r="V37" i="22"/>
  <c r="E31" i="11"/>
  <c r="AR36" i="22"/>
  <c r="CF25" i="26"/>
  <c r="CF26" i="26" s="1"/>
  <c r="CF25" i="23"/>
  <c r="CF26" i="23" s="1"/>
  <c r="CF25" i="7"/>
  <c r="CF26" i="7" s="1"/>
  <c r="CS13" i="4"/>
  <c r="AT7" i="30"/>
  <c r="AK37" i="22"/>
  <c r="T10" i="27"/>
  <c r="AI27" i="4"/>
  <c r="M37" i="22"/>
  <c r="V7" i="30"/>
  <c r="AY10" i="27"/>
  <c r="AR37" i="22"/>
  <c r="AK10" i="27"/>
  <c r="AD37" i="22"/>
  <c r="E36" i="22"/>
  <c r="AX36" i="22"/>
  <c r="CA25" i="7"/>
  <c r="CA26" i="7" s="1"/>
  <c r="CA25" i="23"/>
  <c r="CA26" i="23" s="1"/>
  <c r="CN13" i="4"/>
  <c r="CA25" i="26"/>
  <c r="CA26" i="26" s="1"/>
  <c r="BJ7" i="30"/>
  <c r="BA37" i="22"/>
  <c r="CK29" i="26"/>
  <c r="CK29" i="23"/>
  <c r="CX15" i="4"/>
  <c r="CK29" i="7"/>
  <c r="BI10" i="27"/>
  <c r="CH25" i="7"/>
  <c r="CH26" i="7" s="1"/>
  <c r="CU13" i="4"/>
  <c r="CH25" i="23"/>
  <c r="CH26" i="23" s="1"/>
  <c r="CH25" i="26"/>
  <c r="CH26" i="26" s="1"/>
  <c r="AG36" i="22"/>
  <c r="BD36" i="22"/>
  <c r="BP27" i="7"/>
  <c r="BP28" i="7" s="1"/>
  <c r="BP27" i="23"/>
  <c r="BP28" i="23" s="1"/>
  <c r="BP27" i="26"/>
  <c r="BP28" i="26" s="1"/>
  <c r="CC14" i="4"/>
  <c r="AM10" i="27"/>
  <c r="AF37" i="22"/>
  <c r="BD7" i="30"/>
  <c r="AU37" i="22"/>
  <c r="R10" i="27"/>
  <c r="Z10" i="27"/>
  <c r="AQ7" i="30"/>
  <c r="AH37" i="22"/>
  <c r="AG7" i="30"/>
  <c r="X37" i="22"/>
  <c r="BE10" i="27"/>
  <c r="AX37" i="22"/>
  <c r="BE36" i="22"/>
  <c r="CE27" i="26"/>
  <c r="CE28" i="26" s="1"/>
  <c r="CE27" i="23"/>
  <c r="CE28" i="23" s="1"/>
  <c r="CE27" i="7"/>
  <c r="CE28" i="7" s="1"/>
  <c r="CR14" i="4"/>
  <c r="BZ27" i="26"/>
  <c r="BZ28" i="26" s="1"/>
  <c r="BZ27" i="7"/>
  <c r="BZ28" i="7" s="1"/>
  <c r="CM14" i="4"/>
  <c r="BZ27" i="23"/>
  <c r="BZ28" i="23" s="1"/>
  <c r="AL37" i="22"/>
  <c r="CD25" i="7"/>
  <c r="CD26" i="7" s="1"/>
  <c r="CD25" i="26"/>
  <c r="CD26" i="26" s="1"/>
  <c r="CQ13" i="4"/>
  <c r="CD25" i="23"/>
  <c r="CD26" i="23" s="1"/>
  <c r="AP36" i="22"/>
  <c r="AR10" i="27"/>
  <c r="Y10" i="27"/>
  <c r="AN27" i="4"/>
  <c r="R37" i="22"/>
  <c r="D31" i="11"/>
  <c r="L36" i="22"/>
  <c r="K36" i="22"/>
  <c r="BA36" i="22"/>
  <c r="BP7" i="30"/>
  <c r="BG37" i="22"/>
  <c r="C33" i="22"/>
  <c r="L6" i="30"/>
  <c r="AF23" i="4" s="1"/>
  <c r="AF27" i="4" s="1"/>
  <c r="AI7" i="30"/>
  <c r="Z37" i="22"/>
  <c r="AD10" i="27"/>
  <c r="W37" i="22"/>
  <c r="AS27" i="4"/>
  <c r="CR29" i="7"/>
  <c r="CR29" i="23"/>
  <c r="CR29" i="26"/>
  <c r="DE15" i="4"/>
  <c r="BG10" i="27"/>
  <c r="AO10" i="27"/>
  <c r="AQ36" i="22"/>
  <c r="P10" i="27"/>
  <c r="DB15" i="4"/>
  <c r="CO29" i="7"/>
  <c r="CO29" i="23"/>
  <c r="CO29" i="26"/>
  <c r="CE25" i="23"/>
  <c r="CE26" i="23" s="1"/>
  <c r="CE25" i="26"/>
  <c r="CE26" i="26" s="1"/>
  <c r="CE25" i="7"/>
  <c r="CE26" i="7" s="1"/>
  <c r="CR13" i="4"/>
  <c r="CS29" i="26"/>
  <c r="CS29" i="23"/>
  <c r="CS29" i="7"/>
  <c r="DF15" i="4"/>
  <c r="AW7" i="30"/>
  <c r="AN37" i="22"/>
  <c r="CI25" i="7"/>
  <c r="CI26" i="7" s="1"/>
  <c r="CV13" i="4"/>
  <c r="CI25" i="26"/>
  <c r="CI26" i="26" s="1"/>
  <c r="CI25" i="23"/>
  <c r="CI26" i="23" s="1"/>
  <c r="AZ7" i="30"/>
  <c r="AQ37" i="22"/>
  <c r="AV10" i="27"/>
  <c r="AO37" i="22"/>
  <c r="S10" i="27"/>
  <c r="L37" i="22"/>
  <c r="BQ7" i="30"/>
  <c r="BX25" i="23"/>
  <c r="BX26" i="23" s="1"/>
  <c r="BX25" i="7"/>
  <c r="BX26" i="7" s="1"/>
  <c r="CK13" i="4"/>
  <c r="BX25" i="26"/>
  <c r="BX26" i="26" s="1"/>
  <c r="CZ15" i="4"/>
  <c r="CM29" i="7"/>
  <c r="CM29" i="26"/>
  <c r="CM29" i="23"/>
  <c r="O10" i="27"/>
  <c r="H37" i="22"/>
  <c r="AU7" i="30"/>
  <c r="BY27" i="23"/>
  <c r="BY28" i="23" s="1"/>
  <c r="BY27" i="7"/>
  <c r="BY28" i="7" s="1"/>
  <c r="CL14" i="4"/>
  <c r="BY27" i="26"/>
  <c r="BY28" i="26" s="1"/>
  <c r="X36" i="22"/>
  <c r="AW36" i="22"/>
  <c r="AV7" i="30"/>
  <c r="AM37" i="22"/>
  <c r="L10" i="27"/>
  <c r="E37" i="22"/>
  <c r="N7" i="30"/>
  <c r="AU10" i="27"/>
  <c r="F31" i="11"/>
  <c r="AH10" i="27"/>
  <c r="AS7" i="30"/>
  <c r="AC7" i="30"/>
  <c r="T37" i="22"/>
  <c r="AP27" i="4"/>
  <c r="BY25" i="23"/>
  <c r="BY26" i="23" s="1"/>
  <c r="BY25" i="7"/>
  <c r="BY26" i="7" s="1"/>
  <c r="CL13" i="4"/>
  <c r="BY25" i="26"/>
  <c r="BY26" i="26" s="1"/>
  <c r="V10" i="27"/>
  <c r="O37" i="22"/>
  <c r="AK27" i="4"/>
  <c r="BC7" i="30"/>
  <c r="CG27" i="26"/>
  <c r="CG28" i="26" s="1"/>
  <c r="CT14" i="4"/>
  <c r="CG27" i="7"/>
  <c r="CG28" i="7" s="1"/>
  <c r="CG27" i="23"/>
  <c r="CG28" i="23" s="1"/>
  <c r="BM7" i="30"/>
  <c r="BD37" i="22"/>
  <c r="C35" i="22"/>
  <c r="B40" i="22" s="1"/>
  <c r="CC27" i="7"/>
  <c r="CC28" i="7" s="1"/>
  <c r="CP14" i="4"/>
  <c r="CC27" i="26"/>
  <c r="CC28" i="26" s="1"/>
  <c r="CC27" i="23"/>
  <c r="CC28" i="23" s="1"/>
  <c r="CI14" i="4"/>
  <c r="BV27" i="26"/>
  <c r="BV28" i="26" s="1"/>
  <c r="BV27" i="7"/>
  <c r="BV28" i="7" s="1"/>
  <c r="BV27" i="23"/>
  <c r="BV28" i="23" s="1"/>
  <c r="DD15" i="4"/>
  <c r="CQ29" i="7"/>
  <c r="CQ29" i="23"/>
  <c r="CQ29" i="26"/>
  <c r="BF10" i="27"/>
  <c r="AY37" i="22"/>
  <c r="DA15" i="4"/>
  <c r="CN29" i="7"/>
  <c r="CN29" i="26"/>
  <c r="CN29" i="23"/>
  <c r="F36" i="22"/>
  <c r="CB25" i="7"/>
  <c r="CB26" i="7" s="1"/>
  <c r="CO13" i="4"/>
  <c r="CB25" i="26"/>
  <c r="CB26" i="26" s="1"/>
  <c r="CB25" i="23"/>
  <c r="CB26" i="23" s="1"/>
  <c r="BZ25" i="7"/>
  <c r="BZ26" i="7" s="1"/>
  <c r="BZ25" i="23"/>
  <c r="BZ26" i="23" s="1"/>
  <c r="BZ25" i="26"/>
  <c r="BZ26" i="26" s="1"/>
  <c r="CM13" i="4"/>
  <c r="CT29" i="23"/>
  <c r="CT29" i="26"/>
  <c r="CT29" i="7"/>
  <c r="DG15" i="4"/>
  <c r="BG36" i="22"/>
  <c r="G36" i="22"/>
  <c r="AY7" i="30"/>
  <c r="AP37" i="22"/>
  <c r="Z7" i="30"/>
  <c r="Q37" i="22"/>
  <c r="AM27" i="4"/>
  <c r="BF7" i="30"/>
  <c r="AW37" i="22"/>
  <c r="N10" i="27"/>
  <c r="G37" i="22"/>
  <c r="BS7" i="30"/>
  <c r="BJ37" i="22"/>
  <c r="O7" i="30"/>
  <c r="F37" i="22"/>
  <c r="BR27" i="26"/>
  <c r="BR28" i="26" s="1"/>
  <c r="BR27" i="23"/>
  <c r="BR28" i="23" s="1"/>
  <c r="CE14" i="4"/>
  <c r="BR27" i="7"/>
  <c r="BR28" i="7" s="1"/>
  <c r="AA10" i="27"/>
  <c r="BR7" i="30"/>
  <c r="AL7" i="30"/>
  <c r="BX27" i="7"/>
  <c r="BX28" i="7" s="1"/>
  <c r="BX27" i="26"/>
  <c r="BX28" i="26" s="1"/>
  <c r="CK14" i="4"/>
  <c r="BX27" i="23"/>
  <c r="BX28" i="23" s="1"/>
  <c r="AF47" i="13"/>
  <c r="AG47" i="13" s="1"/>
  <c r="AH47" i="13" s="1"/>
  <c r="AI47" i="13" s="1"/>
  <c r="AJ47" i="13" s="1"/>
  <c r="AK47" i="13" s="1"/>
  <c r="AL47" i="13" s="1"/>
  <c r="AM47" i="13" s="1"/>
  <c r="AN47" i="13" s="1"/>
  <c r="AO47" i="13" s="1"/>
  <c r="AP47" i="13" s="1"/>
  <c r="DH29" i="7"/>
  <c r="DH29" i="26"/>
  <c r="DH29" i="23"/>
  <c r="DU15" i="4"/>
  <c r="O32" i="14" l="1"/>
  <c r="O33" i="14"/>
  <c r="O19" i="14"/>
  <c r="O17" i="14"/>
  <c r="P33" i="14"/>
  <c r="P32" i="14"/>
  <c r="P17" i="14"/>
  <c r="P19" i="14"/>
  <c r="CH33" i="13"/>
  <c r="CH34" i="13" s="1"/>
  <c r="CH27" i="46"/>
  <c r="CH28" i="46" s="1"/>
  <c r="DA35" i="13"/>
  <c r="DA29" i="46"/>
  <c r="DF29" i="46"/>
  <c r="DF35" i="13"/>
  <c r="CL33" i="13"/>
  <c r="CL34" i="13" s="1"/>
  <c r="CL27" i="46"/>
  <c r="CL28" i="46" s="1"/>
  <c r="CR31" i="13"/>
  <c r="CR32" i="13" s="1"/>
  <c r="CR25" i="46"/>
  <c r="CR26" i="46" s="1"/>
  <c r="CE33" i="13"/>
  <c r="CE34" i="13" s="1"/>
  <c r="CE27" i="46"/>
  <c r="CE28" i="46" s="1"/>
  <c r="CW29" i="46"/>
  <c r="CW35" i="13"/>
  <c r="CN25" i="46"/>
  <c r="CN26" i="46" s="1"/>
  <c r="CN31" i="13"/>
  <c r="CN32" i="13" s="1"/>
  <c r="CQ25" i="46"/>
  <c r="CQ26" i="46" s="1"/>
  <c r="CQ31" i="13"/>
  <c r="CQ32" i="13" s="1"/>
  <c r="CL25" i="46"/>
  <c r="CL26" i="46" s="1"/>
  <c r="CL31" i="13"/>
  <c r="CL32" i="13" s="1"/>
  <c r="CV35" i="13"/>
  <c r="CV29" i="46"/>
  <c r="CS25" i="46"/>
  <c r="CS26" i="46" s="1"/>
  <c r="CS31" i="13"/>
  <c r="CS32" i="13" s="1"/>
  <c r="CA27" i="46"/>
  <c r="CA28" i="46" s="1"/>
  <c r="CA33" i="13"/>
  <c r="CA34" i="13" s="1"/>
  <c r="CP33" i="13"/>
  <c r="CP34" i="13" s="1"/>
  <c r="CP27" i="46"/>
  <c r="CP28" i="46" s="1"/>
  <c r="CK27" i="46"/>
  <c r="CK28" i="46" s="1"/>
  <c r="CK33" i="13"/>
  <c r="CK34" i="13" s="1"/>
  <c r="CO31" i="13"/>
  <c r="CO32" i="13" s="1"/>
  <c r="CO25" i="46"/>
  <c r="CO26" i="46" s="1"/>
  <c r="DC35" i="13"/>
  <c r="DC29" i="46"/>
  <c r="CZ29" i="46"/>
  <c r="CZ35" i="13"/>
  <c r="CP25" i="46"/>
  <c r="CP26" i="46" s="1"/>
  <c r="CP31" i="13"/>
  <c r="CP32" i="13" s="1"/>
  <c r="DD35" i="13"/>
  <c r="DD29" i="46"/>
  <c r="CT25" i="46"/>
  <c r="CT26" i="46" s="1"/>
  <c r="CT31" i="13"/>
  <c r="CT32" i="13" s="1"/>
  <c r="CI31" i="13"/>
  <c r="CI32" i="13" s="1"/>
  <c r="CI25" i="46"/>
  <c r="CI26" i="46" s="1"/>
  <c r="CX29" i="46"/>
  <c r="CX35" i="13"/>
  <c r="CJ33" i="13"/>
  <c r="CJ34" i="13" s="1"/>
  <c r="CJ27" i="46"/>
  <c r="CJ28" i="46" s="1"/>
  <c r="CJ25" i="46"/>
  <c r="CJ26" i="46" s="1"/>
  <c r="CJ31" i="13"/>
  <c r="CJ32" i="13" s="1"/>
  <c r="CR27" i="46"/>
  <c r="CR28" i="46" s="1"/>
  <c r="CR33" i="13"/>
  <c r="CR34" i="13" s="1"/>
  <c r="CN27" i="46"/>
  <c r="CN28" i="46" s="1"/>
  <c r="CN33" i="13"/>
  <c r="CN34" i="13" s="1"/>
  <c r="CG33" i="13"/>
  <c r="CG34" i="13" s="1"/>
  <c r="CG27" i="46"/>
  <c r="CG28" i="46" s="1"/>
  <c r="DB29" i="46"/>
  <c r="DB35" i="13"/>
  <c r="CY35" i="13"/>
  <c r="CY29" i="46"/>
  <c r="CM31" i="13"/>
  <c r="CM32" i="13" s="1"/>
  <c r="CM25" i="46"/>
  <c r="CM26" i="46" s="1"/>
  <c r="CK31" i="13"/>
  <c r="CK32" i="13" s="1"/>
  <c r="CK25" i="46"/>
  <c r="CK26" i="46" s="1"/>
  <c r="DE29" i="46"/>
  <c r="DE35" i="13"/>
  <c r="CC33" i="13"/>
  <c r="CC34" i="13" s="1"/>
  <c r="CC27" i="46"/>
  <c r="CC28" i="46" s="1"/>
  <c r="CI27" i="46"/>
  <c r="CI28" i="46" s="1"/>
  <c r="CI33" i="13"/>
  <c r="CI34" i="13" s="1"/>
  <c r="DS29" i="46"/>
  <c r="DS35" i="13"/>
  <c r="BZ32" i="46"/>
  <c r="BZ38" i="13"/>
  <c r="BM20" i="4"/>
  <c r="BK31" i="46"/>
  <c r="BT20" i="4"/>
  <c r="BR31" i="46"/>
  <c r="BK20" i="4"/>
  <c r="BI31" i="46"/>
  <c r="CM20" i="4"/>
  <c r="CK31" i="46"/>
  <c r="BV20" i="4"/>
  <c r="BT31" i="46"/>
  <c r="CI20" i="4"/>
  <c r="CG31" i="46"/>
  <c r="BO20" i="4"/>
  <c r="BM31" i="46"/>
  <c r="BU20" i="4"/>
  <c r="BS31" i="46"/>
  <c r="AP20" i="4"/>
  <c r="AN31" i="46"/>
  <c r="AJ20" i="4"/>
  <c r="AH31" i="46"/>
  <c r="I23" i="14" s="1"/>
  <c r="AH20" i="4"/>
  <c r="AF31" i="46"/>
  <c r="G23" i="14" s="1"/>
  <c r="BX20" i="4"/>
  <c r="BV31" i="46"/>
  <c r="CH20" i="4"/>
  <c r="CF31" i="46"/>
  <c r="AI20" i="4"/>
  <c r="AG31" i="46"/>
  <c r="H23" i="14" s="1"/>
  <c r="BC20" i="4"/>
  <c r="BA31" i="46"/>
  <c r="CE20" i="4"/>
  <c r="CC31" i="46"/>
  <c r="BZ20" i="4"/>
  <c r="BX31" i="46"/>
  <c r="CC20" i="4"/>
  <c r="CA31" i="46"/>
  <c r="AK20" i="4"/>
  <c r="AI31" i="46"/>
  <c r="J23" i="14" s="1"/>
  <c r="AR20" i="4"/>
  <c r="AP31" i="46"/>
  <c r="CJ20" i="4"/>
  <c r="CH31" i="46"/>
  <c r="AN20" i="4"/>
  <c r="AL31" i="46"/>
  <c r="BR20" i="4"/>
  <c r="BP31" i="46"/>
  <c r="BH20" i="4"/>
  <c r="BF31" i="46"/>
  <c r="CD20" i="4"/>
  <c r="CB31" i="46"/>
  <c r="BN20" i="4"/>
  <c r="BL31" i="46"/>
  <c r="CA20" i="4"/>
  <c r="BY31" i="46"/>
  <c r="AL20" i="4"/>
  <c r="AJ31" i="46"/>
  <c r="K23" i="14" s="1"/>
  <c r="AV20" i="4"/>
  <c r="AT31" i="46"/>
  <c r="BW20" i="4"/>
  <c r="BU31" i="46"/>
  <c r="BQ20" i="4"/>
  <c r="BO31" i="46"/>
  <c r="AM20" i="4"/>
  <c r="AK31" i="46"/>
  <c r="BF20" i="4"/>
  <c r="BD31" i="46"/>
  <c r="CL20" i="4"/>
  <c r="CJ31" i="46"/>
  <c r="AT20" i="4"/>
  <c r="AR31" i="46"/>
  <c r="BP20" i="4"/>
  <c r="BN31" i="46"/>
  <c r="BL20" i="4"/>
  <c r="BJ31" i="46"/>
  <c r="BB20" i="4"/>
  <c r="AZ31" i="46"/>
  <c r="AG20" i="4"/>
  <c r="AE31" i="46"/>
  <c r="F23" i="14" s="1"/>
  <c r="AW20" i="4"/>
  <c r="AU31" i="46"/>
  <c r="BE20" i="4"/>
  <c r="BC31" i="46"/>
  <c r="BG20" i="4"/>
  <c r="BE31" i="46"/>
  <c r="BI20" i="4"/>
  <c r="BG31" i="46"/>
  <c r="CK20" i="4"/>
  <c r="CI31" i="46"/>
  <c r="CB20" i="4"/>
  <c r="BZ31" i="46"/>
  <c r="AY20" i="4"/>
  <c r="AW31" i="46"/>
  <c r="AX20" i="4"/>
  <c r="AV31" i="46"/>
  <c r="BD20" i="4"/>
  <c r="BB31" i="46"/>
  <c r="BY20" i="4"/>
  <c r="BW31" i="46"/>
  <c r="AO20" i="4"/>
  <c r="AM31" i="46"/>
  <c r="BS20" i="4"/>
  <c r="BQ31" i="46"/>
  <c r="AU20" i="4"/>
  <c r="AS31" i="46"/>
  <c r="AQ20" i="4"/>
  <c r="AO31" i="46"/>
  <c r="CF20" i="4"/>
  <c r="CD31" i="46"/>
  <c r="AS20" i="4"/>
  <c r="AQ31" i="46"/>
  <c r="AQ33" i="46" s="1"/>
  <c r="AQ38" i="46" s="1"/>
  <c r="CG20" i="4"/>
  <c r="CE31" i="46"/>
  <c r="BA20" i="4"/>
  <c r="AY31" i="46"/>
  <c r="BJ20" i="4"/>
  <c r="BH31" i="46"/>
  <c r="AZ20" i="4"/>
  <c r="AX31" i="46"/>
  <c r="CY24" i="4"/>
  <c r="DY24" i="4"/>
  <c r="I90" i="11"/>
  <c r="I8" i="11"/>
  <c r="I4" i="44" s="1"/>
  <c r="I54" i="11"/>
  <c r="HZ19" i="23"/>
  <c r="ID19" i="46"/>
  <c r="U22" i="46"/>
  <c r="HR19" i="23"/>
  <c r="V22" i="23" s="1"/>
  <c r="HY19" i="23"/>
  <c r="U25" i="13"/>
  <c r="IC19" i="26"/>
  <c r="IB22" i="13"/>
  <c r="IH19" i="23"/>
  <c r="U22" i="23" s="1"/>
  <c r="IB19" i="46"/>
  <c r="IG22" i="13"/>
  <c r="U22" i="26"/>
  <c r="HX19" i="7"/>
  <c r="HT19" i="26"/>
  <c r="AQ47" i="13"/>
  <c r="AR47" i="13" s="1"/>
  <c r="AR9" i="33"/>
  <c r="G17" i="33" s="1"/>
  <c r="G50" i="33" s="1"/>
  <c r="AR9" i="45"/>
  <c r="AR9" i="34"/>
  <c r="G17" i="34" s="1"/>
  <c r="G50" i="34" s="1"/>
  <c r="AU26" i="4"/>
  <c r="AU27" i="4" s="1"/>
  <c r="AS9" i="27" s="1"/>
  <c r="AS40" i="13"/>
  <c r="AS46" i="13" s="1"/>
  <c r="J10" i="27"/>
  <c r="AA33" i="46"/>
  <c r="AA38" i="46" s="1"/>
  <c r="AM38" i="22"/>
  <c r="BJ38" i="22"/>
  <c r="V38" i="22"/>
  <c r="O38" i="22"/>
  <c r="AO38" i="22"/>
  <c r="AE38" i="22"/>
  <c r="IF17" i="7"/>
  <c r="IF18" i="7"/>
  <c r="ID18" i="7"/>
  <c r="ID17" i="7"/>
  <c r="ID19" i="7" s="1"/>
  <c r="II20" i="13"/>
  <c r="II21" i="13"/>
  <c r="IC17" i="46"/>
  <c r="IC18" i="46"/>
  <c r="ID22" i="13"/>
  <c r="II17" i="46"/>
  <c r="II18" i="46"/>
  <c r="ID18" i="26"/>
  <c r="ID17" i="26"/>
  <c r="ID19" i="26" s="1"/>
  <c r="HS19" i="46"/>
  <c r="V22" i="46" s="1"/>
  <c r="HR19" i="7"/>
  <c r="V22" i="7" s="1"/>
  <c r="IE19" i="7"/>
  <c r="HY22" i="13"/>
  <c r="IE21" i="13"/>
  <c r="IE20" i="13"/>
  <c r="IC19" i="23"/>
  <c r="HS22" i="13"/>
  <c r="HY19" i="46"/>
  <c r="HR19" i="26"/>
  <c r="U22" i="7"/>
  <c r="HW19" i="46"/>
  <c r="Z38" i="22"/>
  <c r="HX19" i="26"/>
  <c r="IE17" i="46"/>
  <c r="IE18" i="46"/>
  <c r="HQ22" i="13"/>
  <c r="IJ21" i="13"/>
  <c r="IJ20" i="13"/>
  <c r="IJ22" i="13" s="1"/>
  <c r="IC20" i="13"/>
  <c r="IC21" i="13"/>
  <c r="ID17" i="23"/>
  <c r="ID18" i="23"/>
  <c r="IH19" i="26"/>
  <c r="IH19" i="7"/>
  <c r="IK20" i="13"/>
  <c r="IK21" i="13"/>
  <c r="IF17" i="26"/>
  <c r="IF18" i="26"/>
  <c r="IJ18" i="46"/>
  <c r="IJ17" i="46"/>
  <c r="IK17" i="46"/>
  <c r="IK18" i="46"/>
  <c r="I22" i="23"/>
  <c r="M22" i="23"/>
  <c r="T22" i="23"/>
  <c r="IF17" i="23"/>
  <c r="IF18" i="23"/>
  <c r="IE19" i="23"/>
  <c r="AN38" i="22"/>
  <c r="BH38" i="22"/>
  <c r="AD38" i="22"/>
  <c r="N38" i="22"/>
  <c r="H38" i="22"/>
  <c r="S38" i="22"/>
  <c r="T38" i="22"/>
  <c r="AB38" i="22"/>
  <c r="U38" i="22"/>
  <c r="BB38" i="22"/>
  <c r="D38" i="22"/>
  <c r="AL38" i="22"/>
  <c r="BE38" i="22"/>
  <c r="BI38" i="22"/>
  <c r="AU38" i="22"/>
  <c r="AC38" i="22"/>
  <c r="AH38" i="22"/>
  <c r="AJ38" i="22"/>
  <c r="K38" i="22"/>
  <c r="J38" i="22"/>
  <c r="Y38" i="22"/>
  <c r="AV38" i="22"/>
  <c r="AZ38" i="22"/>
  <c r="AR38" i="22"/>
  <c r="BF38" i="22"/>
  <c r="M38" i="22"/>
  <c r="AA38" i="22"/>
  <c r="AI38" i="22"/>
  <c r="W38" i="22"/>
  <c r="AS38" i="22"/>
  <c r="E38" i="22"/>
  <c r="AG38" i="22"/>
  <c r="Q38" i="22"/>
  <c r="AT38" i="22"/>
  <c r="F38" i="22"/>
  <c r="AF38" i="22"/>
  <c r="AE29" i="4"/>
  <c r="AC9" i="27"/>
  <c r="AD9" i="27"/>
  <c r="AF29" i="4"/>
  <c r="CS27" i="7"/>
  <c r="CS28" i="7" s="1"/>
  <c r="CS27" i="26"/>
  <c r="CS28" i="26" s="1"/>
  <c r="DF14" i="4"/>
  <c r="CS27" i="23"/>
  <c r="CS28" i="23" s="1"/>
  <c r="CO25" i="23"/>
  <c r="CO26" i="23" s="1"/>
  <c r="CO25" i="26"/>
  <c r="CO26" i="26" s="1"/>
  <c r="DB13" i="4"/>
  <c r="CO25" i="7"/>
  <c r="CO26" i="7" s="1"/>
  <c r="CS14" i="4"/>
  <c r="CF27" i="26"/>
  <c r="CF28" i="26" s="1"/>
  <c r="CF27" i="7"/>
  <c r="CF28" i="7" s="1"/>
  <c r="CF27" i="23"/>
  <c r="CF28" i="23" s="1"/>
  <c r="N33" i="14"/>
  <c r="N32" i="14"/>
  <c r="N19" i="14"/>
  <c r="N17" i="14"/>
  <c r="AK38" i="22"/>
  <c r="CL25" i="23"/>
  <c r="CL26" i="23" s="1"/>
  <c r="CL25" i="26"/>
  <c r="CL26" i="26" s="1"/>
  <c r="CY13" i="4"/>
  <c r="CL25" i="7"/>
  <c r="CL26" i="7" s="1"/>
  <c r="CJ25" i="23"/>
  <c r="CJ26" i="23" s="1"/>
  <c r="CJ25" i="7"/>
  <c r="CJ26" i="7" s="1"/>
  <c r="CW13" i="4"/>
  <c r="CJ25" i="26"/>
  <c r="CJ26" i="26" s="1"/>
  <c r="CM25" i="23"/>
  <c r="CM26" i="23" s="1"/>
  <c r="CZ13" i="4"/>
  <c r="CM25" i="26"/>
  <c r="CM26" i="26" s="1"/>
  <c r="CM25" i="7"/>
  <c r="CM26" i="7" s="1"/>
  <c r="AY38" i="22"/>
  <c r="AK29" i="4"/>
  <c r="AI9" i="27"/>
  <c r="AQ38" i="22"/>
  <c r="AP38" i="22"/>
  <c r="AG9" i="27"/>
  <c r="AI29" i="4"/>
  <c r="X9" i="27"/>
  <c r="Z29" i="4"/>
  <c r="CS25" i="7"/>
  <c r="CS26" i="7" s="1"/>
  <c r="CS25" i="26"/>
  <c r="CS26" i="26" s="1"/>
  <c r="DF13" i="4"/>
  <c r="CS25" i="23"/>
  <c r="CS26" i="23" s="1"/>
  <c r="F15" i="11"/>
  <c r="F35" i="11" s="1"/>
  <c r="AH9" i="27"/>
  <c r="AJ29" i="4"/>
  <c r="CK27" i="7"/>
  <c r="CK28" i="7" s="1"/>
  <c r="CX14" i="4"/>
  <c r="CK27" i="26"/>
  <c r="CK28" i="26" s="1"/>
  <c r="CK27" i="23"/>
  <c r="CK28" i="23" s="1"/>
  <c r="G15" i="11"/>
  <c r="G35" i="11" s="1"/>
  <c r="AM9" i="27"/>
  <c r="AO29" i="4"/>
  <c r="CO27" i="26"/>
  <c r="CO28" i="26" s="1"/>
  <c r="CO27" i="23"/>
  <c r="CO28" i="23" s="1"/>
  <c r="CO27" i="7"/>
  <c r="CO28" i="7" s="1"/>
  <c r="DB14" i="4"/>
  <c r="G38" i="22"/>
  <c r="CQ25" i="23"/>
  <c r="CQ26" i="23" s="1"/>
  <c r="CQ25" i="7"/>
  <c r="CQ26" i="7" s="1"/>
  <c r="CQ25" i="26"/>
  <c r="CQ26" i="26" s="1"/>
  <c r="DD13" i="4"/>
  <c r="BG38" i="22"/>
  <c r="CB27" i="7"/>
  <c r="CB28" i="7" s="1"/>
  <c r="CO14" i="4"/>
  <c r="CB27" i="23"/>
  <c r="CB28" i="23" s="1"/>
  <c r="CB27" i="26"/>
  <c r="CB28" i="26" s="1"/>
  <c r="AX38" i="22"/>
  <c r="DE13" i="4"/>
  <c r="CR25" i="7"/>
  <c r="CR26" i="7" s="1"/>
  <c r="CR25" i="26"/>
  <c r="CR26" i="26" s="1"/>
  <c r="CR25" i="23"/>
  <c r="CR26" i="23" s="1"/>
  <c r="CM27" i="23"/>
  <c r="CM28" i="23" s="1"/>
  <c r="CZ14" i="4"/>
  <c r="CM27" i="26"/>
  <c r="CM28" i="26" s="1"/>
  <c r="CM27" i="7"/>
  <c r="CM28" i="7" s="1"/>
  <c r="DG29" i="26"/>
  <c r="DG29" i="23"/>
  <c r="DT15" i="4"/>
  <c r="DG29" i="7"/>
  <c r="CY29" i="7"/>
  <c r="CY29" i="26"/>
  <c r="CY29" i="23"/>
  <c r="DL15" i="4"/>
  <c r="CH27" i="7"/>
  <c r="CH28" i="7" s="1"/>
  <c r="CH27" i="26"/>
  <c r="CH28" i="26" s="1"/>
  <c r="CH27" i="23"/>
  <c r="CH28" i="23" s="1"/>
  <c r="CU14" i="4"/>
  <c r="DE29" i="7"/>
  <c r="DE29" i="26"/>
  <c r="DR15" i="4"/>
  <c r="DE29" i="23"/>
  <c r="CC25" i="4"/>
  <c r="Z9" i="27"/>
  <c r="AB29" i="4"/>
  <c r="AB9" i="27"/>
  <c r="AD29" i="4"/>
  <c r="CJ27" i="7"/>
  <c r="CJ28" i="7" s="1"/>
  <c r="CJ27" i="23"/>
  <c r="CJ28" i="23" s="1"/>
  <c r="CJ27" i="26"/>
  <c r="CJ28" i="26" s="1"/>
  <c r="CW14" i="4"/>
  <c r="L7" i="30"/>
  <c r="C37" i="22"/>
  <c r="B42" i="22" s="1"/>
  <c r="H15" i="11"/>
  <c r="H35" i="11" s="1"/>
  <c r="C31" i="11"/>
  <c r="AH27" i="4"/>
  <c r="D15" i="11"/>
  <c r="D35" i="11" s="1"/>
  <c r="R38" i="22"/>
  <c r="DB29" i="23"/>
  <c r="DO15" i="4"/>
  <c r="DB29" i="7"/>
  <c r="DB29" i="26"/>
  <c r="CX29" i="26"/>
  <c r="CX29" i="7"/>
  <c r="DK15" i="4"/>
  <c r="CX29" i="23"/>
  <c r="CD27" i="26"/>
  <c r="CD28" i="26" s="1"/>
  <c r="CQ14" i="4"/>
  <c r="CD27" i="7"/>
  <c r="CD28" i="7" s="1"/>
  <c r="CD27" i="23"/>
  <c r="CD28" i="23" s="1"/>
  <c r="AQ9" i="27"/>
  <c r="AS29" i="4"/>
  <c r="I38" i="22"/>
  <c r="E15" i="11"/>
  <c r="E35" i="11" s="1"/>
  <c r="CT25" i="23"/>
  <c r="CT26" i="23" s="1"/>
  <c r="CT25" i="26"/>
  <c r="CT26" i="26" s="1"/>
  <c r="CT25" i="7"/>
  <c r="CT26" i="7" s="1"/>
  <c r="DG13" i="4"/>
  <c r="DS15" i="4"/>
  <c r="DF29" i="23"/>
  <c r="DF29" i="7"/>
  <c r="DF29" i="26"/>
  <c r="CN25" i="26"/>
  <c r="CN26" i="26" s="1"/>
  <c r="CN25" i="7"/>
  <c r="CN26" i="7" s="1"/>
  <c r="DA13" i="4"/>
  <c r="CN25" i="23"/>
  <c r="CN26" i="23" s="1"/>
  <c r="DP15" i="4"/>
  <c r="DC29" i="26"/>
  <c r="DC29" i="7"/>
  <c r="DC29" i="23"/>
  <c r="AW38" i="22"/>
  <c r="L38" i="22"/>
  <c r="CU25" i="23"/>
  <c r="CU26" i="23" s="1"/>
  <c r="CU25" i="7"/>
  <c r="CU26" i="7" s="1"/>
  <c r="DH13" i="4"/>
  <c r="CU25" i="26"/>
  <c r="CU26" i="26" s="1"/>
  <c r="CP25" i="7"/>
  <c r="CP26" i="7" s="1"/>
  <c r="DC13" i="4"/>
  <c r="CP25" i="26"/>
  <c r="CP26" i="26" s="1"/>
  <c r="CP25" i="23"/>
  <c r="CP26" i="23" s="1"/>
  <c r="CL27" i="26"/>
  <c r="CL28" i="26" s="1"/>
  <c r="CL27" i="23"/>
  <c r="CL28" i="23" s="1"/>
  <c r="CY14" i="4"/>
  <c r="CL27" i="7"/>
  <c r="CL28" i="7" s="1"/>
  <c r="CW29" i="7"/>
  <c r="DJ15" i="4"/>
  <c r="CW29" i="23"/>
  <c r="CW29" i="26"/>
  <c r="AG29" i="4"/>
  <c r="AE9" i="27"/>
  <c r="C36" i="22"/>
  <c r="B41" i="22"/>
  <c r="P38" i="22"/>
  <c r="AQ29" i="4"/>
  <c r="AO9" i="27"/>
  <c r="AR29" i="4"/>
  <c r="AP9" i="27"/>
  <c r="AM29" i="4"/>
  <c r="AK9" i="27"/>
  <c r="CZ29" i="23"/>
  <c r="CZ29" i="26"/>
  <c r="DM15" i="4"/>
  <c r="CZ29" i="7"/>
  <c r="CQ27" i="23"/>
  <c r="CQ28" i="23" s="1"/>
  <c r="CQ27" i="26"/>
  <c r="CQ28" i="26" s="1"/>
  <c r="DD14" i="4"/>
  <c r="CQ27" i="7"/>
  <c r="CQ28" i="7" s="1"/>
  <c r="BC38" i="22"/>
  <c r="CK25" i="26"/>
  <c r="CK26" i="26" s="1"/>
  <c r="CK25" i="23"/>
  <c r="CK26" i="23" s="1"/>
  <c r="CK25" i="7"/>
  <c r="CK26" i="7" s="1"/>
  <c r="CX13" i="4"/>
  <c r="DA29" i="26"/>
  <c r="DN15" i="4"/>
  <c r="DA29" i="7"/>
  <c r="DA29" i="23"/>
  <c r="AN29" i="4"/>
  <c r="AL9" i="27"/>
  <c r="Y9" i="27"/>
  <c r="AA29" i="4"/>
  <c r="AP29" i="4"/>
  <c r="AN9" i="27"/>
  <c r="AT27" i="4"/>
  <c r="AC29" i="4"/>
  <c r="AA9" i="27"/>
  <c r="BD38" i="22"/>
  <c r="X38" i="22"/>
  <c r="DD29" i="26"/>
  <c r="DD29" i="23"/>
  <c r="DD29" i="7"/>
  <c r="DQ15" i="4"/>
  <c r="BA38" i="22"/>
  <c r="AJ9" i="27"/>
  <c r="AL29" i="4"/>
  <c r="CI27" i="26"/>
  <c r="CI28" i="26" s="1"/>
  <c r="CI27" i="7"/>
  <c r="CI28" i="7" s="1"/>
  <c r="CI27" i="23"/>
  <c r="CI28" i="23" s="1"/>
  <c r="CV14" i="4"/>
  <c r="EG15" i="4"/>
  <c r="DT29" i="26"/>
  <c r="DT29" i="7"/>
  <c r="DT29" i="23"/>
  <c r="R33" i="14" l="1"/>
  <c r="U19" i="14" s="1"/>
  <c r="V19" i="14" s="1"/>
  <c r="R19" i="14"/>
  <c r="R20" i="14" s="1"/>
  <c r="R21" i="14" s="1"/>
  <c r="DD27" i="46"/>
  <c r="DD28" i="46" s="1"/>
  <c r="DD33" i="13"/>
  <c r="DD34" i="13" s="1"/>
  <c r="CZ31" i="13"/>
  <c r="CZ32" i="13" s="1"/>
  <c r="CZ25" i="46"/>
  <c r="CZ26" i="46" s="1"/>
  <c r="CQ27" i="46"/>
  <c r="CQ28" i="46" s="1"/>
  <c r="CQ33" i="13"/>
  <c r="CQ34" i="13" s="1"/>
  <c r="CW25" i="46"/>
  <c r="CW26" i="46" s="1"/>
  <c r="CW31" i="13"/>
  <c r="CW32" i="13" s="1"/>
  <c r="CU25" i="46"/>
  <c r="CU26" i="46" s="1"/>
  <c r="CU31" i="13"/>
  <c r="CU32" i="13" s="1"/>
  <c r="CX25" i="46"/>
  <c r="CX26" i="46" s="1"/>
  <c r="CX31" i="13"/>
  <c r="CX32" i="13" s="1"/>
  <c r="DD31" i="13"/>
  <c r="DD32" i="13" s="1"/>
  <c r="DD25" i="46"/>
  <c r="DD26" i="46" s="1"/>
  <c r="CV33" i="13"/>
  <c r="CV34" i="13" s="1"/>
  <c r="CV27" i="46"/>
  <c r="CV28" i="46" s="1"/>
  <c r="CZ33" i="13"/>
  <c r="CZ34" i="13" s="1"/>
  <c r="CZ27" i="46"/>
  <c r="CZ28" i="46" s="1"/>
  <c r="DB25" i="46"/>
  <c r="DB26" i="46" s="1"/>
  <c r="DB31" i="13"/>
  <c r="DB32" i="13" s="1"/>
  <c r="CM27" i="46"/>
  <c r="CM28" i="46" s="1"/>
  <c r="CM33" i="13"/>
  <c r="CM34" i="13" s="1"/>
  <c r="DC25" i="46"/>
  <c r="DC26" i="46" s="1"/>
  <c r="DC31" i="13"/>
  <c r="DC32" i="13" s="1"/>
  <c r="CX33" i="13"/>
  <c r="CX34" i="13" s="1"/>
  <c r="CX27" i="46"/>
  <c r="CX28" i="46" s="1"/>
  <c r="DR35" i="13"/>
  <c r="DR29" i="46"/>
  <c r="DJ29" i="46"/>
  <c r="DJ35" i="13"/>
  <c r="CS27" i="46"/>
  <c r="CS28" i="46" s="1"/>
  <c r="CS33" i="13"/>
  <c r="CS34" i="13" s="1"/>
  <c r="DP35" i="13"/>
  <c r="DP29" i="46"/>
  <c r="CU27" i="46"/>
  <c r="CU28" i="46" s="1"/>
  <c r="CU33" i="13"/>
  <c r="CU34" i="13" s="1"/>
  <c r="DM29" i="46"/>
  <c r="DM35" i="13"/>
  <c r="DI29" i="46"/>
  <c r="DI35" i="13"/>
  <c r="CO27" i="46"/>
  <c r="CO28" i="46" s="1"/>
  <c r="CO33" i="13"/>
  <c r="CO34" i="13" s="1"/>
  <c r="DE31" i="13"/>
  <c r="DE32" i="13" s="1"/>
  <c r="DE25" i="46"/>
  <c r="DE26" i="46" s="1"/>
  <c r="DQ29" i="46"/>
  <c r="DQ35" i="13"/>
  <c r="CY25" i="46"/>
  <c r="CY26" i="46" s="1"/>
  <c r="CY31" i="13"/>
  <c r="CY32" i="13" s="1"/>
  <c r="DN29" i="46"/>
  <c r="DN35" i="13"/>
  <c r="DF25" i="46"/>
  <c r="DF26" i="46" s="1"/>
  <c r="DF31" i="13"/>
  <c r="DF32" i="13" s="1"/>
  <c r="DA25" i="46"/>
  <c r="DA26" i="46" s="1"/>
  <c r="DA31" i="13"/>
  <c r="DA32" i="13" s="1"/>
  <c r="CW27" i="46"/>
  <c r="CW28" i="46" s="1"/>
  <c r="CW33" i="13"/>
  <c r="CW34" i="13" s="1"/>
  <c r="DH35" i="13"/>
  <c r="DH29" i="46"/>
  <c r="DK29" i="46"/>
  <c r="DK35" i="13"/>
  <c r="DB33" i="13"/>
  <c r="DB34" i="13" s="1"/>
  <c r="DB27" i="46"/>
  <c r="DB28" i="46" s="1"/>
  <c r="CV25" i="46"/>
  <c r="CV26" i="46" s="1"/>
  <c r="CV31" i="13"/>
  <c r="CV32" i="13" s="1"/>
  <c r="DL29" i="46"/>
  <c r="DL35" i="13"/>
  <c r="DO29" i="46"/>
  <c r="DO35" i="13"/>
  <c r="CT27" i="46"/>
  <c r="CT28" i="46" s="1"/>
  <c r="CT33" i="13"/>
  <c r="CT34" i="13" s="1"/>
  <c r="EE29" i="46"/>
  <c r="EE35" i="13"/>
  <c r="AJ33" i="46"/>
  <c r="AJ38" i="46" s="1"/>
  <c r="G91" i="11"/>
  <c r="CA32" i="46"/>
  <c r="CA38" i="13"/>
  <c r="AO33" i="46"/>
  <c r="AO38" i="46" s="1"/>
  <c r="P23" i="14"/>
  <c r="AP33" i="46"/>
  <c r="AP38" i="46" s="1"/>
  <c r="Q23" i="14"/>
  <c r="AK33" i="46"/>
  <c r="AK38" i="46" s="1"/>
  <c r="L23" i="14"/>
  <c r="AL33" i="46"/>
  <c r="AL38" i="46" s="1"/>
  <c r="M23" i="14"/>
  <c r="AM33" i="46"/>
  <c r="AM38" i="46" s="1"/>
  <c r="N23" i="14"/>
  <c r="AN33" i="46"/>
  <c r="AN38" i="46" s="1"/>
  <c r="O23" i="14"/>
  <c r="AF20" i="4"/>
  <c r="B20" i="4" s="1"/>
  <c r="AD31" i="46"/>
  <c r="DB24" i="4"/>
  <c r="AB33" i="46"/>
  <c r="AB38" i="46" s="1"/>
  <c r="AF33" i="46"/>
  <c r="AF38" i="46" s="1"/>
  <c r="AI33" i="46"/>
  <c r="AI38" i="46" s="1"/>
  <c r="EB24" i="4"/>
  <c r="AS47" i="13"/>
  <c r="IE19" i="46"/>
  <c r="IE22" i="13"/>
  <c r="AR33" i="46"/>
  <c r="AR38" i="46" s="1"/>
  <c r="AU29" i="4"/>
  <c r="AS9" i="45"/>
  <c r="AS9" i="33"/>
  <c r="AT40" i="13"/>
  <c r="AT46" i="13" s="1"/>
  <c r="AV26" i="4"/>
  <c r="AS33" i="46"/>
  <c r="AS38" i="46" s="1"/>
  <c r="AS9" i="34"/>
  <c r="C15" i="11"/>
  <c r="C35" i="11" s="1"/>
  <c r="W22" i="26"/>
  <c r="W22" i="7"/>
  <c r="IK22" i="13"/>
  <c r="II19" i="46"/>
  <c r="I22" i="7"/>
  <c r="L22" i="7"/>
  <c r="P22" i="7"/>
  <c r="II22" i="13"/>
  <c r="IF19" i="23"/>
  <c r="C55" i="23"/>
  <c r="C47" i="23"/>
  <c r="IC22" i="13"/>
  <c r="V22" i="26"/>
  <c r="ID19" i="23"/>
  <c r="W22" i="23" s="1"/>
  <c r="IF19" i="26"/>
  <c r="IC19" i="46"/>
  <c r="IK19" i="46"/>
  <c r="IF19" i="7"/>
  <c r="V25" i="13"/>
  <c r="IJ19" i="46"/>
  <c r="W9" i="27"/>
  <c r="C38" i="22"/>
  <c r="DJ29" i="7"/>
  <c r="DW15" i="4"/>
  <c r="DJ29" i="23"/>
  <c r="DJ29" i="26"/>
  <c r="AR9" i="27"/>
  <c r="AT29" i="4"/>
  <c r="Z33" i="46"/>
  <c r="Z38" i="46" s="1"/>
  <c r="DM29" i="26"/>
  <c r="DZ15" i="4"/>
  <c r="DM29" i="7"/>
  <c r="DM29" i="23"/>
  <c r="DM13" i="4"/>
  <c r="CZ25" i="7"/>
  <c r="CZ26" i="7" s="1"/>
  <c r="CZ25" i="23"/>
  <c r="CZ26" i="23" s="1"/>
  <c r="CZ25" i="26"/>
  <c r="CZ26" i="26" s="1"/>
  <c r="CT27" i="23"/>
  <c r="CT28" i="23" s="1"/>
  <c r="CT27" i="7"/>
  <c r="CT28" i="7" s="1"/>
  <c r="DG14" i="4"/>
  <c r="CT27" i="26"/>
  <c r="CT28" i="26" s="1"/>
  <c r="DS29" i="23"/>
  <c r="DS29" i="7"/>
  <c r="DS29" i="26"/>
  <c r="EF15" i="4"/>
  <c r="DR14" i="4"/>
  <c r="DE27" i="23"/>
  <c r="DE28" i="23" s="1"/>
  <c r="DE27" i="26"/>
  <c r="DE28" i="26" s="1"/>
  <c r="DE27" i="7"/>
  <c r="DE28" i="7" s="1"/>
  <c r="AE33" i="46"/>
  <c r="AE38" i="46" s="1"/>
  <c r="DI29" i="26"/>
  <c r="DI29" i="7"/>
  <c r="DI29" i="23"/>
  <c r="DV15" i="4"/>
  <c r="CD25" i="4"/>
  <c r="DE25" i="23"/>
  <c r="DE26" i="23" s="1"/>
  <c r="DR13" i="4"/>
  <c r="DE25" i="7"/>
  <c r="DE26" i="7" s="1"/>
  <c r="DE25" i="26"/>
  <c r="DE26" i="26" s="1"/>
  <c r="DT13" i="4"/>
  <c r="DG25" i="7"/>
  <c r="DG26" i="7" s="1"/>
  <c r="DG25" i="26"/>
  <c r="DG26" i="26" s="1"/>
  <c r="DG25" i="23"/>
  <c r="DG26" i="23" s="1"/>
  <c r="DL13" i="4"/>
  <c r="CY25" i="26"/>
  <c r="CY26" i="26" s="1"/>
  <c r="CY25" i="7"/>
  <c r="CY26" i="7" s="1"/>
  <c r="CY25" i="23"/>
  <c r="CY26" i="23" s="1"/>
  <c r="AH33" i="46"/>
  <c r="AH38" i="46" s="1"/>
  <c r="DA25" i="26"/>
  <c r="DA26" i="26" s="1"/>
  <c r="DA25" i="7"/>
  <c r="DA26" i="7" s="1"/>
  <c r="DA25" i="23"/>
  <c r="DA26" i="23" s="1"/>
  <c r="DN13" i="4"/>
  <c r="CP27" i="23"/>
  <c r="CP28" i="23" s="1"/>
  <c r="CP27" i="7"/>
  <c r="CP28" i="7" s="1"/>
  <c r="CP27" i="26"/>
  <c r="CP28" i="26" s="1"/>
  <c r="DC14" i="4"/>
  <c r="CU27" i="23"/>
  <c r="CU28" i="23" s="1"/>
  <c r="DH14" i="4"/>
  <c r="CU27" i="26"/>
  <c r="CU28" i="26" s="1"/>
  <c r="CU27" i="7"/>
  <c r="CU28" i="7" s="1"/>
  <c r="DF25" i="23"/>
  <c r="DF26" i="23" s="1"/>
  <c r="DF25" i="7"/>
  <c r="DF26" i="7" s="1"/>
  <c r="DF25" i="26"/>
  <c r="DF26" i="26" s="1"/>
  <c r="DS13" i="4"/>
  <c r="AG33" i="46"/>
  <c r="AG38" i="46" s="1"/>
  <c r="CN27" i="23"/>
  <c r="CN28" i="23" s="1"/>
  <c r="CN27" i="26"/>
  <c r="CN28" i="26" s="1"/>
  <c r="CN27" i="7"/>
  <c r="CN28" i="7" s="1"/>
  <c r="DA14" i="4"/>
  <c r="DL14" i="4"/>
  <c r="CY27" i="7"/>
  <c r="CY28" i="7" s="1"/>
  <c r="CY27" i="23"/>
  <c r="CY28" i="23" s="1"/>
  <c r="CY27" i="26"/>
  <c r="CY28" i="26" s="1"/>
  <c r="DP13" i="4"/>
  <c r="DC25" i="23"/>
  <c r="DC26" i="23" s="1"/>
  <c r="DC25" i="7"/>
  <c r="DC26" i="7" s="1"/>
  <c r="DC25" i="26"/>
  <c r="DC26" i="26" s="1"/>
  <c r="CX27" i="7"/>
  <c r="CX28" i="7" s="1"/>
  <c r="CX27" i="26"/>
  <c r="CX28" i="26" s="1"/>
  <c r="CX27" i="23"/>
  <c r="CX28" i="23" s="1"/>
  <c r="DK14" i="4"/>
  <c r="CW27" i="23"/>
  <c r="CW28" i="23" s="1"/>
  <c r="DJ14" i="4"/>
  <c r="CW27" i="7"/>
  <c r="CW28" i="7" s="1"/>
  <c r="CW27" i="26"/>
  <c r="CW28" i="26" s="1"/>
  <c r="DP29" i="7"/>
  <c r="DP29" i="23"/>
  <c r="EC15" i="4"/>
  <c r="DP29" i="26"/>
  <c r="DL29" i="26"/>
  <c r="DL29" i="7"/>
  <c r="DY15" i="4"/>
  <c r="DL29" i="23"/>
  <c r="DK29" i="26"/>
  <c r="DX15" i="4"/>
  <c r="DK29" i="7"/>
  <c r="DK29" i="23"/>
  <c r="DN29" i="7"/>
  <c r="DN29" i="23"/>
  <c r="EA15" i="4"/>
  <c r="DN29" i="26"/>
  <c r="DA27" i="7"/>
  <c r="DA28" i="7" s="1"/>
  <c r="DA27" i="23"/>
  <c r="DA28" i="23" s="1"/>
  <c r="DN14" i="4"/>
  <c r="DA27" i="26"/>
  <c r="DA28" i="26" s="1"/>
  <c r="CV27" i="23"/>
  <c r="CV28" i="23" s="1"/>
  <c r="DI14" i="4"/>
  <c r="CV27" i="26"/>
  <c r="CV28" i="26" s="1"/>
  <c r="CV27" i="7"/>
  <c r="CV28" i="7" s="1"/>
  <c r="DC27" i="26"/>
  <c r="DC28" i="26" s="1"/>
  <c r="DP14" i="4"/>
  <c r="DC27" i="23"/>
  <c r="DC28" i="23" s="1"/>
  <c r="DC27" i="7"/>
  <c r="DC28" i="7" s="1"/>
  <c r="DO29" i="23"/>
  <c r="EB15" i="4"/>
  <c r="DO29" i="7"/>
  <c r="DO29" i="26"/>
  <c r="Y33" i="46"/>
  <c r="Y38" i="46" s="1"/>
  <c r="DJ13" i="4"/>
  <c r="CW25" i="26"/>
  <c r="CW26" i="26" s="1"/>
  <c r="CW25" i="7"/>
  <c r="CW26" i="7" s="1"/>
  <c r="CW25" i="23"/>
  <c r="CW26" i="23" s="1"/>
  <c r="EE15" i="4"/>
  <c r="DR29" i="7"/>
  <c r="DR29" i="26"/>
  <c r="DR29" i="23"/>
  <c r="AC33" i="46"/>
  <c r="AC38" i="46" s="1"/>
  <c r="CV25" i="7"/>
  <c r="CV26" i="7" s="1"/>
  <c r="CV25" i="26"/>
  <c r="CV26" i="26" s="1"/>
  <c r="DI13" i="4"/>
  <c r="CV25" i="23"/>
  <c r="CV26" i="23" s="1"/>
  <c r="DK13" i="4"/>
  <c r="CX25" i="7"/>
  <c r="CX26" i="7" s="1"/>
  <c r="CX25" i="26"/>
  <c r="CX26" i="26" s="1"/>
  <c r="CX25" i="23"/>
  <c r="CX26" i="23" s="1"/>
  <c r="DB25" i="7"/>
  <c r="DB26" i="7" s="1"/>
  <c r="DO13" i="4"/>
  <c r="DB25" i="26"/>
  <c r="DB26" i="26" s="1"/>
  <c r="DB25" i="23"/>
  <c r="DB26" i="23" s="1"/>
  <c r="DQ29" i="23"/>
  <c r="DQ29" i="7"/>
  <c r="DQ29" i="26"/>
  <c r="ED15" i="4"/>
  <c r="X33" i="46"/>
  <c r="X38" i="46" s="1"/>
  <c r="CR27" i="7"/>
  <c r="CR28" i="7" s="1"/>
  <c r="CR27" i="23"/>
  <c r="CR28" i="23" s="1"/>
  <c r="CR27" i="26"/>
  <c r="CR28" i="26" s="1"/>
  <c r="DE14" i="4"/>
  <c r="G9" i="11"/>
  <c r="AH29" i="4"/>
  <c r="AF9" i="27"/>
  <c r="F17" i="27" s="1"/>
  <c r="F50" i="27" s="1"/>
  <c r="H34" i="4"/>
  <c r="DD25" i="23"/>
  <c r="DD26" i="23" s="1"/>
  <c r="DD25" i="7"/>
  <c r="DD26" i="7" s="1"/>
  <c r="DD25" i="26"/>
  <c r="DD26" i="26" s="1"/>
  <c r="DQ13" i="4"/>
  <c r="W33" i="46"/>
  <c r="EF29" i="26"/>
  <c r="EF29" i="23"/>
  <c r="EF29" i="7"/>
  <c r="ES15" i="4"/>
  <c r="DU29" i="46" l="1"/>
  <c r="DU35" i="13"/>
  <c r="DX29" i="46"/>
  <c r="DX35" i="13"/>
  <c r="DK25" i="46"/>
  <c r="DK26" i="46" s="1"/>
  <c r="DK31" i="13"/>
  <c r="DK32" i="13" s="1"/>
  <c r="DE27" i="46"/>
  <c r="DE28" i="46" s="1"/>
  <c r="DE33" i="13"/>
  <c r="DE34" i="13" s="1"/>
  <c r="ED35" i="13"/>
  <c r="ED29" i="46"/>
  <c r="DP33" i="13"/>
  <c r="DP34" i="13" s="1"/>
  <c r="DP27" i="46"/>
  <c r="DP28" i="46" s="1"/>
  <c r="DT35" i="13"/>
  <c r="DT29" i="46"/>
  <c r="DP25" i="46"/>
  <c r="DP26" i="46" s="1"/>
  <c r="DP31" i="13"/>
  <c r="DP32" i="13" s="1"/>
  <c r="DR31" i="13"/>
  <c r="DR32" i="13" s="1"/>
  <c r="DR25" i="46"/>
  <c r="DR26" i="46" s="1"/>
  <c r="DJ25" i="46"/>
  <c r="DJ26" i="46" s="1"/>
  <c r="DJ31" i="13"/>
  <c r="DJ32" i="13" s="1"/>
  <c r="DL25" i="46"/>
  <c r="DL26" i="46" s="1"/>
  <c r="DL31" i="13"/>
  <c r="DL32" i="13" s="1"/>
  <c r="DA33" i="13"/>
  <c r="DA34" i="13" s="1"/>
  <c r="DA27" i="46"/>
  <c r="DA28" i="46" s="1"/>
  <c r="DF33" i="13"/>
  <c r="DF34" i="13" s="1"/>
  <c r="DF27" i="46"/>
  <c r="DF28" i="46" s="1"/>
  <c r="DQ31" i="13"/>
  <c r="DQ32" i="13" s="1"/>
  <c r="DQ25" i="46"/>
  <c r="DQ26" i="46" s="1"/>
  <c r="CY33" i="13"/>
  <c r="CY34" i="13" s="1"/>
  <c r="CY27" i="46"/>
  <c r="CY28" i="46" s="1"/>
  <c r="DJ33" i="13"/>
  <c r="DJ34" i="13" s="1"/>
  <c r="DJ27" i="46"/>
  <c r="DJ28" i="46" s="1"/>
  <c r="DN25" i="46"/>
  <c r="DN26" i="46" s="1"/>
  <c r="DN31" i="13"/>
  <c r="DN32" i="13" s="1"/>
  <c r="DI33" i="13"/>
  <c r="DI34" i="13" s="1"/>
  <c r="DI27" i="46"/>
  <c r="DI28" i="46" s="1"/>
  <c r="DH27" i="46"/>
  <c r="DH28" i="46" s="1"/>
  <c r="DH33" i="13"/>
  <c r="DH34" i="13" s="1"/>
  <c r="EA29" i="46"/>
  <c r="EA35" i="13"/>
  <c r="DW35" i="13"/>
  <c r="DW29" i="46"/>
  <c r="DV29" i="46"/>
  <c r="DV35" i="13"/>
  <c r="DY29" i="46"/>
  <c r="DY35" i="13"/>
  <c r="DL27" i="46"/>
  <c r="DL28" i="46" s="1"/>
  <c r="DL33" i="13"/>
  <c r="DL34" i="13" s="1"/>
  <c r="DG27" i="46"/>
  <c r="DG28" i="46" s="1"/>
  <c r="DG33" i="13"/>
  <c r="DG34" i="13" s="1"/>
  <c r="DN27" i="46"/>
  <c r="DN28" i="46" s="1"/>
  <c r="DN33" i="13"/>
  <c r="DN34" i="13" s="1"/>
  <c r="DZ29" i="46"/>
  <c r="DZ35" i="13"/>
  <c r="DH25" i="46"/>
  <c r="DH26" i="46" s="1"/>
  <c r="DH31" i="13"/>
  <c r="DH32" i="13" s="1"/>
  <c r="EC29" i="46"/>
  <c r="EC35" i="13"/>
  <c r="DG31" i="13"/>
  <c r="DG32" i="13" s="1"/>
  <c r="DG25" i="46"/>
  <c r="DG26" i="46" s="1"/>
  <c r="DI25" i="46"/>
  <c r="DI26" i="46" s="1"/>
  <c r="DI31" i="13"/>
  <c r="DI32" i="13" s="1"/>
  <c r="DM31" i="13"/>
  <c r="DM32" i="13" s="1"/>
  <c r="DM25" i="46"/>
  <c r="DM26" i="46" s="1"/>
  <c r="EB35" i="13"/>
  <c r="EB29" i="46"/>
  <c r="DC33" i="13"/>
  <c r="DC34" i="13" s="1"/>
  <c r="DC27" i="46"/>
  <c r="DC28" i="46" s="1"/>
  <c r="DO31" i="13"/>
  <c r="DO32" i="13" s="1"/>
  <c r="DO25" i="46"/>
  <c r="DO26" i="46" s="1"/>
  <c r="EQ29" i="46"/>
  <c r="EQ35" i="13"/>
  <c r="CB32" i="46"/>
  <c r="CB38" i="13"/>
  <c r="E23" i="14"/>
  <c r="AD33" i="46"/>
  <c r="AD38" i="46" s="1"/>
  <c r="DE24" i="4"/>
  <c r="EE24" i="4"/>
  <c r="AT47" i="13"/>
  <c r="W22" i="46"/>
  <c r="D55" i="46" s="1"/>
  <c r="AT9" i="33"/>
  <c r="AT9" i="45"/>
  <c r="AW26" i="4"/>
  <c r="AT33" i="46"/>
  <c r="AT38" i="46" s="1"/>
  <c r="AU40" i="13"/>
  <c r="AU46" i="13" s="1"/>
  <c r="AT9" i="34"/>
  <c r="AV27" i="4"/>
  <c r="V15" i="11"/>
  <c r="G34" i="4"/>
  <c r="G35" i="4" s="1"/>
  <c r="W25" i="13"/>
  <c r="D64" i="13" s="1"/>
  <c r="B55" i="7"/>
  <c r="C55" i="7"/>
  <c r="F36" i="46"/>
  <c r="Y29" i="4"/>
  <c r="F42" i="46"/>
  <c r="EA13" i="4"/>
  <c r="DN25" i="26"/>
  <c r="DN26" i="26" s="1"/>
  <c r="DN25" i="23"/>
  <c r="DN26" i="23" s="1"/>
  <c r="DN25" i="7"/>
  <c r="DN26" i="7" s="1"/>
  <c r="DI25" i="26"/>
  <c r="DI26" i="26" s="1"/>
  <c r="DV13" i="4"/>
  <c r="DI25" i="23"/>
  <c r="DI26" i="23" s="1"/>
  <c r="DI25" i="7"/>
  <c r="DI26" i="7" s="1"/>
  <c r="DK25" i="23"/>
  <c r="DK26" i="23" s="1"/>
  <c r="DK25" i="26"/>
  <c r="DK26" i="26" s="1"/>
  <c r="DK25" i="7"/>
  <c r="DK26" i="7" s="1"/>
  <c r="DX13" i="4"/>
  <c r="DK27" i="7"/>
  <c r="DK28" i="7" s="1"/>
  <c r="DK27" i="23"/>
  <c r="DK28" i="23" s="1"/>
  <c r="DX14" i="4"/>
  <c r="DK27" i="26"/>
  <c r="DK28" i="26" s="1"/>
  <c r="DM25" i="23"/>
  <c r="DM26" i="23" s="1"/>
  <c r="DM25" i="7"/>
  <c r="DM26" i="7" s="1"/>
  <c r="DZ13" i="4"/>
  <c r="DM25" i="26"/>
  <c r="DM26" i="26" s="1"/>
  <c r="EE29" i="7"/>
  <c r="EE29" i="23"/>
  <c r="ER15" i="4"/>
  <c r="EE29" i="26"/>
  <c r="DL25" i="7"/>
  <c r="DL26" i="7" s="1"/>
  <c r="DY13" i="4"/>
  <c r="DL25" i="23"/>
  <c r="DL26" i="23" s="1"/>
  <c r="DL25" i="26"/>
  <c r="DL26" i="26" s="1"/>
  <c r="DV29" i="23"/>
  <c r="EI15" i="4"/>
  <c r="DV29" i="26"/>
  <c r="DV29" i="7"/>
  <c r="EE13" i="4"/>
  <c r="DR25" i="23"/>
  <c r="DR26" i="23" s="1"/>
  <c r="DR25" i="7"/>
  <c r="DR26" i="7" s="1"/>
  <c r="DR25" i="26"/>
  <c r="DR26" i="26" s="1"/>
  <c r="DU29" i="23"/>
  <c r="EH15" i="4"/>
  <c r="DU29" i="7"/>
  <c r="DU29" i="26"/>
  <c r="DI27" i="23"/>
  <c r="DI28" i="23" s="1"/>
  <c r="DI27" i="7"/>
  <c r="DI28" i="7" s="1"/>
  <c r="DI27" i="26"/>
  <c r="DI28" i="26" s="1"/>
  <c r="DV14" i="4"/>
  <c r="EK15" i="4"/>
  <c r="DX29" i="7"/>
  <c r="DX29" i="23"/>
  <c r="DX29" i="26"/>
  <c r="DQ14" i="4"/>
  <c r="DD27" i="26"/>
  <c r="DD28" i="26" s="1"/>
  <c r="DD27" i="7"/>
  <c r="DD28" i="7" s="1"/>
  <c r="DD27" i="23"/>
  <c r="DD28" i="23" s="1"/>
  <c r="DZ29" i="26"/>
  <c r="DZ29" i="23"/>
  <c r="DZ29" i="7"/>
  <c r="EM15" i="4"/>
  <c r="B31" i="4"/>
  <c r="EC13" i="4"/>
  <c r="DP25" i="7"/>
  <c r="DP26" i="7" s="1"/>
  <c r="DP25" i="26"/>
  <c r="DP26" i="26" s="1"/>
  <c r="DP25" i="23"/>
  <c r="DP26" i="23" s="1"/>
  <c r="EC29" i="7"/>
  <c r="EC29" i="26"/>
  <c r="EP15" i="4"/>
  <c r="EC29" i="23"/>
  <c r="DW29" i="7"/>
  <c r="EJ15" i="4"/>
  <c r="DW29" i="26"/>
  <c r="DW29" i="23"/>
  <c r="EF13" i="4"/>
  <c r="DS25" i="7"/>
  <c r="DS26" i="7" s="1"/>
  <c r="DS25" i="26"/>
  <c r="DS26" i="26" s="1"/>
  <c r="DS25" i="23"/>
  <c r="DS26" i="23" s="1"/>
  <c r="EQ15" i="4"/>
  <c r="ED29" i="26"/>
  <c r="ED29" i="7"/>
  <c r="ED29" i="23"/>
  <c r="DH25" i="7"/>
  <c r="DH26" i="7" s="1"/>
  <c r="DU13" i="4"/>
  <c r="DH25" i="26"/>
  <c r="DH26" i="26" s="1"/>
  <c r="DH25" i="23"/>
  <c r="DH26" i="23" s="1"/>
  <c r="CZ27" i="23"/>
  <c r="CZ28" i="23" s="1"/>
  <c r="CZ27" i="7"/>
  <c r="CZ28" i="7" s="1"/>
  <c r="CZ27" i="26"/>
  <c r="CZ28" i="26" s="1"/>
  <c r="DM14" i="4"/>
  <c r="DH27" i="26"/>
  <c r="DH28" i="26" s="1"/>
  <c r="DH27" i="7"/>
  <c r="DH28" i="7" s="1"/>
  <c r="DH27" i="23"/>
  <c r="DH28" i="23" s="1"/>
  <c r="DU14" i="4"/>
  <c r="EB29" i="7"/>
  <c r="EB29" i="23"/>
  <c r="EB29" i="26"/>
  <c r="EO15" i="4"/>
  <c r="EA29" i="7"/>
  <c r="EA29" i="26"/>
  <c r="EA29" i="23"/>
  <c r="EN15" i="4"/>
  <c r="DY29" i="7"/>
  <c r="DY29" i="26"/>
  <c r="DY29" i="23"/>
  <c r="EL15" i="4"/>
  <c r="DO27" i="23"/>
  <c r="DO28" i="23" s="1"/>
  <c r="DO27" i="26"/>
  <c r="DO28" i="26" s="1"/>
  <c r="DO27" i="7"/>
  <c r="DO28" i="7" s="1"/>
  <c r="EB14" i="4"/>
  <c r="DJ27" i="26"/>
  <c r="DJ28" i="26" s="1"/>
  <c r="DW14" i="4"/>
  <c r="DJ27" i="23"/>
  <c r="DJ28" i="23" s="1"/>
  <c r="DJ27" i="7"/>
  <c r="DJ28" i="7" s="1"/>
  <c r="W38" i="46"/>
  <c r="DJ25" i="23"/>
  <c r="DJ26" i="23" s="1"/>
  <c r="DJ25" i="26"/>
  <c r="DJ26" i="26" s="1"/>
  <c r="DJ25" i="7"/>
  <c r="DJ26" i="7" s="1"/>
  <c r="DW13" i="4"/>
  <c r="G5" i="44"/>
  <c r="CE25" i="4"/>
  <c r="DQ27" i="7"/>
  <c r="DQ28" i="7" s="1"/>
  <c r="DQ27" i="23"/>
  <c r="DQ28" i="23" s="1"/>
  <c r="DQ27" i="26"/>
  <c r="DQ28" i="26" s="1"/>
  <c r="ED14" i="4"/>
  <c r="DZ14" i="4"/>
  <c r="DM27" i="26"/>
  <c r="DM28" i="26" s="1"/>
  <c r="DM27" i="7"/>
  <c r="DM28" i="7" s="1"/>
  <c r="DM27" i="23"/>
  <c r="DM28" i="23" s="1"/>
  <c r="E17" i="27"/>
  <c r="Q22" i="27"/>
  <c r="DO25" i="26"/>
  <c r="DO26" i="26" s="1"/>
  <c r="EB13" i="4"/>
  <c r="DO25" i="7"/>
  <c r="DO26" i="7" s="1"/>
  <c r="DO25" i="23"/>
  <c r="DO26" i="23" s="1"/>
  <c r="DF27" i="23"/>
  <c r="DF28" i="23" s="1"/>
  <c r="DF27" i="7"/>
  <c r="DF28" i="7" s="1"/>
  <c r="DF27" i="26"/>
  <c r="DF28" i="26" s="1"/>
  <c r="DS14" i="4"/>
  <c r="DG27" i="7"/>
  <c r="DG28" i="7" s="1"/>
  <c r="DT14" i="4"/>
  <c r="DG27" i="23"/>
  <c r="DG28" i="23" s="1"/>
  <c r="DG27" i="26"/>
  <c r="DG28" i="26" s="1"/>
  <c r="H36" i="4"/>
  <c r="H35" i="4"/>
  <c r="DB27" i="7"/>
  <c r="DB28" i="7" s="1"/>
  <c r="DO14" i="4"/>
  <c r="DB27" i="26"/>
  <c r="DB28" i="26" s="1"/>
  <c r="DB27" i="23"/>
  <c r="DB28" i="23" s="1"/>
  <c r="ED13" i="4"/>
  <c r="DQ25" i="7"/>
  <c r="DQ26" i="7" s="1"/>
  <c r="DQ25" i="26"/>
  <c r="DQ26" i="26" s="1"/>
  <c r="DQ25" i="23"/>
  <c r="DQ26" i="23" s="1"/>
  <c r="ER29" i="26"/>
  <c r="ER29" i="23"/>
  <c r="ER29" i="7"/>
  <c r="FE15" i="4"/>
  <c r="DY25" i="46" l="1"/>
  <c r="DY26" i="46" s="1"/>
  <c r="DY31" i="13"/>
  <c r="DY32" i="13" s="1"/>
  <c r="DT25" i="46"/>
  <c r="DT26" i="46" s="1"/>
  <c r="DT31" i="13"/>
  <c r="DT32" i="13" s="1"/>
  <c r="DV25" i="46"/>
  <c r="DV26" i="46" s="1"/>
  <c r="DV31" i="13"/>
  <c r="DV32" i="13" s="1"/>
  <c r="DV33" i="13"/>
  <c r="DV34" i="13" s="1"/>
  <c r="DV27" i="46"/>
  <c r="DV28" i="46" s="1"/>
  <c r="DX25" i="46"/>
  <c r="DX26" i="46" s="1"/>
  <c r="DX31" i="13"/>
  <c r="DX32" i="13" s="1"/>
  <c r="EP35" i="13"/>
  <c r="EP29" i="46"/>
  <c r="DW31" i="13"/>
  <c r="DW32" i="13" s="1"/>
  <c r="DW25" i="46"/>
  <c r="DW26" i="46" s="1"/>
  <c r="EG29" i="46"/>
  <c r="EG35" i="13"/>
  <c r="EC25" i="46"/>
  <c r="EC26" i="46" s="1"/>
  <c r="EC31" i="13"/>
  <c r="EC32" i="13" s="1"/>
  <c r="EF29" i="46"/>
  <c r="EF35" i="13"/>
  <c r="DT33" i="13"/>
  <c r="DT34" i="13" s="1"/>
  <c r="DT27" i="46"/>
  <c r="DT28" i="46" s="1"/>
  <c r="EI29" i="46"/>
  <c r="EI35" i="13"/>
  <c r="DO27" i="46"/>
  <c r="DO28" i="46" s="1"/>
  <c r="DO33" i="13"/>
  <c r="DO34" i="13" s="1"/>
  <c r="EK29" i="46"/>
  <c r="EK35" i="13"/>
  <c r="EA31" i="13"/>
  <c r="EA32" i="13" s="1"/>
  <c r="EA25" i="46"/>
  <c r="EA26" i="46" s="1"/>
  <c r="EN29" i="46"/>
  <c r="EN35" i="13"/>
  <c r="EH29" i="46"/>
  <c r="EH35" i="13"/>
  <c r="ED25" i="46"/>
  <c r="ED26" i="46" s="1"/>
  <c r="ED31" i="13"/>
  <c r="ED32" i="13" s="1"/>
  <c r="EO29" i="46"/>
  <c r="EO35" i="13"/>
  <c r="DS31" i="13"/>
  <c r="DS32" i="13" s="1"/>
  <c r="DS25" i="46"/>
  <c r="DS26" i="46" s="1"/>
  <c r="DK33" i="13"/>
  <c r="DK34" i="13" s="1"/>
  <c r="DK27" i="46"/>
  <c r="DK28" i="46" s="1"/>
  <c r="DS27" i="46"/>
  <c r="DS28" i="46" s="1"/>
  <c r="DS33" i="13"/>
  <c r="DS34" i="13" s="1"/>
  <c r="EM35" i="13"/>
  <c r="EM29" i="46"/>
  <c r="EL29" i="46"/>
  <c r="EL35" i="13"/>
  <c r="EJ29" i="46"/>
  <c r="EJ35" i="13"/>
  <c r="DZ27" i="46"/>
  <c r="DZ28" i="46" s="1"/>
  <c r="DZ33" i="13"/>
  <c r="DZ34" i="13" s="1"/>
  <c r="DU27" i="46"/>
  <c r="DU28" i="46" s="1"/>
  <c r="DU33" i="13"/>
  <c r="DU34" i="13" s="1"/>
  <c r="DU25" i="46"/>
  <c r="DU26" i="46" s="1"/>
  <c r="DU31" i="13"/>
  <c r="DU32" i="13" s="1"/>
  <c r="EB27" i="46"/>
  <c r="EB28" i="46" s="1"/>
  <c r="EB33" i="13"/>
  <c r="EB34" i="13" s="1"/>
  <c r="DX27" i="46"/>
  <c r="DX28" i="46" s="1"/>
  <c r="DX33" i="13"/>
  <c r="DX34" i="13" s="1"/>
  <c r="DZ31" i="13"/>
  <c r="DZ32" i="13" s="1"/>
  <c r="DZ25" i="46"/>
  <c r="DZ26" i="46" s="1"/>
  <c r="DQ33" i="13"/>
  <c r="DQ34" i="13" s="1"/>
  <c r="DQ27" i="46"/>
  <c r="DQ28" i="46" s="1"/>
  <c r="DR33" i="13"/>
  <c r="DR34" i="13" s="1"/>
  <c r="DR27" i="46"/>
  <c r="DR28" i="46" s="1"/>
  <c r="DM33" i="13"/>
  <c r="DM34" i="13" s="1"/>
  <c r="DM27" i="46"/>
  <c r="DM28" i="46" s="1"/>
  <c r="EB31" i="13"/>
  <c r="EB32" i="13" s="1"/>
  <c r="EB25" i="46"/>
  <c r="EB26" i="46" s="1"/>
  <c r="FC29" i="46"/>
  <c r="FC35" i="13"/>
  <c r="CC32" i="46"/>
  <c r="CC38" i="13"/>
  <c r="E36" i="46"/>
  <c r="DH24" i="4"/>
  <c r="EH24" i="4"/>
  <c r="AU47" i="13"/>
  <c r="AU9" i="34"/>
  <c r="AX26" i="4"/>
  <c r="AU33" i="46"/>
  <c r="AU38" i="46" s="1"/>
  <c r="AU9" i="45"/>
  <c r="AV40" i="13"/>
  <c r="AV46" i="13" s="1"/>
  <c r="AU9" i="33"/>
  <c r="AW27" i="4"/>
  <c r="AV29" i="4"/>
  <c r="AT9" i="27"/>
  <c r="G36" i="4"/>
  <c r="EJ29" i="26"/>
  <c r="EJ29" i="7"/>
  <c r="EJ29" i="23"/>
  <c r="EW15" i="4"/>
  <c r="FC15" i="4"/>
  <c r="EP29" i="26"/>
  <c r="EP29" i="7"/>
  <c r="EP29" i="23"/>
  <c r="DU25" i="26"/>
  <c r="DU26" i="26" s="1"/>
  <c r="EH13" i="4"/>
  <c r="DU25" i="7"/>
  <c r="DU26" i="7" s="1"/>
  <c r="DU25" i="23"/>
  <c r="DU26" i="23" s="1"/>
  <c r="EP14" i="4"/>
  <c r="EC27" i="26"/>
  <c r="EC28" i="26" s="1"/>
  <c r="EC27" i="7"/>
  <c r="EC28" i="7" s="1"/>
  <c r="EC27" i="23"/>
  <c r="EC28" i="23" s="1"/>
  <c r="DV25" i="26"/>
  <c r="DV26" i="26" s="1"/>
  <c r="EI13" i="4"/>
  <c r="DV25" i="7"/>
  <c r="DV26" i="7" s="1"/>
  <c r="DV25" i="23"/>
  <c r="DV26" i="23" s="1"/>
  <c r="DU27" i="7"/>
  <c r="DU28" i="7" s="1"/>
  <c r="DU27" i="26"/>
  <c r="DU28" i="26" s="1"/>
  <c r="EH14" i="4"/>
  <c r="DU27" i="23"/>
  <c r="DU28" i="23" s="1"/>
  <c r="FB15" i="4"/>
  <c r="EO29" i="26"/>
  <c r="EO29" i="23"/>
  <c r="EO29" i="7"/>
  <c r="DX25" i="7"/>
  <c r="DX26" i="7" s="1"/>
  <c r="EK13" i="4"/>
  <c r="DX25" i="26"/>
  <c r="DX26" i="26" s="1"/>
  <c r="DX25" i="23"/>
  <c r="DX26" i="23" s="1"/>
  <c r="DV27" i="23"/>
  <c r="DV28" i="23" s="1"/>
  <c r="DV27" i="26"/>
  <c r="DV28" i="26" s="1"/>
  <c r="EI14" i="4"/>
  <c r="DV27" i="7"/>
  <c r="DV28" i="7" s="1"/>
  <c r="DS27" i="26"/>
  <c r="DS28" i="26" s="1"/>
  <c r="EF14" i="4"/>
  <c r="DS27" i="23"/>
  <c r="DS28" i="23" s="1"/>
  <c r="DS27" i="7"/>
  <c r="DS28" i="7" s="1"/>
  <c r="EO13" i="4"/>
  <c r="EB25" i="7"/>
  <c r="EB26" i="7" s="1"/>
  <c r="EB25" i="23"/>
  <c r="EB26" i="23" s="1"/>
  <c r="EB25" i="26"/>
  <c r="EB26" i="26" s="1"/>
  <c r="EH29" i="7"/>
  <c r="EH29" i="23"/>
  <c r="EH29" i="26"/>
  <c r="EU15" i="4"/>
  <c r="EQ29" i="7"/>
  <c r="EQ29" i="23"/>
  <c r="FD15" i="4"/>
  <c r="EQ29" i="26"/>
  <c r="DW27" i="23"/>
  <c r="DW28" i="23" s="1"/>
  <c r="DW27" i="26"/>
  <c r="DW28" i="26" s="1"/>
  <c r="EJ14" i="4"/>
  <c r="DW27" i="7"/>
  <c r="DW28" i="7" s="1"/>
  <c r="DP27" i="26"/>
  <c r="DP28" i="26" s="1"/>
  <c r="EC14" i="4"/>
  <c r="DP27" i="7"/>
  <c r="DP28" i="7" s="1"/>
  <c r="DP27" i="23"/>
  <c r="DP28" i="23" s="1"/>
  <c r="EC25" i="26"/>
  <c r="EC26" i="26" s="1"/>
  <c r="EC25" i="7"/>
  <c r="EC26" i="7" s="1"/>
  <c r="EC25" i="23"/>
  <c r="EC26" i="23" s="1"/>
  <c r="EP13" i="4"/>
  <c r="E50" i="27"/>
  <c r="EK29" i="23"/>
  <c r="EX15" i="4"/>
  <c r="EK29" i="26"/>
  <c r="EK29" i="7"/>
  <c r="DT25" i="23"/>
  <c r="DT26" i="23" s="1"/>
  <c r="DT25" i="26"/>
  <c r="DT26" i="26" s="1"/>
  <c r="EG13" i="4"/>
  <c r="DT25" i="7"/>
  <c r="DT26" i="7" s="1"/>
  <c r="EJ13" i="4"/>
  <c r="DW25" i="26"/>
  <c r="DW26" i="26" s="1"/>
  <c r="DW25" i="7"/>
  <c r="DW26" i="7" s="1"/>
  <c r="DW25" i="23"/>
  <c r="DW26" i="23" s="1"/>
  <c r="EA14" i="4"/>
  <c r="DN27" i="7"/>
  <c r="DN28" i="7" s="1"/>
  <c r="DN27" i="23"/>
  <c r="DN28" i="23" s="1"/>
  <c r="DN27" i="26"/>
  <c r="DN28" i="26" s="1"/>
  <c r="CF25" i="4"/>
  <c r="DY27" i="23"/>
  <c r="DY28" i="23" s="1"/>
  <c r="DY27" i="7"/>
  <c r="DY28" i="7" s="1"/>
  <c r="EL14" i="4"/>
  <c r="DY27" i="26"/>
  <c r="DY28" i="26" s="1"/>
  <c r="DL27" i="23"/>
  <c r="DL28" i="23" s="1"/>
  <c r="DY14" i="4"/>
  <c r="DL27" i="26"/>
  <c r="DL28" i="26" s="1"/>
  <c r="DL27" i="7"/>
  <c r="DL28" i="7" s="1"/>
  <c r="EA27" i="26"/>
  <c r="EA28" i="26" s="1"/>
  <c r="EN14" i="4"/>
  <c r="EA27" i="23"/>
  <c r="EA28" i="23" s="1"/>
  <c r="EA27" i="7"/>
  <c r="EA28" i="7" s="1"/>
  <c r="EN29" i="7"/>
  <c r="FA15" i="4"/>
  <c r="EN29" i="26"/>
  <c r="EN29" i="23"/>
  <c r="W39" i="46"/>
  <c r="X39" i="46" s="1"/>
  <c r="Y39" i="46" s="1"/>
  <c r="Z39" i="46" s="1"/>
  <c r="AA39" i="46" s="1"/>
  <c r="AB39" i="46" s="1"/>
  <c r="AC39" i="46" s="1"/>
  <c r="AD39" i="46" s="1"/>
  <c r="AE39" i="46" s="1"/>
  <c r="AF39" i="46" s="1"/>
  <c r="AG39" i="46" s="1"/>
  <c r="AH39" i="46" s="1"/>
  <c r="AI39" i="46" s="1"/>
  <c r="AJ39" i="46" s="1"/>
  <c r="AK39" i="46" s="1"/>
  <c r="AL39" i="46" s="1"/>
  <c r="AM39" i="46" s="1"/>
  <c r="AN39" i="46" s="1"/>
  <c r="AO39" i="46" s="1"/>
  <c r="AP39" i="46" s="1"/>
  <c r="AQ39" i="46" s="1"/>
  <c r="AR39" i="46" s="1"/>
  <c r="AS39" i="46" s="1"/>
  <c r="AT39" i="46" s="1"/>
  <c r="E42" i="46"/>
  <c r="DT27" i="23"/>
  <c r="DT28" i="23" s="1"/>
  <c r="DT27" i="7"/>
  <c r="DT28" i="7" s="1"/>
  <c r="DT27" i="26"/>
  <c r="DT28" i="26" s="1"/>
  <c r="EG14" i="4"/>
  <c r="DZ25" i="26"/>
  <c r="DZ26" i="26" s="1"/>
  <c r="DZ25" i="23"/>
  <c r="DZ26" i="23" s="1"/>
  <c r="EM13" i="4"/>
  <c r="DZ25" i="7"/>
  <c r="DZ26" i="7" s="1"/>
  <c r="EA25" i="7"/>
  <c r="EA26" i="7" s="1"/>
  <c r="EN13" i="4"/>
  <c r="EA25" i="23"/>
  <c r="EA26" i="23" s="1"/>
  <c r="EA25" i="26"/>
  <c r="EA26" i="26" s="1"/>
  <c r="ED25" i="26"/>
  <c r="ED26" i="26" s="1"/>
  <c r="ED25" i="7"/>
  <c r="ED26" i="7" s="1"/>
  <c r="EQ13" i="4"/>
  <c r="ED25" i="23"/>
  <c r="ED26" i="23" s="1"/>
  <c r="EE25" i="26"/>
  <c r="EE26" i="26" s="1"/>
  <c r="EE25" i="7"/>
  <c r="EE26" i="7" s="1"/>
  <c r="EE25" i="23"/>
  <c r="EE26" i="23" s="1"/>
  <c r="ER13" i="4"/>
  <c r="EV15" i="4"/>
  <c r="EI29" i="26"/>
  <c r="EI29" i="23"/>
  <c r="EI29" i="7"/>
  <c r="J27" i="14"/>
  <c r="E27" i="14"/>
  <c r="O27" i="14"/>
  <c r="K27" i="14"/>
  <c r="G27" i="14"/>
  <c r="H27" i="14"/>
  <c r="M27" i="14"/>
  <c r="Q27" i="14"/>
  <c r="I27" i="14"/>
  <c r="P27" i="14"/>
  <c r="F27" i="14"/>
  <c r="L27" i="14"/>
  <c r="N27" i="14"/>
  <c r="DY25" i="23"/>
  <c r="DY26" i="23" s="1"/>
  <c r="DY25" i="26"/>
  <c r="DY26" i="26" s="1"/>
  <c r="DY25" i="7"/>
  <c r="DY26" i="7" s="1"/>
  <c r="EL13" i="4"/>
  <c r="EZ15" i="4"/>
  <c r="EM29" i="26"/>
  <c r="EM29" i="7"/>
  <c r="EM29" i="23"/>
  <c r="H39" i="4"/>
  <c r="G39" i="4"/>
  <c r="DR27" i="7"/>
  <c r="DR28" i="7" s="1"/>
  <c r="DR27" i="26"/>
  <c r="DR28" i="26" s="1"/>
  <c r="EE14" i="4"/>
  <c r="DR27" i="23"/>
  <c r="DR28" i="23" s="1"/>
  <c r="EL29" i="7"/>
  <c r="EY15" i="4"/>
  <c r="EL29" i="23"/>
  <c r="EL29" i="26"/>
  <c r="EG29" i="26"/>
  <c r="EG29" i="23"/>
  <c r="ET15" i="4"/>
  <c r="EG29" i="7"/>
  <c r="FD29" i="23"/>
  <c r="FQ15" i="4"/>
  <c r="FD29" i="26"/>
  <c r="FD29" i="7"/>
  <c r="EU35" i="13" l="1"/>
  <c r="EU29" i="46"/>
  <c r="FA29" i="46"/>
  <c r="FA35" i="13"/>
  <c r="EF25" i="46"/>
  <c r="EF26" i="46" s="1"/>
  <c r="EF31" i="13"/>
  <c r="EF32" i="13" s="1"/>
  <c r="EN33" i="13"/>
  <c r="EN34" i="13" s="1"/>
  <c r="EN27" i="46"/>
  <c r="EN28" i="46" s="1"/>
  <c r="EG25" i="46"/>
  <c r="EG26" i="46" s="1"/>
  <c r="EG31" i="13"/>
  <c r="EG32" i="13" s="1"/>
  <c r="EF27" i="46"/>
  <c r="EF28" i="46" s="1"/>
  <c r="EF33" i="13"/>
  <c r="EF34" i="13" s="1"/>
  <c r="EZ29" i="46"/>
  <c r="EZ35" i="13"/>
  <c r="EI31" i="13"/>
  <c r="EI32" i="13" s="1"/>
  <c r="EI25" i="46"/>
  <c r="EI26" i="46" s="1"/>
  <c r="EG27" i="46"/>
  <c r="EG28" i="46" s="1"/>
  <c r="EG33" i="13"/>
  <c r="EG34" i="13" s="1"/>
  <c r="ED27" i="46"/>
  <c r="ED28" i="46" s="1"/>
  <c r="ED33" i="13"/>
  <c r="ED34" i="13" s="1"/>
  <c r="EM25" i="46"/>
  <c r="EM26" i="46" s="1"/>
  <c r="EM31" i="13"/>
  <c r="EM32" i="13" s="1"/>
  <c r="ES35" i="13"/>
  <c r="ES29" i="46"/>
  <c r="FB29" i="46"/>
  <c r="FB35" i="13"/>
  <c r="EH27" i="46"/>
  <c r="EH28" i="46" s="1"/>
  <c r="EH33" i="13"/>
  <c r="EH34" i="13" s="1"/>
  <c r="EA27" i="46"/>
  <c r="EA28" i="46" s="1"/>
  <c r="EA33" i="13"/>
  <c r="EA34" i="13" s="1"/>
  <c r="EN25" i="46"/>
  <c r="EN26" i="46" s="1"/>
  <c r="EN31" i="13"/>
  <c r="EN32" i="13" s="1"/>
  <c r="EV29" i="46"/>
  <c r="EV35" i="13"/>
  <c r="EE25" i="46"/>
  <c r="EE26" i="46" s="1"/>
  <c r="EE31" i="13"/>
  <c r="EE32" i="13" s="1"/>
  <c r="EH25" i="46"/>
  <c r="EH26" i="46" s="1"/>
  <c r="EH31" i="13"/>
  <c r="EH32" i="13" s="1"/>
  <c r="DY33" i="13"/>
  <c r="DY34" i="13" s="1"/>
  <c r="DY27" i="46"/>
  <c r="DY28" i="46" s="1"/>
  <c r="EJ33" i="13"/>
  <c r="EJ34" i="13" s="1"/>
  <c r="EJ27" i="46"/>
  <c r="EJ28" i="46" s="1"/>
  <c r="DW33" i="13"/>
  <c r="DW34" i="13" s="1"/>
  <c r="DW27" i="46"/>
  <c r="DW28" i="46" s="1"/>
  <c r="EL33" i="13"/>
  <c r="EL34" i="13" s="1"/>
  <c r="EL27" i="46"/>
  <c r="EL28" i="46" s="1"/>
  <c r="EY29" i="46"/>
  <c r="EY35" i="13"/>
  <c r="EE33" i="13"/>
  <c r="EE34" i="13" s="1"/>
  <c r="EE27" i="46"/>
  <c r="EE28" i="46" s="1"/>
  <c r="EK25" i="46"/>
  <c r="EK26" i="46" s="1"/>
  <c r="EK31" i="13"/>
  <c r="EK32" i="13" s="1"/>
  <c r="EL25" i="46"/>
  <c r="EL26" i="46" s="1"/>
  <c r="EL31" i="13"/>
  <c r="EL32" i="13" s="1"/>
  <c r="EO25" i="46"/>
  <c r="EO26" i="46" s="1"/>
  <c r="EO31" i="13"/>
  <c r="EO32" i="13" s="1"/>
  <c r="EP31" i="13"/>
  <c r="EP32" i="13" s="1"/>
  <c r="EP25" i="46"/>
  <c r="EP26" i="46" s="1"/>
  <c r="ET35" i="13"/>
  <c r="ET29" i="46"/>
  <c r="EJ31" i="13"/>
  <c r="EJ32" i="13" s="1"/>
  <c r="EJ25" i="46"/>
  <c r="EJ26" i="46" s="1"/>
  <c r="EX35" i="13"/>
  <c r="EX29" i="46"/>
  <c r="EC33" i="13"/>
  <c r="EC34" i="13" s="1"/>
  <c r="EC27" i="46"/>
  <c r="EC28" i="46" s="1"/>
  <c r="EW29" i="46"/>
  <c r="EW35" i="13"/>
  <c r="ER35" i="13"/>
  <c r="ER29" i="46"/>
  <c r="FO29" i="46"/>
  <c r="FO35" i="13"/>
  <c r="CD32" i="46"/>
  <c r="CD38" i="13"/>
  <c r="DK24" i="4"/>
  <c r="EK24" i="4"/>
  <c r="AV47" i="13"/>
  <c r="J90" i="11"/>
  <c r="J54" i="11"/>
  <c r="AU39" i="46"/>
  <c r="AW29" i="4"/>
  <c r="AU9" i="27"/>
  <c r="AV33" i="46"/>
  <c r="AV38" i="46" s="1"/>
  <c r="AV9" i="34"/>
  <c r="AV9" i="33"/>
  <c r="AV9" i="45"/>
  <c r="AW40" i="13"/>
  <c r="AW46" i="13" s="1"/>
  <c r="AY26" i="4"/>
  <c r="AX27" i="4"/>
  <c r="EG25" i="7"/>
  <c r="EG26" i="7" s="1"/>
  <c r="ET13" i="4"/>
  <c r="EG25" i="23"/>
  <c r="EG26" i="23" s="1"/>
  <c r="EG25" i="26"/>
  <c r="EG26" i="26" s="1"/>
  <c r="EL25" i="23"/>
  <c r="EL26" i="23" s="1"/>
  <c r="EL25" i="26"/>
  <c r="EL26" i="26" s="1"/>
  <c r="EL25" i="7"/>
  <c r="EL26" i="7" s="1"/>
  <c r="EY13" i="4"/>
  <c r="EP25" i="26"/>
  <c r="EP26" i="26" s="1"/>
  <c r="EP25" i="7"/>
  <c r="EP26" i="7" s="1"/>
  <c r="FC13" i="4"/>
  <c r="EP25" i="23"/>
  <c r="EP26" i="23" s="1"/>
  <c r="EF27" i="7"/>
  <c r="EF28" i="7" s="1"/>
  <c r="ES14" i="4"/>
  <c r="EF27" i="23"/>
  <c r="EF28" i="23" s="1"/>
  <c r="EF27" i="26"/>
  <c r="EF28" i="26" s="1"/>
  <c r="EI27" i="23"/>
  <c r="EI28" i="23" s="1"/>
  <c r="EI27" i="26"/>
  <c r="EI28" i="26" s="1"/>
  <c r="EV14" i="4"/>
  <c r="EI27" i="7"/>
  <c r="EI28" i="7" s="1"/>
  <c r="EH27" i="26"/>
  <c r="EH28" i="26" s="1"/>
  <c r="EH27" i="23"/>
  <c r="EH28" i="23" s="1"/>
  <c r="EH27" i="7"/>
  <c r="EH28" i="7" s="1"/>
  <c r="EU14" i="4"/>
  <c r="FN15" i="4"/>
  <c r="FA29" i="26"/>
  <c r="FA29" i="7"/>
  <c r="FA29" i="23"/>
  <c r="EI25" i="7"/>
  <c r="EI26" i="7" s="1"/>
  <c r="EI25" i="23"/>
  <c r="EI26" i="23" s="1"/>
  <c r="EV13" i="4"/>
  <c r="EI25" i="26"/>
  <c r="EI26" i="26" s="1"/>
  <c r="EO25" i="26"/>
  <c r="EO26" i="26" s="1"/>
  <c r="EO25" i="7"/>
  <c r="EO26" i="7" s="1"/>
  <c r="FB13" i="4"/>
  <c r="EO25" i="23"/>
  <c r="EO26" i="23" s="1"/>
  <c r="FO15" i="4"/>
  <c r="FB29" i="7"/>
  <c r="FB29" i="26"/>
  <c r="FB29" i="23"/>
  <c r="EB27" i="23"/>
  <c r="EB28" i="23" s="1"/>
  <c r="EB27" i="26"/>
  <c r="EB28" i="26" s="1"/>
  <c r="EB27" i="7"/>
  <c r="EB28" i="7" s="1"/>
  <c r="EO14" i="4"/>
  <c r="DZ27" i="26"/>
  <c r="DZ28" i="26" s="1"/>
  <c r="EM14" i="4"/>
  <c r="DZ27" i="23"/>
  <c r="DZ28" i="23" s="1"/>
  <c r="DZ27" i="7"/>
  <c r="DZ28" i="7" s="1"/>
  <c r="FJ15" i="4"/>
  <c r="EW29" i="7"/>
  <c r="EW29" i="23"/>
  <c r="EW29" i="26"/>
  <c r="EH25" i="23"/>
  <c r="EH26" i="23" s="1"/>
  <c r="EH25" i="7"/>
  <c r="EH26" i="7" s="1"/>
  <c r="EU13" i="4"/>
  <c r="EH25" i="26"/>
  <c r="EH26" i="26" s="1"/>
  <c r="EK25" i="7"/>
  <c r="EK26" i="7" s="1"/>
  <c r="EK25" i="26"/>
  <c r="EK26" i="26" s="1"/>
  <c r="EX13" i="4"/>
  <c r="EK25" i="23"/>
  <c r="EK26" i="23" s="1"/>
  <c r="EZ14" i="4"/>
  <c r="EM27" i="7"/>
  <c r="EM28" i="7" s="1"/>
  <c r="EM27" i="26"/>
  <c r="EM28" i="26" s="1"/>
  <c r="EM27" i="23"/>
  <c r="EM28" i="23" s="1"/>
  <c r="CG25" i="4"/>
  <c r="FC29" i="7"/>
  <c r="FP15" i="4"/>
  <c r="FC29" i="23"/>
  <c r="FC29" i="26"/>
  <c r="EN25" i="7"/>
  <c r="EN26" i="7" s="1"/>
  <c r="EN25" i="26"/>
  <c r="EN26" i="26" s="1"/>
  <c r="EN25" i="23"/>
  <c r="EN26" i="23" s="1"/>
  <c r="FA13" i="4"/>
  <c r="FI15" i="4"/>
  <c r="EV29" i="7"/>
  <c r="EV29" i="23"/>
  <c r="EV29" i="26"/>
  <c r="EE27" i="7"/>
  <c r="EE28" i="7" s="1"/>
  <c r="EE27" i="26"/>
  <c r="EE28" i="26" s="1"/>
  <c r="EE27" i="23"/>
  <c r="EE28" i="23" s="1"/>
  <c r="ER14" i="4"/>
  <c r="ED27" i="23"/>
  <c r="ED28" i="23" s="1"/>
  <c r="ED27" i="7"/>
  <c r="ED28" i="7" s="1"/>
  <c r="ED27" i="26"/>
  <c r="ED28" i="26" s="1"/>
  <c r="EQ14" i="4"/>
  <c r="EG27" i="23"/>
  <c r="EG28" i="23" s="1"/>
  <c r="EG27" i="7"/>
  <c r="EG28" i="7" s="1"/>
  <c r="ET14" i="4"/>
  <c r="EG27" i="26"/>
  <c r="EG28" i="26" s="1"/>
  <c r="EF25" i="7"/>
  <c r="EF26" i="7" s="1"/>
  <c r="ES13" i="4"/>
  <c r="EF25" i="26"/>
  <c r="EF26" i="26" s="1"/>
  <c r="EF25" i="23"/>
  <c r="EF26" i="23" s="1"/>
  <c r="EO27" i="23"/>
  <c r="EO28" i="23" s="1"/>
  <c r="EO27" i="7"/>
  <c r="EO28" i="7" s="1"/>
  <c r="EO27" i="26"/>
  <c r="EO28" i="26" s="1"/>
  <c r="FB14" i="4"/>
  <c r="ET29" i="7"/>
  <c r="ET29" i="23"/>
  <c r="ET29" i="26"/>
  <c r="FG15" i="4"/>
  <c r="FK15" i="4"/>
  <c r="EX29" i="7"/>
  <c r="EX29" i="23"/>
  <c r="EX29" i="26"/>
  <c r="EY29" i="26"/>
  <c r="FL15" i="4"/>
  <c r="EY29" i="23"/>
  <c r="EY29" i="7"/>
  <c r="EK27" i="26"/>
  <c r="EK28" i="26" s="1"/>
  <c r="EX14" i="4"/>
  <c r="EK27" i="7"/>
  <c r="EK28" i="7" s="1"/>
  <c r="EK27" i="23"/>
  <c r="EK28" i="23" s="1"/>
  <c r="ES29" i="23"/>
  <c r="FF15" i="4"/>
  <c r="ES29" i="26"/>
  <c r="ES29" i="7"/>
  <c r="EM25" i="23"/>
  <c r="EM26" i="23" s="1"/>
  <c r="EM25" i="7"/>
  <c r="EM26" i="7" s="1"/>
  <c r="EM25" i="26"/>
  <c r="EM26" i="26" s="1"/>
  <c r="EZ13" i="4"/>
  <c r="E43" i="46"/>
  <c r="R27" i="14"/>
  <c r="U20" i="14" s="1"/>
  <c r="V20" i="14" s="1"/>
  <c r="EU29" i="23"/>
  <c r="EU29" i="7"/>
  <c r="EU29" i="26"/>
  <c r="FH15" i="4"/>
  <c r="EZ29" i="7"/>
  <c r="FM15" i="4"/>
  <c r="EZ29" i="26"/>
  <c r="EZ29" i="23"/>
  <c r="EQ25" i="7"/>
  <c r="EQ26" i="7" s="1"/>
  <c r="EQ25" i="23"/>
  <c r="EQ26" i="23" s="1"/>
  <c r="FD13" i="4"/>
  <c r="EQ25" i="26"/>
  <c r="EQ26" i="26" s="1"/>
  <c r="DX27" i="26"/>
  <c r="DX28" i="26" s="1"/>
  <c r="DX27" i="23"/>
  <c r="DX28" i="23" s="1"/>
  <c r="EK14" i="4"/>
  <c r="DX27" i="7"/>
  <c r="DX28" i="7" s="1"/>
  <c r="EW13" i="4"/>
  <c r="EJ25" i="7"/>
  <c r="EJ26" i="7" s="1"/>
  <c r="EJ25" i="23"/>
  <c r="EJ26" i="23" s="1"/>
  <c r="EJ25" i="26"/>
  <c r="EJ26" i="26" s="1"/>
  <c r="FP29" i="23"/>
  <c r="FP29" i="26"/>
  <c r="GC15" i="4"/>
  <c r="FP29" i="7"/>
  <c r="ER25" i="46" l="1"/>
  <c r="ER26" i="46" s="1"/>
  <c r="ER31" i="13"/>
  <c r="ER32" i="13" s="1"/>
  <c r="EW25" i="46"/>
  <c r="EW26" i="46" s="1"/>
  <c r="EW31" i="13"/>
  <c r="EW32" i="13" s="1"/>
  <c r="FA25" i="46"/>
  <c r="FA26" i="46" s="1"/>
  <c r="FA31" i="13"/>
  <c r="FA32" i="13" s="1"/>
  <c r="EQ33" i="13"/>
  <c r="EQ34" i="13" s="1"/>
  <c r="EQ27" i="46"/>
  <c r="EQ28" i="46" s="1"/>
  <c r="ET33" i="13"/>
  <c r="ET34" i="13" s="1"/>
  <c r="ET27" i="46"/>
  <c r="ET28" i="46" s="1"/>
  <c r="ES33" i="13"/>
  <c r="ES34" i="13" s="1"/>
  <c r="ES27" i="46"/>
  <c r="ES28" i="46" s="1"/>
  <c r="FL35" i="13"/>
  <c r="FL29" i="46"/>
  <c r="ET25" i="46"/>
  <c r="ET26" i="46" s="1"/>
  <c r="ET31" i="13"/>
  <c r="ET32" i="13" s="1"/>
  <c r="EZ25" i="46"/>
  <c r="EZ26" i="46" s="1"/>
  <c r="EZ31" i="13"/>
  <c r="EZ32" i="13" s="1"/>
  <c r="FM35" i="13"/>
  <c r="FM29" i="46"/>
  <c r="EM27" i="46"/>
  <c r="EM28" i="46" s="1"/>
  <c r="EM33" i="13"/>
  <c r="EM34" i="13" s="1"/>
  <c r="EK33" i="13"/>
  <c r="EK34" i="13" s="1"/>
  <c r="EK27" i="46"/>
  <c r="EK28" i="46" s="1"/>
  <c r="FH29" i="46"/>
  <c r="FH35" i="13"/>
  <c r="ES31" i="13"/>
  <c r="ES32" i="13" s="1"/>
  <c r="ES25" i="46"/>
  <c r="ES26" i="46" s="1"/>
  <c r="EV31" i="13"/>
  <c r="EV32" i="13" s="1"/>
  <c r="EV25" i="46"/>
  <c r="EV26" i="46" s="1"/>
  <c r="EX27" i="46"/>
  <c r="EX28" i="46" s="1"/>
  <c r="EX33" i="13"/>
  <c r="EX34" i="13" s="1"/>
  <c r="FN29" i="46"/>
  <c r="FN35" i="13"/>
  <c r="EY31" i="13"/>
  <c r="EY32" i="13" s="1"/>
  <c r="EY25" i="46"/>
  <c r="EY26" i="46" s="1"/>
  <c r="FG29" i="46"/>
  <c r="FG35" i="13"/>
  <c r="EP27" i="46"/>
  <c r="EP28" i="46" s="1"/>
  <c r="EP33" i="13"/>
  <c r="EP34" i="13" s="1"/>
  <c r="EO33" i="13"/>
  <c r="EO34" i="13" s="1"/>
  <c r="EO27" i="46"/>
  <c r="EO28" i="46" s="1"/>
  <c r="ER27" i="46"/>
  <c r="ER28" i="46" s="1"/>
  <c r="ER33" i="13"/>
  <c r="ER34" i="13" s="1"/>
  <c r="EQ31" i="13"/>
  <c r="EQ32" i="13" s="1"/>
  <c r="EQ25" i="46"/>
  <c r="EQ26" i="46" s="1"/>
  <c r="EZ27" i="46"/>
  <c r="EZ28" i="46" s="1"/>
  <c r="EZ33" i="13"/>
  <c r="EZ34" i="13" s="1"/>
  <c r="FE29" i="46"/>
  <c r="FE35" i="13"/>
  <c r="FI35" i="13"/>
  <c r="FI29" i="46"/>
  <c r="FJ29" i="46"/>
  <c r="FJ35" i="13"/>
  <c r="EV27" i="46"/>
  <c r="EV28" i="46" s="1"/>
  <c r="EV33" i="13"/>
  <c r="EV34" i="13" s="1"/>
  <c r="FD29" i="46"/>
  <c r="FD35" i="13"/>
  <c r="EX25" i="46"/>
  <c r="EX26" i="46" s="1"/>
  <c r="EX31" i="13"/>
  <c r="EX32" i="13" s="1"/>
  <c r="FF35" i="13"/>
  <c r="FF29" i="46"/>
  <c r="FK29" i="46"/>
  <c r="FK35" i="13"/>
  <c r="FB31" i="13"/>
  <c r="FB32" i="13" s="1"/>
  <c r="FB25" i="46"/>
  <c r="FB26" i="46" s="1"/>
  <c r="EI33" i="13"/>
  <c r="EI34" i="13" s="1"/>
  <c r="EI27" i="46"/>
  <c r="EI28" i="46" s="1"/>
  <c r="EU25" i="46"/>
  <c r="EU26" i="46" s="1"/>
  <c r="EU31" i="13"/>
  <c r="EU32" i="13" s="1"/>
  <c r="GA29" i="46"/>
  <c r="GA35" i="13"/>
  <c r="CE38" i="13"/>
  <c r="CE32" i="46"/>
  <c r="DN24" i="4"/>
  <c r="EN24" i="4"/>
  <c r="AW47" i="13"/>
  <c r="J8" i="11"/>
  <c r="J4" i="44" s="1"/>
  <c r="AV39" i="46"/>
  <c r="AW33" i="46"/>
  <c r="AX40" i="13"/>
  <c r="AZ26" i="4"/>
  <c r="AW9" i="45"/>
  <c r="AW9" i="33"/>
  <c r="AW9" i="34"/>
  <c r="AY27" i="4"/>
  <c r="AV9" i="27"/>
  <c r="AX29" i="4"/>
  <c r="FW15" i="4"/>
  <c r="FJ29" i="26"/>
  <c r="FJ29" i="23"/>
  <c r="FJ29" i="7"/>
  <c r="FL13" i="4"/>
  <c r="EY25" i="23"/>
  <c r="EY26" i="23" s="1"/>
  <c r="EY25" i="7"/>
  <c r="EY26" i="7" s="1"/>
  <c r="EY25" i="26"/>
  <c r="EY26" i="26" s="1"/>
  <c r="ES27" i="23"/>
  <c r="ES28" i="23" s="1"/>
  <c r="ES27" i="7"/>
  <c r="ES28" i="7" s="1"/>
  <c r="ES27" i="26"/>
  <c r="ES28" i="26" s="1"/>
  <c r="FF14" i="4"/>
  <c r="FO29" i="7"/>
  <c r="GB15" i="4"/>
  <c r="FO29" i="23"/>
  <c r="FO29" i="26"/>
  <c r="EY27" i="7"/>
  <c r="EY28" i="7" s="1"/>
  <c r="EY27" i="23"/>
  <c r="EY28" i="23" s="1"/>
  <c r="FL14" i="4"/>
  <c r="EY27" i="26"/>
  <c r="EY28" i="26" s="1"/>
  <c r="FK13" i="4"/>
  <c r="EX25" i="26"/>
  <c r="EX26" i="26" s="1"/>
  <c r="EX25" i="7"/>
  <c r="EX26" i="7" s="1"/>
  <c r="EX25" i="23"/>
  <c r="EX26" i="23" s="1"/>
  <c r="FL29" i="23"/>
  <c r="FL29" i="7"/>
  <c r="FY15" i="4"/>
  <c r="FL29" i="26"/>
  <c r="FH14" i="4"/>
  <c r="EU27" i="26"/>
  <c r="EU28" i="26" s="1"/>
  <c r="EU27" i="23"/>
  <c r="EU28" i="23" s="1"/>
  <c r="EU27" i="7"/>
  <c r="EU28" i="7" s="1"/>
  <c r="EP27" i="26"/>
  <c r="EP28" i="26" s="1"/>
  <c r="EP27" i="7"/>
  <c r="EP28" i="7" s="1"/>
  <c r="FC14" i="4"/>
  <c r="EP27" i="23"/>
  <c r="EP28" i="23" s="1"/>
  <c r="GA15" i="4"/>
  <c r="FN29" i="26"/>
  <c r="FN29" i="23"/>
  <c r="FN29" i="7"/>
  <c r="EQ27" i="26"/>
  <c r="EQ28" i="26" s="1"/>
  <c r="FD14" i="4"/>
  <c r="EQ27" i="7"/>
  <c r="EQ28" i="7" s="1"/>
  <c r="EQ27" i="23"/>
  <c r="EQ28" i="23" s="1"/>
  <c r="EV25" i="23"/>
  <c r="EV26" i="23" s="1"/>
  <c r="EV25" i="26"/>
  <c r="EV26" i="26" s="1"/>
  <c r="EV25" i="7"/>
  <c r="EV26" i="7" s="1"/>
  <c r="FI13" i="4"/>
  <c r="FJ13" i="4"/>
  <c r="EW25" i="23"/>
  <c r="EW26" i="23" s="1"/>
  <c r="EW25" i="26"/>
  <c r="EW26" i="26" s="1"/>
  <c r="EW25" i="7"/>
  <c r="EW26" i="7" s="1"/>
  <c r="FG29" i="7"/>
  <c r="FT15" i="4"/>
  <c r="FG29" i="26"/>
  <c r="FG29" i="23"/>
  <c r="FU15" i="4"/>
  <c r="FH29" i="23"/>
  <c r="FH29" i="7"/>
  <c r="FH29" i="26"/>
  <c r="CH25" i="4"/>
  <c r="E44" i="46"/>
  <c r="F43" i="46"/>
  <c r="EZ25" i="23"/>
  <c r="EZ26" i="23" s="1"/>
  <c r="EZ25" i="7"/>
  <c r="EZ26" i="7" s="1"/>
  <c r="FM13" i="4"/>
  <c r="EZ25" i="26"/>
  <c r="EZ26" i="26" s="1"/>
  <c r="EL27" i="23"/>
  <c r="EL28" i="23" s="1"/>
  <c r="EL27" i="7"/>
  <c r="EL28" i="7" s="1"/>
  <c r="EY14" i="4"/>
  <c r="EL27" i="26"/>
  <c r="EL28" i="26" s="1"/>
  <c r="FA25" i="26"/>
  <c r="FA26" i="26" s="1"/>
  <c r="FA25" i="7"/>
  <c r="FA26" i="7" s="1"/>
  <c r="FN13" i="4"/>
  <c r="FA25" i="23"/>
  <c r="FA26" i="23" s="1"/>
  <c r="FM29" i="26"/>
  <c r="FM29" i="23"/>
  <c r="FZ15" i="4"/>
  <c r="FM29" i="7"/>
  <c r="ER27" i="26"/>
  <c r="ER28" i="26" s="1"/>
  <c r="ER27" i="7"/>
  <c r="ER28" i="7" s="1"/>
  <c r="ER27" i="23"/>
  <c r="ER28" i="23" s="1"/>
  <c r="FE14" i="4"/>
  <c r="FH13" i="4"/>
  <c r="EU25" i="7"/>
  <c r="EU26" i="7" s="1"/>
  <c r="EU25" i="26"/>
  <c r="EU26" i="26" s="1"/>
  <c r="EU25" i="23"/>
  <c r="EU26" i="23" s="1"/>
  <c r="EW14" i="4"/>
  <c r="EJ27" i="7"/>
  <c r="EJ28" i="7" s="1"/>
  <c r="EJ27" i="26"/>
  <c r="EJ28" i="26" s="1"/>
  <c r="EJ27" i="23"/>
  <c r="EJ28" i="23" s="1"/>
  <c r="FX15" i="4"/>
  <c r="FK29" i="26"/>
  <c r="FK29" i="7"/>
  <c r="FK29" i="23"/>
  <c r="FR15" i="4"/>
  <c r="FE29" i="7"/>
  <c r="FE29" i="26"/>
  <c r="FE29" i="23"/>
  <c r="FB25" i="7"/>
  <c r="FB26" i="7" s="1"/>
  <c r="FB25" i="23"/>
  <c r="FB26" i="23" s="1"/>
  <c r="FB25" i="26"/>
  <c r="FB26" i="26" s="1"/>
  <c r="FO13" i="4"/>
  <c r="FS15" i="4"/>
  <c r="FF29" i="23"/>
  <c r="FF29" i="7"/>
  <c r="FF29" i="26"/>
  <c r="FN14" i="4"/>
  <c r="FA27" i="7"/>
  <c r="FA28" i="7" s="1"/>
  <c r="FA27" i="26"/>
  <c r="FA28" i="26" s="1"/>
  <c r="FA27" i="23"/>
  <c r="FA28" i="23" s="1"/>
  <c r="FG13" i="4"/>
  <c r="ET25" i="7"/>
  <c r="ET26" i="7" s="1"/>
  <c r="ET25" i="26"/>
  <c r="ET26" i="26" s="1"/>
  <c r="ET25" i="23"/>
  <c r="ET26" i="23" s="1"/>
  <c r="ET27" i="7"/>
  <c r="ET28" i="7" s="1"/>
  <c r="ET27" i="26"/>
  <c r="ET28" i="26" s="1"/>
  <c r="ET27" i="23"/>
  <c r="ET28" i="23" s="1"/>
  <c r="FG14" i="4"/>
  <c r="FC25" i="7"/>
  <c r="FC26" i="7" s="1"/>
  <c r="FC25" i="23"/>
  <c r="FC26" i="23" s="1"/>
  <c r="FC25" i="26"/>
  <c r="FC26" i="26" s="1"/>
  <c r="FP13" i="4"/>
  <c r="ES25" i="7"/>
  <c r="ES26" i="7" s="1"/>
  <c r="ES25" i="26"/>
  <c r="ES26" i="26" s="1"/>
  <c r="ES25" i="23"/>
  <c r="ES26" i="23" s="1"/>
  <c r="FF13" i="4"/>
  <c r="ER25" i="7"/>
  <c r="ER26" i="7" s="1"/>
  <c r="ER25" i="26"/>
  <c r="ER26" i="26" s="1"/>
  <c r="ER25" i="23"/>
  <c r="ER26" i="23" s="1"/>
  <c r="FE13" i="4"/>
  <c r="EW27" i="26"/>
  <c r="EW28" i="26" s="1"/>
  <c r="EW27" i="23"/>
  <c r="EW28" i="23" s="1"/>
  <c r="EW27" i="7"/>
  <c r="EW28" i="7" s="1"/>
  <c r="FJ14" i="4"/>
  <c r="FI29" i="7"/>
  <c r="FI29" i="26"/>
  <c r="FI29" i="23"/>
  <c r="FV15" i="4"/>
  <c r="FA14" i="4"/>
  <c r="EN27" i="7"/>
  <c r="EN28" i="7" s="1"/>
  <c r="EN27" i="23"/>
  <c r="EN28" i="23" s="1"/>
  <c r="EN27" i="26"/>
  <c r="EN28" i="26" s="1"/>
  <c r="GO15" i="4"/>
  <c r="GB29" i="26"/>
  <c r="GB29" i="7"/>
  <c r="GB29" i="23"/>
  <c r="FU35" i="13" l="1"/>
  <c r="FU29" i="46"/>
  <c r="FJ25" i="46"/>
  <c r="FJ26" i="46" s="1"/>
  <c r="FJ31" i="13"/>
  <c r="FJ32" i="13" s="1"/>
  <c r="FD27" i="46"/>
  <c r="FD28" i="46" s="1"/>
  <c r="FD33" i="13"/>
  <c r="FD34" i="13" s="1"/>
  <c r="FZ29" i="46"/>
  <c r="FZ35" i="13"/>
  <c r="FJ33" i="13"/>
  <c r="FJ34" i="13" s="1"/>
  <c r="FJ27" i="46"/>
  <c r="FJ28" i="46" s="1"/>
  <c r="FI25" i="46"/>
  <c r="FI26" i="46" s="1"/>
  <c r="FI31" i="13"/>
  <c r="FI32" i="13" s="1"/>
  <c r="FW29" i="46"/>
  <c r="FW35" i="13"/>
  <c r="FF27" i="46"/>
  <c r="FF28" i="46" s="1"/>
  <c r="FF33" i="13"/>
  <c r="FF34" i="13" s="1"/>
  <c r="FA27" i="46"/>
  <c r="FA28" i="46" s="1"/>
  <c r="FA33" i="13"/>
  <c r="FA34" i="13" s="1"/>
  <c r="FY35" i="13"/>
  <c r="FY29" i="46"/>
  <c r="FB27" i="46"/>
  <c r="FB28" i="46" s="1"/>
  <c r="FB33" i="13"/>
  <c r="FB34" i="13" s="1"/>
  <c r="FG25" i="46"/>
  <c r="FG26" i="46" s="1"/>
  <c r="FG31" i="13"/>
  <c r="FG32" i="13" s="1"/>
  <c r="FH25" i="46"/>
  <c r="FH26" i="46" s="1"/>
  <c r="FH31" i="13"/>
  <c r="FH32" i="13" s="1"/>
  <c r="FR35" i="13"/>
  <c r="FR29" i="46"/>
  <c r="FS29" i="46"/>
  <c r="FS35" i="13"/>
  <c r="FK31" i="13"/>
  <c r="FK32" i="13" s="1"/>
  <c r="FK25" i="46"/>
  <c r="FK26" i="46" s="1"/>
  <c r="EW33" i="13"/>
  <c r="EW34" i="13" s="1"/>
  <c r="EW27" i="46"/>
  <c r="EW28" i="46" s="1"/>
  <c r="FL31" i="13"/>
  <c r="FL32" i="13" s="1"/>
  <c r="FL25" i="46"/>
  <c r="FL26" i="46" s="1"/>
  <c r="FX29" i="46"/>
  <c r="FX35" i="13"/>
  <c r="FC27" i="46"/>
  <c r="FC28" i="46" s="1"/>
  <c r="FC33" i="13"/>
  <c r="FC34" i="13" s="1"/>
  <c r="FF31" i="13"/>
  <c r="FF32" i="13" s="1"/>
  <c r="FF25" i="46"/>
  <c r="FF26" i="46" s="1"/>
  <c r="EU33" i="13"/>
  <c r="EU34" i="13" s="1"/>
  <c r="EU27" i="46"/>
  <c r="EU28" i="46" s="1"/>
  <c r="FV29" i="46"/>
  <c r="FV35" i="13"/>
  <c r="FP35" i="13"/>
  <c r="FP29" i="46"/>
  <c r="FM31" i="13"/>
  <c r="FM32" i="13" s="1"/>
  <c r="FM25" i="46"/>
  <c r="FM26" i="46" s="1"/>
  <c r="FQ29" i="46"/>
  <c r="FQ35" i="13"/>
  <c r="FL33" i="13"/>
  <c r="FL34" i="13" s="1"/>
  <c r="FL27" i="46"/>
  <c r="FL28" i="46" s="1"/>
  <c r="FE31" i="13"/>
  <c r="FE32" i="13" s="1"/>
  <c r="FE25" i="46"/>
  <c r="FE26" i="46" s="1"/>
  <c r="FE27" i="46"/>
  <c r="FE28" i="46" s="1"/>
  <c r="FE33" i="13"/>
  <c r="FE34" i="13" s="1"/>
  <c r="FN31" i="13"/>
  <c r="FN32" i="13" s="1"/>
  <c r="FN25" i="46"/>
  <c r="FN26" i="46" s="1"/>
  <c r="FD25" i="46"/>
  <c r="FD26" i="46" s="1"/>
  <c r="FD31" i="13"/>
  <c r="FD32" i="13" s="1"/>
  <c r="FC25" i="46"/>
  <c r="FC26" i="46" s="1"/>
  <c r="FC31" i="13"/>
  <c r="FC32" i="13" s="1"/>
  <c r="FH27" i="46"/>
  <c r="FH28" i="46" s="1"/>
  <c r="FH33" i="13"/>
  <c r="FH34" i="13" s="1"/>
  <c r="FT35" i="13"/>
  <c r="FT29" i="46"/>
  <c r="EY27" i="46"/>
  <c r="EY28" i="46" s="1"/>
  <c r="EY33" i="13"/>
  <c r="EY34" i="13" s="1"/>
  <c r="GM29" i="46"/>
  <c r="GM35" i="13"/>
  <c r="CF32" i="46"/>
  <c r="CF38" i="13"/>
  <c r="DQ24" i="4"/>
  <c r="EQ24" i="4"/>
  <c r="AX33" i="46"/>
  <c r="AX38" i="46" s="1"/>
  <c r="AX9" i="45"/>
  <c r="AY40" i="13"/>
  <c r="AY46" i="13" s="1"/>
  <c r="BA26" i="4"/>
  <c r="AX9" i="34"/>
  <c r="AX9" i="33"/>
  <c r="AZ27" i="4"/>
  <c r="AW9" i="27"/>
  <c r="AY29" i="4"/>
  <c r="AX46" i="13"/>
  <c r="AX47" i="13" s="1"/>
  <c r="AY47" i="13" s="1"/>
  <c r="AW38" i="46"/>
  <c r="AW39" i="46" s="1"/>
  <c r="FJ25" i="26"/>
  <c r="FJ26" i="26" s="1"/>
  <c r="FW13" i="4"/>
  <c r="FJ25" i="23"/>
  <c r="FJ26" i="23" s="1"/>
  <c r="FJ25" i="7"/>
  <c r="FJ26" i="7" s="1"/>
  <c r="FL25" i="7"/>
  <c r="FL26" i="7" s="1"/>
  <c r="FL25" i="26"/>
  <c r="FL26" i="26" s="1"/>
  <c r="FL25" i="23"/>
  <c r="FL26" i="23" s="1"/>
  <c r="FY13" i="4"/>
  <c r="FH25" i="26"/>
  <c r="FH26" i="26" s="1"/>
  <c r="FU13" i="4"/>
  <c r="FH25" i="7"/>
  <c r="FH26" i="7" s="1"/>
  <c r="FH25" i="23"/>
  <c r="FH26" i="23" s="1"/>
  <c r="FK27" i="7"/>
  <c r="FK28" i="7" s="1"/>
  <c r="FK27" i="23"/>
  <c r="FK28" i="23" s="1"/>
  <c r="FK27" i="26"/>
  <c r="FK28" i="26" s="1"/>
  <c r="FX14" i="4"/>
  <c r="FI27" i="26"/>
  <c r="FI28" i="26" s="1"/>
  <c r="FI27" i="23"/>
  <c r="FI28" i="23" s="1"/>
  <c r="FV14" i="4"/>
  <c r="FI27" i="7"/>
  <c r="FI28" i="7" s="1"/>
  <c r="FZ29" i="23"/>
  <c r="GM15" i="4"/>
  <c r="FZ29" i="26"/>
  <c r="FZ29" i="7"/>
  <c r="FG27" i="7"/>
  <c r="FG28" i="7" s="1"/>
  <c r="FG27" i="26"/>
  <c r="FG28" i="26" s="1"/>
  <c r="FG27" i="23"/>
  <c r="FG28" i="23" s="1"/>
  <c r="FT14" i="4"/>
  <c r="FO25" i="23"/>
  <c r="FO26" i="23" s="1"/>
  <c r="FO25" i="26"/>
  <c r="FO26" i="26" s="1"/>
  <c r="GB13" i="4"/>
  <c r="FO25" i="7"/>
  <c r="FO26" i="7" s="1"/>
  <c r="FS13" i="4"/>
  <c r="FF25" i="26"/>
  <c r="FF26" i="26" s="1"/>
  <c r="FF25" i="23"/>
  <c r="FF26" i="23" s="1"/>
  <c r="FF25" i="7"/>
  <c r="FF26" i="7" s="1"/>
  <c r="EV27" i="23"/>
  <c r="EV28" i="23" s="1"/>
  <c r="EV27" i="26"/>
  <c r="EV28" i="26" s="1"/>
  <c r="FI14" i="4"/>
  <c r="EV27" i="7"/>
  <c r="EV28" i="7" s="1"/>
  <c r="GG15" i="4"/>
  <c r="FT29" i="26"/>
  <c r="FT29" i="23"/>
  <c r="FT29" i="7"/>
  <c r="FM25" i="7"/>
  <c r="FM26" i="7" s="1"/>
  <c r="FM25" i="23"/>
  <c r="FM26" i="23" s="1"/>
  <c r="FZ13" i="4"/>
  <c r="FM25" i="26"/>
  <c r="FM26" i="26" s="1"/>
  <c r="FR29" i="23"/>
  <c r="FR29" i="26"/>
  <c r="GE15" i="4"/>
  <c r="FR29" i="7"/>
  <c r="FS29" i="7"/>
  <c r="FS29" i="23"/>
  <c r="GF15" i="4"/>
  <c r="FS29" i="26"/>
  <c r="FX29" i="7"/>
  <c r="FX29" i="23"/>
  <c r="FX29" i="26"/>
  <c r="GK15" i="4"/>
  <c r="FK25" i="26"/>
  <c r="FK26" i="26" s="1"/>
  <c r="FK25" i="23"/>
  <c r="FK26" i="23" s="1"/>
  <c r="FK25" i="7"/>
  <c r="FK26" i="7" s="1"/>
  <c r="FX13" i="4"/>
  <c r="FB27" i="7"/>
  <c r="FB28" i="7" s="1"/>
  <c r="FB27" i="26"/>
  <c r="FB28" i="26" s="1"/>
  <c r="FB27" i="23"/>
  <c r="FB28" i="23" s="1"/>
  <c r="FO14" i="4"/>
  <c r="FF27" i="26"/>
  <c r="FF28" i="26" s="1"/>
  <c r="FS14" i="4"/>
  <c r="FF27" i="23"/>
  <c r="FF28" i="23" s="1"/>
  <c r="FF27" i="7"/>
  <c r="FF28" i="7" s="1"/>
  <c r="F44" i="46"/>
  <c r="EZ27" i="23"/>
  <c r="EZ28" i="23" s="1"/>
  <c r="FM14" i="4"/>
  <c r="EZ27" i="26"/>
  <c r="EZ28" i="26" s="1"/>
  <c r="EZ27" i="7"/>
  <c r="EZ28" i="7" s="1"/>
  <c r="FN25" i="26"/>
  <c r="FN26" i="26" s="1"/>
  <c r="FN25" i="7"/>
  <c r="FN26" i="7" s="1"/>
  <c r="FN25" i="23"/>
  <c r="FN26" i="23" s="1"/>
  <c r="GA13" i="4"/>
  <c r="CI25" i="4"/>
  <c r="FC27" i="26"/>
  <c r="FC28" i="26" s="1"/>
  <c r="FP14" i="4"/>
  <c r="FC27" i="7"/>
  <c r="FC28" i="7" s="1"/>
  <c r="FC27" i="23"/>
  <c r="FC28" i="23" s="1"/>
  <c r="GA29" i="7"/>
  <c r="GA29" i="23"/>
  <c r="GA29" i="26"/>
  <c r="GN15" i="4"/>
  <c r="FU29" i="26"/>
  <c r="FU29" i="23"/>
  <c r="FU29" i="7"/>
  <c r="GH15" i="4"/>
  <c r="FW29" i="26"/>
  <c r="FW29" i="7"/>
  <c r="FW29" i="23"/>
  <c r="GJ15" i="4"/>
  <c r="GL15" i="4"/>
  <c r="FY29" i="26"/>
  <c r="FY29" i="7"/>
  <c r="FY29" i="23"/>
  <c r="FD25" i="23"/>
  <c r="FD26" i="23" s="1"/>
  <c r="FD25" i="7"/>
  <c r="FD26" i="7" s="1"/>
  <c r="FQ13" i="4"/>
  <c r="FD25" i="26"/>
  <c r="FD26" i="26" s="1"/>
  <c r="EX27" i="23"/>
  <c r="EX28" i="23" s="1"/>
  <c r="FK14" i="4"/>
  <c r="EX27" i="7"/>
  <c r="EX28" i="7" s="1"/>
  <c r="EX27" i="26"/>
  <c r="EX28" i="26" s="1"/>
  <c r="FE27" i="7"/>
  <c r="FE28" i="7" s="1"/>
  <c r="FE27" i="23"/>
  <c r="FE28" i="23" s="1"/>
  <c r="FE27" i="26"/>
  <c r="FE28" i="26" s="1"/>
  <c r="FR14" i="4"/>
  <c r="FM27" i="26"/>
  <c r="FM28" i="26" s="1"/>
  <c r="FM27" i="23"/>
  <c r="FM28" i="23" s="1"/>
  <c r="FZ14" i="4"/>
  <c r="FM27" i="7"/>
  <c r="FM28" i="7" s="1"/>
  <c r="FI25" i="23"/>
  <c r="FI26" i="23" s="1"/>
  <c r="FI25" i="7"/>
  <c r="FI26" i="7" s="1"/>
  <c r="FV13" i="4"/>
  <c r="FI25" i="26"/>
  <c r="FI26" i="26" s="1"/>
  <c r="FQ29" i="23"/>
  <c r="FQ29" i="7"/>
  <c r="FQ29" i="26"/>
  <c r="GD15" i="4"/>
  <c r="FG25" i="7"/>
  <c r="FG26" i="7" s="1"/>
  <c r="FG25" i="23"/>
  <c r="FG26" i="23" s="1"/>
  <c r="FT13" i="4"/>
  <c r="FG25" i="26"/>
  <c r="FG26" i="26" s="1"/>
  <c r="FD27" i="23"/>
  <c r="FD28" i="23" s="1"/>
  <c r="FD27" i="7"/>
  <c r="FD28" i="7" s="1"/>
  <c r="FD27" i="26"/>
  <c r="FD28" i="26" s="1"/>
  <c r="FQ14" i="4"/>
  <c r="FE25" i="23"/>
  <c r="FE26" i="23" s="1"/>
  <c r="FR13" i="4"/>
  <c r="FE25" i="7"/>
  <c r="FE26" i="7" s="1"/>
  <c r="FE25" i="26"/>
  <c r="FE26" i="26" s="1"/>
  <c r="GI15" i="4"/>
  <c r="FV29" i="23"/>
  <c r="FV29" i="7"/>
  <c r="FV29" i="26"/>
  <c r="HA15" i="4"/>
  <c r="GN29" i="7"/>
  <c r="GN29" i="23"/>
  <c r="GN29" i="26"/>
  <c r="FU25" i="46" l="1"/>
  <c r="FU26" i="46" s="1"/>
  <c r="FU31" i="13"/>
  <c r="FU32" i="13" s="1"/>
  <c r="FW25" i="46"/>
  <c r="FW26" i="46" s="1"/>
  <c r="FW31" i="13"/>
  <c r="FW32" i="13" s="1"/>
  <c r="FS25" i="46"/>
  <c r="FS26" i="46" s="1"/>
  <c r="FS31" i="13"/>
  <c r="FS32" i="13" s="1"/>
  <c r="FV33" i="13"/>
  <c r="FV34" i="13" s="1"/>
  <c r="FV27" i="46"/>
  <c r="FV28" i="46" s="1"/>
  <c r="FT33" i="13"/>
  <c r="FT34" i="13" s="1"/>
  <c r="FT27" i="46"/>
  <c r="FT28" i="46" s="1"/>
  <c r="GK29" i="46"/>
  <c r="GK35" i="13"/>
  <c r="FR33" i="13"/>
  <c r="FR34" i="13" s="1"/>
  <c r="FR27" i="46"/>
  <c r="FR28" i="46" s="1"/>
  <c r="FZ25" i="46"/>
  <c r="FZ26" i="46" s="1"/>
  <c r="FZ31" i="13"/>
  <c r="FZ32" i="13" s="1"/>
  <c r="FQ25" i="46"/>
  <c r="FQ26" i="46" s="1"/>
  <c r="FQ31" i="13"/>
  <c r="FQ32" i="13" s="1"/>
  <c r="FG33" i="13"/>
  <c r="FG34" i="13" s="1"/>
  <c r="FG27" i="46"/>
  <c r="FG28" i="46" s="1"/>
  <c r="GE35" i="13"/>
  <c r="GE29" i="46"/>
  <c r="FX31" i="13"/>
  <c r="FX32" i="13" s="1"/>
  <c r="FX25" i="46"/>
  <c r="FX26" i="46" s="1"/>
  <c r="GC35" i="13"/>
  <c r="GC29" i="46"/>
  <c r="GD29" i="46"/>
  <c r="GD35" i="13"/>
  <c r="GI29" i="46"/>
  <c r="GI35" i="13"/>
  <c r="FV25" i="46"/>
  <c r="FV26" i="46" s="1"/>
  <c r="FV31" i="13"/>
  <c r="FV32" i="13" s="1"/>
  <c r="FM27" i="46"/>
  <c r="FM28" i="46" s="1"/>
  <c r="FM33" i="13"/>
  <c r="FM34" i="13" s="1"/>
  <c r="FQ27" i="46"/>
  <c r="FQ28" i="46" s="1"/>
  <c r="FQ33" i="13"/>
  <c r="FQ34" i="13" s="1"/>
  <c r="FK27" i="46"/>
  <c r="FK28" i="46" s="1"/>
  <c r="FK33" i="13"/>
  <c r="FK34" i="13" s="1"/>
  <c r="FY31" i="13"/>
  <c r="FY32" i="13" s="1"/>
  <c r="FY25" i="46"/>
  <c r="FY26" i="46" s="1"/>
  <c r="FN27" i="46"/>
  <c r="FN28" i="46" s="1"/>
  <c r="FN33" i="13"/>
  <c r="FN34" i="13" s="1"/>
  <c r="GL29" i="46"/>
  <c r="GL35" i="13"/>
  <c r="GF29" i="46"/>
  <c r="GF35" i="13"/>
  <c r="GH29" i="46"/>
  <c r="GH35" i="13"/>
  <c r="GJ29" i="46"/>
  <c r="GJ35" i="13"/>
  <c r="FO25" i="46"/>
  <c r="FO26" i="46" s="1"/>
  <c r="FO31" i="13"/>
  <c r="FO32" i="13" s="1"/>
  <c r="FI27" i="46"/>
  <c r="FI28" i="46" s="1"/>
  <c r="FI33" i="13"/>
  <c r="FI34" i="13" s="1"/>
  <c r="FP33" i="13"/>
  <c r="FP34" i="13" s="1"/>
  <c r="FP27" i="46"/>
  <c r="FP28" i="46" s="1"/>
  <c r="FX27" i="46"/>
  <c r="FX28" i="46" s="1"/>
  <c r="FX33" i="13"/>
  <c r="FX34" i="13" s="1"/>
  <c r="FT31" i="13"/>
  <c r="FT32" i="13" s="1"/>
  <c r="FT25" i="46"/>
  <c r="FT26" i="46" s="1"/>
  <c r="GB29" i="46"/>
  <c r="GB35" i="13"/>
  <c r="FR31" i="13"/>
  <c r="FR32" i="13" s="1"/>
  <c r="FR25" i="46"/>
  <c r="FR26" i="46" s="1"/>
  <c r="FO33" i="13"/>
  <c r="FO34" i="13" s="1"/>
  <c r="FO27" i="46"/>
  <c r="FO28" i="46" s="1"/>
  <c r="FP31" i="13"/>
  <c r="FP32" i="13" s="1"/>
  <c r="FP25" i="46"/>
  <c r="FP26" i="46" s="1"/>
  <c r="GG29" i="46"/>
  <c r="GG35" i="13"/>
  <c r="GY29" i="46"/>
  <c r="GY35" i="13"/>
  <c r="CG32" i="46"/>
  <c r="CG38" i="13"/>
  <c r="DT24" i="4"/>
  <c r="ET24" i="4"/>
  <c r="AX39" i="46"/>
  <c r="AY9" i="45"/>
  <c r="AY9" i="33"/>
  <c r="AY33" i="46"/>
  <c r="AY9" i="34"/>
  <c r="AZ40" i="13"/>
  <c r="BB26" i="4"/>
  <c r="BA27" i="4"/>
  <c r="AZ29" i="4"/>
  <c r="AX9" i="27"/>
  <c r="GM29" i="23"/>
  <c r="GZ15" i="4"/>
  <c r="GM29" i="26"/>
  <c r="GM29" i="7"/>
  <c r="GK29" i="23"/>
  <c r="GK29" i="7"/>
  <c r="GK29" i="26"/>
  <c r="GX15" i="4"/>
  <c r="GE29" i="7"/>
  <c r="GE29" i="23"/>
  <c r="GE29" i="26"/>
  <c r="GR15" i="4"/>
  <c r="FN27" i="7"/>
  <c r="FN28" i="7" s="1"/>
  <c r="GA14" i="4"/>
  <c r="FN27" i="26"/>
  <c r="FN28" i="26" s="1"/>
  <c r="FN27" i="23"/>
  <c r="FN28" i="23" s="1"/>
  <c r="GD13" i="4"/>
  <c r="FQ25" i="26"/>
  <c r="FQ26" i="26" s="1"/>
  <c r="FQ25" i="23"/>
  <c r="FQ26" i="23" s="1"/>
  <c r="FQ25" i="7"/>
  <c r="FQ26" i="7" s="1"/>
  <c r="FW25" i="26"/>
  <c r="FW26" i="26" s="1"/>
  <c r="FW25" i="7"/>
  <c r="FW26" i="7" s="1"/>
  <c r="FW25" i="23"/>
  <c r="FW26" i="23" s="1"/>
  <c r="GJ13" i="4"/>
  <c r="GP15" i="4"/>
  <c r="GC29" i="26"/>
  <c r="GC29" i="23"/>
  <c r="GC29" i="7"/>
  <c r="GA25" i="26"/>
  <c r="GA26" i="26" s="1"/>
  <c r="GA25" i="7"/>
  <c r="GA26" i="7" s="1"/>
  <c r="GN13" i="4"/>
  <c r="GA25" i="23"/>
  <c r="GA26" i="23" s="1"/>
  <c r="FX25" i="26"/>
  <c r="FX26" i="26" s="1"/>
  <c r="GK13" i="4"/>
  <c r="FX25" i="7"/>
  <c r="FX26" i="7" s="1"/>
  <c r="FX25" i="23"/>
  <c r="FX26" i="23" s="1"/>
  <c r="GF13" i="4"/>
  <c r="FS25" i="7"/>
  <c r="FS26" i="7" s="1"/>
  <c r="FS25" i="23"/>
  <c r="FS26" i="23" s="1"/>
  <c r="FS25" i="26"/>
  <c r="FS26" i="26" s="1"/>
  <c r="FZ25" i="26"/>
  <c r="FZ26" i="26" s="1"/>
  <c r="FZ25" i="23"/>
  <c r="FZ26" i="23" s="1"/>
  <c r="FZ25" i="7"/>
  <c r="FZ26" i="7" s="1"/>
  <c r="GM13" i="4"/>
  <c r="FQ27" i="23"/>
  <c r="FQ28" i="23" s="1"/>
  <c r="FQ27" i="26"/>
  <c r="FQ28" i="26" s="1"/>
  <c r="FQ27" i="7"/>
  <c r="FQ28" i="7" s="1"/>
  <c r="GD14" i="4"/>
  <c r="GS15" i="4"/>
  <c r="GF29" i="7"/>
  <c r="GF29" i="26"/>
  <c r="GF29" i="23"/>
  <c r="FY14" i="4"/>
  <c r="FL27" i="23"/>
  <c r="FL28" i="23" s="1"/>
  <c r="FL27" i="7"/>
  <c r="FL28" i="7" s="1"/>
  <c r="FL27" i="26"/>
  <c r="FL28" i="26" s="1"/>
  <c r="GE13" i="4"/>
  <c r="FR25" i="7"/>
  <c r="FR26" i="7" s="1"/>
  <c r="FR25" i="26"/>
  <c r="FR26" i="26" s="1"/>
  <c r="FR25" i="23"/>
  <c r="FR26" i="23" s="1"/>
  <c r="FP25" i="26"/>
  <c r="FP26" i="26" s="1"/>
  <c r="GC13" i="4"/>
  <c r="FP25" i="23"/>
  <c r="FP26" i="23" s="1"/>
  <c r="FP25" i="7"/>
  <c r="FP26" i="7" s="1"/>
  <c r="GE14" i="4"/>
  <c r="FR27" i="7"/>
  <c r="FR28" i="7" s="1"/>
  <c r="FR27" i="26"/>
  <c r="FR28" i="26" s="1"/>
  <c r="FR27" i="23"/>
  <c r="FR28" i="23" s="1"/>
  <c r="GD29" i="7"/>
  <c r="GQ15" i="4"/>
  <c r="GD29" i="26"/>
  <c r="GD29" i="23"/>
  <c r="FV25" i="7"/>
  <c r="FV26" i="7" s="1"/>
  <c r="FV25" i="26"/>
  <c r="FV26" i="26" s="1"/>
  <c r="FV25" i="23"/>
  <c r="FV26" i="23" s="1"/>
  <c r="GI13" i="4"/>
  <c r="FY27" i="26"/>
  <c r="FY28" i="26" s="1"/>
  <c r="GL14" i="4"/>
  <c r="FY27" i="23"/>
  <c r="FY28" i="23" s="1"/>
  <c r="FY27" i="7"/>
  <c r="FY28" i="7" s="1"/>
  <c r="FW27" i="26"/>
  <c r="FW28" i="26" s="1"/>
  <c r="FW27" i="23"/>
  <c r="FW28" i="23" s="1"/>
  <c r="GJ14" i="4"/>
  <c r="FW27" i="7"/>
  <c r="FW28" i="7" s="1"/>
  <c r="FP27" i="7"/>
  <c r="FP28" i="7" s="1"/>
  <c r="FP27" i="23"/>
  <c r="FP28" i="23" s="1"/>
  <c r="GC14" i="4"/>
  <c r="FP27" i="26"/>
  <c r="FP28" i="26" s="1"/>
  <c r="GG29" i="7"/>
  <c r="GG29" i="23"/>
  <c r="GT15" i="4"/>
  <c r="GG29" i="26"/>
  <c r="FO27" i="23"/>
  <c r="FO28" i="23" s="1"/>
  <c r="FO27" i="26"/>
  <c r="FO28" i="26" s="1"/>
  <c r="FO27" i="7"/>
  <c r="FO28" i="7" s="1"/>
  <c r="GB14" i="4"/>
  <c r="FH27" i="26"/>
  <c r="FH28" i="26" s="1"/>
  <c r="FH27" i="7"/>
  <c r="FH28" i="7" s="1"/>
  <c r="FH27" i="23"/>
  <c r="FH28" i="23" s="1"/>
  <c r="FU14" i="4"/>
  <c r="FU27" i="7"/>
  <c r="FU28" i="7" s="1"/>
  <c r="FU27" i="26"/>
  <c r="FU28" i="26" s="1"/>
  <c r="GH14" i="4"/>
  <c r="FU27" i="23"/>
  <c r="FU28" i="23" s="1"/>
  <c r="FW14" i="4"/>
  <c r="FJ27" i="23"/>
  <c r="FJ28" i="23" s="1"/>
  <c r="FJ27" i="26"/>
  <c r="FJ28" i="26" s="1"/>
  <c r="FJ27" i="7"/>
  <c r="FJ28" i="7" s="1"/>
  <c r="GJ29" i="23"/>
  <c r="GW15" i="4"/>
  <c r="GJ29" i="26"/>
  <c r="GJ29" i="7"/>
  <c r="CJ25" i="4"/>
  <c r="FY25" i="26"/>
  <c r="FY26" i="26" s="1"/>
  <c r="FY25" i="23"/>
  <c r="FY26" i="23" s="1"/>
  <c r="GL13" i="4"/>
  <c r="FY25" i="7"/>
  <c r="FY26" i="7" s="1"/>
  <c r="GU15" i="4"/>
  <c r="GH29" i="26"/>
  <c r="GH29" i="7"/>
  <c r="GH29" i="23"/>
  <c r="GI29" i="23"/>
  <c r="GI29" i="7"/>
  <c r="GV15" i="4"/>
  <c r="GI29" i="26"/>
  <c r="GL29" i="23"/>
  <c r="GL29" i="26"/>
  <c r="GL29" i="7"/>
  <c r="GY15" i="4"/>
  <c r="FU25" i="23"/>
  <c r="FU26" i="23" s="1"/>
  <c r="GH13" i="4"/>
  <c r="FU25" i="26"/>
  <c r="FU26" i="26" s="1"/>
  <c r="FU25" i="7"/>
  <c r="FU26" i="7" s="1"/>
  <c r="FS27" i="7"/>
  <c r="FS28" i="7" s="1"/>
  <c r="GF14" i="4"/>
  <c r="FS27" i="26"/>
  <c r="FS28" i="26" s="1"/>
  <c r="FS27" i="23"/>
  <c r="FS28" i="23" s="1"/>
  <c r="FT25" i="26"/>
  <c r="FT26" i="26" s="1"/>
  <c r="GG13" i="4"/>
  <c r="FT25" i="23"/>
  <c r="FT26" i="23" s="1"/>
  <c r="FT25" i="7"/>
  <c r="FT26" i="7" s="1"/>
  <c r="GZ29" i="23"/>
  <c r="GZ29" i="7"/>
  <c r="HM15" i="4"/>
  <c r="GZ29" i="26"/>
  <c r="GX29" i="46" l="1"/>
  <c r="GX35" i="13"/>
  <c r="GV29" i="46"/>
  <c r="GV35" i="13"/>
  <c r="GP35" i="13"/>
  <c r="GP29" i="46"/>
  <c r="FY27" i="46"/>
  <c r="FY28" i="46" s="1"/>
  <c r="FY33" i="13"/>
  <c r="FY34" i="13" s="1"/>
  <c r="GB25" i="46"/>
  <c r="GB26" i="46" s="1"/>
  <c r="GB31" i="13"/>
  <c r="GB32" i="13" s="1"/>
  <c r="GH31" i="13"/>
  <c r="GH32" i="13" s="1"/>
  <c r="GH25" i="46"/>
  <c r="GH26" i="46" s="1"/>
  <c r="GN35" i="13"/>
  <c r="GN29" i="46"/>
  <c r="GL25" i="46"/>
  <c r="GL26" i="46" s="1"/>
  <c r="GL31" i="13"/>
  <c r="GL32" i="13" s="1"/>
  <c r="GI25" i="46"/>
  <c r="GI26" i="46" s="1"/>
  <c r="GI31" i="13"/>
  <c r="GI32" i="13" s="1"/>
  <c r="GD25" i="46"/>
  <c r="GD26" i="46" s="1"/>
  <c r="GD31" i="13"/>
  <c r="GD32" i="13" s="1"/>
  <c r="GK25" i="46"/>
  <c r="GK26" i="46" s="1"/>
  <c r="GK31" i="13"/>
  <c r="GK32" i="13" s="1"/>
  <c r="GB27" i="46"/>
  <c r="GB28" i="46" s="1"/>
  <c r="GB33" i="13"/>
  <c r="GB34" i="13" s="1"/>
  <c r="GQ35" i="13"/>
  <c r="GQ29" i="46"/>
  <c r="FW27" i="46"/>
  <c r="FW28" i="46" s="1"/>
  <c r="FW33" i="13"/>
  <c r="FW34" i="13" s="1"/>
  <c r="GC25" i="46"/>
  <c r="GC26" i="46" s="1"/>
  <c r="GC31" i="13"/>
  <c r="GC32" i="13" s="1"/>
  <c r="GA31" i="13"/>
  <c r="GA32" i="13" s="1"/>
  <c r="GA25" i="46"/>
  <c r="GA26" i="46" s="1"/>
  <c r="GC33" i="13"/>
  <c r="GC34" i="13" s="1"/>
  <c r="GC27" i="46"/>
  <c r="GC28" i="46" s="1"/>
  <c r="GO29" i="46"/>
  <c r="GO35" i="13"/>
  <c r="GG25" i="46"/>
  <c r="GG26" i="46" s="1"/>
  <c r="GG31" i="13"/>
  <c r="GG32" i="13" s="1"/>
  <c r="GJ27" i="46"/>
  <c r="GJ28" i="46" s="1"/>
  <c r="GJ33" i="13"/>
  <c r="GJ34" i="13" s="1"/>
  <c r="GH33" i="13"/>
  <c r="GH34" i="13" s="1"/>
  <c r="GH27" i="46"/>
  <c r="GH28" i="46" s="1"/>
  <c r="GA27" i="46"/>
  <c r="GA28" i="46" s="1"/>
  <c r="GA33" i="13"/>
  <c r="GA34" i="13" s="1"/>
  <c r="GR29" i="46"/>
  <c r="GR35" i="13"/>
  <c r="FZ33" i="13"/>
  <c r="FZ34" i="13" s="1"/>
  <c r="FZ27" i="46"/>
  <c r="FZ28" i="46" s="1"/>
  <c r="FS27" i="46"/>
  <c r="FS28" i="46" s="1"/>
  <c r="FS33" i="13"/>
  <c r="FS34" i="13" s="1"/>
  <c r="GF27" i="46"/>
  <c r="GF28" i="46" s="1"/>
  <c r="GF33" i="13"/>
  <c r="GF34" i="13" s="1"/>
  <c r="FU27" i="46"/>
  <c r="FU28" i="46" s="1"/>
  <c r="FU33" i="13"/>
  <c r="FU34" i="13" s="1"/>
  <c r="GU29" i="46"/>
  <c r="GU35" i="13"/>
  <c r="GJ31" i="13"/>
  <c r="GJ32" i="13" s="1"/>
  <c r="GJ25" i="46"/>
  <c r="GJ26" i="46" s="1"/>
  <c r="GS29" i="46"/>
  <c r="GS35" i="13"/>
  <c r="GT29" i="46"/>
  <c r="GT35" i="13"/>
  <c r="GW29" i="46"/>
  <c r="GW35" i="13"/>
  <c r="GF25" i="46"/>
  <c r="GF26" i="46" s="1"/>
  <c r="GF31" i="13"/>
  <c r="GF32" i="13" s="1"/>
  <c r="GD33" i="13"/>
  <c r="GD34" i="13" s="1"/>
  <c r="GD27" i="46"/>
  <c r="GD28" i="46" s="1"/>
  <c r="GE25" i="46"/>
  <c r="GE26" i="46" s="1"/>
  <c r="GE31" i="13"/>
  <c r="GE32" i="13" s="1"/>
  <c r="HK29" i="46"/>
  <c r="HK35" i="13"/>
  <c r="CH32" i="46"/>
  <c r="CH38" i="13"/>
  <c r="DW24" i="4"/>
  <c r="EW24" i="4"/>
  <c r="K8" i="11"/>
  <c r="K4" i="44" s="1"/>
  <c r="K54" i="11"/>
  <c r="K90" i="11"/>
  <c r="BA40" i="13"/>
  <c r="BA46" i="13" s="1"/>
  <c r="AZ9" i="45"/>
  <c r="BC26" i="4"/>
  <c r="AZ9" i="33"/>
  <c r="AZ9" i="34"/>
  <c r="BB27" i="4"/>
  <c r="AZ33" i="46"/>
  <c r="AZ38" i="46" s="1"/>
  <c r="AY9" i="27"/>
  <c r="BA29" i="4"/>
  <c r="AY38" i="46"/>
  <c r="AY39" i="46" s="1"/>
  <c r="AZ46" i="13"/>
  <c r="AZ47" i="13" s="1"/>
  <c r="GT14" i="4"/>
  <c r="GG27" i="26"/>
  <c r="GG28" i="26" s="1"/>
  <c r="GG27" i="23"/>
  <c r="GG28" i="23" s="1"/>
  <c r="GG27" i="7"/>
  <c r="GG28" i="7" s="1"/>
  <c r="GB25" i="26"/>
  <c r="GB26" i="26" s="1"/>
  <c r="GB25" i="23"/>
  <c r="GB26" i="23" s="1"/>
  <c r="GB25" i="7"/>
  <c r="GB26" i="7" s="1"/>
  <c r="GO13" i="4"/>
  <c r="FT27" i="23"/>
  <c r="FT28" i="23" s="1"/>
  <c r="GG14" i="4"/>
  <c r="FT27" i="26"/>
  <c r="FT28" i="26" s="1"/>
  <c r="FT27" i="7"/>
  <c r="FT28" i="7" s="1"/>
  <c r="GM14" i="4"/>
  <c r="FZ27" i="23"/>
  <c r="FZ28" i="23" s="1"/>
  <c r="FZ27" i="26"/>
  <c r="FZ28" i="26" s="1"/>
  <c r="FZ27" i="7"/>
  <c r="FZ28" i="7" s="1"/>
  <c r="GB27" i="23"/>
  <c r="GB28" i="23" s="1"/>
  <c r="GB27" i="26"/>
  <c r="GB28" i="26" s="1"/>
  <c r="GB27" i="7"/>
  <c r="GB28" i="7" s="1"/>
  <c r="GO14" i="4"/>
  <c r="GQ29" i="23"/>
  <c r="GQ29" i="26"/>
  <c r="HD15" i="4"/>
  <c r="GQ29" i="7"/>
  <c r="GA27" i="7"/>
  <c r="GA28" i="7" s="1"/>
  <c r="GA27" i="26"/>
  <c r="GA28" i="26" s="1"/>
  <c r="GN14" i="4"/>
  <c r="GA27" i="23"/>
  <c r="GA28" i="23" s="1"/>
  <c r="GR13" i="4"/>
  <c r="GE25" i="23"/>
  <c r="GE26" i="23" s="1"/>
  <c r="GE25" i="26"/>
  <c r="GE26" i="26" s="1"/>
  <c r="GE25" i="7"/>
  <c r="GE26" i="7" s="1"/>
  <c r="GL25" i="7"/>
  <c r="GL26" i="7" s="1"/>
  <c r="GL25" i="23"/>
  <c r="GL26" i="23" s="1"/>
  <c r="GL25" i="26"/>
  <c r="GL26" i="26" s="1"/>
  <c r="GY13" i="4"/>
  <c r="CK25" i="4"/>
  <c r="GM25" i="23"/>
  <c r="GM26" i="23" s="1"/>
  <c r="GM25" i="7"/>
  <c r="GM26" i="7" s="1"/>
  <c r="GZ13" i="4"/>
  <c r="GM25" i="26"/>
  <c r="GM26" i="26" s="1"/>
  <c r="GC25" i="26"/>
  <c r="GC26" i="26" s="1"/>
  <c r="GP13" i="4"/>
  <c r="GC25" i="7"/>
  <c r="GC26" i="7" s="1"/>
  <c r="GC25" i="23"/>
  <c r="GC26" i="23" s="1"/>
  <c r="HJ15" i="4"/>
  <c r="GW29" i="26"/>
  <c r="GW29" i="23"/>
  <c r="GW29" i="7"/>
  <c r="HH15" i="4"/>
  <c r="GU29" i="7"/>
  <c r="GU29" i="23"/>
  <c r="GU29" i="26"/>
  <c r="GO29" i="7"/>
  <c r="GO29" i="23"/>
  <c r="HB15" i="4"/>
  <c r="GO29" i="26"/>
  <c r="GY29" i="26"/>
  <c r="GY29" i="7"/>
  <c r="HL15" i="4"/>
  <c r="GY29" i="23"/>
  <c r="GX29" i="7"/>
  <c r="HK15" i="4"/>
  <c r="GX29" i="26"/>
  <c r="GX29" i="23"/>
  <c r="GS13" i="4"/>
  <c r="GF25" i="7"/>
  <c r="GF26" i="7" s="1"/>
  <c r="GF25" i="26"/>
  <c r="GF26" i="26" s="1"/>
  <c r="GF25" i="23"/>
  <c r="GF26" i="23" s="1"/>
  <c r="GT29" i="23"/>
  <c r="GT29" i="7"/>
  <c r="HG15" i="4"/>
  <c r="GT29" i="26"/>
  <c r="GV29" i="26"/>
  <c r="GV29" i="23"/>
  <c r="HI15" i="4"/>
  <c r="GV29" i="7"/>
  <c r="GS29" i="26"/>
  <c r="GS29" i="23"/>
  <c r="HF15" i="4"/>
  <c r="GS29" i="7"/>
  <c r="FX27" i="7"/>
  <c r="FX28" i="7" s="1"/>
  <c r="GK14" i="4"/>
  <c r="FX27" i="23"/>
  <c r="FX28" i="23" s="1"/>
  <c r="FX27" i="26"/>
  <c r="FX28" i="26" s="1"/>
  <c r="GE27" i="23"/>
  <c r="GE28" i="23" s="1"/>
  <c r="GE27" i="7"/>
  <c r="GE28" i="7" s="1"/>
  <c r="GR14" i="4"/>
  <c r="GE27" i="26"/>
  <c r="GE28" i="26" s="1"/>
  <c r="GI25" i="26"/>
  <c r="GI26" i="26" s="1"/>
  <c r="GI25" i="23"/>
  <c r="GI26" i="23" s="1"/>
  <c r="GV13" i="4"/>
  <c r="GI25" i="7"/>
  <c r="GI26" i="7" s="1"/>
  <c r="GK27" i="26"/>
  <c r="GK28" i="26" s="1"/>
  <c r="GX14" i="4"/>
  <c r="GK27" i="7"/>
  <c r="GK28" i="7" s="1"/>
  <c r="GK27" i="23"/>
  <c r="GK28" i="23" s="1"/>
  <c r="GP29" i="7"/>
  <c r="GP29" i="23"/>
  <c r="GP29" i="26"/>
  <c r="HC15" i="4"/>
  <c r="GJ25" i="7"/>
  <c r="GJ26" i="7" s="1"/>
  <c r="GW13" i="4"/>
  <c r="GJ25" i="23"/>
  <c r="GJ26" i="23" s="1"/>
  <c r="GJ25" i="26"/>
  <c r="GJ26" i="26" s="1"/>
  <c r="GG25" i="7"/>
  <c r="GG26" i="7" s="1"/>
  <c r="GG25" i="26"/>
  <c r="GG26" i="26" s="1"/>
  <c r="GG25" i="23"/>
  <c r="GG26" i="23" s="1"/>
  <c r="GT13" i="4"/>
  <c r="FV27" i="23"/>
  <c r="FV28" i="23" s="1"/>
  <c r="FV27" i="7"/>
  <c r="FV28" i="7" s="1"/>
  <c r="FV27" i="26"/>
  <c r="FV28" i="26" s="1"/>
  <c r="GI14" i="4"/>
  <c r="GV14" i="4"/>
  <c r="GI27" i="7"/>
  <c r="GI28" i="7" s="1"/>
  <c r="GI27" i="26"/>
  <c r="GI28" i="26" s="1"/>
  <c r="GI27" i="23"/>
  <c r="GI28" i="23" s="1"/>
  <c r="GH25" i="23"/>
  <c r="GH26" i="23" s="1"/>
  <c r="GH25" i="7"/>
  <c r="GH26" i="7" s="1"/>
  <c r="GU13" i="4"/>
  <c r="GH25" i="26"/>
  <c r="GH26" i="26" s="1"/>
  <c r="GR29" i="26"/>
  <c r="HE15" i="4"/>
  <c r="GR29" i="23"/>
  <c r="GR29" i="7"/>
  <c r="GD25" i="7"/>
  <c r="GD26" i="7" s="1"/>
  <c r="GQ13" i="4"/>
  <c r="GD25" i="26"/>
  <c r="GD26" i="26" s="1"/>
  <c r="GD25" i="23"/>
  <c r="GD26" i="23" s="1"/>
  <c r="GK25" i="7"/>
  <c r="GK26" i="7" s="1"/>
  <c r="GK25" i="23"/>
  <c r="GK26" i="23" s="1"/>
  <c r="GK25" i="26"/>
  <c r="GK26" i="26" s="1"/>
  <c r="GX13" i="4"/>
  <c r="GD27" i="26"/>
  <c r="GD28" i="26" s="1"/>
  <c r="GD27" i="23"/>
  <c r="GD28" i="23" s="1"/>
  <c r="GQ14" i="4"/>
  <c r="GD27" i="7"/>
  <c r="GD28" i="7" s="1"/>
  <c r="GC27" i="23"/>
  <c r="GC28" i="23" s="1"/>
  <c r="GP14" i="4"/>
  <c r="GC27" i="26"/>
  <c r="GC28" i="26" s="1"/>
  <c r="GC27" i="7"/>
  <c r="GC28" i="7" s="1"/>
  <c r="HL29" i="23"/>
  <c r="HL29" i="26"/>
  <c r="HY15" i="4"/>
  <c r="HL29" i="7"/>
  <c r="GR27" i="46" l="1"/>
  <c r="GR28" i="46" s="1"/>
  <c r="GR33" i="13"/>
  <c r="GR34" i="13" s="1"/>
  <c r="GM25" i="46"/>
  <c r="GM26" i="46" s="1"/>
  <c r="GM31" i="13"/>
  <c r="GM32" i="13" s="1"/>
  <c r="GE33" i="13"/>
  <c r="GE34" i="13" s="1"/>
  <c r="GE27" i="46"/>
  <c r="GE28" i="46" s="1"/>
  <c r="GK33" i="13"/>
  <c r="GK34" i="13" s="1"/>
  <c r="GK27" i="46"/>
  <c r="GK28" i="46" s="1"/>
  <c r="GM27" i="46"/>
  <c r="GM28" i="46" s="1"/>
  <c r="GM33" i="13"/>
  <c r="GM34" i="13" s="1"/>
  <c r="HB35" i="13"/>
  <c r="HB29" i="46"/>
  <c r="GL27" i="46"/>
  <c r="GL28" i="46" s="1"/>
  <c r="GL33" i="13"/>
  <c r="GL34" i="13" s="1"/>
  <c r="GP25" i="46"/>
  <c r="GP26" i="46" s="1"/>
  <c r="GP31" i="13"/>
  <c r="GP32" i="13" s="1"/>
  <c r="GW31" i="13"/>
  <c r="GW32" i="13" s="1"/>
  <c r="GW25" i="46"/>
  <c r="GW26" i="46" s="1"/>
  <c r="GX31" i="13"/>
  <c r="GX32" i="13" s="1"/>
  <c r="GX25" i="46"/>
  <c r="GX26" i="46" s="1"/>
  <c r="GN25" i="46"/>
  <c r="GN26" i="46" s="1"/>
  <c r="GN31" i="13"/>
  <c r="GN32" i="13" s="1"/>
  <c r="HH29" i="46"/>
  <c r="HH35" i="13"/>
  <c r="HF29" i="46"/>
  <c r="HF35" i="13"/>
  <c r="GZ29" i="46"/>
  <c r="GZ35" i="13"/>
  <c r="HJ35" i="13"/>
  <c r="HJ29" i="46"/>
  <c r="HI29" i="46"/>
  <c r="HI35" i="13"/>
  <c r="GQ25" i="46"/>
  <c r="GQ26" i="46" s="1"/>
  <c r="GQ31" i="13"/>
  <c r="GQ32" i="13" s="1"/>
  <c r="HE35" i="13"/>
  <c r="HE29" i="46"/>
  <c r="HG35" i="13"/>
  <c r="HG29" i="46"/>
  <c r="HD29" i="46"/>
  <c r="HD35" i="13"/>
  <c r="GI27" i="46"/>
  <c r="GI28" i="46" s="1"/>
  <c r="GI33" i="13"/>
  <c r="GI34" i="13" s="1"/>
  <c r="GP27" i="46"/>
  <c r="GP28" i="46" s="1"/>
  <c r="GP33" i="13"/>
  <c r="GP34" i="13" s="1"/>
  <c r="GT25" i="46"/>
  <c r="GT26" i="46" s="1"/>
  <c r="GT31" i="13"/>
  <c r="GT32" i="13" s="1"/>
  <c r="GV33" i="13"/>
  <c r="GV34" i="13" s="1"/>
  <c r="GV27" i="46"/>
  <c r="GV28" i="46" s="1"/>
  <c r="HA29" i="46"/>
  <c r="HA35" i="13"/>
  <c r="GU31" i="13"/>
  <c r="GU32" i="13" s="1"/>
  <c r="GU25" i="46"/>
  <c r="GU26" i="46" s="1"/>
  <c r="GR31" i="13"/>
  <c r="GR32" i="13" s="1"/>
  <c r="GR25" i="46"/>
  <c r="GR26" i="46" s="1"/>
  <c r="GG33" i="13"/>
  <c r="GG34" i="13" s="1"/>
  <c r="GG27" i="46"/>
  <c r="GG28" i="46" s="1"/>
  <c r="GT27" i="46"/>
  <c r="GT28" i="46" s="1"/>
  <c r="GT33" i="13"/>
  <c r="GT34" i="13" s="1"/>
  <c r="GS31" i="13"/>
  <c r="GS32" i="13" s="1"/>
  <c r="GS25" i="46"/>
  <c r="GS26" i="46" s="1"/>
  <c r="HC35" i="13"/>
  <c r="HC29" i="46"/>
  <c r="GO31" i="13"/>
  <c r="GO32" i="13" s="1"/>
  <c r="GO25" i="46"/>
  <c r="GO26" i="46" s="1"/>
  <c r="GV25" i="46"/>
  <c r="GV26" i="46" s="1"/>
  <c r="GV31" i="13"/>
  <c r="GV32" i="13" s="1"/>
  <c r="GO33" i="13"/>
  <c r="GO34" i="13" s="1"/>
  <c r="GO27" i="46"/>
  <c r="GO28" i="46" s="1"/>
  <c r="GN33" i="13"/>
  <c r="GN34" i="13" s="1"/>
  <c r="GN27" i="46"/>
  <c r="GN28" i="46" s="1"/>
  <c r="HW29" i="46"/>
  <c r="HW35" i="13"/>
  <c r="CI32" i="46"/>
  <c r="CI38" i="13"/>
  <c r="DZ24" i="4"/>
  <c r="EZ24" i="4"/>
  <c r="AZ39" i="46"/>
  <c r="BA47" i="13"/>
  <c r="AZ9" i="27"/>
  <c r="BB29" i="4"/>
  <c r="BB40" i="13"/>
  <c r="BD26" i="4"/>
  <c r="BA33" i="46"/>
  <c r="BA9" i="34"/>
  <c r="BC27" i="4"/>
  <c r="BA9" i="33"/>
  <c r="BA9" i="45"/>
  <c r="GQ27" i="26"/>
  <c r="GQ28" i="26" s="1"/>
  <c r="GQ27" i="7"/>
  <c r="GQ28" i="7" s="1"/>
  <c r="GQ27" i="23"/>
  <c r="GQ28" i="23" s="1"/>
  <c r="HD14" i="4"/>
  <c r="HG29" i="7"/>
  <c r="HG29" i="26"/>
  <c r="HG29" i="23"/>
  <c r="HT15" i="4"/>
  <c r="GY25" i="7"/>
  <c r="GY26" i="7" s="1"/>
  <c r="GY25" i="23"/>
  <c r="GY26" i="23" s="1"/>
  <c r="HL13" i="4"/>
  <c r="GY25" i="26"/>
  <c r="GY26" i="26" s="1"/>
  <c r="CL25" i="4"/>
  <c r="GP25" i="26"/>
  <c r="GP26" i="26" s="1"/>
  <c r="GP25" i="23"/>
  <c r="GP26" i="23" s="1"/>
  <c r="GP25" i="7"/>
  <c r="GP26" i="7" s="1"/>
  <c r="HC13" i="4"/>
  <c r="GS25" i="7"/>
  <c r="GS26" i="7" s="1"/>
  <c r="HF13" i="4"/>
  <c r="GS25" i="26"/>
  <c r="GS26" i="26" s="1"/>
  <c r="GS25" i="23"/>
  <c r="GS26" i="23" s="1"/>
  <c r="HE29" i="23"/>
  <c r="HR15" i="4"/>
  <c r="HE29" i="7"/>
  <c r="HE29" i="26"/>
  <c r="GN25" i="23"/>
  <c r="GN26" i="23" s="1"/>
  <c r="HA13" i="4"/>
  <c r="GN25" i="7"/>
  <c r="GN26" i="7" s="1"/>
  <c r="GN25" i="26"/>
  <c r="GN26" i="26" s="1"/>
  <c r="HE13" i="4"/>
  <c r="GR25" i="23"/>
  <c r="GR26" i="23" s="1"/>
  <c r="GR25" i="26"/>
  <c r="GR26" i="26" s="1"/>
  <c r="GR25" i="7"/>
  <c r="GR26" i="7" s="1"/>
  <c r="HC29" i="26"/>
  <c r="HP15" i="4"/>
  <c r="HC29" i="23"/>
  <c r="HC29" i="7"/>
  <c r="GW25" i="23"/>
  <c r="GW26" i="23" s="1"/>
  <c r="GW25" i="26"/>
  <c r="GW26" i="26" s="1"/>
  <c r="HJ13" i="4"/>
  <c r="GW25" i="7"/>
  <c r="GW26" i="7" s="1"/>
  <c r="GW27" i="23"/>
  <c r="GW28" i="23" s="1"/>
  <c r="GW27" i="26"/>
  <c r="GW28" i="26" s="1"/>
  <c r="HJ14" i="4"/>
  <c r="GW27" i="7"/>
  <c r="GW28" i="7" s="1"/>
  <c r="HH29" i="7"/>
  <c r="HH29" i="26"/>
  <c r="HU15" i="4"/>
  <c r="HH29" i="23"/>
  <c r="GS14" i="4"/>
  <c r="GF27" i="7"/>
  <c r="GF28" i="7" s="1"/>
  <c r="GF27" i="23"/>
  <c r="GF28" i="23" s="1"/>
  <c r="GF27" i="26"/>
  <c r="GF28" i="26" s="1"/>
  <c r="HK29" i="26"/>
  <c r="HK29" i="23"/>
  <c r="HX15" i="4"/>
  <c r="HK29" i="7"/>
  <c r="GX25" i="7"/>
  <c r="GX26" i="7" s="1"/>
  <c r="HK13" i="4"/>
  <c r="GX25" i="26"/>
  <c r="GX26" i="26" s="1"/>
  <c r="GX25" i="23"/>
  <c r="GX26" i="23" s="1"/>
  <c r="GV25" i="7"/>
  <c r="GV26" i="7" s="1"/>
  <c r="HI13" i="4"/>
  <c r="GV25" i="23"/>
  <c r="GV26" i="23" s="1"/>
  <c r="GV25" i="26"/>
  <c r="GV26" i="26" s="1"/>
  <c r="HJ29" i="23"/>
  <c r="HW15" i="4"/>
  <c r="HJ29" i="26"/>
  <c r="HJ29" i="7"/>
  <c r="HI29" i="7"/>
  <c r="HV15" i="4"/>
  <c r="HI29" i="26"/>
  <c r="HI29" i="23"/>
  <c r="GN27" i="23"/>
  <c r="GN28" i="23" s="1"/>
  <c r="HA14" i="4"/>
  <c r="GN27" i="7"/>
  <c r="GN28" i="7" s="1"/>
  <c r="GN27" i="26"/>
  <c r="GN28" i="26" s="1"/>
  <c r="GT25" i="7"/>
  <c r="GT26" i="7" s="1"/>
  <c r="HG13" i="4"/>
  <c r="GT25" i="26"/>
  <c r="GT26" i="26" s="1"/>
  <c r="GT25" i="23"/>
  <c r="GT26" i="23" s="1"/>
  <c r="GL27" i="7"/>
  <c r="GL28" i="7" s="1"/>
  <c r="GY14" i="4"/>
  <c r="GL27" i="26"/>
  <c r="GL28" i="26" s="1"/>
  <c r="GL27" i="23"/>
  <c r="GL28" i="23" s="1"/>
  <c r="HD29" i="26"/>
  <c r="HQ15" i="4"/>
  <c r="HD29" i="7"/>
  <c r="HD29" i="23"/>
  <c r="GH27" i="7"/>
  <c r="GH28" i="7" s="1"/>
  <c r="GU14" i="4"/>
  <c r="GH27" i="23"/>
  <c r="GH28" i="23" s="1"/>
  <c r="GH27" i="26"/>
  <c r="GH28" i="26" s="1"/>
  <c r="GU25" i="26"/>
  <c r="GU26" i="26" s="1"/>
  <c r="GU25" i="7"/>
  <c r="GU26" i="7" s="1"/>
  <c r="GU25" i="23"/>
  <c r="GU26" i="23" s="1"/>
  <c r="HH13" i="4"/>
  <c r="GJ27" i="7"/>
  <c r="GJ28" i="7" s="1"/>
  <c r="GJ27" i="23"/>
  <c r="GJ28" i="23" s="1"/>
  <c r="GW14" i="4"/>
  <c r="GJ27" i="26"/>
  <c r="GJ28" i="26" s="1"/>
  <c r="GQ25" i="23"/>
  <c r="GQ26" i="23" s="1"/>
  <c r="GQ25" i="26"/>
  <c r="GQ26" i="26" s="1"/>
  <c r="GQ25" i="7"/>
  <c r="GQ26" i="7" s="1"/>
  <c r="HD13" i="4"/>
  <c r="GO25" i="26"/>
  <c r="GO26" i="26" s="1"/>
  <c r="HB13" i="4"/>
  <c r="GO25" i="23"/>
  <c r="GO26" i="23" s="1"/>
  <c r="GO25" i="7"/>
  <c r="GO26" i="7" s="1"/>
  <c r="GP27" i="7"/>
  <c r="GP28" i="7" s="1"/>
  <c r="HC14" i="4"/>
  <c r="GP27" i="26"/>
  <c r="GP28" i="26" s="1"/>
  <c r="GP27" i="23"/>
  <c r="GP28" i="23" s="1"/>
  <c r="HA29" i="23"/>
  <c r="HA29" i="26"/>
  <c r="HN15" i="4"/>
  <c r="HA29" i="7"/>
  <c r="HB29" i="7"/>
  <c r="HB29" i="23"/>
  <c r="HB29" i="26"/>
  <c r="HO15" i="4"/>
  <c r="GZ14" i="4"/>
  <c r="GM27" i="26"/>
  <c r="GM28" i="26" s="1"/>
  <c r="GM27" i="7"/>
  <c r="GM28" i="7" s="1"/>
  <c r="GM27" i="23"/>
  <c r="GM28" i="23" s="1"/>
  <c r="GU27" i="23"/>
  <c r="GU28" i="23" s="1"/>
  <c r="GU27" i="26"/>
  <c r="GU28" i="26" s="1"/>
  <c r="HH14" i="4"/>
  <c r="GU27" i="7"/>
  <c r="GU28" i="7" s="1"/>
  <c r="GO27" i="7"/>
  <c r="GO28" i="7" s="1"/>
  <c r="HB14" i="4"/>
  <c r="GO27" i="23"/>
  <c r="GO28" i="23" s="1"/>
  <c r="GO27" i="26"/>
  <c r="GO28" i="26" s="1"/>
  <c r="HS15" i="4"/>
  <c r="HF29" i="26"/>
  <c r="HF29" i="23"/>
  <c r="HF29" i="7"/>
  <c r="GS27" i="26"/>
  <c r="GS28" i="26" s="1"/>
  <c r="GS27" i="23"/>
  <c r="GS28" i="23" s="1"/>
  <c r="HF14" i="4"/>
  <c r="GS27" i="7"/>
  <c r="GS28" i="7" s="1"/>
  <c r="HX29" i="26"/>
  <c r="HX29" i="7"/>
  <c r="IK15" i="4"/>
  <c r="HX29" i="23"/>
  <c r="HB27" i="46" l="1"/>
  <c r="HB28" i="46" s="1"/>
  <c r="HB33" i="13"/>
  <c r="HB34" i="13" s="1"/>
  <c r="HR35" i="13"/>
  <c r="HR29" i="46"/>
  <c r="HJ31" i="13"/>
  <c r="HJ32" i="13" s="1"/>
  <c r="HJ25" i="46"/>
  <c r="HJ26" i="46" s="1"/>
  <c r="HA25" i="46"/>
  <c r="HA26" i="46" s="1"/>
  <c r="HA31" i="13"/>
  <c r="HA32" i="13" s="1"/>
  <c r="HD25" i="46"/>
  <c r="HD26" i="46" s="1"/>
  <c r="HD31" i="13"/>
  <c r="HD32" i="13" s="1"/>
  <c r="HP35" i="13"/>
  <c r="HP29" i="46"/>
  <c r="GY25" i="46"/>
  <c r="GY26" i="46" s="1"/>
  <c r="GY31" i="13"/>
  <c r="GY32" i="13" s="1"/>
  <c r="HC25" i="46"/>
  <c r="HC26" i="46" s="1"/>
  <c r="HC31" i="13"/>
  <c r="HC32" i="13" s="1"/>
  <c r="HN35" i="13"/>
  <c r="HN29" i="46"/>
  <c r="HH31" i="13"/>
  <c r="HH32" i="13" s="1"/>
  <c r="HH25" i="46"/>
  <c r="HH26" i="46" s="1"/>
  <c r="HH27" i="46"/>
  <c r="HH28" i="46" s="1"/>
  <c r="HH33" i="13"/>
  <c r="HH34" i="13" s="1"/>
  <c r="HS29" i="46"/>
  <c r="HS35" i="13"/>
  <c r="GQ27" i="46"/>
  <c r="GQ28" i="46" s="1"/>
  <c r="GQ33" i="13"/>
  <c r="GQ34" i="13" s="1"/>
  <c r="HV29" i="46"/>
  <c r="HV35" i="13"/>
  <c r="HI25" i="46"/>
  <c r="HI26" i="46" s="1"/>
  <c r="HI31" i="13"/>
  <c r="HI32" i="13" s="1"/>
  <c r="HG25" i="46"/>
  <c r="HG26" i="46" s="1"/>
  <c r="HG31" i="13"/>
  <c r="HG32" i="13" s="1"/>
  <c r="HU29" i="46"/>
  <c r="HU35" i="13"/>
  <c r="HT29" i="46"/>
  <c r="HT35" i="13"/>
  <c r="GY27" i="46"/>
  <c r="GY28" i="46" s="1"/>
  <c r="GY33" i="13"/>
  <c r="GY34" i="13" s="1"/>
  <c r="HE25" i="46"/>
  <c r="HE26" i="46" s="1"/>
  <c r="HE31" i="13"/>
  <c r="HE32" i="13" s="1"/>
  <c r="GW27" i="46"/>
  <c r="GW28" i="46" s="1"/>
  <c r="GW33" i="13"/>
  <c r="GW34" i="13" s="1"/>
  <c r="HO29" i="46"/>
  <c r="HO35" i="13"/>
  <c r="GS27" i="46"/>
  <c r="GS28" i="46" s="1"/>
  <c r="GS33" i="13"/>
  <c r="GS34" i="13" s="1"/>
  <c r="HF25" i="46"/>
  <c r="HF26" i="46" s="1"/>
  <c r="HF31" i="13"/>
  <c r="HF32" i="13" s="1"/>
  <c r="GU27" i="46"/>
  <c r="GU28" i="46" s="1"/>
  <c r="GU33" i="13"/>
  <c r="GU34" i="13" s="1"/>
  <c r="HB25" i="46"/>
  <c r="HB26" i="46" s="1"/>
  <c r="HB31" i="13"/>
  <c r="HB32" i="13" s="1"/>
  <c r="GZ25" i="46"/>
  <c r="GZ26" i="46" s="1"/>
  <c r="GZ31" i="13"/>
  <c r="GZ32" i="13" s="1"/>
  <c r="HA33" i="13"/>
  <c r="HA34" i="13" s="1"/>
  <c r="HA27" i="46"/>
  <c r="HA28" i="46" s="1"/>
  <c r="HL35" i="13"/>
  <c r="HL29" i="46"/>
  <c r="HM35" i="13"/>
  <c r="HM29" i="46"/>
  <c r="GX33" i="13"/>
  <c r="GX34" i="13" s="1"/>
  <c r="GX27" i="46"/>
  <c r="GX28" i="46" s="1"/>
  <c r="HF33" i="13"/>
  <c r="HF34" i="13" s="1"/>
  <c r="HF27" i="46"/>
  <c r="HF28" i="46" s="1"/>
  <c r="GZ33" i="13"/>
  <c r="GZ34" i="13" s="1"/>
  <c r="GZ27" i="46"/>
  <c r="GZ28" i="46" s="1"/>
  <c r="HQ29" i="46"/>
  <c r="HQ35" i="13"/>
  <c r="HD33" i="13"/>
  <c r="HD34" i="13" s="1"/>
  <c r="HD27" i="46"/>
  <c r="HD28" i="46" s="1"/>
  <c r="II29" i="46"/>
  <c r="II35" i="13"/>
  <c r="CJ32" i="46"/>
  <c r="CJ38" i="13"/>
  <c r="EC24" i="4"/>
  <c r="FC24" i="4"/>
  <c r="BB9" i="45"/>
  <c r="BC40" i="13"/>
  <c r="BC46" i="13" s="1"/>
  <c r="BB9" i="33"/>
  <c r="BB9" i="34"/>
  <c r="BE26" i="4"/>
  <c r="BD27" i="4"/>
  <c r="BB33" i="46"/>
  <c r="BB38" i="46" s="1"/>
  <c r="BB46" i="13"/>
  <c r="BB47" i="13" s="1"/>
  <c r="BC29" i="4"/>
  <c r="BA9" i="27"/>
  <c r="BA38" i="46"/>
  <c r="BA39" i="46" s="1"/>
  <c r="IH15" i="4"/>
  <c r="HU29" i="23"/>
  <c r="HU29" i="26"/>
  <c r="HU29" i="7"/>
  <c r="HG25" i="23"/>
  <c r="HG26" i="23" s="1"/>
  <c r="HT13" i="4"/>
  <c r="HG25" i="26"/>
  <c r="HG26" i="26" s="1"/>
  <c r="HG25" i="7"/>
  <c r="HG26" i="7" s="1"/>
  <c r="HR29" i="26"/>
  <c r="HR29" i="7"/>
  <c r="HR29" i="23"/>
  <c r="IE15" i="4"/>
  <c r="GZ25" i="23"/>
  <c r="GZ26" i="23" s="1"/>
  <c r="GZ25" i="7"/>
  <c r="GZ26" i="7" s="1"/>
  <c r="GZ25" i="26"/>
  <c r="GZ26" i="26" s="1"/>
  <c r="HM13" i="4"/>
  <c r="GR27" i="7"/>
  <c r="GR28" i="7" s="1"/>
  <c r="HE14" i="4"/>
  <c r="GR27" i="23"/>
  <c r="GR28" i="23" s="1"/>
  <c r="GR27" i="26"/>
  <c r="GR28" i="26" s="1"/>
  <c r="HT29" i="7"/>
  <c r="HT29" i="26"/>
  <c r="IG15" i="4"/>
  <c r="HT29" i="23"/>
  <c r="GX27" i="7"/>
  <c r="GX28" i="7" s="1"/>
  <c r="GX27" i="23"/>
  <c r="GX28" i="23" s="1"/>
  <c r="GX27" i="26"/>
  <c r="GX28" i="26" s="1"/>
  <c r="HK14" i="4"/>
  <c r="HG27" i="7"/>
  <c r="HG28" i="7" s="1"/>
  <c r="HT14" i="4"/>
  <c r="HG27" i="26"/>
  <c r="HG28" i="26" s="1"/>
  <c r="HG27" i="23"/>
  <c r="HG28" i="23" s="1"/>
  <c r="HD25" i="7"/>
  <c r="HD26" i="7" s="1"/>
  <c r="HQ13" i="4"/>
  <c r="HD25" i="26"/>
  <c r="HD26" i="26" s="1"/>
  <c r="HD25" i="23"/>
  <c r="HD26" i="23" s="1"/>
  <c r="CM25" i="4"/>
  <c r="HI14" i="4"/>
  <c r="GV27" i="26"/>
  <c r="GV28" i="26" s="1"/>
  <c r="GV27" i="7"/>
  <c r="GV28" i="7" s="1"/>
  <c r="GV27" i="23"/>
  <c r="GV28" i="23" s="1"/>
  <c r="HF25" i="26"/>
  <c r="HF26" i="26" s="1"/>
  <c r="HF25" i="7"/>
  <c r="HF26" i="7" s="1"/>
  <c r="HF25" i="23"/>
  <c r="HF26" i="23" s="1"/>
  <c r="HS13" i="4"/>
  <c r="HP29" i="7"/>
  <c r="HP29" i="26"/>
  <c r="HP29" i="23"/>
  <c r="IC15" i="4"/>
  <c r="HN14" i="4"/>
  <c r="HA27" i="7"/>
  <c r="HA28" i="7" s="1"/>
  <c r="HA27" i="26"/>
  <c r="HA28" i="26" s="1"/>
  <c r="HA27" i="23"/>
  <c r="HA28" i="23" s="1"/>
  <c r="GZ27" i="7"/>
  <c r="GZ28" i="7" s="1"/>
  <c r="GZ27" i="23"/>
  <c r="GZ28" i="23" s="1"/>
  <c r="HM14" i="4"/>
  <c r="GZ27" i="26"/>
  <c r="GZ28" i="26" s="1"/>
  <c r="HO29" i="23"/>
  <c r="HO29" i="26"/>
  <c r="HO29" i="7"/>
  <c r="IB15" i="4"/>
  <c r="HU13" i="4"/>
  <c r="HH25" i="7"/>
  <c r="HH26" i="7" s="1"/>
  <c r="HH25" i="23"/>
  <c r="HH26" i="23" s="1"/>
  <c r="HH25" i="26"/>
  <c r="HH26" i="26" s="1"/>
  <c r="HV14" i="4"/>
  <c r="HI27" i="26"/>
  <c r="HI28" i="26" s="1"/>
  <c r="HI27" i="23"/>
  <c r="HI28" i="23" s="1"/>
  <c r="HI27" i="7"/>
  <c r="HI28" i="7" s="1"/>
  <c r="HI25" i="23"/>
  <c r="HI26" i="23" s="1"/>
  <c r="HV13" i="4"/>
  <c r="HI25" i="26"/>
  <c r="HI26" i="26" s="1"/>
  <c r="HI25" i="7"/>
  <c r="HI26" i="7" s="1"/>
  <c r="HC27" i="23"/>
  <c r="HC28" i="23" s="1"/>
  <c r="HC27" i="7"/>
  <c r="HC28" i="7" s="1"/>
  <c r="HC27" i="26"/>
  <c r="HC28" i="26" s="1"/>
  <c r="HP14" i="4"/>
  <c r="HC25" i="7"/>
  <c r="HC26" i="7" s="1"/>
  <c r="HP13" i="4"/>
  <c r="HC25" i="26"/>
  <c r="HC26" i="26" s="1"/>
  <c r="HC25" i="23"/>
  <c r="HC26" i="23" s="1"/>
  <c r="HW29" i="26"/>
  <c r="HW29" i="23"/>
  <c r="IJ15" i="4"/>
  <c r="HW29" i="7"/>
  <c r="GY27" i="7"/>
  <c r="GY28" i="7" s="1"/>
  <c r="GY27" i="26"/>
  <c r="GY28" i="26" s="1"/>
  <c r="GY27" i="23"/>
  <c r="GY28" i="23" s="1"/>
  <c r="HL14" i="4"/>
  <c r="HQ29" i="26"/>
  <c r="HQ29" i="7"/>
  <c r="HQ29" i="23"/>
  <c r="ID15" i="4"/>
  <c r="HN29" i="26"/>
  <c r="HN29" i="23"/>
  <c r="HN29" i="7"/>
  <c r="IA15" i="4"/>
  <c r="HJ25" i="23"/>
  <c r="HJ26" i="23" s="1"/>
  <c r="HJ25" i="7"/>
  <c r="HJ26" i="7" s="1"/>
  <c r="HW13" i="4"/>
  <c r="HJ25" i="26"/>
  <c r="HJ26" i="26" s="1"/>
  <c r="HM29" i="26"/>
  <c r="HZ15" i="4"/>
  <c r="HM29" i="7"/>
  <c r="HM29" i="23"/>
  <c r="HN13" i="4"/>
  <c r="HA25" i="26"/>
  <c r="HA26" i="26" s="1"/>
  <c r="HA25" i="7"/>
  <c r="HA26" i="7" s="1"/>
  <c r="HA25" i="23"/>
  <c r="HA26" i="23" s="1"/>
  <c r="HV29" i="7"/>
  <c r="II15" i="4"/>
  <c r="HV29" i="26"/>
  <c r="HV29" i="23"/>
  <c r="HS29" i="26"/>
  <c r="HS29" i="23"/>
  <c r="HS29" i="7"/>
  <c r="IF15" i="4"/>
  <c r="HB27" i="23"/>
  <c r="HB28" i="23" s="1"/>
  <c r="HB27" i="26"/>
  <c r="HB28" i="26" s="1"/>
  <c r="HB27" i="7"/>
  <c r="HB28" i="7" s="1"/>
  <c r="HO14" i="4"/>
  <c r="HE25" i="26"/>
  <c r="HE26" i="26" s="1"/>
  <c r="HR13" i="4"/>
  <c r="HE25" i="7"/>
  <c r="HE26" i="7" s="1"/>
  <c r="HE25" i="23"/>
  <c r="HE26" i="23" s="1"/>
  <c r="HB25" i="23"/>
  <c r="HB26" i="23" s="1"/>
  <c r="HB25" i="7"/>
  <c r="HB26" i="7" s="1"/>
  <c r="HB25" i="26"/>
  <c r="HB26" i="26" s="1"/>
  <c r="HO13" i="4"/>
  <c r="HK25" i="23"/>
  <c r="HK26" i="23" s="1"/>
  <c r="HK25" i="7"/>
  <c r="HK26" i="7" s="1"/>
  <c r="HK25" i="26"/>
  <c r="HK26" i="26" s="1"/>
  <c r="HX13" i="4"/>
  <c r="HE27" i="7"/>
  <c r="HE28" i="7" s="1"/>
  <c r="HE27" i="26"/>
  <c r="HE28" i="26" s="1"/>
  <c r="HE27" i="23"/>
  <c r="HE28" i="23" s="1"/>
  <c r="HR14" i="4"/>
  <c r="GT27" i="26"/>
  <c r="GT28" i="26" s="1"/>
  <c r="HG14" i="4"/>
  <c r="GT27" i="23"/>
  <c r="GT28" i="23" s="1"/>
  <c r="GT27" i="7"/>
  <c r="GT28" i="7" s="1"/>
  <c r="IF29" i="46" l="1"/>
  <c r="IF35" i="13"/>
  <c r="HR31" i="13"/>
  <c r="HR32" i="13" s="1"/>
  <c r="HR25" i="46"/>
  <c r="HR26" i="46" s="1"/>
  <c r="IC29" i="46"/>
  <c r="IC35" i="13"/>
  <c r="HK25" i="46"/>
  <c r="HK26" i="46" s="1"/>
  <c r="HK31" i="13"/>
  <c r="HK32" i="13" s="1"/>
  <c r="HC33" i="13"/>
  <c r="HC34" i="13" s="1"/>
  <c r="HC27" i="46"/>
  <c r="HC28" i="46" s="1"/>
  <c r="IE29" i="46"/>
  <c r="IE35" i="13"/>
  <c r="HI27" i="46"/>
  <c r="HI28" i="46" s="1"/>
  <c r="HI33" i="13"/>
  <c r="HI34" i="13" s="1"/>
  <c r="HR33" i="13"/>
  <c r="HR34" i="13" s="1"/>
  <c r="HR27" i="46"/>
  <c r="HR28" i="46" s="1"/>
  <c r="HO25" i="46"/>
  <c r="HO26" i="46" s="1"/>
  <c r="HO31" i="13"/>
  <c r="HO32" i="13" s="1"/>
  <c r="HG27" i="46"/>
  <c r="HG28" i="46" s="1"/>
  <c r="HG33" i="13"/>
  <c r="HG34" i="13" s="1"/>
  <c r="HQ25" i="46"/>
  <c r="HQ26" i="46" s="1"/>
  <c r="HQ31" i="13"/>
  <c r="HQ32" i="13" s="1"/>
  <c r="IA29" i="46"/>
  <c r="IA35" i="13"/>
  <c r="HL27" i="46"/>
  <c r="HL28" i="46" s="1"/>
  <c r="HL33" i="13"/>
  <c r="HL34" i="13" s="1"/>
  <c r="HK27" i="46"/>
  <c r="HK28" i="46" s="1"/>
  <c r="HK33" i="13"/>
  <c r="HK34" i="13" s="1"/>
  <c r="HZ29" i="46"/>
  <c r="HZ35" i="13"/>
  <c r="HS25" i="46"/>
  <c r="HS26" i="46" s="1"/>
  <c r="HS31" i="13"/>
  <c r="HS32" i="13" s="1"/>
  <c r="HT33" i="13"/>
  <c r="HT34" i="13" s="1"/>
  <c r="HT27" i="46"/>
  <c r="HT28" i="46" s="1"/>
  <c r="HT25" i="46"/>
  <c r="HT26" i="46" s="1"/>
  <c r="HT31" i="13"/>
  <c r="HT32" i="13" s="1"/>
  <c r="HN27" i="46"/>
  <c r="HN28" i="46" s="1"/>
  <c r="HN33" i="13"/>
  <c r="HN34" i="13" s="1"/>
  <c r="HN25" i="46"/>
  <c r="HN26" i="46" s="1"/>
  <c r="HN31" i="13"/>
  <c r="HN32" i="13" s="1"/>
  <c r="IH35" i="13"/>
  <c r="IH29" i="46"/>
  <c r="HJ27" i="46"/>
  <c r="HJ28" i="46" s="1"/>
  <c r="HJ33" i="13"/>
  <c r="HJ34" i="13" s="1"/>
  <c r="IB35" i="13"/>
  <c r="IB29" i="46"/>
  <c r="HY35" i="13"/>
  <c r="HY29" i="46"/>
  <c r="HU25" i="46"/>
  <c r="HU26" i="46" s="1"/>
  <c r="HU31" i="13"/>
  <c r="HU32" i="13" s="1"/>
  <c r="HX29" i="46"/>
  <c r="HX35" i="13"/>
  <c r="HL31" i="13"/>
  <c r="HL32" i="13" s="1"/>
  <c r="HL25" i="46"/>
  <c r="HL26" i="46" s="1"/>
  <c r="IG29" i="46"/>
  <c r="IG35" i="13"/>
  <c r="ID29" i="46"/>
  <c r="ID35" i="13"/>
  <c r="HM33" i="13"/>
  <c r="HM34" i="13" s="1"/>
  <c r="HM27" i="46"/>
  <c r="HM28" i="46" s="1"/>
  <c r="HP31" i="13"/>
  <c r="HP32" i="13" s="1"/>
  <c r="HP25" i="46"/>
  <c r="HP26" i="46" s="1"/>
  <c r="HM31" i="13"/>
  <c r="HM32" i="13" s="1"/>
  <c r="HM25" i="46"/>
  <c r="HM26" i="46" s="1"/>
  <c r="HV31" i="13"/>
  <c r="HV32" i="13" s="1"/>
  <c r="HV25" i="46"/>
  <c r="HV26" i="46" s="1"/>
  <c r="HP27" i="46"/>
  <c r="HP28" i="46" s="1"/>
  <c r="HP33" i="13"/>
  <c r="HP34" i="13" s="1"/>
  <c r="HE33" i="13"/>
  <c r="HE34" i="13" s="1"/>
  <c r="HE27" i="46"/>
  <c r="HE28" i="46" s="1"/>
  <c r="CK38" i="13"/>
  <c r="CK32" i="46"/>
  <c r="EF24" i="4"/>
  <c r="FF24" i="4"/>
  <c r="BB39" i="46"/>
  <c r="G43" i="13"/>
  <c r="BC33" i="46"/>
  <c r="BD40" i="13"/>
  <c r="BD46" i="13" s="1"/>
  <c r="BF26" i="4"/>
  <c r="BC9" i="45"/>
  <c r="BE27" i="4"/>
  <c r="I34" i="4" s="1"/>
  <c r="BC9" i="34"/>
  <c r="BC9" i="33"/>
  <c r="BC47" i="13"/>
  <c r="BB9" i="27"/>
  <c r="BD29" i="4"/>
  <c r="IA13" i="4"/>
  <c r="HN25" i="7"/>
  <c r="HN26" i="7" s="1"/>
  <c r="HN25" i="23"/>
  <c r="HN26" i="23" s="1"/>
  <c r="HN25" i="26"/>
  <c r="HN26" i="26" s="1"/>
  <c r="IH14" i="4"/>
  <c r="HU27" i="26"/>
  <c r="HU28" i="26" s="1"/>
  <c r="HU27" i="23"/>
  <c r="HU28" i="23" s="1"/>
  <c r="HU27" i="7"/>
  <c r="HU28" i="7" s="1"/>
  <c r="HY29" i="7"/>
  <c r="HY29" i="23"/>
  <c r="HY29" i="26"/>
  <c r="IL15" i="4"/>
  <c r="IH29" i="7"/>
  <c r="IH29" i="23"/>
  <c r="IH29" i="26"/>
  <c r="IC29" i="26"/>
  <c r="IC29" i="7"/>
  <c r="IC29" i="23"/>
  <c r="CN25" i="4"/>
  <c r="IH13" i="4"/>
  <c r="HU25" i="23"/>
  <c r="HU26" i="23" s="1"/>
  <c r="HU25" i="26"/>
  <c r="HU26" i="26" s="1"/>
  <c r="HU25" i="7"/>
  <c r="HU26" i="7" s="1"/>
  <c r="HL25" i="23"/>
  <c r="HL26" i="23" s="1"/>
  <c r="HL25" i="26"/>
  <c r="HL26" i="26" s="1"/>
  <c r="HL25" i="7"/>
  <c r="HL26" i="7" s="1"/>
  <c r="HY13" i="4"/>
  <c r="HL27" i="7"/>
  <c r="HL28" i="7" s="1"/>
  <c r="HL27" i="26"/>
  <c r="HL28" i="26" s="1"/>
  <c r="HL27" i="23"/>
  <c r="HL28" i="23" s="1"/>
  <c r="HY14" i="4"/>
  <c r="HS25" i="26"/>
  <c r="HS26" i="26" s="1"/>
  <c r="HS25" i="7"/>
  <c r="HS26" i="7" s="1"/>
  <c r="HS25" i="23"/>
  <c r="HS26" i="23" s="1"/>
  <c r="IF13" i="4"/>
  <c r="HS14" i="4"/>
  <c r="HF27" i="7"/>
  <c r="HF28" i="7" s="1"/>
  <c r="HF27" i="26"/>
  <c r="HF28" i="26" s="1"/>
  <c r="HF27" i="23"/>
  <c r="HF28" i="23" s="1"/>
  <c r="HV25" i="26"/>
  <c r="HV26" i="26" s="1"/>
  <c r="II13" i="4"/>
  <c r="HV25" i="23"/>
  <c r="HV26" i="23" s="1"/>
  <c r="HV25" i="7"/>
  <c r="HV26" i="7" s="1"/>
  <c r="HR25" i="7"/>
  <c r="HR26" i="7" s="1"/>
  <c r="IE13" i="4"/>
  <c r="HR25" i="26"/>
  <c r="HR26" i="26" s="1"/>
  <c r="HR25" i="23"/>
  <c r="HR26" i="23" s="1"/>
  <c r="IB13" i="4"/>
  <c r="HO25" i="26"/>
  <c r="HO26" i="26" s="1"/>
  <c r="HO25" i="7"/>
  <c r="HO26" i="7" s="1"/>
  <c r="HO25" i="23"/>
  <c r="HO26" i="23" s="1"/>
  <c r="IB29" i="23"/>
  <c r="IO15" i="4"/>
  <c r="IB29" i="7"/>
  <c r="IB29" i="26"/>
  <c r="HD27" i="26"/>
  <c r="HD28" i="26" s="1"/>
  <c r="HD27" i="7"/>
  <c r="HD28" i="7" s="1"/>
  <c r="HQ14" i="4"/>
  <c r="HD27" i="23"/>
  <c r="HD28" i="23" s="1"/>
  <c r="ID13" i="4"/>
  <c r="HQ25" i="7"/>
  <c r="HQ26" i="7" s="1"/>
  <c r="HQ25" i="23"/>
  <c r="HQ26" i="23" s="1"/>
  <c r="HQ25" i="26"/>
  <c r="HQ26" i="26" s="1"/>
  <c r="HZ29" i="7"/>
  <c r="HZ29" i="23"/>
  <c r="IM15" i="4"/>
  <c r="HZ29" i="26"/>
  <c r="HK27" i="26"/>
  <c r="HK28" i="26" s="1"/>
  <c r="HK27" i="7"/>
  <c r="HK28" i="7" s="1"/>
  <c r="HK27" i="23"/>
  <c r="HK28" i="23" s="1"/>
  <c r="HX14" i="4"/>
  <c r="IC13" i="4"/>
  <c r="HP25" i="23"/>
  <c r="HP26" i="23" s="1"/>
  <c r="HP25" i="7"/>
  <c r="HP26" i="7" s="1"/>
  <c r="HP25" i="26"/>
  <c r="HP26" i="26" s="1"/>
  <c r="HN27" i="23"/>
  <c r="HN28" i="23" s="1"/>
  <c r="HN27" i="7"/>
  <c r="HN28" i="7" s="1"/>
  <c r="HN27" i="26"/>
  <c r="HN28" i="26" s="1"/>
  <c r="IA14" i="4"/>
  <c r="HH27" i="23"/>
  <c r="HH28" i="23" s="1"/>
  <c r="HH27" i="26"/>
  <c r="HH28" i="26" s="1"/>
  <c r="HH27" i="7"/>
  <c r="HH28" i="7" s="1"/>
  <c r="HU14" i="4"/>
  <c r="HS27" i="23"/>
  <c r="HS28" i="23" s="1"/>
  <c r="IF14" i="4"/>
  <c r="HS27" i="7"/>
  <c r="HS28" i="7" s="1"/>
  <c r="HS27" i="26"/>
  <c r="HS28" i="26" s="1"/>
  <c r="HQ27" i="23"/>
  <c r="HQ28" i="23" s="1"/>
  <c r="HQ27" i="26"/>
  <c r="HQ28" i="26" s="1"/>
  <c r="ID14" i="4"/>
  <c r="HQ27" i="7"/>
  <c r="HQ28" i="7" s="1"/>
  <c r="IG13" i="4"/>
  <c r="HT25" i="7"/>
  <c r="HT26" i="7" s="1"/>
  <c r="HT25" i="23"/>
  <c r="HT26" i="23" s="1"/>
  <c r="HT25" i="26"/>
  <c r="HT26" i="26" s="1"/>
  <c r="IN15" i="4"/>
  <c r="IA29" i="26"/>
  <c r="IA29" i="23"/>
  <c r="IA29" i="7"/>
  <c r="HW25" i="23"/>
  <c r="HW26" i="23" s="1"/>
  <c r="HW25" i="26"/>
  <c r="HW26" i="26" s="1"/>
  <c r="HW25" i="7"/>
  <c r="HW26" i="7" s="1"/>
  <c r="IJ13" i="4"/>
  <c r="HZ13" i="4"/>
  <c r="HM25" i="7"/>
  <c r="HM26" i="7" s="1"/>
  <c r="HM25" i="26"/>
  <c r="HM26" i="26" s="1"/>
  <c r="HM25" i="23"/>
  <c r="HM26" i="23" s="1"/>
  <c r="ID29" i="23"/>
  <c r="ID29" i="26"/>
  <c r="ID29" i="7"/>
  <c r="HW14" i="4"/>
  <c r="HJ27" i="7"/>
  <c r="HJ28" i="7" s="1"/>
  <c r="HJ27" i="23"/>
  <c r="HJ28" i="23" s="1"/>
  <c r="HJ27" i="26"/>
  <c r="HJ28" i="26" s="1"/>
  <c r="HM27" i="26"/>
  <c r="HM28" i="26" s="1"/>
  <c r="HM27" i="7"/>
  <c r="HM28" i="7" s="1"/>
  <c r="HZ14" i="4"/>
  <c r="HM27" i="23"/>
  <c r="HM28" i="23" s="1"/>
  <c r="IE29" i="26"/>
  <c r="IE29" i="7"/>
  <c r="IE29" i="23"/>
  <c r="IB14" i="4"/>
  <c r="HO27" i="7"/>
  <c r="HO28" i="7" s="1"/>
  <c r="HO27" i="23"/>
  <c r="HO28" i="23" s="1"/>
  <c r="HO27" i="26"/>
  <c r="HO28" i="26" s="1"/>
  <c r="IF29" i="7"/>
  <c r="IF29" i="26"/>
  <c r="IF29" i="23"/>
  <c r="IG29" i="26"/>
  <c r="IG29" i="7"/>
  <c r="IG29" i="23"/>
  <c r="HY25" i="46" l="1"/>
  <c r="HY26" i="46" s="1"/>
  <c r="HY31" i="13"/>
  <c r="HY32" i="13" s="1"/>
  <c r="IF33" i="13"/>
  <c r="IF34" i="13" s="1"/>
  <c r="IF27" i="46"/>
  <c r="IF28" i="46" s="1"/>
  <c r="IJ29" i="46"/>
  <c r="IJ35" i="13"/>
  <c r="IF31" i="13"/>
  <c r="IF32" i="13" s="1"/>
  <c r="IF25" i="46"/>
  <c r="IF26" i="46" s="1"/>
  <c r="HW25" i="46"/>
  <c r="HW26" i="46" s="1"/>
  <c r="HW31" i="13"/>
  <c r="HW32" i="13" s="1"/>
  <c r="HW33" i="13"/>
  <c r="HW34" i="13" s="1"/>
  <c r="HW27" i="46"/>
  <c r="HW28" i="46" s="1"/>
  <c r="ID31" i="13"/>
  <c r="ID32" i="13" s="1"/>
  <c r="ID25" i="46"/>
  <c r="ID26" i="46" s="1"/>
  <c r="HQ27" i="46"/>
  <c r="HQ28" i="46" s="1"/>
  <c r="HQ33" i="13"/>
  <c r="HQ34" i="13" s="1"/>
  <c r="IG25" i="46"/>
  <c r="IG26" i="46" s="1"/>
  <c r="IG31" i="13"/>
  <c r="IG32" i="13" s="1"/>
  <c r="IC25" i="46"/>
  <c r="IC26" i="46" s="1"/>
  <c r="IC31" i="13"/>
  <c r="IC32" i="13" s="1"/>
  <c r="HZ25" i="46"/>
  <c r="HZ26" i="46" s="1"/>
  <c r="HZ31" i="13"/>
  <c r="HZ32" i="13" s="1"/>
  <c r="IM29" i="46"/>
  <c r="IM35" i="13"/>
  <c r="HO33" i="13"/>
  <c r="HO34" i="13" s="1"/>
  <c r="HO27" i="46"/>
  <c r="HO28" i="46" s="1"/>
  <c r="IB25" i="46"/>
  <c r="IB26" i="46" s="1"/>
  <c r="IB31" i="13"/>
  <c r="IB32" i="13" s="1"/>
  <c r="IK29" i="46"/>
  <c r="IK35" i="13"/>
  <c r="HV33" i="13"/>
  <c r="HV34" i="13" s="1"/>
  <c r="HV27" i="46"/>
  <c r="HV28" i="46" s="1"/>
  <c r="IA25" i="46"/>
  <c r="IA26" i="46" s="1"/>
  <c r="IA31" i="13"/>
  <c r="IA32" i="13" s="1"/>
  <c r="HY27" i="46"/>
  <c r="HY28" i="46" s="1"/>
  <c r="HY33" i="13"/>
  <c r="HY34" i="13" s="1"/>
  <c r="HS27" i="46"/>
  <c r="HS28" i="46" s="1"/>
  <c r="HS33" i="13"/>
  <c r="HS34" i="13" s="1"/>
  <c r="ID27" i="46"/>
  <c r="ID28" i="46" s="1"/>
  <c r="ID33" i="13"/>
  <c r="ID34" i="13" s="1"/>
  <c r="IB27" i="46"/>
  <c r="IB28" i="46" s="1"/>
  <c r="IB33" i="13"/>
  <c r="IB34" i="13" s="1"/>
  <c r="IE31" i="13"/>
  <c r="IE32" i="13" s="1"/>
  <c r="IE25" i="46"/>
  <c r="IE26" i="46" s="1"/>
  <c r="IL29" i="46"/>
  <c r="IL35" i="13"/>
  <c r="IH25" i="46"/>
  <c r="IH26" i="46" s="1"/>
  <c r="IH31" i="13"/>
  <c r="IH32" i="13" s="1"/>
  <c r="HX25" i="46"/>
  <c r="HX26" i="46" s="1"/>
  <c r="HX31" i="13"/>
  <c r="HX32" i="13" s="1"/>
  <c r="HU27" i="46"/>
  <c r="HU28" i="46" s="1"/>
  <c r="HU33" i="13"/>
  <c r="HU34" i="13" s="1"/>
  <c r="HX27" i="46"/>
  <c r="HX28" i="46" s="1"/>
  <c r="HX33" i="13"/>
  <c r="HX34" i="13" s="1"/>
  <c r="HZ27" i="46"/>
  <c r="HZ28" i="46" s="1"/>
  <c r="HZ33" i="13"/>
  <c r="HZ34" i="13" s="1"/>
  <c r="CL32" i="46"/>
  <c r="CL38" i="13"/>
  <c r="EI24" i="4"/>
  <c r="FI24" i="4"/>
  <c r="L90" i="11"/>
  <c r="BD9" i="45"/>
  <c r="BE40" i="13"/>
  <c r="BE46" i="13" s="1"/>
  <c r="BD33" i="46"/>
  <c r="BD38" i="46" s="1"/>
  <c r="BD9" i="33"/>
  <c r="H17" i="33" s="1"/>
  <c r="H50" i="33" s="1"/>
  <c r="BF27" i="4"/>
  <c r="BG26" i="4"/>
  <c r="BD9" i="34"/>
  <c r="H17" i="34" s="1"/>
  <c r="H50" i="34" s="1"/>
  <c r="BD47" i="13"/>
  <c r="I36" i="4"/>
  <c r="I35" i="4"/>
  <c r="I39" i="4" s="1"/>
  <c r="BC38" i="46"/>
  <c r="G36" i="46"/>
  <c r="BC9" i="27"/>
  <c r="BE29" i="4"/>
  <c r="HZ27" i="7"/>
  <c r="HZ28" i="7" s="1"/>
  <c r="IM14" i="4"/>
  <c r="HZ27" i="26"/>
  <c r="HZ28" i="26" s="1"/>
  <c r="HZ27" i="23"/>
  <c r="HZ28" i="23" s="1"/>
  <c r="HR27" i="7"/>
  <c r="HR28" i="7" s="1"/>
  <c r="HR27" i="26"/>
  <c r="HR28" i="26" s="1"/>
  <c r="IE14" i="4"/>
  <c r="HR27" i="23"/>
  <c r="HR28" i="23" s="1"/>
  <c r="ID25" i="26"/>
  <c r="ID26" i="26" s="1"/>
  <c r="ID25" i="23"/>
  <c r="ID26" i="23" s="1"/>
  <c r="ID25" i="7"/>
  <c r="ID26" i="7" s="1"/>
  <c r="IE25" i="7"/>
  <c r="IE26" i="7" s="1"/>
  <c r="IE25" i="23"/>
  <c r="IE26" i="23" s="1"/>
  <c r="IE25" i="26"/>
  <c r="IE26" i="26" s="1"/>
  <c r="IA27" i="26"/>
  <c r="IA28" i="26" s="1"/>
  <c r="IN14" i="4"/>
  <c r="IA27" i="23"/>
  <c r="IA28" i="23" s="1"/>
  <c r="IA27" i="7"/>
  <c r="IA28" i="7" s="1"/>
  <c r="IC25" i="7"/>
  <c r="IC26" i="7" s="1"/>
  <c r="IC25" i="26"/>
  <c r="IC26" i="26" s="1"/>
  <c r="IC25" i="23"/>
  <c r="IC26" i="23" s="1"/>
  <c r="IC27" i="23"/>
  <c r="IC28" i="23" s="1"/>
  <c r="IC27" i="26"/>
  <c r="IC28" i="26" s="1"/>
  <c r="IC27" i="7"/>
  <c r="IC28" i="7" s="1"/>
  <c r="IA25" i="7"/>
  <c r="IA26" i="7" s="1"/>
  <c r="IN13" i="4"/>
  <c r="IA25" i="23"/>
  <c r="IA26" i="23" s="1"/>
  <c r="IA25" i="26"/>
  <c r="IA26" i="26" s="1"/>
  <c r="IF25" i="23"/>
  <c r="IF26" i="23" s="1"/>
  <c r="IF25" i="26"/>
  <c r="IF26" i="26" s="1"/>
  <c r="IF25" i="7"/>
  <c r="IF26" i="7" s="1"/>
  <c r="IB25" i="26"/>
  <c r="IB26" i="26" s="1"/>
  <c r="IB25" i="23"/>
  <c r="IB26" i="23" s="1"/>
  <c r="IO13" i="4"/>
  <c r="IB25" i="7"/>
  <c r="IB26" i="7" s="1"/>
  <c r="IG25" i="7"/>
  <c r="IG26" i="7" s="1"/>
  <c r="IG25" i="26"/>
  <c r="IG26" i="26" s="1"/>
  <c r="IG25" i="23"/>
  <c r="IG26" i="23" s="1"/>
  <c r="IC14" i="4"/>
  <c r="HP27" i="26"/>
  <c r="HP28" i="26" s="1"/>
  <c r="HP27" i="7"/>
  <c r="HP28" i="7" s="1"/>
  <c r="HP27" i="23"/>
  <c r="HP28" i="23" s="1"/>
  <c r="IG27" i="7"/>
  <c r="IG28" i="7" s="1"/>
  <c r="IG27" i="23"/>
  <c r="IG28" i="23" s="1"/>
  <c r="IG27" i="26"/>
  <c r="IG28" i="26" s="1"/>
  <c r="IL14" i="4"/>
  <c r="HY27" i="23"/>
  <c r="HY28" i="23" s="1"/>
  <c r="HY27" i="7"/>
  <c r="HY28" i="7" s="1"/>
  <c r="HY27" i="26"/>
  <c r="HY28" i="26" s="1"/>
  <c r="IH25" i="26"/>
  <c r="IH26" i="26" s="1"/>
  <c r="IH25" i="7"/>
  <c r="IH26" i="7" s="1"/>
  <c r="IH25" i="23"/>
  <c r="IH26" i="23" s="1"/>
  <c r="HY25" i="7"/>
  <c r="HY26" i="7" s="1"/>
  <c r="HY25" i="23"/>
  <c r="HY26" i="23" s="1"/>
  <c r="IL13" i="4"/>
  <c r="HY25" i="26"/>
  <c r="HY26" i="26" s="1"/>
  <c r="IE27" i="26"/>
  <c r="IE28" i="26" s="1"/>
  <c r="IE27" i="7"/>
  <c r="IE28" i="7" s="1"/>
  <c r="IE27" i="23"/>
  <c r="IE28" i="23" s="1"/>
  <c r="HW27" i="23"/>
  <c r="HW28" i="23" s="1"/>
  <c r="HW27" i="7"/>
  <c r="HW28" i="7" s="1"/>
  <c r="HW27" i="26"/>
  <c r="HW28" i="26" s="1"/>
  <c r="IJ14" i="4"/>
  <c r="HX25" i="7"/>
  <c r="HX26" i="7" s="1"/>
  <c r="HX25" i="26"/>
  <c r="HX26" i="26" s="1"/>
  <c r="IK13" i="4"/>
  <c r="HX25" i="23"/>
  <c r="HX26" i="23" s="1"/>
  <c r="CO25" i="4"/>
  <c r="HZ25" i="23"/>
  <c r="HZ26" i="23" s="1"/>
  <c r="IM13" i="4"/>
  <c r="HZ25" i="26"/>
  <c r="HZ26" i="26" s="1"/>
  <c r="HZ25" i="7"/>
  <c r="HZ26" i="7" s="1"/>
  <c r="IK14" i="4"/>
  <c r="HX27" i="26"/>
  <c r="HX28" i="26" s="1"/>
  <c r="HX27" i="23"/>
  <c r="HX28" i="23" s="1"/>
  <c r="HX27" i="7"/>
  <c r="HX28" i="7" s="1"/>
  <c r="II14" i="4"/>
  <c r="HV27" i="7"/>
  <c r="HV28" i="7" s="1"/>
  <c r="HV27" i="26"/>
  <c r="HV28" i="26" s="1"/>
  <c r="HV27" i="23"/>
  <c r="HV28" i="23" s="1"/>
  <c r="HT27" i="7"/>
  <c r="HT28" i="7" s="1"/>
  <c r="HT27" i="23"/>
  <c r="HT28" i="23" s="1"/>
  <c r="HT27" i="26"/>
  <c r="HT28" i="26" s="1"/>
  <c r="IG14" i="4"/>
  <c r="IK27" i="46" l="1"/>
  <c r="IK28" i="46" s="1"/>
  <c r="IK33" i="13"/>
  <c r="IK34" i="13" s="1"/>
  <c r="IC27" i="46"/>
  <c r="IC28" i="46" s="1"/>
  <c r="IC33" i="13"/>
  <c r="IC34" i="13" s="1"/>
  <c r="IL27" i="46"/>
  <c r="IL28" i="46" s="1"/>
  <c r="IL33" i="13"/>
  <c r="IL34" i="13" s="1"/>
  <c r="IL25" i="46"/>
  <c r="IL26" i="46" s="1"/>
  <c r="IL31" i="13"/>
  <c r="IL32" i="13" s="1"/>
  <c r="IM25" i="46"/>
  <c r="IM26" i="46" s="1"/>
  <c r="IM31" i="13"/>
  <c r="IM32" i="13" s="1"/>
  <c r="IA27" i="46"/>
  <c r="IA28" i="46" s="1"/>
  <c r="IA33" i="13"/>
  <c r="IA34" i="13" s="1"/>
  <c r="IJ27" i="46"/>
  <c r="IJ28" i="46" s="1"/>
  <c r="IJ33" i="13"/>
  <c r="IJ34" i="13" s="1"/>
  <c r="IJ25" i="46"/>
  <c r="IJ26" i="46" s="1"/>
  <c r="IJ31" i="13"/>
  <c r="IJ32" i="13" s="1"/>
  <c r="IH27" i="46"/>
  <c r="IH28" i="46" s="1"/>
  <c r="IH33" i="13"/>
  <c r="IH34" i="13" s="1"/>
  <c r="II25" i="46"/>
  <c r="II26" i="46" s="1"/>
  <c r="II31" i="13"/>
  <c r="II32" i="13" s="1"/>
  <c r="IK25" i="46"/>
  <c r="IK26" i="46" s="1"/>
  <c r="IK31" i="13"/>
  <c r="IK32" i="13" s="1"/>
  <c r="II27" i="46"/>
  <c r="II28" i="46" s="1"/>
  <c r="II33" i="13"/>
  <c r="II34" i="13" s="1"/>
  <c r="IG27" i="46"/>
  <c r="IG28" i="46" s="1"/>
  <c r="IG33" i="13"/>
  <c r="IG34" i="13" s="1"/>
  <c r="IE27" i="46"/>
  <c r="IE28" i="46" s="1"/>
  <c r="IE33" i="13"/>
  <c r="IE34" i="13" s="1"/>
  <c r="CM38" i="13"/>
  <c r="CM32" i="46"/>
  <c r="EL24" i="4"/>
  <c r="FL24" i="4"/>
  <c r="L54" i="11"/>
  <c r="V54" i="11" s="1"/>
  <c r="L8" i="11"/>
  <c r="L4" i="44" s="1"/>
  <c r="BE47" i="13"/>
  <c r="G42" i="46"/>
  <c r="G43" i="46" s="1"/>
  <c r="G44" i="46" s="1"/>
  <c r="BC39" i="46"/>
  <c r="BD39" i="46" s="1"/>
  <c r="BF29" i="4"/>
  <c r="BD9" i="27"/>
  <c r="BE9" i="45"/>
  <c r="BE9" i="34"/>
  <c r="BH26" i="4"/>
  <c r="BE9" i="33"/>
  <c r="BF40" i="13"/>
  <c r="BF46" i="13" s="1"/>
  <c r="BE33" i="46"/>
  <c r="BE38" i="46" s="1"/>
  <c r="BG27" i="4"/>
  <c r="IB27" i="7"/>
  <c r="IB28" i="7" s="1"/>
  <c r="IB27" i="23"/>
  <c r="IB28" i="23" s="1"/>
  <c r="IB27" i="26"/>
  <c r="IB28" i="26" s="1"/>
  <c r="IO14" i="4"/>
  <c r="CP25" i="4"/>
  <c r="IF27" i="7"/>
  <c r="IF28" i="7" s="1"/>
  <c r="IF27" i="23"/>
  <c r="IF28" i="23" s="1"/>
  <c r="IF27" i="26"/>
  <c r="IF28" i="26" s="1"/>
  <c r="ID27" i="7"/>
  <c r="ID28" i="7" s="1"/>
  <c r="ID27" i="23"/>
  <c r="ID28" i="23" s="1"/>
  <c r="ID27" i="26"/>
  <c r="ID28" i="26" s="1"/>
  <c r="IH27" i="26"/>
  <c r="IH28" i="26" s="1"/>
  <c r="IH27" i="23"/>
  <c r="IH28" i="23" s="1"/>
  <c r="IH27" i="7"/>
  <c r="IH28" i="7" s="1"/>
  <c r="IM27" i="46" l="1"/>
  <c r="IM28" i="46" s="1"/>
  <c r="IM33" i="13"/>
  <c r="IM34" i="13" s="1"/>
  <c r="CN38" i="13"/>
  <c r="CN32" i="46"/>
  <c r="EO24" i="4"/>
  <c r="FO24" i="4"/>
  <c r="BF47" i="13"/>
  <c r="BE9" i="27"/>
  <c r="BG29" i="4"/>
  <c r="BF9" i="45"/>
  <c r="BG40" i="13"/>
  <c r="BG46" i="13" s="1"/>
  <c r="BI26" i="4"/>
  <c r="BF9" i="33"/>
  <c r="BH27" i="4"/>
  <c r="BF33" i="46"/>
  <c r="BF38" i="46" s="1"/>
  <c r="BF9" i="34"/>
  <c r="BE39" i="46"/>
  <c r="CQ25" i="4"/>
  <c r="CO32" i="46" l="1"/>
  <c r="CO38" i="13"/>
  <c r="ER24" i="4"/>
  <c r="BG47" i="13"/>
  <c r="FR24" i="4"/>
  <c r="BG33" i="46"/>
  <c r="BG38" i="46" s="1"/>
  <c r="BG9" i="34"/>
  <c r="BG9" i="33"/>
  <c r="BG9" i="45"/>
  <c r="BH40" i="13"/>
  <c r="BH46" i="13" s="1"/>
  <c r="BI27" i="4"/>
  <c r="BJ26" i="4"/>
  <c r="BF39" i="46"/>
  <c r="BF9" i="27"/>
  <c r="BH29" i="4"/>
  <c r="CR25" i="4"/>
  <c r="CP32" i="46" l="1"/>
  <c r="CP38" i="13"/>
  <c r="BH47" i="13"/>
  <c r="EU24" i="4"/>
  <c r="FU24" i="4"/>
  <c r="M54" i="11"/>
  <c r="BG39" i="46"/>
  <c r="BI29" i="4"/>
  <c r="BG9" i="27"/>
  <c r="BH9" i="33"/>
  <c r="BH33" i="46"/>
  <c r="BH38" i="46" s="1"/>
  <c r="BH9" i="45"/>
  <c r="BJ27" i="4"/>
  <c r="BI40" i="13"/>
  <c r="BI46" i="13" s="1"/>
  <c r="BH9" i="34"/>
  <c r="BK26" i="4"/>
  <c r="CS25" i="4"/>
  <c r="CQ32" i="46" l="1"/>
  <c r="CQ38" i="13"/>
  <c r="BI47" i="13"/>
  <c r="EX24" i="4"/>
  <c r="FX24" i="4"/>
  <c r="M8" i="11"/>
  <c r="M4" i="44" s="1"/>
  <c r="M90" i="11"/>
  <c r="BH39" i="46"/>
  <c r="BH9" i="27"/>
  <c r="BJ29" i="4"/>
  <c r="BI9" i="34"/>
  <c r="BJ40" i="13"/>
  <c r="BJ46" i="13" s="1"/>
  <c r="BL26" i="4"/>
  <c r="BI9" i="33"/>
  <c r="BI33" i="46"/>
  <c r="BI38" i="46" s="1"/>
  <c r="BI9" i="45"/>
  <c r="BK27" i="4"/>
  <c r="CT25" i="4"/>
  <c r="CR32" i="46" l="1"/>
  <c r="CR38" i="13"/>
  <c r="BJ47" i="13"/>
  <c r="FA24" i="4"/>
  <c r="GA24" i="4"/>
  <c r="BI39" i="46"/>
  <c r="BK29" i="4"/>
  <c r="BI9" i="27"/>
  <c r="BJ9" i="45"/>
  <c r="BK40" i="13"/>
  <c r="BK46" i="13" s="1"/>
  <c r="BJ9" i="33"/>
  <c r="BM26" i="4"/>
  <c r="BL27" i="4"/>
  <c r="BJ33" i="46"/>
  <c r="BJ38" i="46" s="1"/>
  <c r="BJ9" i="34"/>
  <c r="CU25" i="4"/>
  <c r="CS32" i="46" l="1"/>
  <c r="CS38" i="13"/>
  <c r="BK47" i="13"/>
  <c r="FD24" i="4"/>
  <c r="GD24" i="4"/>
  <c r="BJ39" i="46"/>
  <c r="BK33" i="46"/>
  <c r="BK38" i="46" s="1"/>
  <c r="BK9" i="45"/>
  <c r="BN26" i="4"/>
  <c r="BL40" i="13"/>
  <c r="BL46" i="13" s="1"/>
  <c r="BK9" i="34"/>
  <c r="BM27" i="4"/>
  <c r="BK9" i="33"/>
  <c r="BL29" i="4"/>
  <c r="BJ9" i="27"/>
  <c r="CV25" i="4"/>
  <c r="CT32" i="46" l="1"/>
  <c r="CT38" i="13"/>
  <c r="BL47" i="13"/>
  <c r="FG24" i="4"/>
  <c r="GG24" i="4"/>
  <c r="N8" i="11"/>
  <c r="N4" i="44" s="1"/>
  <c r="BK39" i="46"/>
  <c r="BK9" i="27"/>
  <c r="BM29" i="4"/>
  <c r="BL9" i="45"/>
  <c r="BO26" i="4"/>
  <c r="BL9" i="33"/>
  <c r="BN27" i="4"/>
  <c r="BL33" i="46"/>
  <c r="BL38" i="46" s="1"/>
  <c r="BL9" i="34"/>
  <c r="BM40" i="13"/>
  <c r="BM46" i="13" s="1"/>
  <c r="CW25" i="4"/>
  <c r="CU38" i="13" l="1"/>
  <c r="CU32" i="46"/>
  <c r="BM47" i="13"/>
  <c r="FJ24" i="4"/>
  <c r="GJ24" i="4"/>
  <c r="N90" i="11"/>
  <c r="N54" i="11"/>
  <c r="BL39" i="46"/>
  <c r="BL9" i="27"/>
  <c r="BN29" i="4"/>
  <c r="BO27" i="4"/>
  <c r="BP26" i="4"/>
  <c r="BM9" i="45"/>
  <c r="BN40" i="13"/>
  <c r="BN46" i="13" s="1"/>
  <c r="BM9" i="34"/>
  <c r="BM33" i="46"/>
  <c r="BM38" i="46" s="1"/>
  <c r="BM9" i="33"/>
  <c r="CX25" i="4"/>
  <c r="CV32" i="46" l="1"/>
  <c r="CV38" i="13"/>
  <c r="BN47" i="13"/>
  <c r="FM24" i="4"/>
  <c r="GM24" i="4"/>
  <c r="BM39" i="46"/>
  <c r="BO40" i="13"/>
  <c r="BO46" i="13" s="1"/>
  <c r="BN9" i="33"/>
  <c r="BN33" i="46"/>
  <c r="BN38" i="46" s="1"/>
  <c r="BN9" i="34"/>
  <c r="BP27" i="4"/>
  <c r="BQ26" i="4"/>
  <c r="BN9" i="45"/>
  <c r="BO29" i="4"/>
  <c r="BM9" i="27"/>
  <c r="CY25" i="4"/>
  <c r="CW32" i="46" l="1"/>
  <c r="CW38" i="13"/>
  <c r="BO47" i="13"/>
  <c r="FP24" i="4"/>
  <c r="GP24" i="4"/>
  <c r="BN39" i="46"/>
  <c r="BP40" i="13"/>
  <c r="BP46" i="13" s="1"/>
  <c r="BO9" i="33"/>
  <c r="BO9" i="45"/>
  <c r="BO9" i="34"/>
  <c r="BR26" i="4"/>
  <c r="BQ27" i="4"/>
  <c r="BO33" i="46"/>
  <c r="BO38" i="46" s="1"/>
  <c r="BP29" i="4"/>
  <c r="BN9" i="27"/>
  <c r="CZ25" i="4"/>
  <c r="BP47" i="13" l="1"/>
  <c r="BO39" i="46"/>
  <c r="CX32" i="46"/>
  <c r="CX38" i="13"/>
  <c r="FS24" i="4"/>
  <c r="GS24" i="4"/>
  <c r="O54" i="11"/>
  <c r="O90" i="11"/>
  <c r="O8" i="11"/>
  <c r="O4" i="44" s="1"/>
  <c r="BO9" i="27"/>
  <c r="BQ29" i="4"/>
  <c r="B27" i="4"/>
  <c r="BR27" i="4"/>
  <c r="BS26" i="4"/>
  <c r="BP33" i="46"/>
  <c r="BP38" i="46" s="1"/>
  <c r="BP9" i="33"/>
  <c r="I17" i="33" s="1"/>
  <c r="I50" i="33" s="1"/>
  <c r="BP9" i="45"/>
  <c r="BP9" i="34"/>
  <c r="I17" i="34" s="1"/>
  <c r="I50" i="34" s="1"/>
  <c r="BQ40" i="13"/>
  <c r="BQ46" i="13" s="1"/>
  <c r="DA25" i="4"/>
  <c r="BQ47" i="13" l="1"/>
  <c r="BP39" i="46"/>
  <c r="CY32" i="46"/>
  <c r="CY38" i="13"/>
  <c r="FV24" i="4"/>
  <c r="GV24" i="4"/>
  <c r="D20" i="4"/>
  <c r="D24" i="4"/>
  <c r="D25" i="4"/>
  <c r="B30" i="4"/>
  <c r="B29" i="4"/>
  <c r="BP9" i="27"/>
  <c r="BR29" i="4"/>
  <c r="BQ9" i="34"/>
  <c r="BQ9" i="33"/>
  <c r="BS27" i="4"/>
  <c r="BQ9" i="45"/>
  <c r="BQ33" i="46"/>
  <c r="BQ38" i="46" s="1"/>
  <c r="BT26" i="4"/>
  <c r="BR40" i="13"/>
  <c r="BR46" i="13" s="1"/>
  <c r="DB25" i="4"/>
  <c r="BQ39" i="46" l="1"/>
  <c r="BR47" i="13"/>
  <c r="CZ32" i="46"/>
  <c r="CZ38" i="13"/>
  <c r="FY24" i="4"/>
  <c r="GY24" i="4"/>
  <c r="BR9" i="33"/>
  <c r="BT27" i="4"/>
  <c r="BU26" i="4"/>
  <c r="BR33" i="46"/>
  <c r="BR38" i="46" s="1"/>
  <c r="BR9" i="34"/>
  <c r="BR9" i="45"/>
  <c r="BS40" i="13"/>
  <c r="BS46" i="13" s="1"/>
  <c r="BS29" i="4"/>
  <c r="BQ9" i="27"/>
  <c r="C37" i="10"/>
  <c r="Z69" i="10" s="1"/>
  <c r="C35" i="10"/>
  <c r="DC25" i="4"/>
  <c r="BR39" i="46" l="1"/>
  <c r="BS47" i="13"/>
  <c r="DA38" i="13"/>
  <c r="DA32" i="46"/>
  <c r="GB24" i="4"/>
  <c r="HB24" i="4"/>
  <c r="C36" i="10"/>
  <c r="AA9" i="10"/>
  <c r="BS9" i="34"/>
  <c r="BU27" i="4"/>
  <c r="BT40" i="13"/>
  <c r="BT46" i="13" s="1"/>
  <c r="BV26" i="4"/>
  <c r="BS9" i="33"/>
  <c r="BS9" i="45"/>
  <c r="BS33" i="46"/>
  <c r="BS38" i="46" s="1"/>
  <c r="H5" i="25"/>
  <c r="I8" i="25" s="1"/>
  <c r="I12" i="25" s="1"/>
  <c r="I13" i="25" s="1"/>
  <c r="H7" i="26"/>
  <c r="I31" i="26" s="1"/>
  <c r="I33" i="26" s="1"/>
  <c r="I38" i="26" s="1"/>
  <c r="I39" i="26" s="1"/>
  <c r="AA69" i="10"/>
  <c r="BR9" i="27"/>
  <c r="BT29" i="4"/>
  <c r="DD25" i="4"/>
  <c r="BS39" i="46" l="1"/>
  <c r="BT47" i="13"/>
  <c r="DB32" i="46"/>
  <c r="DB38" i="13"/>
  <c r="GE24" i="4"/>
  <c r="HE24" i="4"/>
  <c r="P8" i="11"/>
  <c r="P4" i="44" s="1"/>
  <c r="P90" i="11"/>
  <c r="P54" i="11"/>
  <c r="I7" i="7"/>
  <c r="I5" i="27"/>
  <c r="J8" i="27" s="1"/>
  <c r="AB9" i="10"/>
  <c r="I5" i="8"/>
  <c r="J8" i="8" s="1"/>
  <c r="J12" i="8" s="1"/>
  <c r="J13" i="8" s="1"/>
  <c r="I7" i="46"/>
  <c r="I5" i="34"/>
  <c r="J8" i="34" s="1"/>
  <c r="AB69" i="10"/>
  <c r="I7" i="26"/>
  <c r="J31" i="26" s="1"/>
  <c r="J33" i="26" s="1"/>
  <c r="J38" i="26" s="1"/>
  <c r="J39" i="26" s="1"/>
  <c r="I5" i="25"/>
  <c r="J8" i="25" s="1"/>
  <c r="J12" i="25" s="1"/>
  <c r="J13" i="25" s="1"/>
  <c r="BT33" i="46"/>
  <c r="BT38" i="46" s="1"/>
  <c r="BW26" i="4"/>
  <c r="BT9" i="33"/>
  <c r="BT9" i="34"/>
  <c r="BT9" i="45"/>
  <c r="BU40" i="13"/>
  <c r="BU46" i="13" s="1"/>
  <c r="BV27" i="4"/>
  <c r="BU29" i="4"/>
  <c r="BS9" i="27"/>
  <c r="Z49" i="10"/>
  <c r="AA10" i="10"/>
  <c r="DE25" i="4"/>
  <c r="BT39" i="46" l="1"/>
  <c r="BU47" i="13"/>
  <c r="DC38" i="13"/>
  <c r="DC32" i="46"/>
  <c r="GH24" i="4"/>
  <c r="HH24" i="4"/>
  <c r="AA49" i="10"/>
  <c r="H7" i="23"/>
  <c r="I31" i="23" s="1"/>
  <c r="I33" i="23" s="1"/>
  <c r="I38" i="23" s="1"/>
  <c r="I39" i="23" s="1"/>
  <c r="H5" i="24"/>
  <c r="I8" i="24" s="1"/>
  <c r="I12" i="24" s="1"/>
  <c r="I13" i="24" s="1"/>
  <c r="J7" i="7"/>
  <c r="K31" i="7" s="1"/>
  <c r="K33" i="7" s="1"/>
  <c r="K38" i="7" s="1"/>
  <c r="K39" i="7" s="1"/>
  <c r="J7" i="46"/>
  <c r="J5" i="8"/>
  <c r="K8" i="8" s="1"/>
  <c r="K12" i="8" s="1"/>
  <c r="K13" i="8" s="1"/>
  <c r="J5" i="27"/>
  <c r="K8" i="27" s="1"/>
  <c r="AC9" i="10"/>
  <c r="J12" i="34"/>
  <c r="J13" i="34" s="1"/>
  <c r="F54" i="34"/>
  <c r="F56" i="34" s="1"/>
  <c r="F54" i="27"/>
  <c r="F56" i="27" s="1"/>
  <c r="J12" i="27"/>
  <c r="J13" i="27" s="1"/>
  <c r="BU9" i="45"/>
  <c r="BW27" i="4"/>
  <c r="BV40" i="13"/>
  <c r="BV46" i="13" s="1"/>
  <c r="BX26" i="4"/>
  <c r="BU33" i="46"/>
  <c r="BU38" i="46" s="1"/>
  <c r="BU9" i="34"/>
  <c r="BU9" i="33"/>
  <c r="AC69" i="10"/>
  <c r="J5" i="25"/>
  <c r="K8" i="25" s="1"/>
  <c r="K12" i="25" s="1"/>
  <c r="K13" i="25" s="1"/>
  <c r="J5" i="34"/>
  <c r="K8" i="34" s="1"/>
  <c r="J7" i="26"/>
  <c r="K31" i="26" s="1"/>
  <c r="K33" i="26" s="1"/>
  <c r="K38" i="26" s="1"/>
  <c r="K39" i="26" s="1"/>
  <c r="I5" i="45"/>
  <c r="J8" i="45" s="1"/>
  <c r="AB10" i="10"/>
  <c r="I7" i="13"/>
  <c r="I5" i="33"/>
  <c r="J8" i="33" s="1"/>
  <c r="BT9" i="27"/>
  <c r="BV29" i="4"/>
  <c r="DF25" i="4"/>
  <c r="BV47" i="13" l="1"/>
  <c r="BU39" i="46"/>
  <c r="DD38" i="13"/>
  <c r="DD32" i="46"/>
  <c r="GK24" i="4"/>
  <c r="HK24" i="4"/>
  <c r="J12" i="33"/>
  <c r="J13" i="33" s="1"/>
  <c r="F54" i="33"/>
  <c r="F56" i="33" s="1"/>
  <c r="J12" i="45"/>
  <c r="J13" i="45" s="1"/>
  <c r="F54" i="45"/>
  <c r="F56" i="45" s="1"/>
  <c r="BW29" i="4"/>
  <c r="BU9" i="27"/>
  <c r="K7" i="7"/>
  <c r="L31" i="7" s="1"/>
  <c r="L33" i="7" s="1"/>
  <c r="L38" i="7" s="1"/>
  <c r="L39" i="7" s="1"/>
  <c r="AD9" i="10"/>
  <c r="K5" i="27"/>
  <c r="L8" i="27" s="1"/>
  <c r="K7" i="46"/>
  <c r="K5" i="8"/>
  <c r="L8" i="8" s="1"/>
  <c r="L12" i="8" s="1"/>
  <c r="L13" i="8" s="1"/>
  <c r="K12" i="27"/>
  <c r="K13" i="27" s="1"/>
  <c r="G54" i="27"/>
  <c r="G56" i="27" s="1"/>
  <c r="K12" i="34"/>
  <c r="K13" i="34" s="1"/>
  <c r="G54" i="34"/>
  <c r="G56" i="34" s="1"/>
  <c r="BV9" i="34"/>
  <c r="BV33" i="46"/>
  <c r="BV38" i="46" s="1"/>
  <c r="BX27" i="4"/>
  <c r="BV9" i="33"/>
  <c r="BV9" i="45"/>
  <c r="BY26" i="4"/>
  <c r="BW40" i="13"/>
  <c r="BW46" i="13" s="1"/>
  <c r="I5" i="24"/>
  <c r="J8" i="24" s="1"/>
  <c r="J12" i="24" s="1"/>
  <c r="J13" i="24" s="1"/>
  <c r="I7" i="23"/>
  <c r="J31" i="23" s="1"/>
  <c r="J33" i="23" s="1"/>
  <c r="J38" i="23" s="1"/>
  <c r="J39" i="23" s="1"/>
  <c r="AB49" i="10"/>
  <c r="AC10" i="10"/>
  <c r="J5" i="45"/>
  <c r="K8" i="45" s="1"/>
  <c r="J7" i="13"/>
  <c r="J5" i="33"/>
  <c r="K8" i="33" s="1"/>
  <c r="AD69" i="10"/>
  <c r="K5" i="34"/>
  <c r="L8" i="34" s="1"/>
  <c r="K7" i="26"/>
  <c r="L31" i="26" s="1"/>
  <c r="L33" i="26" s="1"/>
  <c r="L38" i="26" s="1"/>
  <c r="L39" i="26" s="1"/>
  <c r="K5" i="25"/>
  <c r="L8" i="25" s="1"/>
  <c r="L12" i="25" s="1"/>
  <c r="L13" i="25" s="1"/>
  <c r="DG25" i="4"/>
  <c r="BW47" i="13" l="1"/>
  <c r="BV39" i="46"/>
  <c r="DE32" i="46"/>
  <c r="DE38" i="13"/>
  <c r="GN24" i="4"/>
  <c r="HN24" i="4"/>
  <c r="G54" i="45"/>
  <c r="G56" i="45" s="1"/>
  <c r="K12" i="45"/>
  <c r="K13" i="45" s="1"/>
  <c r="L5" i="8"/>
  <c r="M8" i="8" s="1"/>
  <c r="M12" i="8" s="1"/>
  <c r="M13" i="8" s="1"/>
  <c r="L7" i="7"/>
  <c r="M31" i="7" s="1"/>
  <c r="M33" i="7" s="1"/>
  <c r="M38" i="7" s="1"/>
  <c r="M39" i="7" s="1"/>
  <c r="AE9" i="10"/>
  <c r="L7" i="46"/>
  <c r="L5" i="27"/>
  <c r="M8" i="27" s="1"/>
  <c r="L5" i="34"/>
  <c r="M8" i="34" s="1"/>
  <c r="L7" i="26"/>
  <c r="M31" i="26" s="1"/>
  <c r="M33" i="26" s="1"/>
  <c r="M38" i="26" s="1"/>
  <c r="M39" i="26" s="1"/>
  <c r="L5" i="25"/>
  <c r="M8" i="25" s="1"/>
  <c r="M12" i="25" s="1"/>
  <c r="M13" i="25" s="1"/>
  <c r="AE69" i="10"/>
  <c r="J5" i="24"/>
  <c r="K8" i="24" s="1"/>
  <c r="K12" i="24" s="1"/>
  <c r="K13" i="24" s="1"/>
  <c r="J7" i="23"/>
  <c r="K31" i="23" s="1"/>
  <c r="K33" i="23" s="1"/>
  <c r="K38" i="23" s="1"/>
  <c r="K39" i="23" s="1"/>
  <c r="AC49" i="10"/>
  <c r="G54" i="33"/>
  <c r="G56" i="33" s="1"/>
  <c r="K12" i="33"/>
  <c r="K13" i="33" s="1"/>
  <c r="K5" i="33"/>
  <c r="L8" i="33" s="1"/>
  <c r="K5" i="45"/>
  <c r="L8" i="45" s="1"/>
  <c r="K7" i="13"/>
  <c r="AD10" i="10"/>
  <c r="BV9" i="27"/>
  <c r="BX29" i="4"/>
  <c r="L12" i="34"/>
  <c r="L13" i="34" s="1"/>
  <c r="H54" i="34"/>
  <c r="H56" i="34" s="1"/>
  <c r="L12" i="27"/>
  <c r="L13" i="27" s="1"/>
  <c r="H54" i="27"/>
  <c r="H56" i="27" s="1"/>
  <c r="BY27" i="4"/>
  <c r="BZ26" i="4"/>
  <c r="BW33" i="46"/>
  <c r="BW38" i="46" s="1"/>
  <c r="BX40" i="13"/>
  <c r="BX46" i="13" s="1"/>
  <c r="BX47" i="13" s="1"/>
  <c r="BW9" i="45"/>
  <c r="BW9" i="34"/>
  <c r="BW9" i="33"/>
  <c r="DH25" i="4"/>
  <c r="BW39" i="46" l="1"/>
  <c r="DF32" i="46"/>
  <c r="DF38" i="13"/>
  <c r="GQ24" i="4"/>
  <c r="HQ24" i="4"/>
  <c r="Q90" i="11"/>
  <c r="V90" i="11" s="1"/>
  <c r="Q8" i="11"/>
  <c r="Q4" i="44" s="1"/>
  <c r="Q54" i="11"/>
  <c r="AD49" i="10"/>
  <c r="K7" i="23"/>
  <c r="L31" i="23" s="1"/>
  <c r="L33" i="23" s="1"/>
  <c r="L38" i="23" s="1"/>
  <c r="L39" i="23" s="1"/>
  <c r="K5" i="24"/>
  <c r="L8" i="24" s="1"/>
  <c r="L12" i="24" s="1"/>
  <c r="L13" i="24" s="1"/>
  <c r="I54" i="34"/>
  <c r="I56" i="34" s="1"/>
  <c r="M12" i="34"/>
  <c r="M13" i="34" s="1"/>
  <c r="AF69" i="10"/>
  <c r="M5" i="34"/>
  <c r="N8" i="34" s="1"/>
  <c r="M5" i="25"/>
  <c r="N8" i="25" s="1"/>
  <c r="N12" i="25" s="1"/>
  <c r="N13" i="25" s="1"/>
  <c r="M7" i="26"/>
  <c r="N31" i="26" s="1"/>
  <c r="N33" i="26" s="1"/>
  <c r="N38" i="26" s="1"/>
  <c r="N39" i="26" s="1"/>
  <c r="M12" i="27"/>
  <c r="M13" i="27" s="1"/>
  <c r="I54" i="27"/>
  <c r="I56" i="27" s="1"/>
  <c r="L5" i="33"/>
  <c r="M8" i="33" s="1"/>
  <c r="L5" i="45"/>
  <c r="M8" i="45" s="1"/>
  <c r="AE10" i="10"/>
  <c r="L7" i="13"/>
  <c r="H54" i="45"/>
  <c r="H56" i="45" s="1"/>
  <c r="L12" i="45"/>
  <c r="L13" i="45" s="1"/>
  <c r="BW9" i="27"/>
  <c r="BY29" i="4"/>
  <c r="M5" i="27"/>
  <c r="N8" i="27" s="1"/>
  <c r="M7" i="46"/>
  <c r="M7" i="7"/>
  <c r="N31" i="7" s="1"/>
  <c r="N33" i="7" s="1"/>
  <c r="N38" i="7" s="1"/>
  <c r="N39" i="7" s="1"/>
  <c r="AF9" i="10"/>
  <c r="M5" i="8"/>
  <c r="N8" i="8" s="1"/>
  <c r="N12" i="8" s="1"/>
  <c r="N13" i="8" s="1"/>
  <c r="L12" i="33"/>
  <c r="L13" i="33" s="1"/>
  <c r="H54" i="33"/>
  <c r="H56" i="33" s="1"/>
  <c r="BX9" i="45"/>
  <c r="CA26" i="4"/>
  <c r="BX9" i="34"/>
  <c r="BZ27" i="4"/>
  <c r="BX33" i="46"/>
  <c r="BX38" i="46" s="1"/>
  <c r="BY40" i="13"/>
  <c r="BY46" i="13" s="1"/>
  <c r="BY47" i="13" s="1"/>
  <c r="BX9" i="33"/>
  <c r="DI25" i="4"/>
  <c r="BX39" i="46" l="1"/>
  <c r="DG38" i="13"/>
  <c r="DG32" i="46"/>
  <c r="GT24" i="4"/>
  <c r="HT24" i="4"/>
  <c r="M12" i="33"/>
  <c r="M13" i="33" s="1"/>
  <c r="I54" i="33"/>
  <c r="I56" i="33" s="1"/>
  <c r="M5" i="45"/>
  <c r="N8" i="45" s="1"/>
  <c r="AF10" i="10"/>
  <c r="M5" i="33"/>
  <c r="N8" i="33" s="1"/>
  <c r="M7" i="13"/>
  <c r="BY9" i="34"/>
  <c r="CA27" i="4"/>
  <c r="BY9" i="45"/>
  <c r="BY33" i="46"/>
  <c r="BY38" i="46" s="1"/>
  <c r="BY9" i="33"/>
  <c r="CB26" i="4"/>
  <c r="BZ40" i="13"/>
  <c r="BZ46" i="13" s="1"/>
  <c r="BZ47" i="13" s="1"/>
  <c r="N5" i="8"/>
  <c r="O8" i="8" s="1"/>
  <c r="O12" i="8" s="1"/>
  <c r="O13" i="8" s="1"/>
  <c r="N5" i="27"/>
  <c r="O8" i="27" s="1"/>
  <c r="N7" i="7"/>
  <c r="O31" i="7" s="1"/>
  <c r="O33" i="7" s="1"/>
  <c r="O38" i="7" s="1"/>
  <c r="O39" i="7" s="1"/>
  <c r="N7" i="46"/>
  <c r="AG9" i="10"/>
  <c r="N12" i="27"/>
  <c r="N13" i="27" s="1"/>
  <c r="J54" i="27"/>
  <c r="J56" i="27" s="1"/>
  <c r="AE49" i="10"/>
  <c r="L5" i="24"/>
  <c r="M8" i="24" s="1"/>
  <c r="M12" i="24" s="1"/>
  <c r="M13" i="24" s="1"/>
  <c r="L7" i="23"/>
  <c r="M31" i="23" s="1"/>
  <c r="M33" i="23" s="1"/>
  <c r="M38" i="23" s="1"/>
  <c r="M39" i="23" s="1"/>
  <c r="I54" i="45"/>
  <c r="I56" i="45" s="1"/>
  <c r="M12" i="45"/>
  <c r="M13" i="45" s="1"/>
  <c r="N12" i="34"/>
  <c r="N13" i="34" s="1"/>
  <c r="J54" i="34"/>
  <c r="J56" i="34" s="1"/>
  <c r="AG69" i="10"/>
  <c r="N5" i="34"/>
  <c r="O8" i="34" s="1"/>
  <c r="N5" i="25"/>
  <c r="O8" i="25" s="1"/>
  <c r="O12" i="25" s="1"/>
  <c r="O13" i="25" s="1"/>
  <c r="N7" i="26"/>
  <c r="O31" i="26" s="1"/>
  <c r="O33" i="26" s="1"/>
  <c r="O38" i="26" s="1"/>
  <c r="O39" i="26" s="1"/>
  <c r="BX9" i="27"/>
  <c r="BZ29" i="4"/>
  <c r="DJ25" i="4"/>
  <c r="BY39" i="46" l="1"/>
  <c r="DH32" i="46"/>
  <c r="DH38" i="13"/>
  <c r="GW24" i="4"/>
  <c r="HW24" i="4"/>
  <c r="O7" i="7"/>
  <c r="P31" i="7" s="1"/>
  <c r="P33" i="7" s="1"/>
  <c r="P38" i="7" s="1"/>
  <c r="P39" i="7" s="1"/>
  <c r="O5" i="27"/>
  <c r="P8" i="27" s="1"/>
  <c r="O5" i="8"/>
  <c r="P8" i="8" s="1"/>
  <c r="P12" i="8" s="1"/>
  <c r="P13" i="8" s="1"/>
  <c r="AH9" i="10"/>
  <c r="O7" i="46"/>
  <c r="CA40" i="13"/>
  <c r="CA46" i="13" s="1"/>
  <c r="CA47" i="13" s="1"/>
  <c r="CC26" i="4"/>
  <c r="BZ33" i="46"/>
  <c r="BZ38" i="46" s="1"/>
  <c r="BZ9" i="45"/>
  <c r="BZ9" i="33"/>
  <c r="CB27" i="4"/>
  <c r="BZ9" i="34"/>
  <c r="N12" i="45"/>
  <c r="N13" i="45" s="1"/>
  <c r="J54" i="45"/>
  <c r="J56" i="45" s="1"/>
  <c r="BY9" i="27"/>
  <c r="CA29" i="4"/>
  <c r="AF49" i="10"/>
  <c r="M5" i="24"/>
  <c r="N8" i="24" s="1"/>
  <c r="N12" i="24" s="1"/>
  <c r="N13" i="24" s="1"/>
  <c r="M7" i="23"/>
  <c r="N31" i="23" s="1"/>
  <c r="N33" i="23" s="1"/>
  <c r="N38" i="23" s="1"/>
  <c r="N39" i="23" s="1"/>
  <c r="J54" i="33"/>
  <c r="J56" i="33" s="1"/>
  <c r="N12" i="33"/>
  <c r="N13" i="33" s="1"/>
  <c r="N5" i="33"/>
  <c r="O8" i="33" s="1"/>
  <c r="AG10" i="10"/>
  <c r="N5" i="45"/>
  <c r="O8" i="45" s="1"/>
  <c r="N7" i="13"/>
  <c r="K54" i="34"/>
  <c r="K56" i="34" s="1"/>
  <c r="O12" i="34"/>
  <c r="O13" i="34" s="1"/>
  <c r="O5" i="34"/>
  <c r="P8" i="34" s="1"/>
  <c r="O5" i="25"/>
  <c r="P8" i="25" s="1"/>
  <c r="P12" i="25" s="1"/>
  <c r="P13" i="25" s="1"/>
  <c r="AH69" i="10"/>
  <c r="O7" i="26"/>
  <c r="P31" i="26" s="1"/>
  <c r="P33" i="26" s="1"/>
  <c r="P38" i="26" s="1"/>
  <c r="P39" i="26" s="1"/>
  <c r="K54" i="27"/>
  <c r="K56" i="27" s="1"/>
  <c r="O12" i="27"/>
  <c r="O13" i="27" s="1"/>
  <c r="DK25" i="4"/>
  <c r="BZ39" i="46" l="1"/>
  <c r="DI32" i="46"/>
  <c r="DI38" i="13"/>
  <c r="GZ24" i="4"/>
  <c r="HZ24" i="4"/>
  <c r="P5" i="27"/>
  <c r="Q8" i="27" s="1"/>
  <c r="P7" i="7"/>
  <c r="Q31" i="7" s="1"/>
  <c r="Q33" i="7" s="1"/>
  <c r="Q38" i="7" s="1"/>
  <c r="Q39" i="7" s="1"/>
  <c r="AI9" i="10"/>
  <c r="P5" i="8"/>
  <c r="Q8" i="8" s="1"/>
  <c r="Q12" i="8" s="1"/>
  <c r="Q13" i="8" s="1"/>
  <c r="P7" i="46"/>
  <c r="P12" i="34"/>
  <c r="P13" i="34" s="1"/>
  <c r="L54" i="34"/>
  <c r="L56" i="34" s="1"/>
  <c r="CD26" i="4"/>
  <c r="CA9" i="45"/>
  <c r="CB40" i="13"/>
  <c r="CB46" i="13" s="1"/>
  <c r="CB47" i="13" s="1"/>
  <c r="CA9" i="34"/>
  <c r="CA9" i="33"/>
  <c r="CC27" i="4"/>
  <c r="CA33" i="46"/>
  <c r="CA38" i="46" s="1"/>
  <c r="B26" i="4"/>
  <c r="L54" i="27"/>
  <c r="L56" i="27" s="1"/>
  <c r="P12" i="27"/>
  <c r="P13" i="27" s="1"/>
  <c r="BZ9" i="27"/>
  <c r="CB29" i="4"/>
  <c r="K54" i="45"/>
  <c r="K56" i="45" s="1"/>
  <c r="O12" i="45"/>
  <c r="O13" i="45" s="1"/>
  <c r="K54" i="33"/>
  <c r="K56" i="33" s="1"/>
  <c r="O12" i="33"/>
  <c r="O13" i="33" s="1"/>
  <c r="AG49" i="10"/>
  <c r="N7" i="23"/>
  <c r="O31" i="23" s="1"/>
  <c r="O33" i="23" s="1"/>
  <c r="O38" i="23" s="1"/>
  <c r="O39" i="23" s="1"/>
  <c r="N5" i="24"/>
  <c r="O8" i="24" s="1"/>
  <c r="O12" i="24" s="1"/>
  <c r="O13" i="24" s="1"/>
  <c r="O7" i="13"/>
  <c r="AH10" i="10"/>
  <c r="O5" i="45"/>
  <c r="P8" i="45" s="1"/>
  <c r="O5" i="33"/>
  <c r="P8" i="33" s="1"/>
  <c r="P5" i="34"/>
  <c r="Q8" i="34" s="1"/>
  <c r="AI69" i="10"/>
  <c r="P7" i="26"/>
  <c r="Q31" i="26" s="1"/>
  <c r="Q33" i="26" s="1"/>
  <c r="Q38" i="26" s="1"/>
  <c r="Q39" i="26" s="1"/>
  <c r="P5" i="25"/>
  <c r="Q8" i="25" s="1"/>
  <c r="Q12" i="25" s="1"/>
  <c r="Q13" i="25" s="1"/>
  <c r="DL25" i="4"/>
  <c r="CA39" i="46" l="1"/>
  <c r="DJ32" i="46"/>
  <c r="DJ38" i="13"/>
  <c r="HC24" i="4"/>
  <c r="IC24" i="4"/>
  <c r="R54" i="11"/>
  <c r="R90" i="11"/>
  <c r="R8" i="11"/>
  <c r="R4" i="44" s="1"/>
  <c r="CC29" i="4"/>
  <c r="CA9" i="27"/>
  <c r="I17" i="27" s="1"/>
  <c r="I50" i="27" s="1"/>
  <c r="CC40" i="13"/>
  <c r="CC46" i="13" s="1"/>
  <c r="CC47" i="13" s="1"/>
  <c r="CB9" i="34"/>
  <c r="J17" i="34" s="1"/>
  <c r="J50" i="34" s="1"/>
  <c r="CB9" i="33"/>
  <c r="J17" i="33" s="1"/>
  <c r="J50" i="33" s="1"/>
  <c r="CE26" i="4"/>
  <c r="CB33" i="46"/>
  <c r="CB38" i="46" s="1"/>
  <c r="CB9" i="45"/>
  <c r="CD27" i="4"/>
  <c r="Q5" i="8"/>
  <c r="R8" i="8" s="1"/>
  <c r="R12" i="8" s="1"/>
  <c r="R13" i="8" s="1"/>
  <c r="Q7" i="46"/>
  <c r="Q5" i="27"/>
  <c r="R8" i="27" s="1"/>
  <c r="AJ9" i="10"/>
  <c r="Q7" i="7"/>
  <c r="R31" i="7" s="1"/>
  <c r="R33" i="7" s="1"/>
  <c r="R38" i="7" s="1"/>
  <c r="R39" i="7" s="1"/>
  <c r="M54" i="34"/>
  <c r="M56" i="34" s="1"/>
  <c r="Q12" i="34"/>
  <c r="Q13" i="34" s="1"/>
  <c r="AH49" i="10"/>
  <c r="O5" i="24"/>
  <c r="P8" i="24" s="1"/>
  <c r="P12" i="24" s="1"/>
  <c r="P13" i="24" s="1"/>
  <c r="O7" i="23"/>
  <c r="P31" i="23" s="1"/>
  <c r="P33" i="23" s="1"/>
  <c r="P38" i="23" s="1"/>
  <c r="P39" i="23" s="1"/>
  <c r="P12" i="33"/>
  <c r="P13" i="33" s="1"/>
  <c r="L54" i="33"/>
  <c r="L56" i="33" s="1"/>
  <c r="Q12" i="27"/>
  <c r="Q13" i="27" s="1"/>
  <c r="M54" i="27"/>
  <c r="M56" i="27" s="1"/>
  <c r="L54" i="45"/>
  <c r="L56" i="45" s="1"/>
  <c r="P12" i="45"/>
  <c r="P13" i="45" s="1"/>
  <c r="C26" i="4"/>
  <c r="C27" i="4" s="1"/>
  <c r="C29" i="4" s="1"/>
  <c r="W19" i="14" s="1"/>
  <c r="X21" i="14" s="1"/>
  <c r="D26" i="4"/>
  <c r="C39" i="13" s="1"/>
  <c r="C40" i="13" s="1"/>
  <c r="C43" i="13" s="1"/>
  <c r="AJ69" i="10"/>
  <c r="Q7" i="26"/>
  <c r="R31" i="26" s="1"/>
  <c r="R33" i="26" s="1"/>
  <c r="R38" i="26" s="1"/>
  <c r="R39" i="26" s="1"/>
  <c r="Q5" i="25"/>
  <c r="R8" i="25" s="1"/>
  <c r="R12" i="25" s="1"/>
  <c r="R13" i="25" s="1"/>
  <c r="Q5" i="34"/>
  <c r="R8" i="34" s="1"/>
  <c r="AI10" i="10"/>
  <c r="P5" i="45"/>
  <c r="Q8" i="45" s="1"/>
  <c r="P7" i="13"/>
  <c r="P5" i="33"/>
  <c r="Q8" i="33" s="1"/>
  <c r="DM25" i="4"/>
  <c r="CB39" i="46" l="1"/>
  <c r="DK38" i="13"/>
  <c r="DK32" i="46"/>
  <c r="HF24" i="4"/>
  <c r="IF24" i="4"/>
  <c r="CB9" i="27"/>
  <c r="CD29" i="4"/>
  <c r="R12" i="27"/>
  <c r="R13" i="27" s="1"/>
  <c r="N54" i="27"/>
  <c r="N56" i="27" s="1"/>
  <c r="R5" i="25"/>
  <c r="S8" i="25" s="1"/>
  <c r="S12" i="25" s="1"/>
  <c r="S13" i="25" s="1"/>
  <c r="AK69" i="10"/>
  <c r="R7" i="26"/>
  <c r="S31" i="26" s="1"/>
  <c r="S33" i="26" s="1"/>
  <c r="S38" i="26" s="1"/>
  <c r="S39" i="26" s="1"/>
  <c r="R5" i="34"/>
  <c r="S8" i="34" s="1"/>
  <c r="R5" i="27"/>
  <c r="S8" i="27" s="1"/>
  <c r="R5" i="8"/>
  <c r="S8" i="8" s="1"/>
  <c r="S12" i="8" s="1"/>
  <c r="S13" i="8" s="1"/>
  <c r="R7" i="7"/>
  <c r="S31" i="7" s="1"/>
  <c r="S33" i="7" s="1"/>
  <c r="S38" i="7" s="1"/>
  <c r="S39" i="7" s="1"/>
  <c r="R7" i="46"/>
  <c r="AK9" i="10"/>
  <c r="CF26" i="4"/>
  <c r="CE27" i="4"/>
  <c r="CC9" i="33"/>
  <c r="CC33" i="46"/>
  <c r="CC38" i="46" s="1"/>
  <c r="CC9" i="45"/>
  <c r="CD40" i="13"/>
  <c r="CD46" i="13" s="1"/>
  <c r="CD47" i="13" s="1"/>
  <c r="CC9" i="34"/>
  <c r="M54" i="33"/>
  <c r="M56" i="33" s="1"/>
  <c r="Q12" i="33"/>
  <c r="Q13" i="33" s="1"/>
  <c r="M54" i="45"/>
  <c r="M56" i="45" s="1"/>
  <c r="Q12" i="45"/>
  <c r="Q13" i="45" s="1"/>
  <c r="Q7" i="13"/>
  <c r="Q5" i="45"/>
  <c r="R8" i="45" s="1"/>
  <c r="AJ10" i="10"/>
  <c r="Q5" i="33"/>
  <c r="R8" i="33" s="1"/>
  <c r="R12" i="34"/>
  <c r="R13" i="34" s="1"/>
  <c r="N54" i="34"/>
  <c r="N56" i="34" s="1"/>
  <c r="P5" i="24"/>
  <c r="Q8" i="24" s="1"/>
  <c r="Q12" i="24" s="1"/>
  <c r="Q13" i="24" s="1"/>
  <c r="AI49" i="10"/>
  <c r="P7" i="23"/>
  <c r="Q31" i="23" s="1"/>
  <c r="Q33" i="23" s="1"/>
  <c r="Q38" i="23" s="1"/>
  <c r="Q39" i="23" s="1"/>
  <c r="DN25" i="4"/>
  <c r="CC39" i="46" l="1"/>
  <c r="DL32" i="46"/>
  <c r="DL38" i="13"/>
  <c r="HI24" i="4"/>
  <c r="II24" i="4"/>
  <c r="CE29" i="4"/>
  <c r="CC9" i="27"/>
  <c r="N54" i="45"/>
  <c r="N56" i="45" s="1"/>
  <c r="R12" i="45"/>
  <c r="R13" i="45" s="1"/>
  <c r="S12" i="34"/>
  <c r="S13" i="34" s="1"/>
  <c r="O54" i="34"/>
  <c r="O56" i="34" s="1"/>
  <c r="P21" i="34"/>
  <c r="P23" i="34" s="1"/>
  <c r="S5" i="34"/>
  <c r="T8" i="34" s="1"/>
  <c r="S5" i="25"/>
  <c r="T8" i="25" s="1"/>
  <c r="T12" i="25" s="1"/>
  <c r="T13" i="25" s="1"/>
  <c r="S7" i="26"/>
  <c r="T31" i="26" s="1"/>
  <c r="T33" i="26" s="1"/>
  <c r="T38" i="26" s="1"/>
  <c r="T39" i="26" s="1"/>
  <c r="AL69" i="10"/>
  <c r="Q5" i="24"/>
  <c r="R8" i="24" s="1"/>
  <c r="R12" i="24" s="1"/>
  <c r="R13" i="24" s="1"/>
  <c r="Q7" i="23"/>
  <c r="R31" i="23" s="1"/>
  <c r="R33" i="23" s="1"/>
  <c r="R38" i="23" s="1"/>
  <c r="R39" i="23" s="1"/>
  <c r="AJ49" i="10"/>
  <c r="CG26" i="4"/>
  <c r="CD9" i="33"/>
  <c r="CE40" i="13"/>
  <c r="CE46" i="13" s="1"/>
  <c r="CE47" i="13" s="1"/>
  <c r="CD9" i="45"/>
  <c r="CD33" i="46"/>
  <c r="CD38" i="46" s="1"/>
  <c r="CF27" i="4"/>
  <c r="CD9" i="34"/>
  <c r="N54" i="33"/>
  <c r="N56" i="33" s="1"/>
  <c r="R12" i="33"/>
  <c r="R13" i="33" s="1"/>
  <c r="S5" i="27"/>
  <c r="T8" i="27" s="1"/>
  <c r="S7" i="46"/>
  <c r="S5" i="8"/>
  <c r="T8" i="8" s="1"/>
  <c r="T12" i="8" s="1"/>
  <c r="T13" i="8" s="1"/>
  <c r="AL9" i="10"/>
  <c r="S7" i="7"/>
  <c r="T31" i="7" s="1"/>
  <c r="T33" i="7" s="1"/>
  <c r="T38" i="7" s="1"/>
  <c r="T39" i="7" s="1"/>
  <c r="AK10" i="10"/>
  <c r="R5" i="33"/>
  <c r="S8" i="33" s="1"/>
  <c r="R7" i="13"/>
  <c r="R5" i="45"/>
  <c r="S8" i="45" s="1"/>
  <c r="S12" i="27"/>
  <c r="S13" i="27" s="1"/>
  <c r="O54" i="27"/>
  <c r="O56" i="27" s="1"/>
  <c r="P21" i="27"/>
  <c r="P23" i="27" s="1"/>
  <c r="DO25" i="4"/>
  <c r="CD39" i="46" l="1"/>
  <c r="DM32" i="46"/>
  <c r="DM38" i="13"/>
  <c r="HL24" i="4"/>
  <c r="IL24" i="4"/>
  <c r="T5" i="34"/>
  <c r="U8" i="34" s="1"/>
  <c r="T7" i="26"/>
  <c r="U31" i="26" s="1"/>
  <c r="U33" i="26" s="1"/>
  <c r="U38" i="26" s="1"/>
  <c r="U39" i="26" s="1"/>
  <c r="AM69" i="10"/>
  <c r="T5" i="25"/>
  <c r="U8" i="25" s="1"/>
  <c r="U12" i="25" s="1"/>
  <c r="U13" i="25" s="1"/>
  <c r="P54" i="34"/>
  <c r="P56" i="34" s="1"/>
  <c r="T12" i="34"/>
  <c r="T13" i="34" s="1"/>
  <c r="CF40" i="13"/>
  <c r="CF46" i="13" s="1"/>
  <c r="CF47" i="13" s="1"/>
  <c r="CE33" i="46"/>
  <c r="CE38" i="46" s="1"/>
  <c r="CE9" i="34"/>
  <c r="CG27" i="4"/>
  <c r="CH26" i="4"/>
  <c r="CE9" i="33"/>
  <c r="CE9" i="45"/>
  <c r="CF29" i="4"/>
  <c r="CD9" i="27"/>
  <c r="AL10" i="10"/>
  <c r="S7" i="13"/>
  <c r="S5" i="33"/>
  <c r="T8" i="33" s="1"/>
  <c r="S5" i="45"/>
  <c r="T8" i="45" s="1"/>
  <c r="T7" i="7"/>
  <c r="U31" i="7" s="1"/>
  <c r="U33" i="7" s="1"/>
  <c r="U38" i="7" s="1"/>
  <c r="U39" i="7" s="1"/>
  <c r="T5" i="8"/>
  <c r="U8" i="8" s="1"/>
  <c r="U12" i="8" s="1"/>
  <c r="U13" i="8" s="1"/>
  <c r="T7" i="46"/>
  <c r="T5" i="27"/>
  <c r="U8" i="27" s="1"/>
  <c r="AM9" i="10"/>
  <c r="T12" i="27"/>
  <c r="T13" i="27" s="1"/>
  <c r="P54" i="27"/>
  <c r="P56" i="27" s="1"/>
  <c r="O54" i="33"/>
  <c r="O56" i="33" s="1"/>
  <c r="S12" i="33"/>
  <c r="S13" i="33" s="1"/>
  <c r="AK49" i="10"/>
  <c r="R5" i="24"/>
  <c r="S8" i="24" s="1"/>
  <c r="S12" i="24" s="1"/>
  <c r="S13" i="24" s="1"/>
  <c r="R7" i="23"/>
  <c r="S31" i="23" s="1"/>
  <c r="S33" i="23" s="1"/>
  <c r="S38" i="23" s="1"/>
  <c r="S39" i="23" s="1"/>
  <c r="Q21" i="34"/>
  <c r="Q23" i="34" s="1"/>
  <c r="P21" i="33"/>
  <c r="P23" i="33" s="1"/>
  <c r="O54" i="45"/>
  <c r="O56" i="45" s="1"/>
  <c r="S12" i="45"/>
  <c r="S13" i="45" s="1"/>
  <c r="P21" i="45"/>
  <c r="P23" i="45" s="1"/>
  <c r="DP25" i="4"/>
  <c r="CE39" i="46" l="1"/>
  <c r="DN32" i="46"/>
  <c r="DN38" i="13"/>
  <c r="HO24" i="4"/>
  <c r="IO24" i="4"/>
  <c r="S54" i="11"/>
  <c r="S90" i="11"/>
  <c r="S8" i="11"/>
  <c r="S4" i="44" s="1"/>
  <c r="U12" i="27"/>
  <c r="U13" i="27" s="1"/>
  <c r="Q54" i="27"/>
  <c r="Q56" i="27" s="1"/>
  <c r="P54" i="45"/>
  <c r="P56" i="45" s="1"/>
  <c r="T12" i="45"/>
  <c r="T13" i="45" s="1"/>
  <c r="U5" i="25"/>
  <c r="V8" i="25" s="1"/>
  <c r="V12" i="25" s="1"/>
  <c r="V13" i="25" s="1"/>
  <c r="AN69" i="10"/>
  <c r="U5" i="34"/>
  <c r="V8" i="34" s="1"/>
  <c r="V12" i="34" s="1"/>
  <c r="U7" i="26"/>
  <c r="V31" i="26" s="1"/>
  <c r="V33" i="26" s="1"/>
  <c r="V38" i="26" s="1"/>
  <c r="V39" i="26" s="1"/>
  <c r="CG40" i="13"/>
  <c r="CG46" i="13" s="1"/>
  <c r="CG47" i="13" s="1"/>
  <c r="CF9" i="45"/>
  <c r="CH27" i="4"/>
  <c r="CF33" i="46"/>
  <c r="CF38" i="46" s="1"/>
  <c r="CF9" i="33"/>
  <c r="CI26" i="4"/>
  <c r="CF9" i="34"/>
  <c r="T12" i="33"/>
  <c r="T13" i="33" s="1"/>
  <c r="P54" i="33"/>
  <c r="P56" i="33" s="1"/>
  <c r="AL49" i="10"/>
  <c r="S7" i="23"/>
  <c r="T31" i="23" s="1"/>
  <c r="T33" i="23" s="1"/>
  <c r="T38" i="23" s="1"/>
  <c r="T39" i="23" s="1"/>
  <c r="S5" i="24"/>
  <c r="T8" i="24" s="1"/>
  <c r="T12" i="24" s="1"/>
  <c r="T13" i="24" s="1"/>
  <c r="CE9" i="27"/>
  <c r="CG29" i="4"/>
  <c r="U12" i="34"/>
  <c r="U13" i="34" s="1"/>
  <c r="Q54" i="34"/>
  <c r="Q56" i="34" s="1"/>
  <c r="U7" i="7"/>
  <c r="V31" i="7" s="1"/>
  <c r="V33" i="7" s="1"/>
  <c r="V38" i="7" s="1"/>
  <c r="V39" i="7" s="1"/>
  <c r="U7" i="46"/>
  <c r="U5" i="8"/>
  <c r="V8" i="8" s="1"/>
  <c r="V12" i="8" s="1"/>
  <c r="V13" i="8" s="1"/>
  <c r="U5" i="27"/>
  <c r="V8" i="27" s="1"/>
  <c r="V12" i="27" s="1"/>
  <c r="AN9" i="10"/>
  <c r="AM10" i="10"/>
  <c r="T7" i="13"/>
  <c r="T5" i="33"/>
  <c r="U8" i="33" s="1"/>
  <c r="T5" i="45"/>
  <c r="U8" i="45" s="1"/>
  <c r="Q21" i="33"/>
  <c r="Q23" i="33" s="1"/>
  <c r="DQ25" i="4"/>
  <c r="CF39" i="46" l="1"/>
  <c r="DO32" i="46"/>
  <c r="DO38" i="13"/>
  <c r="HR24" i="4"/>
  <c r="V13" i="34"/>
  <c r="V13" i="27"/>
  <c r="CH40" i="13"/>
  <c r="CH46" i="13" s="1"/>
  <c r="CH47" i="13" s="1"/>
  <c r="CG9" i="34"/>
  <c r="CI27" i="4"/>
  <c r="CG33" i="46"/>
  <c r="CG38" i="46" s="1"/>
  <c r="CG9" i="45"/>
  <c r="CG9" i="33"/>
  <c r="CJ26" i="4"/>
  <c r="CF9" i="27"/>
  <c r="CH29" i="4"/>
  <c r="V5" i="8"/>
  <c r="W8" i="8" s="1"/>
  <c r="W12" i="8" s="1"/>
  <c r="W13" i="8" s="1"/>
  <c r="V7" i="46"/>
  <c r="V5" i="27"/>
  <c r="W8" i="27" s="1"/>
  <c r="W12" i="27" s="1"/>
  <c r="V7" i="7"/>
  <c r="W31" i="7" s="1"/>
  <c r="W33" i="7" s="1"/>
  <c r="W38" i="7" s="1"/>
  <c r="W39" i="7" s="1"/>
  <c r="AO9" i="10"/>
  <c r="T5" i="24"/>
  <c r="U8" i="24" s="1"/>
  <c r="U12" i="24" s="1"/>
  <c r="U13" i="24" s="1"/>
  <c r="T7" i="23"/>
  <c r="U31" i="23" s="1"/>
  <c r="U33" i="23" s="1"/>
  <c r="U38" i="23" s="1"/>
  <c r="U39" i="23" s="1"/>
  <c r="AM49" i="10"/>
  <c r="U7" i="13"/>
  <c r="U5" i="45"/>
  <c r="V8" i="45" s="1"/>
  <c r="V12" i="45" s="1"/>
  <c r="AN10" i="10"/>
  <c r="U5" i="33"/>
  <c r="V8" i="33" s="1"/>
  <c r="V12" i="33" s="1"/>
  <c r="AO69" i="10"/>
  <c r="V5" i="25"/>
  <c r="W8" i="25" s="1"/>
  <c r="W12" i="25" s="1"/>
  <c r="W13" i="25" s="1"/>
  <c r="V7" i="26"/>
  <c r="W31" i="26" s="1"/>
  <c r="W33" i="26" s="1"/>
  <c r="W38" i="26" s="1"/>
  <c r="W39" i="26" s="1"/>
  <c r="V5" i="34"/>
  <c r="W8" i="34" s="1"/>
  <c r="W12" i="34" s="1"/>
  <c r="Q54" i="45"/>
  <c r="Q56" i="45" s="1"/>
  <c r="U12" i="45"/>
  <c r="U13" i="45" s="1"/>
  <c r="U12" i="33"/>
  <c r="U13" i="33" s="1"/>
  <c r="Q54" i="33"/>
  <c r="Q56" i="33" s="1"/>
  <c r="DR25" i="4"/>
  <c r="CG39" i="46" l="1"/>
  <c r="DP32" i="46"/>
  <c r="DP38" i="13"/>
  <c r="V13" i="45"/>
  <c r="HU24" i="4"/>
  <c r="V13" i="33"/>
  <c r="W13" i="27"/>
  <c r="W13" i="34"/>
  <c r="W5" i="27"/>
  <c r="X8" i="27" s="1"/>
  <c r="X12" i="27" s="1"/>
  <c r="X13" i="27" s="1"/>
  <c r="W5" i="8"/>
  <c r="X8" i="8" s="1"/>
  <c r="X12" i="8" s="1"/>
  <c r="X13" i="8" s="1"/>
  <c r="W7" i="7"/>
  <c r="X31" i="7" s="1"/>
  <c r="X33" i="7" s="1"/>
  <c r="X38" i="7" s="1"/>
  <c r="X39" i="7" s="1"/>
  <c r="W7" i="46"/>
  <c r="AP9" i="10"/>
  <c r="CI29" i="4"/>
  <c r="CG9" i="27"/>
  <c r="AP69" i="10"/>
  <c r="W5" i="34"/>
  <c r="X8" i="34" s="1"/>
  <c r="X12" i="34" s="1"/>
  <c r="W7" i="26"/>
  <c r="X31" i="26" s="1"/>
  <c r="X33" i="26" s="1"/>
  <c r="X38" i="26" s="1"/>
  <c r="X39" i="26" s="1"/>
  <c r="W5" i="25"/>
  <c r="X8" i="25" s="1"/>
  <c r="X12" i="25" s="1"/>
  <c r="X13" i="25" s="1"/>
  <c r="U5" i="24"/>
  <c r="V8" i="24" s="1"/>
  <c r="V12" i="24" s="1"/>
  <c r="V13" i="24" s="1"/>
  <c r="AN49" i="10"/>
  <c r="U7" i="23"/>
  <c r="V31" i="23" s="1"/>
  <c r="V33" i="23" s="1"/>
  <c r="V38" i="23" s="1"/>
  <c r="V39" i="23" s="1"/>
  <c r="CI40" i="13"/>
  <c r="CI46" i="13" s="1"/>
  <c r="CI47" i="13" s="1"/>
  <c r="CH9" i="33"/>
  <c r="CH9" i="45"/>
  <c r="CK26" i="4"/>
  <c r="CH33" i="46"/>
  <c r="CH38" i="46" s="1"/>
  <c r="CJ27" i="4"/>
  <c r="CH9" i="34"/>
  <c r="V7" i="13"/>
  <c r="V5" i="33"/>
  <c r="W8" i="33" s="1"/>
  <c r="W12" i="33" s="1"/>
  <c r="AO10" i="10"/>
  <c r="V5" i="45"/>
  <c r="W8" i="45" s="1"/>
  <c r="W12" i="45" s="1"/>
  <c r="DS25" i="4"/>
  <c r="CH39" i="46" l="1"/>
  <c r="DQ38" i="13"/>
  <c r="DQ32" i="46"/>
  <c r="W13" i="45"/>
  <c r="HX24" i="4"/>
  <c r="W13" i="33"/>
  <c r="X13" i="34"/>
  <c r="X7" i="46"/>
  <c r="X7" i="7"/>
  <c r="Y31" i="7" s="1"/>
  <c r="Y33" i="7" s="1"/>
  <c r="Y38" i="7" s="1"/>
  <c r="Y39" i="7" s="1"/>
  <c r="X5" i="8"/>
  <c r="Y8" i="8" s="1"/>
  <c r="Y12" i="8" s="1"/>
  <c r="Y13" i="8" s="1"/>
  <c r="X5" i="27"/>
  <c r="Y8" i="27" s="1"/>
  <c r="Y12" i="27" s="1"/>
  <c r="Y13" i="27" s="1"/>
  <c r="AQ9" i="10"/>
  <c r="CL26" i="4"/>
  <c r="CK27" i="4"/>
  <c r="CI9" i="33"/>
  <c r="CI9" i="34"/>
  <c r="CI9" i="45"/>
  <c r="CI33" i="46"/>
  <c r="CI38" i="46" s="1"/>
  <c r="CJ40" i="13"/>
  <c r="CJ46" i="13" s="1"/>
  <c r="CJ47" i="13" s="1"/>
  <c r="V5" i="24"/>
  <c r="W8" i="24" s="1"/>
  <c r="W12" i="24" s="1"/>
  <c r="W13" i="24" s="1"/>
  <c r="AO49" i="10"/>
  <c r="V7" i="23"/>
  <c r="W31" i="23" s="1"/>
  <c r="W33" i="23" s="1"/>
  <c r="W38" i="23" s="1"/>
  <c r="W39" i="23" s="1"/>
  <c r="W5" i="45"/>
  <c r="X8" i="45" s="1"/>
  <c r="X12" i="45" s="1"/>
  <c r="AP10" i="10"/>
  <c r="W5" i="33"/>
  <c r="X8" i="33" s="1"/>
  <c r="X12" i="33" s="1"/>
  <c r="W7" i="13"/>
  <c r="AQ69" i="10"/>
  <c r="X7" i="26"/>
  <c r="Y31" i="26" s="1"/>
  <c r="Y33" i="26" s="1"/>
  <c r="Y38" i="26" s="1"/>
  <c r="Y39" i="26" s="1"/>
  <c r="X5" i="25"/>
  <c r="Y8" i="25" s="1"/>
  <c r="Y12" i="25" s="1"/>
  <c r="Y13" i="25" s="1"/>
  <c r="X5" i="34"/>
  <c r="Y8" i="34" s="1"/>
  <c r="Y12" i="34" s="1"/>
  <c r="CH9" i="27"/>
  <c r="CJ29" i="4"/>
  <c r="DT25" i="4"/>
  <c r="CI39" i="46" l="1"/>
  <c r="DR32" i="46"/>
  <c r="DR38" i="13"/>
  <c r="X13" i="45"/>
  <c r="IA24" i="4"/>
  <c r="X13" i="33"/>
  <c r="T54" i="11"/>
  <c r="T90" i="11"/>
  <c r="T8" i="11"/>
  <c r="T4" i="44" s="1"/>
  <c r="Y13" i="34"/>
  <c r="Y7" i="7"/>
  <c r="Z31" i="7" s="1"/>
  <c r="Z33" i="7" s="1"/>
  <c r="Z38" i="7" s="1"/>
  <c r="Z39" i="7" s="1"/>
  <c r="Y7" i="46"/>
  <c r="AR9" i="10"/>
  <c r="Y5" i="8"/>
  <c r="Z8" i="8" s="1"/>
  <c r="Z12" i="8" s="1"/>
  <c r="Z13" i="8" s="1"/>
  <c r="Y5" i="27"/>
  <c r="Z8" i="27" s="1"/>
  <c r="AP49" i="10"/>
  <c r="W7" i="23"/>
  <c r="X31" i="23" s="1"/>
  <c r="X33" i="23" s="1"/>
  <c r="X38" i="23" s="1"/>
  <c r="X39" i="23" s="1"/>
  <c r="W5" i="24"/>
  <c r="X8" i="24" s="1"/>
  <c r="X12" i="24" s="1"/>
  <c r="X13" i="24" s="1"/>
  <c r="X7" i="13"/>
  <c r="X5" i="45"/>
  <c r="Y8" i="45" s="1"/>
  <c r="Y12" i="45" s="1"/>
  <c r="X5" i="33"/>
  <c r="Y8" i="33" s="1"/>
  <c r="Y12" i="33" s="1"/>
  <c r="AQ10" i="10"/>
  <c r="Y5" i="34"/>
  <c r="Z8" i="34" s="1"/>
  <c r="Z12" i="34" s="1"/>
  <c r="AR69" i="10"/>
  <c r="Y7" i="26"/>
  <c r="Z31" i="26" s="1"/>
  <c r="Z33" i="26" s="1"/>
  <c r="Z38" i="26" s="1"/>
  <c r="Z39" i="26" s="1"/>
  <c r="Y5" i="25"/>
  <c r="Z8" i="25" s="1"/>
  <c r="Z12" i="25" s="1"/>
  <c r="Z13" i="25" s="1"/>
  <c r="CK29" i="4"/>
  <c r="CI9" i="27"/>
  <c r="CJ9" i="33"/>
  <c r="CK40" i="13"/>
  <c r="CK46" i="13" s="1"/>
  <c r="CK47" i="13" s="1"/>
  <c r="CJ9" i="34"/>
  <c r="CL27" i="4"/>
  <c r="CM26" i="4"/>
  <c r="CJ9" i="45"/>
  <c r="CJ33" i="46"/>
  <c r="CJ38" i="46" s="1"/>
  <c r="DU25" i="4"/>
  <c r="CJ39" i="46" l="1"/>
  <c r="DS38" i="13"/>
  <c r="DS32" i="46"/>
  <c r="Y13" i="45"/>
  <c r="ID24" i="4"/>
  <c r="Y13" i="33"/>
  <c r="Z13" i="34"/>
  <c r="Y7" i="13"/>
  <c r="Y5" i="45"/>
  <c r="Z8" i="45" s="1"/>
  <c r="Y5" i="33"/>
  <c r="Z8" i="33" s="1"/>
  <c r="Z12" i="33" s="1"/>
  <c r="AR10" i="10"/>
  <c r="CJ9" i="27"/>
  <c r="CL29" i="4"/>
  <c r="Z5" i="8"/>
  <c r="AA8" i="8" s="1"/>
  <c r="AA12" i="8" s="1"/>
  <c r="AA13" i="8" s="1"/>
  <c r="Z7" i="7"/>
  <c r="AA31" i="7" s="1"/>
  <c r="AA33" i="7" s="1"/>
  <c r="AA38" i="7" s="1"/>
  <c r="AA39" i="7" s="1"/>
  <c r="Z5" i="27"/>
  <c r="AA8" i="27" s="1"/>
  <c r="AA12" i="27" s="1"/>
  <c r="Z7" i="46"/>
  <c r="AS9" i="10"/>
  <c r="Z12" i="27"/>
  <c r="Z13" i="27" s="1"/>
  <c r="Z5" i="34"/>
  <c r="AA8" i="34" s="1"/>
  <c r="AA12" i="34" s="1"/>
  <c r="Z5" i="25"/>
  <c r="AA8" i="25" s="1"/>
  <c r="AA12" i="25" s="1"/>
  <c r="AA13" i="25" s="1"/>
  <c r="AS69" i="10"/>
  <c r="Z7" i="26"/>
  <c r="AA31" i="26" s="1"/>
  <c r="AA33" i="26" s="1"/>
  <c r="AA38" i="26" s="1"/>
  <c r="AA39" i="26" s="1"/>
  <c r="CM27" i="4"/>
  <c r="CK9" i="33"/>
  <c r="CK9" i="45"/>
  <c r="CK9" i="34"/>
  <c r="CL40" i="13"/>
  <c r="CL46" i="13" s="1"/>
  <c r="CL47" i="13" s="1"/>
  <c r="CN26" i="4"/>
  <c r="CK33" i="46"/>
  <c r="CK38" i="46" s="1"/>
  <c r="AQ49" i="10"/>
  <c r="X7" i="23"/>
  <c r="Y31" i="23" s="1"/>
  <c r="Y33" i="23" s="1"/>
  <c r="Y38" i="23" s="1"/>
  <c r="Y39" i="23" s="1"/>
  <c r="X5" i="24"/>
  <c r="Y8" i="24" s="1"/>
  <c r="Y12" i="24" s="1"/>
  <c r="Y13" i="24" s="1"/>
  <c r="DV25" i="4"/>
  <c r="CK39" i="46" l="1"/>
  <c r="Z13" i="33"/>
  <c r="DT38" i="13"/>
  <c r="DT32" i="46"/>
  <c r="AA13" i="34"/>
  <c r="IG24" i="4"/>
  <c r="Y5" i="24"/>
  <c r="Z8" i="24" s="1"/>
  <c r="Z12" i="24" s="1"/>
  <c r="Z13" i="24" s="1"/>
  <c r="AR49" i="10"/>
  <c r="Y7" i="23"/>
  <c r="Z31" i="23" s="1"/>
  <c r="Z33" i="23" s="1"/>
  <c r="Z38" i="23" s="1"/>
  <c r="Z39" i="23" s="1"/>
  <c r="CM29" i="4"/>
  <c r="CK9" i="27"/>
  <c r="Z12" i="45"/>
  <c r="Z13" i="45" s="1"/>
  <c r="Z5" i="45"/>
  <c r="AA8" i="45" s="1"/>
  <c r="AA12" i="45" s="1"/>
  <c r="Z5" i="33"/>
  <c r="AA8" i="33" s="1"/>
  <c r="AA12" i="33" s="1"/>
  <c r="Z7" i="13"/>
  <c r="AS10" i="10"/>
  <c r="AA7" i="46"/>
  <c r="AA5" i="27"/>
  <c r="AB8" i="27" s="1"/>
  <c r="AT9" i="10"/>
  <c r="AA7" i="7"/>
  <c r="AB31" i="7" s="1"/>
  <c r="AB33" i="7" s="1"/>
  <c r="AB38" i="7" s="1"/>
  <c r="AB39" i="7" s="1"/>
  <c r="AA5" i="8"/>
  <c r="AB8" i="8" s="1"/>
  <c r="AB12" i="8" s="1"/>
  <c r="AB13" i="8" s="1"/>
  <c r="AA13" i="27"/>
  <c r="AA5" i="25"/>
  <c r="AB8" i="25" s="1"/>
  <c r="AB12" i="25" s="1"/>
  <c r="AB13" i="25" s="1"/>
  <c r="AA5" i="34"/>
  <c r="AB8" i="34" s="1"/>
  <c r="AB12" i="34" s="1"/>
  <c r="AA7" i="26"/>
  <c r="AB31" i="26" s="1"/>
  <c r="AB33" i="26" s="1"/>
  <c r="AB38" i="26" s="1"/>
  <c r="AB39" i="26" s="1"/>
  <c r="AT69" i="10"/>
  <c r="CL9" i="33"/>
  <c r="CN27" i="4"/>
  <c r="CL9" i="45"/>
  <c r="CM40" i="13"/>
  <c r="CM46" i="13" s="1"/>
  <c r="CM47" i="13" s="1"/>
  <c r="CL9" i="34"/>
  <c r="CL33" i="46"/>
  <c r="CL38" i="46" s="1"/>
  <c r="CO26" i="4"/>
  <c r="DW25" i="4"/>
  <c r="CL39" i="46" l="1"/>
  <c r="AA13" i="33"/>
  <c r="DU38" i="13"/>
  <c r="DU32" i="46"/>
  <c r="AB13" i="34"/>
  <c r="IJ24" i="4"/>
  <c r="AB7" i="7"/>
  <c r="AC31" i="7" s="1"/>
  <c r="AC33" i="7" s="1"/>
  <c r="AC38" i="7" s="1"/>
  <c r="AC39" i="7" s="1"/>
  <c r="AB5" i="27"/>
  <c r="AC8" i="27" s="1"/>
  <c r="AC12" i="27" s="1"/>
  <c r="AB7" i="46"/>
  <c r="AU9" i="10"/>
  <c r="AB5" i="8"/>
  <c r="AC8" i="8" s="1"/>
  <c r="AC12" i="8" s="1"/>
  <c r="AC13" i="8" s="1"/>
  <c r="CP26" i="4"/>
  <c r="CN40" i="13"/>
  <c r="CN46" i="13" s="1"/>
  <c r="CN47" i="13" s="1"/>
  <c r="CM9" i="45"/>
  <c r="CM33" i="46"/>
  <c r="CM38" i="46" s="1"/>
  <c r="CM9" i="34"/>
  <c r="CO27" i="4"/>
  <c r="CM9" i="33"/>
  <c r="AA7" i="13"/>
  <c r="AA5" i="45"/>
  <c r="AB8" i="45" s="1"/>
  <c r="AB12" i="45" s="1"/>
  <c r="AA5" i="33"/>
  <c r="AB8" i="33" s="1"/>
  <c r="AB12" i="33" s="1"/>
  <c r="AT10" i="10"/>
  <c r="AB12" i="27"/>
  <c r="AB13" i="27" s="1"/>
  <c r="AB7" i="26"/>
  <c r="AC31" i="26" s="1"/>
  <c r="AC33" i="26" s="1"/>
  <c r="AC38" i="26" s="1"/>
  <c r="AC39" i="26" s="1"/>
  <c r="AB5" i="34"/>
  <c r="AC8" i="34" s="1"/>
  <c r="AC12" i="34" s="1"/>
  <c r="AB5" i="25"/>
  <c r="AC8" i="25" s="1"/>
  <c r="AC12" i="25" s="1"/>
  <c r="AC13" i="25" s="1"/>
  <c r="AU69" i="10"/>
  <c r="Z7" i="23"/>
  <c r="AA31" i="23" s="1"/>
  <c r="AA33" i="23" s="1"/>
  <c r="AA38" i="23" s="1"/>
  <c r="AA39" i="23" s="1"/>
  <c r="Z5" i="24"/>
  <c r="AA8" i="24" s="1"/>
  <c r="AA12" i="24" s="1"/>
  <c r="AA13" i="24" s="1"/>
  <c r="AS49" i="10"/>
  <c r="CN29" i="4"/>
  <c r="CL9" i="27"/>
  <c r="AA13" i="45"/>
  <c r="DX25" i="4"/>
  <c r="CM39" i="46" l="1"/>
  <c r="AB13" i="33"/>
  <c r="DV32" i="46"/>
  <c r="DV38" i="13"/>
  <c r="AC13" i="34"/>
  <c r="IM24" i="4"/>
  <c r="U54" i="11"/>
  <c r="U90" i="11"/>
  <c r="U8" i="11"/>
  <c r="U4" i="44" s="1"/>
  <c r="AC13" i="27"/>
  <c r="AB5" i="33"/>
  <c r="AC8" i="33" s="1"/>
  <c r="AC12" i="33" s="1"/>
  <c r="AU10" i="10"/>
  <c r="AB7" i="13"/>
  <c r="AB5" i="45"/>
  <c r="AC8" i="45" s="1"/>
  <c r="AC12" i="45" s="1"/>
  <c r="AC5" i="8"/>
  <c r="AD8" i="8" s="1"/>
  <c r="AD12" i="8" s="1"/>
  <c r="AD13" i="8" s="1"/>
  <c r="AC7" i="46"/>
  <c r="AV9" i="10"/>
  <c r="AC5" i="27"/>
  <c r="AD8" i="27" s="1"/>
  <c r="AC7" i="7"/>
  <c r="AD31" i="7" s="1"/>
  <c r="AD33" i="7" s="1"/>
  <c r="AD38" i="7" s="1"/>
  <c r="AD39" i="7" s="1"/>
  <c r="AB13" i="45"/>
  <c r="AA5" i="24"/>
  <c r="AB8" i="24" s="1"/>
  <c r="AB12" i="24" s="1"/>
  <c r="AB13" i="24" s="1"/>
  <c r="AA7" i="23"/>
  <c r="AB31" i="23" s="1"/>
  <c r="AB33" i="23" s="1"/>
  <c r="AB38" i="23" s="1"/>
  <c r="AB39" i="23" s="1"/>
  <c r="AT49" i="10"/>
  <c r="CN9" i="34"/>
  <c r="K17" i="34" s="1"/>
  <c r="K50" i="34" s="1"/>
  <c r="CN9" i="45"/>
  <c r="CN9" i="33"/>
  <c r="K17" i="33" s="1"/>
  <c r="K50" i="33" s="1"/>
  <c r="CQ26" i="4"/>
  <c r="CO40" i="13"/>
  <c r="CO46" i="13" s="1"/>
  <c r="CO47" i="13" s="1"/>
  <c r="CP27" i="4"/>
  <c r="CN33" i="46"/>
  <c r="CN38" i="46" s="1"/>
  <c r="CM9" i="27"/>
  <c r="CO29" i="4"/>
  <c r="AC7" i="26"/>
  <c r="AD31" i="26" s="1"/>
  <c r="AD33" i="26" s="1"/>
  <c r="AD38" i="26" s="1"/>
  <c r="AD39" i="26" s="1"/>
  <c r="AV69" i="10"/>
  <c r="AC5" i="34"/>
  <c r="AD8" i="34" s="1"/>
  <c r="AD12" i="34" s="1"/>
  <c r="AC5" i="25"/>
  <c r="AD8" i="25" s="1"/>
  <c r="AD12" i="25" s="1"/>
  <c r="AD13" i="25" s="1"/>
  <c r="DY25" i="4"/>
  <c r="CN39" i="46" l="1"/>
  <c r="AC13" i="33"/>
  <c r="DW38" i="13"/>
  <c r="DW32" i="46"/>
  <c r="AD13" i="34"/>
  <c r="AW69" i="10"/>
  <c r="AD5" i="25"/>
  <c r="AE8" i="25" s="1"/>
  <c r="AE12" i="25" s="1"/>
  <c r="AE13" i="25" s="1"/>
  <c r="AD7" i="26"/>
  <c r="AE31" i="26" s="1"/>
  <c r="AE33" i="26" s="1"/>
  <c r="AE38" i="26" s="1"/>
  <c r="AE39" i="26" s="1"/>
  <c r="AD5" i="34"/>
  <c r="AE8" i="34" s="1"/>
  <c r="AE12" i="34" s="1"/>
  <c r="AD7" i="7"/>
  <c r="AE31" i="7" s="1"/>
  <c r="AE33" i="7" s="1"/>
  <c r="AE38" i="7" s="1"/>
  <c r="AE39" i="7" s="1"/>
  <c r="AW9" i="10"/>
  <c r="AD5" i="8"/>
  <c r="AE8" i="8" s="1"/>
  <c r="AE12" i="8" s="1"/>
  <c r="AE13" i="8" s="1"/>
  <c r="AD7" i="46"/>
  <c r="AD5" i="27"/>
  <c r="AE8" i="27" s="1"/>
  <c r="AE12" i="27" s="1"/>
  <c r="AC13" i="45"/>
  <c r="CN9" i="27"/>
  <c r="CP29" i="4"/>
  <c r="AU49" i="10"/>
  <c r="AB5" i="24"/>
  <c r="AC8" i="24" s="1"/>
  <c r="AC12" i="24" s="1"/>
  <c r="AC13" i="24" s="1"/>
  <c r="AB7" i="23"/>
  <c r="AC31" i="23" s="1"/>
  <c r="AC33" i="23" s="1"/>
  <c r="AC38" i="23" s="1"/>
  <c r="AC39" i="23" s="1"/>
  <c r="AD12" i="27"/>
  <c r="AD13" i="27" s="1"/>
  <c r="AC7" i="13"/>
  <c r="AC5" i="33"/>
  <c r="AD8" i="33" s="1"/>
  <c r="AD12" i="33" s="1"/>
  <c r="AC5" i="45"/>
  <c r="AD8" i="45" s="1"/>
  <c r="AV10" i="10"/>
  <c r="CO9" i="33"/>
  <c r="CO9" i="34"/>
  <c r="CO33" i="46"/>
  <c r="CO38" i="46" s="1"/>
  <c r="CR26" i="4"/>
  <c r="CP40" i="13"/>
  <c r="CP46" i="13" s="1"/>
  <c r="CP47" i="13" s="1"/>
  <c r="CQ27" i="4"/>
  <c r="CO9" i="45"/>
  <c r="DZ25" i="4"/>
  <c r="CO39" i="46" l="1"/>
  <c r="AD13" i="33"/>
  <c r="DX32" i="46"/>
  <c r="DX38" i="13"/>
  <c r="AE13" i="34"/>
  <c r="AD5" i="45"/>
  <c r="AE8" i="45" s="1"/>
  <c r="AE12" i="45" s="1"/>
  <c r="AD7" i="13"/>
  <c r="AD5" i="33"/>
  <c r="AE8" i="33" s="1"/>
  <c r="AE12" i="33" s="1"/>
  <c r="AW10" i="10"/>
  <c r="AE13" i="27"/>
  <c r="AC5" i="24"/>
  <c r="AD8" i="24" s="1"/>
  <c r="AD12" i="24" s="1"/>
  <c r="AD13" i="24" s="1"/>
  <c r="AC7" i="23"/>
  <c r="AD31" i="23" s="1"/>
  <c r="AD33" i="23" s="1"/>
  <c r="AD38" i="23" s="1"/>
  <c r="AD39" i="23" s="1"/>
  <c r="AV49" i="10"/>
  <c r="CQ29" i="4"/>
  <c r="CO9" i="27"/>
  <c r="AE7" i="46"/>
  <c r="AE7" i="7"/>
  <c r="AF31" i="7" s="1"/>
  <c r="AF33" i="7" s="1"/>
  <c r="AF38" i="7" s="1"/>
  <c r="AF39" i="7" s="1"/>
  <c r="AE5" i="27"/>
  <c r="AF8" i="27" s="1"/>
  <c r="AF12" i="27" s="1"/>
  <c r="AX9" i="10"/>
  <c r="AE5" i="8"/>
  <c r="AF8" i="8" s="1"/>
  <c r="AF12" i="8" s="1"/>
  <c r="AF13" i="8" s="1"/>
  <c r="AD12" i="45"/>
  <c r="AD13" i="45" s="1"/>
  <c r="CP33" i="46"/>
  <c r="CP38" i="46" s="1"/>
  <c r="CQ40" i="13"/>
  <c r="CQ46" i="13" s="1"/>
  <c r="CQ47" i="13" s="1"/>
  <c r="CP9" i="33"/>
  <c r="CS26" i="4"/>
  <c r="CR27" i="4"/>
  <c r="CP9" i="45"/>
  <c r="CP9" i="34"/>
  <c r="Q21" i="27"/>
  <c r="Q23" i="27" s="1"/>
  <c r="AX69" i="10"/>
  <c r="AE7" i="26"/>
  <c r="AF31" i="26" s="1"/>
  <c r="AF33" i="26" s="1"/>
  <c r="AF38" i="26" s="1"/>
  <c r="AF39" i="26" s="1"/>
  <c r="AE5" i="34"/>
  <c r="AF8" i="34" s="1"/>
  <c r="AF12" i="34" s="1"/>
  <c r="AE5" i="25"/>
  <c r="AF8" i="25" s="1"/>
  <c r="AF12" i="25" s="1"/>
  <c r="AF13" i="25" s="1"/>
  <c r="EA25" i="4"/>
  <c r="CP39" i="46" l="1"/>
  <c r="AE13" i="33"/>
  <c r="DY32" i="46"/>
  <c r="DY38" i="13"/>
  <c r="AF13" i="34"/>
  <c r="Q21" i="45"/>
  <c r="Q23" i="45" s="1"/>
  <c r="AW49" i="10"/>
  <c r="AD5" i="24"/>
  <c r="AE8" i="24" s="1"/>
  <c r="AE12" i="24" s="1"/>
  <c r="AE13" i="24" s="1"/>
  <c r="AD7" i="23"/>
  <c r="AE31" i="23" s="1"/>
  <c r="AE33" i="23" s="1"/>
  <c r="AE38" i="23" s="1"/>
  <c r="AE39" i="23" s="1"/>
  <c r="CR40" i="13"/>
  <c r="CR46" i="13" s="1"/>
  <c r="CR47" i="13" s="1"/>
  <c r="CT26" i="4"/>
  <c r="CQ9" i="33"/>
  <c r="CS27" i="4"/>
  <c r="CQ33" i="46"/>
  <c r="CQ38" i="46" s="1"/>
  <c r="CQ9" i="34"/>
  <c r="CQ9" i="45"/>
  <c r="AE7" i="13"/>
  <c r="AX10" i="10"/>
  <c r="AE5" i="45"/>
  <c r="AF8" i="45" s="1"/>
  <c r="AF12" i="45" s="1"/>
  <c r="AE5" i="33"/>
  <c r="AF8" i="33" s="1"/>
  <c r="AF12" i="33" s="1"/>
  <c r="AF7" i="46"/>
  <c r="AF7" i="7"/>
  <c r="AG31" i="7" s="1"/>
  <c r="AG33" i="7" s="1"/>
  <c r="AG38" i="7" s="1"/>
  <c r="AG39" i="7" s="1"/>
  <c r="AF5" i="8"/>
  <c r="AG8" i="8" s="1"/>
  <c r="AG12" i="8" s="1"/>
  <c r="AG13" i="8" s="1"/>
  <c r="AF5" i="27"/>
  <c r="AG8" i="27" s="1"/>
  <c r="AG12" i="27" s="1"/>
  <c r="AY9" i="10"/>
  <c r="CP9" i="27"/>
  <c r="CR29" i="4"/>
  <c r="AF5" i="34"/>
  <c r="AG8" i="34" s="1"/>
  <c r="AG12" i="34" s="1"/>
  <c r="AF5" i="25"/>
  <c r="AG8" i="25" s="1"/>
  <c r="AG12" i="25" s="1"/>
  <c r="AG13" i="25" s="1"/>
  <c r="AY69" i="10"/>
  <c r="AF7" i="26"/>
  <c r="AG31" i="26" s="1"/>
  <c r="AG33" i="26" s="1"/>
  <c r="AG38" i="26" s="1"/>
  <c r="AG39" i="26" s="1"/>
  <c r="AF13" i="27"/>
  <c r="AE13" i="45"/>
  <c r="EB25" i="4"/>
  <c r="CQ39" i="46" l="1"/>
  <c r="AF13" i="33"/>
  <c r="DZ32" i="46"/>
  <c r="DZ38" i="13"/>
  <c r="AG13" i="34"/>
  <c r="AG13" i="27"/>
  <c r="CQ9" i="27"/>
  <c r="CS29" i="4"/>
  <c r="AF13" i="45"/>
  <c r="AF5" i="45"/>
  <c r="AG8" i="45" s="1"/>
  <c r="AG12" i="45" s="1"/>
  <c r="AF7" i="13"/>
  <c r="AY10" i="10"/>
  <c r="AF5" i="33"/>
  <c r="AG8" i="33" s="1"/>
  <c r="AG12" i="33" s="1"/>
  <c r="CT27" i="4"/>
  <c r="CU26" i="4"/>
  <c r="CR9" i="33"/>
  <c r="CR9" i="45"/>
  <c r="CR9" i="34"/>
  <c r="CS40" i="13"/>
  <c r="CS46" i="13" s="1"/>
  <c r="CS47" i="13" s="1"/>
  <c r="CR33" i="46"/>
  <c r="CR38" i="46" s="1"/>
  <c r="AG5" i="34"/>
  <c r="AH8" i="34" s="1"/>
  <c r="AH12" i="34" s="1"/>
  <c r="AZ69" i="10"/>
  <c r="AG7" i="26"/>
  <c r="AH31" i="26" s="1"/>
  <c r="AH33" i="26" s="1"/>
  <c r="AH38" i="26" s="1"/>
  <c r="AH39" i="26" s="1"/>
  <c r="AG5" i="25"/>
  <c r="AH8" i="25" s="1"/>
  <c r="AH12" i="25" s="1"/>
  <c r="AH13" i="25" s="1"/>
  <c r="AG7" i="46"/>
  <c r="AG7" i="7"/>
  <c r="AH31" i="7" s="1"/>
  <c r="AH33" i="7" s="1"/>
  <c r="AH38" i="7" s="1"/>
  <c r="AH39" i="7" s="1"/>
  <c r="AZ9" i="10"/>
  <c r="AG5" i="8"/>
  <c r="AH8" i="8" s="1"/>
  <c r="AH12" i="8" s="1"/>
  <c r="AH13" i="8" s="1"/>
  <c r="AG5" i="27"/>
  <c r="AH8" i="27" s="1"/>
  <c r="AH12" i="27" s="1"/>
  <c r="AE5" i="24"/>
  <c r="AF8" i="24" s="1"/>
  <c r="AF12" i="24" s="1"/>
  <c r="AF13" i="24" s="1"/>
  <c r="AE7" i="23"/>
  <c r="AF31" i="23" s="1"/>
  <c r="AF33" i="23" s="1"/>
  <c r="AF38" i="23" s="1"/>
  <c r="AF39" i="23" s="1"/>
  <c r="AX49" i="10"/>
  <c r="EC25" i="4"/>
  <c r="CR39" i="46" l="1"/>
  <c r="AG13" i="33"/>
  <c r="EA38" i="13"/>
  <c r="EA32" i="46"/>
  <c r="AH13" i="34"/>
  <c r="AG13" i="45"/>
  <c r="AH13" i="27"/>
  <c r="CT29" i="4"/>
  <c r="CR9" i="27"/>
  <c r="AG5" i="33"/>
  <c r="AH8" i="33" s="1"/>
  <c r="AH12" i="33" s="1"/>
  <c r="AZ10" i="10"/>
  <c r="AG5" i="45"/>
  <c r="AH8" i="45" s="1"/>
  <c r="AH12" i="45" s="1"/>
  <c r="AG7" i="13"/>
  <c r="AH5" i="8"/>
  <c r="AI8" i="8" s="1"/>
  <c r="AI12" i="8" s="1"/>
  <c r="AI13" i="8" s="1"/>
  <c r="BA9" i="10"/>
  <c r="AH7" i="7"/>
  <c r="AI31" i="7" s="1"/>
  <c r="AI33" i="7" s="1"/>
  <c r="AI38" i="7" s="1"/>
  <c r="AI39" i="7" s="1"/>
  <c r="AH7" i="46"/>
  <c r="AH5" i="27"/>
  <c r="AI8" i="27" s="1"/>
  <c r="AI12" i="27" s="1"/>
  <c r="AH5" i="25"/>
  <c r="AI8" i="25" s="1"/>
  <c r="AI12" i="25" s="1"/>
  <c r="AI13" i="25" s="1"/>
  <c r="AH7" i="26"/>
  <c r="AI31" i="26" s="1"/>
  <c r="AI33" i="26" s="1"/>
  <c r="AI38" i="26" s="1"/>
  <c r="AI39" i="26" s="1"/>
  <c r="AH5" i="34"/>
  <c r="AI8" i="34" s="1"/>
  <c r="AI12" i="34" s="1"/>
  <c r="BA69" i="10"/>
  <c r="AF5" i="24"/>
  <c r="AG8" i="24" s="1"/>
  <c r="AG12" i="24" s="1"/>
  <c r="AG13" i="24" s="1"/>
  <c r="AY49" i="10"/>
  <c r="AF7" i="23"/>
  <c r="AG31" i="23" s="1"/>
  <c r="AG33" i="23" s="1"/>
  <c r="AG38" i="23" s="1"/>
  <c r="AG39" i="23" s="1"/>
  <c r="CU27" i="4"/>
  <c r="CS9" i="33"/>
  <c r="CV26" i="4"/>
  <c r="CS9" i="45"/>
  <c r="CT40" i="13"/>
  <c r="CT46" i="13" s="1"/>
  <c r="CT47" i="13" s="1"/>
  <c r="CS9" i="34"/>
  <c r="CS33" i="46"/>
  <c r="CS38" i="46" s="1"/>
  <c r="ED25" i="4"/>
  <c r="CS39" i="46" l="1"/>
  <c r="AH13" i="33"/>
  <c r="AI13" i="27"/>
  <c r="AI13" i="34"/>
  <c r="EB32" i="46"/>
  <c r="EB38" i="13"/>
  <c r="AH13" i="45"/>
  <c r="AI7" i="46"/>
  <c r="AI5" i="27"/>
  <c r="AJ8" i="27" s="1"/>
  <c r="AJ12" i="27" s="1"/>
  <c r="AI5" i="8"/>
  <c r="AJ8" i="8" s="1"/>
  <c r="AJ12" i="8" s="1"/>
  <c r="AJ13" i="8" s="1"/>
  <c r="BB9" i="10"/>
  <c r="AI7" i="7"/>
  <c r="AJ31" i="7" s="1"/>
  <c r="AJ33" i="7" s="1"/>
  <c r="AJ38" i="7" s="1"/>
  <c r="AJ39" i="7" s="1"/>
  <c r="AH7" i="13"/>
  <c r="AH5" i="33"/>
  <c r="AI8" i="33" s="1"/>
  <c r="AI12" i="33" s="1"/>
  <c r="AH5" i="45"/>
  <c r="AI8" i="45" s="1"/>
  <c r="AI12" i="45" s="1"/>
  <c r="BA10" i="10"/>
  <c r="CU40" i="13"/>
  <c r="CU46" i="13" s="1"/>
  <c r="CU47" i="13" s="1"/>
  <c r="CT9" i="45"/>
  <c r="CT9" i="33"/>
  <c r="CT33" i="46"/>
  <c r="CT38" i="46" s="1"/>
  <c r="CV27" i="4"/>
  <c r="CW26" i="4"/>
  <c r="CT9" i="34"/>
  <c r="CS9" i="27"/>
  <c r="CU29" i="4"/>
  <c r="AI7" i="26"/>
  <c r="AJ31" i="26" s="1"/>
  <c r="AJ33" i="26" s="1"/>
  <c r="AJ38" i="26" s="1"/>
  <c r="AJ39" i="26" s="1"/>
  <c r="AI5" i="34"/>
  <c r="AJ8" i="34" s="1"/>
  <c r="AJ12" i="34" s="1"/>
  <c r="AI5" i="25"/>
  <c r="AJ8" i="25" s="1"/>
  <c r="AJ12" i="25" s="1"/>
  <c r="AJ13" i="25" s="1"/>
  <c r="BB69" i="10"/>
  <c r="AG5" i="24"/>
  <c r="AH8" i="24" s="1"/>
  <c r="AH12" i="24" s="1"/>
  <c r="AH13" i="24" s="1"/>
  <c r="AZ49" i="10"/>
  <c r="AG7" i="23"/>
  <c r="AH31" i="23" s="1"/>
  <c r="AH33" i="23" s="1"/>
  <c r="AH38" i="23" s="1"/>
  <c r="AH39" i="23" s="1"/>
  <c r="EE25" i="4"/>
  <c r="CT39" i="46" l="1"/>
  <c r="AI13" i="33"/>
  <c r="AJ13" i="27"/>
  <c r="AJ13" i="34"/>
  <c r="EC32" i="46"/>
  <c r="EC38" i="13"/>
  <c r="AI13" i="45"/>
  <c r="AJ5" i="8"/>
  <c r="AK8" i="8" s="1"/>
  <c r="AK12" i="8" s="1"/>
  <c r="AK13" i="8" s="1"/>
  <c r="AJ7" i="7"/>
  <c r="AK31" i="7" s="1"/>
  <c r="AK33" i="7" s="1"/>
  <c r="AK38" i="7" s="1"/>
  <c r="AK39" i="7" s="1"/>
  <c r="AJ5" i="27"/>
  <c r="AK8" i="27" s="1"/>
  <c r="AK12" i="27" s="1"/>
  <c r="BC9" i="10"/>
  <c r="AJ7" i="46"/>
  <c r="BB10" i="10"/>
  <c r="AI5" i="45"/>
  <c r="AJ8" i="45" s="1"/>
  <c r="AJ12" i="45" s="1"/>
  <c r="AI7" i="13"/>
  <c r="AI5" i="33"/>
  <c r="AJ8" i="33" s="1"/>
  <c r="AJ12" i="33" s="1"/>
  <c r="CV29" i="4"/>
  <c r="CT9" i="27"/>
  <c r="BA49" i="10"/>
  <c r="AH7" i="23"/>
  <c r="AI31" i="23" s="1"/>
  <c r="AI33" i="23" s="1"/>
  <c r="AI38" i="23" s="1"/>
  <c r="AI39" i="23" s="1"/>
  <c r="AH5" i="24"/>
  <c r="AI8" i="24" s="1"/>
  <c r="AI12" i="24" s="1"/>
  <c r="AI13" i="24" s="1"/>
  <c r="CU9" i="33"/>
  <c r="CU33" i="46"/>
  <c r="CU38" i="46" s="1"/>
  <c r="CU9" i="45"/>
  <c r="CU9" i="34"/>
  <c r="CW27" i="4"/>
  <c r="CV40" i="13"/>
  <c r="CV46" i="13" s="1"/>
  <c r="CV47" i="13" s="1"/>
  <c r="CX26" i="4"/>
  <c r="AJ5" i="34"/>
  <c r="AK8" i="34" s="1"/>
  <c r="AK12" i="34" s="1"/>
  <c r="AJ5" i="25"/>
  <c r="AK8" i="25" s="1"/>
  <c r="AK12" i="25" s="1"/>
  <c r="AK13" i="25" s="1"/>
  <c r="BC69" i="10"/>
  <c r="AJ7" i="26"/>
  <c r="AK31" i="26" s="1"/>
  <c r="AK33" i="26" s="1"/>
  <c r="AK38" i="26" s="1"/>
  <c r="AK39" i="26" s="1"/>
  <c r="EF25" i="4"/>
  <c r="CU39" i="46" l="1"/>
  <c r="AJ13" i="33"/>
  <c r="AK13" i="27"/>
  <c r="AK13" i="34"/>
  <c r="ED32" i="46"/>
  <c r="ED38" i="13"/>
  <c r="AJ13" i="45"/>
  <c r="AJ5" i="33"/>
  <c r="AK8" i="33" s="1"/>
  <c r="AK12" i="33" s="1"/>
  <c r="AJ7" i="13"/>
  <c r="BC10" i="10"/>
  <c r="AJ5" i="45"/>
  <c r="AK8" i="45" s="1"/>
  <c r="AK12" i="45" s="1"/>
  <c r="AK7" i="46"/>
  <c r="AK5" i="27"/>
  <c r="AL8" i="27" s="1"/>
  <c r="AL12" i="27" s="1"/>
  <c r="AK5" i="8"/>
  <c r="AL8" i="8" s="1"/>
  <c r="AL12" i="8" s="1"/>
  <c r="AL13" i="8" s="1"/>
  <c r="BD9" i="10"/>
  <c r="AK7" i="7"/>
  <c r="AL31" i="7" s="1"/>
  <c r="AL33" i="7" s="1"/>
  <c r="AL38" i="7" s="1"/>
  <c r="AL39" i="7" s="1"/>
  <c r="BB49" i="10"/>
  <c r="AI5" i="24"/>
  <c r="AJ8" i="24" s="1"/>
  <c r="AJ12" i="24" s="1"/>
  <c r="AJ13" i="24" s="1"/>
  <c r="AI7" i="23"/>
  <c r="AJ31" i="23" s="1"/>
  <c r="AJ33" i="23" s="1"/>
  <c r="AJ38" i="23" s="1"/>
  <c r="AJ39" i="23" s="1"/>
  <c r="AK7" i="26"/>
  <c r="AL31" i="26" s="1"/>
  <c r="AL33" i="26" s="1"/>
  <c r="AL38" i="26" s="1"/>
  <c r="AL39" i="26" s="1"/>
  <c r="AK5" i="25"/>
  <c r="AL8" i="25" s="1"/>
  <c r="AL12" i="25" s="1"/>
  <c r="AL13" i="25" s="1"/>
  <c r="BD69" i="10"/>
  <c r="AK5" i="34"/>
  <c r="AL8" i="34" s="1"/>
  <c r="AL12" i="34" s="1"/>
  <c r="CV33" i="46"/>
  <c r="CV38" i="46" s="1"/>
  <c r="CY26" i="4"/>
  <c r="CV9" i="34"/>
  <c r="CW40" i="13"/>
  <c r="CW46" i="13" s="1"/>
  <c r="CW47" i="13" s="1"/>
  <c r="CX27" i="4"/>
  <c r="CV9" i="33"/>
  <c r="CV9" i="45"/>
  <c r="CW29" i="4"/>
  <c r="CU9" i="27"/>
  <c r="EG25" i="4"/>
  <c r="CV39" i="46" l="1"/>
  <c r="AK13" i="33"/>
  <c r="AL13" i="27"/>
  <c r="AL13" i="34"/>
  <c r="EE32" i="46"/>
  <c r="EE38" i="13"/>
  <c r="AK13" i="45"/>
  <c r="BE69" i="10"/>
  <c r="AL5" i="25"/>
  <c r="AM8" i="25" s="1"/>
  <c r="AM12" i="25" s="1"/>
  <c r="AM13" i="25" s="1"/>
  <c r="AL7" i="26"/>
  <c r="AM31" i="26" s="1"/>
  <c r="AM33" i="26" s="1"/>
  <c r="AM38" i="26" s="1"/>
  <c r="AM39" i="26" s="1"/>
  <c r="AL5" i="34"/>
  <c r="AM8" i="34" s="1"/>
  <c r="AM12" i="34" s="1"/>
  <c r="BC49" i="10"/>
  <c r="AJ7" i="23"/>
  <c r="AK31" i="23" s="1"/>
  <c r="AK33" i="23" s="1"/>
  <c r="AK38" i="23" s="1"/>
  <c r="AK39" i="23" s="1"/>
  <c r="AJ5" i="24"/>
  <c r="AK8" i="24" s="1"/>
  <c r="AK12" i="24" s="1"/>
  <c r="AK13" i="24" s="1"/>
  <c r="BD10" i="10"/>
  <c r="AK7" i="13"/>
  <c r="AK5" i="33"/>
  <c r="AL8" i="33" s="1"/>
  <c r="AL12" i="33" s="1"/>
  <c r="AK5" i="45"/>
  <c r="AL8" i="45" s="1"/>
  <c r="AL12" i="45" s="1"/>
  <c r="AL7" i="7"/>
  <c r="AM31" i="7" s="1"/>
  <c r="AM33" i="7" s="1"/>
  <c r="AM38" i="7" s="1"/>
  <c r="AM39" i="7" s="1"/>
  <c r="BE9" i="10"/>
  <c r="AL5" i="27"/>
  <c r="AM8" i="27" s="1"/>
  <c r="AM12" i="27" s="1"/>
  <c r="AL7" i="46"/>
  <c r="AL5" i="8"/>
  <c r="AM8" i="8" s="1"/>
  <c r="AM12" i="8" s="1"/>
  <c r="AM13" i="8" s="1"/>
  <c r="CW33" i="46"/>
  <c r="CW38" i="46" s="1"/>
  <c r="CY27" i="4"/>
  <c r="CW9" i="33"/>
  <c r="CW9" i="34"/>
  <c r="CW9" i="45"/>
  <c r="CZ26" i="4"/>
  <c r="CX40" i="13"/>
  <c r="CX46" i="13" s="1"/>
  <c r="CX47" i="13" s="1"/>
  <c r="CV9" i="27"/>
  <c r="CX29" i="4"/>
  <c r="EH25" i="4"/>
  <c r="CW39" i="46" l="1"/>
  <c r="AL13" i="33"/>
  <c r="AM13" i="27"/>
  <c r="AM13" i="34"/>
  <c r="EF32" i="46"/>
  <c r="EF38" i="13"/>
  <c r="AL13" i="45"/>
  <c r="AM7" i="46"/>
  <c r="AM7" i="7"/>
  <c r="AN31" i="7" s="1"/>
  <c r="AN33" i="7" s="1"/>
  <c r="AN38" i="7" s="1"/>
  <c r="AN39" i="7" s="1"/>
  <c r="AM5" i="8"/>
  <c r="AN8" i="8" s="1"/>
  <c r="AN12" i="8" s="1"/>
  <c r="AN13" i="8" s="1"/>
  <c r="BF9" i="10"/>
  <c r="AM5" i="27"/>
  <c r="AN8" i="27" s="1"/>
  <c r="AN12" i="27" s="1"/>
  <c r="AL5" i="33"/>
  <c r="AM8" i="33" s="1"/>
  <c r="AM12" i="33" s="1"/>
  <c r="AL7" i="13"/>
  <c r="BE10" i="10"/>
  <c r="AL5" i="45"/>
  <c r="AM8" i="45" s="1"/>
  <c r="AM12" i="45" s="1"/>
  <c r="CZ27" i="4"/>
  <c r="CX9" i="33"/>
  <c r="CX9" i="34"/>
  <c r="DA26" i="4"/>
  <c r="CY40" i="13"/>
  <c r="CY46" i="13" s="1"/>
  <c r="CY47" i="13" s="1"/>
  <c r="CX9" i="45"/>
  <c r="CX33" i="46"/>
  <c r="CX38" i="46" s="1"/>
  <c r="BD49" i="10"/>
  <c r="AK5" i="24"/>
  <c r="AL8" i="24" s="1"/>
  <c r="AL12" i="24" s="1"/>
  <c r="AL13" i="24" s="1"/>
  <c r="AK7" i="23"/>
  <c r="AL31" i="23" s="1"/>
  <c r="AL33" i="23" s="1"/>
  <c r="AL38" i="23" s="1"/>
  <c r="AL39" i="23" s="1"/>
  <c r="CW9" i="27"/>
  <c r="CY29" i="4"/>
  <c r="BF69" i="10"/>
  <c r="AM5" i="34"/>
  <c r="AN8" i="34" s="1"/>
  <c r="AN12" i="34" s="1"/>
  <c r="AM7" i="26"/>
  <c r="AN31" i="26" s="1"/>
  <c r="AN33" i="26" s="1"/>
  <c r="AN38" i="26" s="1"/>
  <c r="AN39" i="26" s="1"/>
  <c r="AM5" i="25"/>
  <c r="AN8" i="25" s="1"/>
  <c r="AN12" i="25" s="1"/>
  <c r="AN13" i="25" s="1"/>
  <c r="EI25" i="4"/>
  <c r="AM13" i="33" l="1"/>
  <c r="CX39" i="46"/>
  <c r="AN13" i="27"/>
  <c r="AN13" i="34"/>
  <c r="EG38" i="13"/>
  <c r="EG32" i="46"/>
  <c r="AM13" i="45"/>
  <c r="AN7" i="46"/>
  <c r="AN5" i="27"/>
  <c r="AO8" i="27" s="1"/>
  <c r="AO12" i="27" s="1"/>
  <c r="AN5" i="8"/>
  <c r="AO8" i="8" s="1"/>
  <c r="AO12" i="8" s="1"/>
  <c r="AO13" i="8" s="1"/>
  <c r="AN7" i="7"/>
  <c r="AO31" i="7" s="1"/>
  <c r="AO33" i="7" s="1"/>
  <c r="AO38" i="7" s="1"/>
  <c r="AO39" i="7" s="1"/>
  <c r="BG9" i="10"/>
  <c r="CZ40" i="13"/>
  <c r="CZ46" i="13" s="1"/>
  <c r="CZ47" i="13" s="1"/>
  <c r="CY33" i="46"/>
  <c r="CY38" i="46" s="1"/>
  <c r="DA27" i="4"/>
  <c r="DB26" i="4"/>
  <c r="CY9" i="33"/>
  <c r="CY9" i="45"/>
  <c r="CY9" i="34"/>
  <c r="AN5" i="34"/>
  <c r="AO8" i="34" s="1"/>
  <c r="AO12" i="34" s="1"/>
  <c r="BG69" i="10"/>
  <c r="AN5" i="25"/>
  <c r="AO8" i="25" s="1"/>
  <c r="AO12" i="25" s="1"/>
  <c r="AO13" i="25" s="1"/>
  <c r="AN7" i="26"/>
  <c r="AO31" i="26" s="1"/>
  <c r="AO33" i="26" s="1"/>
  <c r="AO38" i="26" s="1"/>
  <c r="AO39" i="26" s="1"/>
  <c r="CX9" i="27"/>
  <c r="CZ29" i="4"/>
  <c r="BF10" i="10"/>
  <c r="AM5" i="33"/>
  <c r="AN8" i="33" s="1"/>
  <c r="AN12" i="33" s="1"/>
  <c r="AM5" i="45"/>
  <c r="AN8" i="45" s="1"/>
  <c r="AN12" i="45" s="1"/>
  <c r="AM7" i="13"/>
  <c r="AL5" i="24"/>
  <c r="AM8" i="24" s="1"/>
  <c r="AM12" i="24" s="1"/>
  <c r="AM13" i="24" s="1"/>
  <c r="AL7" i="23"/>
  <c r="AM31" i="23" s="1"/>
  <c r="AM33" i="23" s="1"/>
  <c r="AM38" i="23" s="1"/>
  <c r="AM39" i="23" s="1"/>
  <c r="BE49" i="10"/>
  <c r="EJ25" i="4"/>
  <c r="CY39" i="46" l="1"/>
  <c r="AN13" i="33"/>
  <c r="AO13" i="27"/>
  <c r="AO13" i="34"/>
  <c r="EH32" i="46"/>
  <c r="EH38" i="13"/>
  <c r="AN13" i="45"/>
  <c r="AO5" i="34"/>
  <c r="AP8" i="34" s="1"/>
  <c r="AP12" i="34" s="1"/>
  <c r="BH69" i="10"/>
  <c r="AO7" i="26"/>
  <c r="AP31" i="26" s="1"/>
  <c r="AP33" i="26" s="1"/>
  <c r="AP38" i="26" s="1"/>
  <c r="AP39" i="26" s="1"/>
  <c r="AO5" i="25"/>
  <c r="AP8" i="25" s="1"/>
  <c r="AP12" i="25" s="1"/>
  <c r="AP13" i="25" s="1"/>
  <c r="DB27" i="4"/>
  <c r="CZ9" i="33"/>
  <c r="L17" i="33" s="1"/>
  <c r="L50" i="33" s="1"/>
  <c r="DA40" i="13"/>
  <c r="DA46" i="13" s="1"/>
  <c r="DA47" i="13" s="1"/>
  <c r="CZ9" i="45"/>
  <c r="DC26" i="4"/>
  <c r="CZ9" i="34"/>
  <c r="L17" i="34" s="1"/>
  <c r="L50" i="34" s="1"/>
  <c r="CZ33" i="46"/>
  <c r="CZ38" i="46" s="1"/>
  <c r="AN5" i="33"/>
  <c r="AO8" i="33" s="1"/>
  <c r="AO12" i="33" s="1"/>
  <c r="BG10" i="10"/>
  <c r="AN7" i="13"/>
  <c r="AN5" i="45"/>
  <c r="AO8" i="45" s="1"/>
  <c r="AO12" i="45" s="1"/>
  <c r="AM7" i="23"/>
  <c r="AN31" i="23" s="1"/>
  <c r="AN33" i="23" s="1"/>
  <c r="AN38" i="23" s="1"/>
  <c r="AN39" i="23" s="1"/>
  <c r="BF49" i="10"/>
  <c r="AM5" i="24"/>
  <c r="AN8" i="24" s="1"/>
  <c r="AN12" i="24" s="1"/>
  <c r="AN13" i="24" s="1"/>
  <c r="DA29" i="4"/>
  <c r="CY9" i="27"/>
  <c r="AO7" i="46"/>
  <c r="AO7" i="7"/>
  <c r="AP31" i="7" s="1"/>
  <c r="AP33" i="7" s="1"/>
  <c r="AP38" i="7" s="1"/>
  <c r="AP39" i="7" s="1"/>
  <c r="AO5" i="27"/>
  <c r="AP8" i="27" s="1"/>
  <c r="AP12" i="27" s="1"/>
  <c r="AO5" i="8"/>
  <c r="AP8" i="8" s="1"/>
  <c r="AP12" i="8" s="1"/>
  <c r="AP13" i="8" s="1"/>
  <c r="BH9" i="10"/>
  <c r="EK25" i="4"/>
  <c r="CZ39" i="46" l="1"/>
  <c r="AO13" i="33"/>
  <c r="AP13" i="34"/>
  <c r="AP13" i="27"/>
  <c r="EI38" i="13"/>
  <c r="EI32" i="46"/>
  <c r="AO13" i="45"/>
  <c r="DB40" i="13"/>
  <c r="DB46" i="13" s="1"/>
  <c r="DB47" i="13" s="1"/>
  <c r="DD26" i="4"/>
  <c r="DC27" i="4"/>
  <c r="DA33" i="46"/>
  <c r="DA38" i="46" s="1"/>
  <c r="DA9" i="34"/>
  <c r="DA9" i="33"/>
  <c r="DA9" i="45"/>
  <c r="AP5" i="25"/>
  <c r="AQ8" i="25" s="1"/>
  <c r="AQ12" i="25" s="1"/>
  <c r="AQ13" i="25" s="1"/>
  <c r="BI69" i="10"/>
  <c r="AP5" i="34"/>
  <c r="AQ8" i="34" s="1"/>
  <c r="AQ12" i="34" s="1"/>
  <c r="AP7" i="26"/>
  <c r="AQ31" i="26" s="1"/>
  <c r="AQ33" i="26" s="1"/>
  <c r="AQ38" i="26" s="1"/>
  <c r="AQ39" i="26" s="1"/>
  <c r="AP5" i="8"/>
  <c r="AQ8" i="8" s="1"/>
  <c r="AQ12" i="8" s="1"/>
  <c r="AQ13" i="8" s="1"/>
  <c r="AP7" i="46"/>
  <c r="AP7" i="7"/>
  <c r="AQ31" i="7" s="1"/>
  <c r="AQ33" i="7" s="1"/>
  <c r="AQ38" i="7" s="1"/>
  <c r="AQ39" i="7" s="1"/>
  <c r="AP5" i="27"/>
  <c r="AQ8" i="27" s="1"/>
  <c r="AQ12" i="27" s="1"/>
  <c r="BI9" i="10"/>
  <c r="AN5" i="24"/>
  <c r="AO8" i="24" s="1"/>
  <c r="AO12" i="24" s="1"/>
  <c r="AO13" i="24" s="1"/>
  <c r="BG49" i="10"/>
  <c r="AN7" i="23"/>
  <c r="AO31" i="23" s="1"/>
  <c r="AO33" i="23" s="1"/>
  <c r="AO38" i="23" s="1"/>
  <c r="AO39" i="23" s="1"/>
  <c r="AO7" i="13"/>
  <c r="AO5" i="45"/>
  <c r="AP8" i="45" s="1"/>
  <c r="AP12" i="45" s="1"/>
  <c r="AO5" i="33"/>
  <c r="AP8" i="33" s="1"/>
  <c r="AP12" i="33" s="1"/>
  <c r="BH10" i="10"/>
  <c r="CZ9" i="27"/>
  <c r="DB29" i="4"/>
  <c r="EL25" i="4"/>
  <c r="AP13" i="33" l="1"/>
  <c r="DA39" i="46"/>
  <c r="AQ13" i="34"/>
  <c r="AQ13" i="27"/>
  <c r="EJ38" i="13"/>
  <c r="EJ32" i="46"/>
  <c r="AP13" i="45"/>
  <c r="DC29" i="4"/>
  <c r="DA9" i="27"/>
  <c r="BJ69" i="10"/>
  <c r="AQ7" i="26"/>
  <c r="AR31" i="26" s="1"/>
  <c r="AR33" i="26" s="1"/>
  <c r="AR38" i="26" s="1"/>
  <c r="AR39" i="26" s="1"/>
  <c r="AQ5" i="25"/>
  <c r="AR8" i="25" s="1"/>
  <c r="AR12" i="25" s="1"/>
  <c r="AR13" i="25" s="1"/>
  <c r="AQ5" i="34"/>
  <c r="AR8" i="34" s="1"/>
  <c r="AR12" i="34" s="1"/>
  <c r="AP7" i="13"/>
  <c r="BI10" i="10"/>
  <c r="AP5" i="33"/>
  <c r="AQ8" i="33" s="1"/>
  <c r="AQ12" i="33" s="1"/>
  <c r="AP5" i="45"/>
  <c r="AQ8" i="45" s="1"/>
  <c r="AQ12" i="45" s="1"/>
  <c r="DB9" i="34"/>
  <c r="DC40" i="13"/>
  <c r="DC46" i="13" s="1"/>
  <c r="DC47" i="13" s="1"/>
  <c r="DB9" i="33"/>
  <c r="DB33" i="46"/>
  <c r="DB38" i="46" s="1"/>
  <c r="DB9" i="45"/>
  <c r="DE26" i="4"/>
  <c r="DD27" i="4"/>
  <c r="AO5" i="24"/>
  <c r="AP8" i="24" s="1"/>
  <c r="AP12" i="24" s="1"/>
  <c r="AP13" i="24" s="1"/>
  <c r="AO7" i="23"/>
  <c r="AP31" i="23" s="1"/>
  <c r="AP33" i="23" s="1"/>
  <c r="AP38" i="23" s="1"/>
  <c r="AP39" i="23" s="1"/>
  <c r="BH49" i="10"/>
  <c r="AQ5" i="27"/>
  <c r="AR8" i="27" s="1"/>
  <c r="AR12" i="27" s="1"/>
  <c r="AQ7" i="7"/>
  <c r="AR31" i="7" s="1"/>
  <c r="AR33" i="7" s="1"/>
  <c r="AR38" i="7" s="1"/>
  <c r="AR39" i="7" s="1"/>
  <c r="BJ9" i="10"/>
  <c r="AQ7" i="46"/>
  <c r="AQ5" i="8"/>
  <c r="AR8" i="8" s="1"/>
  <c r="AR12" i="8" s="1"/>
  <c r="AR13" i="8" s="1"/>
  <c r="EM25" i="4"/>
  <c r="AQ13" i="33" l="1"/>
  <c r="DB39" i="46"/>
  <c r="AR13" i="34"/>
  <c r="AR13" i="27"/>
  <c r="EK38" i="13"/>
  <c r="EK32" i="46"/>
  <c r="AQ13" i="45"/>
  <c r="AR7" i="26"/>
  <c r="AS31" i="26" s="1"/>
  <c r="AS33" i="26" s="1"/>
  <c r="AS38" i="26" s="1"/>
  <c r="AS39" i="26" s="1"/>
  <c r="BK69" i="10"/>
  <c r="AR5" i="34"/>
  <c r="AS8" i="34" s="1"/>
  <c r="AS12" i="34" s="1"/>
  <c r="AR5" i="25"/>
  <c r="AS8" i="25" s="1"/>
  <c r="AS12" i="25" s="1"/>
  <c r="AS13" i="25" s="1"/>
  <c r="BJ10" i="10"/>
  <c r="AQ7" i="13"/>
  <c r="AQ5" i="45"/>
  <c r="AR8" i="45" s="1"/>
  <c r="AR12" i="45" s="1"/>
  <c r="AQ5" i="33"/>
  <c r="AR8" i="33" s="1"/>
  <c r="AR12" i="33" s="1"/>
  <c r="AR5" i="27"/>
  <c r="AS8" i="27" s="1"/>
  <c r="AS12" i="27" s="1"/>
  <c r="AR5" i="8"/>
  <c r="AS8" i="8" s="1"/>
  <c r="AS12" i="8" s="1"/>
  <c r="AS13" i="8" s="1"/>
  <c r="AR7" i="46"/>
  <c r="AR7" i="7"/>
  <c r="AS31" i="7" s="1"/>
  <c r="AS33" i="7" s="1"/>
  <c r="AS38" i="7" s="1"/>
  <c r="AS39" i="7" s="1"/>
  <c r="BK9" i="10"/>
  <c r="AP5" i="24"/>
  <c r="AQ8" i="24" s="1"/>
  <c r="AQ12" i="24" s="1"/>
  <c r="AQ13" i="24" s="1"/>
  <c r="AP7" i="23"/>
  <c r="AQ31" i="23" s="1"/>
  <c r="AQ33" i="23" s="1"/>
  <c r="AQ38" i="23" s="1"/>
  <c r="AQ39" i="23" s="1"/>
  <c r="BI49" i="10"/>
  <c r="DD29" i="4"/>
  <c r="DB9" i="27"/>
  <c r="DC9" i="33"/>
  <c r="DE27" i="4"/>
  <c r="DF26" i="4"/>
  <c r="DC9" i="34"/>
  <c r="DC33" i="46"/>
  <c r="DC38" i="46" s="1"/>
  <c r="DD40" i="13"/>
  <c r="DD46" i="13" s="1"/>
  <c r="DD47" i="13" s="1"/>
  <c r="DC9" i="45"/>
  <c r="EN25" i="4"/>
  <c r="AR13" i="33" l="1"/>
  <c r="DC39" i="46"/>
  <c r="AS13" i="34"/>
  <c r="AS13" i="27"/>
  <c r="AR13" i="45"/>
  <c r="EL32" i="46"/>
  <c r="EL38" i="13"/>
  <c r="BL9" i="10"/>
  <c r="AS7" i="7"/>
  <c r="AT31" i="7" s="1"/>
  <c r="AT33" i="7" s="1"/>
  <c r="AT38" i="7" s="1"/>
  <c r="AT39" i="7" s="1"/>
  <c r="AS7" i="46"/>
  <c r="AS5" i="8"/>
  <c r="AT8" i="8" s="1"/>
  <c r="AT12" i="8" s="1"/>
  <c r="AT13" i="8" s="1"/>
  <c r="AS5" i="27"/>
  <c r="AT8" i="27" s="1"/>
  <c r="AT12" i="27" s="1"/>
  <c r="DD9" i="33"/>
  <c r="DF27" i="4"/>
  <c r="DG26" i="4"/>
  <c r="DD9" i="45"/>
  <c r="DD9" i="34"/>
  <c r="DE40" i="13"/>
  <c r="DE46" i="13" s="1"/>
  <c r="DE47" i="13" s="1"/>
  <c r="DD33" i="46"/>
  <c r="DD38" i="46" s="1"/>
  <c r="AS7" i="26"/>
  <c r="AT31" i="26" s="1"/>
  <c r="AT33" i="26" s="1"/>
  <c r="AT38" i="26" s="1"/>
  <c r="AT39" i="26" s="1"/>
  <c r="BL69" i="10"/>
  <c r="AS5" i="25"/>
  <c r="AT8" i="25" s="1"/>
  <c r="AT12" i="25" s="1"/>
  <c r="AT13" i="25" s="1"/>
  <c r="AS5" i="34"/>
  <c r="AT8" i="34" s="1"/>
  <c r="AT12" i="34" s="1"/>
  <c r="BK10" i="10"/>
  <c r="AR7" i="13"/>
  <c r="AR5" i="45"/>
  <c r="AS8" i="45" s="1"/>
  <c r="AS12" i="45" s="1"/>
  <c r="AR5" i="33"/>
  <c r="AS8" i="33" s="1"/>
  <c r="AS12" i="33" s="1"/>
  <c r="DC9" i="27"/>
  <c r="DE29" i="4"/>
  <c r="AQ7" i="23"/>
  <c r="AR31" i="23" s="1"/>
  <c r="AR33" i="23" s="1"/>
  <c r="AR38" i="23" s="1"/>
  <c r="AR39" i="23" s="1"/>
  <c r="BJ49" i="10"/>
  <c r="AQ5" i="24"/>
  <c r="AR8" i="24" s="1"/>
  <c r="AR12" i="24" s="1"/>
  <c r="AR13" i="24" s="1"/>
  <c r="EO25" i="4"/>
  <c r="DD39" i="46" l="1"/>
  <c r="AS13" i="33"/>
  <c r="AT13" i="27"/>
  <c r="AT13" i="34"/>
  <c r="AS13" i="45"/>
  <c r="EM38" i="13"/>
  <c r="EM32" i="46"/>
  <c r="AR5" i="24"/>
  <c r="AS8" i="24" s="1"/>
  <c r="AS12" i="24" s="1"/>
  <c r="AS13" i="24" s="1"/>
  <c r="BK49" i="10"/>
  <c r="AR7" i="23"/>
  <c r="AS31" i="23" s="1"/>
  <c r="AS33" i="23" s="1"/>
  <c r="AS38" i="23" s="1"/>
  <c r="AS39" i="23" s="1"/>
  <c r="DH26" i="4"/>
  <c r="DE33" i="46"/>
  <c r="DE38" i="46" s="1"/>
  <c r="DE9" i="45"/>
  <c r="DF40" i="13"/>
  <c r="DF46" i="13" s="1"/>
  <c r="DF47" i="13" s="1"/>
  <c r="DE9" i="34"/>
  <c r="DE9" i="33"/>
  <c r="DG27" i="4"/>
  <c r="DF29" i="4"/>
  <c r="DD9" i="27"/>
  <c r="AT5" i="34"/>
  <c r="AU8" i="34" s="1"/>
  <c r="AU12" i="34" s="1"/>
  <c r="BM69" i="10"/>
  <c r="AT7" i="26"/>
  <c r="AU31" i="26" s="1"/>
  <c r="AU33" i="26" s="1"/>
  <c r="AU38" i="26" s="1"/>
  <c r="AU39" i="26" s="1"/>
  <c r="AT5" i="25"/>
  <c r="AU8" i="25" s="1"/>
  <c r="AU12" i="25" s="1"/>
  <c r="AU13" i="25" s="1"/>
  <c r="AS5" i="33"/>
  <c r="AT8" i="33" s="1"/>
  <c r="AT12" i="33" s="1"/>
  <c r="AS5" i="45"/>
  <c r="AT8" i="45" s="1"/>
  <c r="AT12" i="45" s="1"/>
  <c r="BL10" i="10"/>
  <c r="AS7" i="13"/>
  <c r="BM9" i="10"/>
  <c r="AT5" i="8"/>
  <c r="AU8" i="8" s="1"/>
  <c r="AU12" i="8" s="1"/>
  <c r="AU13" i="8" s="1"/>
  <c r="AT7" i="7"/>
  <c r="AU31" i="7" s="1"/>
  <c r="AU33" i="7" s="1"/>
  <c r="AU38" i="7" s="1"/>
  <c r="AU39" i="7" s="1"/>
  <c r="AT5" i="27"/>
  <c r="AU8" i="27" s="1"/>
  <c r="AU12" i="27" s="1"/>
  <c r="AT7" i="46"/>
  <c r="EP25" i="4"/>
  <c r="AT13" i="33" l="1"/>
  <c r="DE39" i="46"/>
  <c r="AU13" i="34"/>
  <c r="AU13" i="27"/>
  <c r="AT13" i="45"/>
  <c r="EN32" i="46"/>
  <c r="EN38" i="13"/>
  <c r="DG29" i="4"/>
  <c r="DE9" i="27"/>
  <c r="AU7" i="46"/>
  <c r="AU5" i="8"/>
  <c r="AV8" i="8" s="1"/>
  <c r="AV12" i="8" s="1"/>
  <c r="AV13" i="8" s="1"/>
  <c r="AU7" i="7"/>
  <c r="AV31" i="7" s="1"/>
  <c r="AV33" i="7" s="1"/>
  <c r="AV38" i="7" s="1"/>
  <c r="AV39" i="7" s="1"/>
  <c r="BN9" i="10"/>
  <c r="AU5" i="27"/>
  <c r="AV8" i="27" s="1"/>
  <c r="AV12" i="27" s="1"/>
  <c r="DH27" i="4"/>
  <c r="DF9" i="34"/>
  <c r="DF9" i="33"/>
  <c r="DF9" i="45"/>
  <c r="DI26" i="4"/>
  <c r="DF33" i="46"/>
  <c r="DF38" i="46" s="1"/>
  <c r="DG40" i="13"/>
  <c r="DG46" i="13" s="1"/>
  <c r="DG47" i="13" s="1"/>
  <c r="BL49" i="10"/>
  <c r="AS5" i="24"/>
  <c r="AT8" i="24" s="1"/>
  <c r="AT12" i="24" s="1"/>
  <c r="AT13" i="24" s="1"/>
  <c r="AS7" i="23"/>
  <c r="AT31" i="23" s="1"/>
  <c r="AT33" i="23" s="1"/>
  <c r="AT38" i="23" s="1"/>
  <c r="AT39" i="23" s="1"/>
  <c r="AU5" i="25"/>
  <c r="AV8" i="25" s="1"/>
  <c r="AV12" i="25" s="1"/>
  <c r="AV13" i="25" s="1"/>
  <c r="BN69" i="10"/>
  <c r="AU5" i="34"/>
  <c r="AV8" i="34" s="1"/>
  <c r="AV12" i="34" s="1"/>
  <c r="AU7" i="26"/>
  <c r="AV31" i="26" s="1"/>
  <c r="AV33" i="26" s="1"/>
  <c r="AV38" i="26" s="1"/>
  <c r="AV39" i="26" s="1"/>
  <c r="AT5" i="33"/>
  <c r="AU8" i="33" s="1"/>
  <c r="AU12" i="33" s="1"/>
  <c r="AT5" i="45"/>
  <c r="AU8" i="45" s="1"/>
  <c r="AU12" i="45" s="1"/>
  <c r="BM10" i="10"/>
  <c r="AT7" i="13"/>
  <c r="EQ25" i="4"/>
  <c r="AU13" i="33" l="1"/>
  <c r="DF39" i="46"/>
  <c r="AV13" i="34"/>
  <c r="AV13" i="27"/>
  <c r="AU13" i="45"/>
  <c r="EO32" i="46"/>
  <c r="EO38" i="13"/>
  <c r="BM49" i="10"/>
  <c r="AT7" i="23"/>
  <c r="AU31" i="23" s="1"/>
  <c r="AU33" i="23" s="1"/>
  <c r="AU38" i="23" s="1"/>
  <c r="AU39" i="23" s="1"/>
  <c r="AT5" i="24"/>
  <c r="AU8" i="24" s="1"/>
  <c r="AU12" i="24" s="1"/>
  <c r="AU13" i="24" s="1"/>
  <c r="AU5" i="33"/>
  <c r="AV8" i="33" s="1"/>
  <c r="AV12" i="33" s="1"/>
  <c r="AU5" i="45"/>
  <c r="AV8" i="45" s="1"/>
  <c r="AV12" i="45" s="1"/>
  <c r="AU7" i="13"/>
  <c r="BN10" i="10"/>
  <c r="DH29" i="4"/>
  <c r="DF9" i="27"/>
  <c r="BO9" i="10"/>
  <c r="AV5" i="27"/>
  <c r="AW8" i="27" s="1"/>
  <c r="AW12" i="27" s="1"/>
  <c r="AV7" i="7"/>
  <c r="AW31" i="7" s="1"/>
  <c r="AW33" i="7" s="1"/>
  <c r="AW38" i="7" s="1"/>
  <c r="AW39" i="7" s="1"/>
  <c r="AV5" i="8"/>
  <c r="AW8" i="8" s="1"/>
  <c r="AW12" i="8" s="1"/>
  <c r="AW13" i="8" s="1"/>
  <c r="AV7" i="46"/>
  <c r="AV5" i="25"/>
  <c r="AW8" i="25" s="1"/>
  <c r="AW12" i="25" s="1"/>
  <c r="AW13" i="25" s="1"/>
  <c r="AV5" i="34"/>
  <c r="AW8" i="34" s="1"/>
  <c r="AW12" i="34" s="1"/>
  <c r="BO69" i="10"/>
  <c r="AV7" i="26"/>
  <c r="AW31" i="26" s="1"/>
  <c r="AW33" i="26" s="1"/>
  <c r="AW38" i="26" s="1"/>
  <c r="AW39" i="26" s="1"/>
  <c r="DH40" i="13"/>
  <c r="DH46" i="13" s="1"/>
  <c r="DH47" i="13" s="1"/>
  <c r="DJ26" i="4"/>
  <c r="DI27" i="4"/>
  <c r="DG9" i="33"/>
  <c r="DG9" i="45"/>
  <c r="DG33" i="46"/>
  <c r="DG38" i="46" s="1"/>
  <c r="DG9" i="34"/>
  <c r="ER25" i="4"/>
  <c r="AV13" i="33" l="1"/>
  <c r="DG39" i="46"/>
  <c r="AW13" i="34"/>
  <c r="AW13" i="27"/>
  <c r="AV13" i="45"/>
  <c r="EP32" i="46"/>
  <c r="EP38" i="13"/>
  <c r="AW7" i="7"/>
  <c r="AX31" i="7" s="1"/>
  <c r="AX33" i="7" s="1"/>
  <c r="AX38" i="7" s="1"/>
  <c r="AX39" i="7" s="1"/>
  <c r="AW5" i="8"/>
  <c r="AX8" i="8" s="1"/>
  <c r="AX12" i="8" s="1"/>
  <c r="AX13" i="8" s="1"/>
  <c r="AW5" i="27"/>
  <c r="AX8" i="27" s="1"/>
  <c r="AX12" i="27" s="1"/>
  <c r="BP9" i="10"/>
  <c r="AW7" i="46"/>
  <c r="AV5" i="33"/>
  <c r="AW8" i="33" s="1"/>
  <c r="AW12" i="33" s="1"/>
  <c r="AV7" i="13"/>
  <c r="BO10" i="10"/>
  <c r="AV5" i="45"/>
  <c r="AW8" i="45" s="1"/>
  <c r="AW12" i="45" s="1"/>
  <c r="DK26" i="4"/>
  <c r="DJ27" i="4"/>
  <c r="DH9" i="45"/>
  <c r="DH9" i="34"/>
  <c r="DH33" i="46"/>
  <c r="DH38" i="46" s="1"/>
  <c r="DI40" i="13"/>
  <c r="DI46" i="13" s="1"/>
  <c r="DI47" i="13" s="1"/>
  <c r="DH9" i="33"/>
  <c r="DG9" i="27"/>
  <c r="DI29" i="4"/>
  <c r="AW5" i="25"/>
  <c r="AX8" i="25" s="1"/>
  <c r="AX12" i="25" s="1"/>
  <c r="AX13" i="25" s="1"/>
  <c r="AW5" i="34"/>
  <c r="AX8" i="34" s="1"/>
  <c r="AX12" i="34" s="1"/>
  <c r="BP69" i="10"/>
  <c r="AW7" i="26"/>
  <c r="AX31" i="26" s="1"/>
  <c r="AX33" i="26" s="1"/>
  <c r="AX38" i="26" s="1"/>
  <c r="AX39" i="26" s="1"/>
  <c r="AU5" i="24"/>
  <c r="AV8" i="24" s="1"/>
  <c r="AV12" i="24" s="1"/>
  <c r="AV13" i="24" s="1"/>
  <c r="AU7" i="23"/>
  <c r="AV31" i="23" s="1"/>
  <c r="AV33" i="23" s="1"/>
  <c r="AV38" i="23" s="1"/>
  <c r="AV39" i="23" s="1"/>
  <c r="BN49" i="10"/>
  <c r="ES25" i="4"/>
  <c r="AW13" i="33" l="1"/>
  <c r="DH39" i="46"/>
  <c r="AX13" i="34"/>
  <c r="AX13" i="27"/>
  <c r="AW13" i="45"/>
  <c r="EQ38" i="13"/>
  <c r="EQ32" i="46"/>
  <c r="DH9" i="27"/>
  <c r="DJ29" i="4"/>
  <c r="DL26" i="4"/>
  <c r="DI9" i="45"/>
  <c r="DI33" i="46"/>
  <c r="DI38" i="46" s="1"/>
  <c r="DJ40" i="13"/>
  <c r="DJ46" i="13" s="1"/>
  <c r="DJ47" i="13" s="1"/>
  <c r="DI9" i="33"/>
  <c r="DI9" i="34"/>
  <c r="DK27" i="4"/>
  <c r="BO49" i="10"/>
  <c r="AV7" i="23"/>
  <c r="AW31" i="23" s="1"/>
  <c r="AW33" i="23" s="1"/>
  <c r="AW38" i="23" s="1"/>
  <c r="AW39" i="23" s="1"/>
  <c r="AV5" i="24"/>
  <c r="AW8" i="24" s="1"/>
  <c r="AW12" i="24" s="1"/>
  <c r="AW13" i="24" s="1"/>
  <c r="AW5" i="45"/>
  <c r="AX8" i="45" s="1"/>
  <c r="AX12" i="45" s="1"/>
  <c r="BP10" i="10"/>
  <c r="AW7" i="13"/>
  <c r="AW5" i="33"/>
  <c r="AX8" i="33" s="1"/>
  <c r="AX12" i="33" s="1"/>
  <c r="AX5" i="25"/>
  <c r="AY8" i="25" s="1"/>
  <c r="AY12" i="25" s="1"/>
  <c r="AY13" i="25" s="1"/>
  <c r="AX7" i="26"/>
  <c r="AY31" i="26" s="1"/>
  <c r="AY33" i="26" s="1"/>
  <c r="AY38" i="26" s="1"/>
  <c r="AY39" i="26" s="1"/>
  <c r="AX5" i="34"/>
  <c r="AY8" i="34" s="1"/>
  <c r="AY12" i="34" s="1"/>
  <c r="BQ69" i="10"/>
  <c r="AX7" i="46"/>
  <c r="BQ9" i="10"/>
  <c r="AX7" i="7"/>
  <c r="AY31" i="7" s="1"/>
  <c r="AY33" i="7" s="1"/>
  <c r="AY38" i="7" s="1"/>
  <c r="AY39" i="7" s="1"/>
  <c r="AX5" i="8"/>
  <c r="AY8" i="8" s="1"/>
  <c r="AY12" i="8" s="1"/>
  <c r="AY13" i="8" s="1"/>
  <c r="AX5" i="27"/>
  <c r="AY8" i="27" s="1"/>
  <c r="AY12" i="27" s="1"/>
  <c r="ET25" i="4"/>
  <c r="DI39" i="46" l="1"/>
  <c r="AX13" i="33"/>
  <c r="AY13" i="34"/>
  <c r="AY13" i="27"/>
  <c r="AX13" i="45"/>
  <c r="ER32" i="46"/>
  <c r="ER38" i="13"/>
  <c r="DK29" i="4"/>
  <c r="DI9" i="27"/>
  <c r="AY5" i="27"/>
  <c r="AZ8" i="27" s="1"/>
  <c r="AZ12" i="27" s="1"/>
  <c r="AY7" i="46"/>
  <c r="AY7" i="7"/>
  <c r="AZ31" i="7" s="1"/>
  <c r="AZ33" i="7" s="1"/>
  <c r="AZ38" i="7" s="1"/>
  <c r="AZ39" i="7" s="1"/>
  <c r="AY5" i="8"/>
  <c r="AZ8" i="8" s="1"/>
  <c r="AZ12" i="8" s="1"/>
  <c r="AZ13" i="8" s="1"/>
  <c r="BR9" i="10"/>
  <c r="DM26" i="4"/>
  <c r="DL27" i="4"/>
  <c r="DJ9" i="45"/>
  <c r="DJ9" i="33"/>
  <c r="DK40" i="13"/>
  <c r="DK46" i="13" s="1"/>
  <c r="DK47" i="13" s="1"/>
  <c r="DJ33" i="46"/>
  <c r="DJ38" i="46" s="1"/>
  <c r="DJ9" i="34"/>
  <c r="AX7" i="13"/>
  <c r="AX5" i="45"/>
  <c r="AY8" i="45" s="1"/>
  <c r="AY12" i="45" s="1"/>
  <c r="AX5" i="33"/>
  <c r="AY8" i="33" s="1"/>
  <c r="AY12" i="33" s="1"/>
  <c r="BQ10" i="10"/>
  <c r="AW7" i="23"/>
  <c r="AX31" i="23" s="1"/>
  <c r="AX33" i="23" s="1"/>
  <c r="AX38" i="23" s="1"/>
  <c r="AX39" i="23" s="1"/>
  <c r="AW5" i="24"/>
  <c r="AX8" i="24" s="1"/>
  <c r="AX12" i="24" s="1"/>
  <c r="AX13" i="24" s="1"/>
  <c r="BP49" i="10"/>
  <c r="AY5" i="34"/>
  <c r="AZ8" i="34" s="1"/>
  <c r="AZ12" i="34" s="1"/>
  <c r="AY5" i="25"/>
  <c r="AZ8" i="25" s="1"/>
  <c r="AZ12" i="25" s="1"/>
  <c r="AZ13" i="25" s="1"/>
  <c r="AY7" i="26"/>
  <c r="AZ31" i="26" s="1"/>
  <c r="AZ33" i="26" s="1"/>
  <c r="AZ38" i="26" s="1"/>
  <c r="AZ39" i="26" s="1"/>
  <c r="BR69" i="10"/>
  <c r="EU25" i="4"/>
  <c r="DJ39" i="46" l="1"/>
  <c r="AY13" i="33"/>
  <c r="AZ13" i="27"/>
  <c r="AZ13" i="34"/>
  <c r="AY13" i="45"/>
  <c r="ES32" i="46"/>
  <c r="ES38" i="13"/>
  <c r="DK9" i="33"/>
  <c r="DM27" i="4"/>
  <c r="DK33" i="46"/>
  <c r="DK38" i="46" s="1"/>
  <c r="DK39" i="46" s="1"/>
  <c r="DN26" i="4"/>
  <c r="DL40" i="13"/>
  <c r="DL46" i="13" s="1"/>
  <c r="DL47" i="13" s="1"/>
  <c r="DK9" i="45"/>
  <c r="DK9" i="34"/>
  <c r="AX7" i="23"/>
  <c r="AY31" i="23" s="1"/>
  <c r="AY33" i="23" s="1"/>
  <c r="AY38" i="23" s="1"/>
  <c r="AY39" i="23" s="1"/>
  <c r="AX5" i="24"/>
  <c r="AY8" i="24" s="1"/>
  <c r="AY12" i="24" s="1"/>
  <c r="AY13" i="24" s="1"/>
  <c r="BQ49" i="10"/>
  <c r="BR10" i="10"/>
  <c r="AY5" i="45"/>
  <c r="AZ8" i="45" s="1"/>
  <c r="AZ12" i="45" s="1"/>
  <c r="AY5" i="33"/>
  <c r="AZ8" i="33" s="1"/>
  <c r="AZ12" i="33" s="1"/>
  <c r="AY7" i="13"/>
  <c r="BS69" i="10"/>
  <c r="AZ5" i="34"/>
  <c r="BA8" i="34" s="1"/>
  <c r="BA12" i="34" s="1"/>
  <c r="AZ5" i="25"/>
  <c r="BA8" i="25" s="1"/>
  <c r="BA12" i="25" s="1"/>
  <c r="BA13" i="25" s="1"/>
  <c r="AZ7" i="26"/>
  <c r="BA31" i="26" s="1"/>
  <c r="BA33" i="26" s="1"/>
  <c r="BA38" i="26" s="1"/>
  <c r="BA39" i="26" s="1"/>
  <c r="AZ5" i="27"/>
  <c r="BA8" i="27" s="1"/>
  <c r="BA12" i="27" s="1"/>
  <c r="BS9" i="10"/>
  <c r="AZ7" i="46"/>
  <c r="AZ7" i="7"/>
  <c r="BA31" i="7" s="1"/>
  <c r="BA33" i="7" s="1"/>
  <c r="BA38" i="7" s="1"/>
  <c r="BA39" i="7" s="1"/>
  <c r="AZ5" i="8"/>
  <c r="BA8" i="8" s="1"/>
  <c r="BA12" i="8" s="1"/>
  <c r="BA13" i="8" s="1"/>
  <c r="DJ9" i="27"/>
  <c r="DL29" i="4"/>
  <c r="EV25" i="4"/>
  <c r="AZ13" i="33" l="1"/>
  <c r="BA13" i="27"/>
  <c r="BA13" i="34"/>
  <c r="AZ13" i="45"/>
  <c r="ET32" i="46"/>
  <c r="ET38" i="13"/>
  <c r="DM29" i="4"/>
  <c r="DK9" i="27"/>
  <c r="AY7" i="23"/>
  <c r="AZ31" i="23" s="1"/>
  <c r="AZ33" i="23" s="1"/>
  <c r="AZ38" i="23" s="1"/>
  <c r="AZ39" i="23" s="1"/>
  <c r="AY5" i="24"/>
  <c r="AZ8" i="24" s="1"/>
  <c r="AZ12" i="24" s="1"/>
  <c r="AZ13" i="24" s="1"/>
  <c r="BR49" i="10"/>
  <c r="BA7" i="46"/>
  <c r="BA5" i="27"/>
  <c r="BB8" i="27" s="1"/>
  <c r="BB12" i="27" s="1"/>
  <c r="BT9" i="10"/>
  <c r="BA7" i="7"/>
  <c r="BB31" i="7" s="1"/>
  <c r="BB33" i="7" s="1"/>
  <c r="BB38" i="7" s="1"/>
  <c r="BB39" i="7" s="1"/>
  <c r="BA5" i="8"/>
  <c r="BB8" i="8" s="1"/>
  <c r="BB12" i="8" s="1"/>
  <c r="BB13" i="8" s="1"/>
  <c r="BA7" i="26"/>
  <c r="BB31" i="26" s="1"/>
  <c r="BB33" i="26" s="1"/>
  <c r="BB38" i="26" s="1"/>
  <c r="BB39" i="26" s="1"/>
  <c r="BA5" i="25"/>
  <c r="BB8" i="25" s="1"/>
  <c r="BB12" i="25" s="1"/>
  <c r="BB13" i="25" s="1"/>
  <c r="BT69" i="10"/>
  <c r="BA5" i="34"/>
  <c r="BB8" i="34" s="1"/>
  <c r="BB12" i="34" s="1"/>
  <c r="BS10" i="10"/>
  <c r="AZ5" i="33"/>
  <c r="BA8" i="33" s="1"/>
  <c r="BA12" i="33" s="1"/>
  <c r="AZ7" i="13"/>
  <c r="AZ5" i="45"/>
  <c r="BA8" i="45" s="1"/>
  <c r="BA12" i="45" s="1"/>
  <c r="DO26" i="4"/>
  <c r="DN27" i="4"/>
  <c r="DL9" i="33"/>
  <c r="M17" i="33" s="1"/>
  <c r="M50" i="33" s="1"/>
  <c r="DL33" i="46"/>
  <c r="DL38" i="46" s="1"/>
  <c r="DL39" i="46" s="1"/>
  <c r="DL9" i="34"/>
  <c r="M17" i="34" s="1"/>
  <c r="M50" i="34" s="1"/>
  <c r="DL9" i="45"/>
  <c r="DM40" i="13"/>
  <c r="DM46" i="13" s="1"/>
  <c r="DM47" i="13" s="1"/>
  <c r="EW25" i="4"/>
  <c r="BA13" i="33" l="1"/>
  <c r="BB13" i="27"/>
  <c r="BB13" i="34"/>
  <c r="BA13" i="45"/>
  <c r="EU32" i="46"/>
  <c r="EU38" i="13"/>
  <c r="BB5" i="34"/>
  <c r="BC8" i="34" s="1"/>
  <c r="BC12" i="34" s="1"/>
  <c r="BU69" i="10"/>
  <c r="BB5" i="25"/>
  <c r="BC8" i="25" s="1"/>
  <c r="BC12" i="25" s="1"/>
  <c r="BC13" i="25" s="1"/>
  <c r="BB7" i="26"/>
  <c r="BC31" i="26" s="1"/>
  <c r="BC33" i="26" s="1"/>
  <c r="BC38" i="26" s="1"/>
  <c r="BC39" i="26" s="1"/>
  <c r="BB5" i="27"/>
  <c r="BC8" i="27" s="1"/>
  <c r="BC12" i="27" s="1"/>
  <c r="BB5" i="8"/>
  <c r="BC8" i="8" s="1"/>
  <c r="BC12" i="8" s="1"/>
  <c r="BC13" i="8" s="1"/>
  <c r="BB7" i="7"/>
  <c r="BC31" i="7" s="1"/>
  <c r="BC33" i="7" s="1"/>
  <c r="BC38" i="7" s="1"/>
  <c r="BC39" i="7" s="1"/>
  <c r="BB7" i="46"/>
  <c r="BU9" i="10"/>
  <c r="BA5" i="33"/>
  <c r="BB8" i="33" s="1"/>
  <c r="BB12" i="33" s="1"/>
  <c r="BA5" i="45"/>
  <c r="BB8" i="45" s="1"/>
  <c r="BB12" i="45" s="1"/>
  <c r="BA7" i="13"/>
  <c r="BT10" i="10"/>
  <c r="AZ7" i="23"/>
  <c r="BA31" i="23" s="1"/>
  <c r="BA33" i="23" s="1"/>
  <c r="BA38" i="23" s="1"/>
  <c r="BA39" i="23" s="1"/>
  <c r="AZ5" i="24"/>
  <c r="BA8" i="24" s="1"/>
  <c r="BA12" i="24" s="1"/>
  <c r="BA13" i="24" s="1"/>
  <c r="BS49" i="10"/>
  <c r="DL9" i="27"/>
  <c r="DN29" i="4"/>
  <c r="DN40" i="13"/>
  <c r="DN46" i="13" s="1"/>
  <c r="DN47" i="13" s="1"/>
  <c r="DM9" i="45"/>
  <c r="DM33" i="46"/>
  <c r="DM38" i="46" s="1"/>
  <c r="DM39" i="46" s="1"/>
  <c r="DO27" i="4"/>
  <c r="DM9" i="33"/>
  <c r="DP26" i="4"/>
  <c r="DM9" i="34"/>
  <c r="EX25" i="4"/>
  <c r="BB13" i="33" l="1"/>
  <c r="BC13" i="34"/>
  <c r="BC13" i="27"/>
  <c r="BB13" i="45"/>
  <c r="EV32" i="46"/>
  <c r="EV38" i="13"/>
  <c r="BT49" i="10"/>
  <c r="BA7" i="23"/>
  <c r="BB31" i="23" s="1"/>
  <c r="BB33" i="23" s="1"/>
  <c r="BB38" i="23" s="1"/>
  <c r="BB39" i="23" s="1"/>
  <c r="BA5" i="24"/>
  <c r="BB8" i="24" s="1"/>
  <c r="BB12" i="24" s="1"/>
  <c r="BB13" i="24" s="1"/>
  <c r="DQ26" i="4"/>
  <c r="DN9" i="33"/>
  <c r="DN33" i="46"/>
  <c r="DN38" i="46" s="1"/>
  <c r="DN39" i="46" s="1"/>
  <c r="DO40" i="13"/>
  <c r="DO46" i="13" s="1"/>
  <c r="DO47" i="13" s="1"/>
  <c r="DN9" i="45"/>
  <c r="DN9" i="34"/>
  <c r="DP27" i="4"/>
  <c r="BV9" i="10"/>
  <c r="BC7" i="7"/>
  <c r="BD31" i="7" s="1"/>
  <c r="BD33" i="7" s="1"/>
  <c r="BD38" i="7" s="1"/>
  <c r="BD39" i="7" s="1"/>
  <c r="BC5" i="8"/>
  <c r="BD8" i="8" s="1"/>
  <c r="BD12" i="8" s="1"/>
  <c r="BD13" i="8" s="1"/>
  <c r="BC7" i="46"/>
  <c r="BC5" i="27"/>
  <c r="BD8" i="27" s="1"/>
  <c r="BD12" i="27" s="1"/>
  <c r="BB5" i="33"/>
  <c r="BC8" i="33" s="1"/>
  <c r="BC12" i="33" s="1"/>
  <c r="BU10" i="10"/>
  <c r="BB7" i="13"/>
  <c r="BB5" i="45"/>
  <c r="BC8" i="45" s="1"/>
  <c r="BC12" i="45" s="1"/>
  <c r="DM9" i="27"/>
  <c r="DO29" i="4"/>
  <c r="BV69" i="10"/>
  <c r="BC7" i="26"/>
  <c r="BD31" i="26" s="1"/>
  <c r="BD33" i="26" s="1"/>
  <c r="BD38" i="26" s="1"/>
  <c r="BD39" i="26" s="1"/>
  <c r="BC5" i="25"/>
  <c r="BD8" i="25" s="1"/>
  <c r="BD12" i="25" s="1"/>
  <c r="BD13" i="25" s="1"/>
  <c r="BC5" i="34"/>
  <c r="BD8" i="34" s="1"/>
  <c r="BD12" i="34" s="1"/>
  <c r="EY25" i="4"/>
  <c r="BC13" i="33" l="1"/>
  <c r="BD13" i="27"/>
  <c r="BD13" i="34"/>
  <c r="BC13" i="45"/>
  <c r="EW38" i="13"/>
  <c r="EW32" i="46"/>
  <c r="BD5" i="8"/>
  <c r="BE8" i="8" s="1"/>
  <c r="BE12" i="8" s="1"/>
  <c r="BE13" i="8" s="1"/>
  <c r="BW9" i="10"/>
  <c r="BD7" i="46"/>
  <c r="BD7" i="7"/>
  <c r="BE31" i="7" s="1"/>
  <c r="BE33" i="7" s="1"/>
  <c r="BE38" i="7" s="1"/>
  <c r="BE39" i="7" s="1"/>
  <c r="BD5" i="27"/>
  <c r="BE8" i="27" s="1"/>
  <c r="BE12" i="27" s="1"/>
  <c r="DN9" i="27"/>
  <c r="DP29" i="4"/>
  <c r="BD5" i="34"/>
  <c r="BE8" i="34" s="1"/>
  <c r="BE12" i="34" s="1"/>
  <c r="BD7" i="26"/>
  <c r="BE31" i="26" s="1"/>
  <c r="BE33" i="26" s="1"/>
  <c r="BE38" i="26" s="1"/>
  <c r="BE39" i="26" s="1"/>
  <c r="BW69" i="10"/>
  <c r="BD5" i="25"/>
  <c r="BE8" i="25" s="1"/>
  <c r="BE12" i="25" s="1"/>
  <c r="BE13" i="25" s="1"/>
  <c r="DQ27" i="4"/>
  <c r="DO33" i="46"/>
  <c r="DO38" i="46" s="1"/>
  <c r="DO39" i="46" s="1"/>
  <c r="DO9" i="34"/>
  <c r="DO9" i="45"/>
  <c r="DP40" i="13"/>
  <c r="DP46" i="13" s="1"/>
  <c r="DP47" i="13" s="1"/>
  <c r="DO9" i="33"/>
  <c r="DR26" i="4"/>
  <c r="BB5" i="24"/>
  <c r="BC8" i="24" s="1"/>
  <c r="BC12" i="24" s="1"/>
  <c r="BC13" i="24" s="1"/>
  <c r="BB7" i="23"/>
  <c r="BC31" i="23" s="1"/>
  <c r="BC33" i="23" s="1"/>
  <c r="BC38" i="23" s="1"/>
  <c r="BC39" i="23" s="1"/>
  <c r="BU49" i="10"/>
  <c r="BC7" i="13"/>
  <c r="BC5" i="33"/>
  <c r="BD8" i="33" s="1"/>
  <c r="BD12" i="33" s="1"/>
  <c r="BC5" i="45"/>
  <c r="BD8" i="45" s="1"/>
  <c r="BD12" i="45" s="1"/>
  <c r="BV10" i="10"/>
  <c r="EZ25" i="4"/>
  <c r="BD13" i="33" l="1"/>
  <c r="BE13" i="27"/>
  <c r="BE13" i="34"/>
  <c r="BD13" i="45"/>
  <c r="EX32" i="46"/>
  <c r="EX38" i="13"/>
  <c r="BE5" i="34"/>
  <c r="BF8" i="34" s="1"/>
  <c r="BF12" i="34" s="1"/>
  <c r="BF13" i="34" s="1"/>
  <c r="BE7" i="26"/>
  <c r="BF31" i="26" s="1"/>
  <c r="BF33" i="26" s="1"/>
  <c r="BF38" i="26" s="1"/>
  <c r="BF39" i="26" s="1"/>
  <c r="BE5" i="25"/>
  <c r="BF8" i="25" s="1"/>
  <c r="BF12" i="25" s="1"/>
  <c r="BF13" i="25" s="1"/>
  <c r="BX69" i="10"/>
  <c r="BC7" i="23"/>
  <c r="BD31" i="23" s="1"/>
  <c r="BD33" i="23" s="1"/>
  <c r="BD38" i="23" s="1"/>
  <c r="BD39" i="23" s="1"/>
  <c r="BC5" i="24"/>
  <c r="BD8" i="24" s="1"/>
  <c r="BD12" i="24" s="1"/>
  <c r="BD13" i="24" s="1"/>
  <c r="BV49" i="10"/>
  <c r="DQ40" i="13"/>
  <c r="DQ46" i="13" s="1"/>
  <c r="DQ47" i="13" s="1"/>
  <c r="DP33" i="46"/>
  <c r="DP38" i="46" s="1"/>
  <c r="DP39" i="46" s="1"/>
  <c r="DP9" i="34"/>
  <c r="DS26" i="4"/>
  <c r="DP9" i="33"/>
  <c r="DR27" i="4"/>
  <c r="DP9" i="45"/>
  <c r="BE7" i="46"/>
  <c r="BE5" i="27"/>
  <c r="BF8" i="27" s="1"/>
  <c r="BF12" i="27" s="1"/>
  <c r="BE5" i="8"/>
  <c r="BF8" i="8" s="1"/>
  <c r="BF12" i="8" s="1"/>
  <c r="BF13" i="8" s="1"/>
  <c r="BX9" i="10"/>
  <c r="BE7" i="7"/>
  <c r="BF31" i="7" s="1"/>
  <c r="BF33" i="7" s="1"/>
  <c r="BF38" i="7" s="1"/>
  <c r="BF39" i="7" s="1"/>
  <c r="DO9" i="27"/>
  <c r="DQ29" i="4"/>
  <c r="BD7" i="13"/>
  <c r="BW10" i="10"/>
  <c r="BD5" i="45"/>
  <c r="BE8" i="45" s="1"/>
  <c r="BE12" i="45" s="1"/>
  <c r="BD5" i="33"/>
  <c r="BE8" i="33" s="1"/>
  <c r="BE12" i="33" s="1"/>
  <c r="BE13" i="33" s="1"/>
  <c r="FA25" i="4"/>
  <c r="BF13" i="27" l="1"/>
  <c r="BE13" i="45"/>
  <c r="EY38" i="13"/>
  <c r="EY32" i="46"/>
  <c r="BD7" i="23"/>
  <c r="BE31" i="23" s="1"/>
  <c r="BE33" i="23" s="1"/>
  <c r="BE38" i="23" s="1"/>
  <c r="BE39" i="23" s="1"/>
  <c r="BD5" i="24"/>
  <c r="BE8" i="24" s="1"/>
  <c r="BE12" i="24" s="1"/>
  <c r="BE13" i="24" s="1"/>
  <c r="BW49" i="10"/>
  <c r="DR29" i="4"/>
  <c r="DP9" i="27"/>
  <c r="DQ9" i="34"/>
  <c r="DS27" i="4"/>
  <c r="DQ33" i="46"/>
  <c r="DQ38" i="46" s="1"/>
  <c r="DQ39" i="46" s="1"/>
  <c r="DR40" i="13"/>
  <c r="DR46" i="13" s="1"/>
  <c r="DR47" i="13" s="1"/>
  <c r="DQ9" i="33"/>
  <c r="DQ9" i="45"/>
  <c r="DT26" i="4"/>
  <c r="BX10" i="10"/>
  <c r="BE5" i="45"/>
  <c r="BF8" i="45" s="1"/>
  <c r="BF12" i="45" s="1"/>
  <c r="BE5" i="33"/>
  <c r="BF8" i="33" s="1"/>
  <c r="BF12" i="33" s="1"/>
  <c r="BF13" i="33" s="1"/>
  <c r="BE7" i="13"/>
  <c r="BF5" i="25"/>
  <c r="BG8" i="25" s="1"/>
  <c r="BG12" i="25" s="1"/>
  <c r="BG13" i="25" s="1"/>
  <c r="BF5" i="34"/>
  <c r="BG8" i="34" s="1"/>
  <c r="BG12" i="34" s="1"/>
  <c r="BG13" i="34" s="1"/>
  <c r="BF7" i="26"/>
  <c r="BG31" i="26" s="1"/>
  <c r="BG33" i="26" s="1"/>
  <c r="BG38" i="26" s="1"/>
  <c r="BG39" i="26" s="1"/>
  <c r="BY69" i="10"/>
  <c r="BF7" i="7"/>
  <c r="BG31" i="7" s="1"/>
  <c r="BG33" i="7" s="1"/>
  <c r="BG38" i="7" s="1"/>
  <c r="BG39" i="7" s="1"/>
  <c r="BF5" i="8"/>
  <c r="BG8" i="8" s="1"/>
  <c r="BG12" i="8" s="1"/>
  <c r="BG13" i="8" s="1"/>
  <c r="BF5" i="27"/>
  <c r="BG8" i="27" s="1"/>
  <c r="BG12" i="27" s="1"/>
  <c r="BF7" i="46"/>
  <c r="BY9" i="10"/>
  <c r="FB25" i="4"/>
  <c r="BG13" i="27" l="1"/>
  <c r="BF13" i="45"/>
  <c r="EZ38" i="13"/>
  <c r="EZ32" i="46"/>
  <c r="BY10" i="10"/>
  <c r="BF7" i="13"/>
  <c r="BF5" i="45"/>
  <c r="BG8" i="45" s="1"/>
  <c r="BG12" i="45" s="1"/>
  <c r="BF5" i="33"/>
  <c r="BG8" i="33" s="1"/>
  <c r="BG12" i="33" s="1"/>
  <c r="BG13" i="33" s="1"/>
  <c r="BE5" i="24"/>
  <c r="BF8" i="24" s="1"/>
  <c r="BF12" i="24" s="1"/>
  <c r="BF13" i="24" s="1"/>
  <c r="BX49" i="10"/>
  <c r="BE7" i="23"/>
  <c r="BF31" i="23" s="1"/>
  <c r="BF33" i="23" s="1"/>
  <c r="BF38" i="23" s="1"/>
  <c r="BF39" i="23" s="1"/>
  <c r="DT27" i="4"/>
  <c r="DR9" i="34"/>
  <c r="DR33" i="46"/>
  <c r="DR38" i="46" s="1"/>
  <c r="DR39" i="46" s="1"/>
  <c r="DR9" i="45"/>
  <c r="DR9" i="33"/>
  <c r="DS40" i="13"/>
  <c r="DS46" i="13" s="1"/>
  <c r="DS47" i="13" s="1"/>
  <c r="DU26" i="4"/>
  <c r="BZ9" i="10"/>
  <c r="BG7" i="46"/>
  <c r="BG5" i="8"/>
  <c r="BH8" i="8" s="1"/>
  <c r="BH12" i="8" s="1"/>
  <c r="BH13" i="8" s="1"/>
  <c r="BG5" i="27"/>
  <c r="BH8" i="27" s="1"/>
  <c r="BH12" i="27" s="1"/>
  <c r="BG7" i="7"/>
  <c r="BH31" i="7" s="1"/>
  <c r="BH33" i="7" s="1"/>
  <c r="BH38" i="7" s="1"/>
  <c r="BH39" i="7" s="1"/>
  <c r="DS29" i="4"/>
  <c r="DQ9" i="27"/>
  <c r="BG7" i="26"/>
  <c r="BH31" i="26" s="1"/>
  <c r="BH33" i="26" s="1"/>
  <c r="BH38" i="26" s="1"/>
  <c r="BH39" i="26" s="1"/>
  <c r="BG5" i="25"/>
  <c r="BH8" i="25" s="1"/>
  <c r="BH12" i="25" s="1"/>
  <c r="BH13" i="25" s="1"/>
  <c r="BG5" i="34"/>
  <c r="BH8" i="34" s="1"/>
  <c r="BH12" i="34" s="1"/>
  <c r="BH13" i="34" s="1"/>
  <c r="BZ69" i="10"/>
  <c r="FC25" i="4"/>
  <c r="BH13" i="27" l="1"/>
  <c r="BG13" i="45"/>
  <c r="FA32" i="46"/>
  <c r="FA38" i="13"/>
  <c r="DS9" i="33"/>
  <c r="DS9" i="45"/>
  <c r="DU27" i="4"/>
  <c r="DS9" i="34"/>
  <c r="DS33" i="46"/>
  <c r="DS38" i="46" s="1"/>
  <c r="DS39" i="46" s="1"/>
  <c r="DT40" i="13"/>
  <c r="DT46" i="13" s="1"/>
  <c r="DT47" i="13" s="1"/>
  <c r="DV26" i="4"/>
  <c r="BH5" i="34"/>
  <c r="BI8" i="34" s="1"/>
  <c r="BI12" i="34" s="1"/>
  <c r="BI13" i="34" s="1"/>
  <c r="BH5" i="25"/>
  <c r="BI8" i="25" s="1"/>
  <c r="BI12" i="25" s="1"/>
  <c r="BI13" i="25" s="1"/>
  <c r="CA69" i="10"/>
  <c r="BH7" i="26"/>
  <c r="BI31" i="26" s="1"/>
  <c r="BI33" i="26" s="1"/>
  <c r="BI38" i="26" s="1"/>
  <c r="BI39" i="26" s="1"/>
  <c r="CA9" i="10"/>
  <c r="BH7" i="7"/>
  <c r="BI31" i="7" s="1"/>
  <c r="BI33" i="7" s="1"/>
  <c r="BI38" i="7" s="1"/>
  <c r="BI39" i="7" s="1"/>
  <c r="BH7" i="46"/>
  <c r="BH5" i="27"/>
  <c r="BI8" i="27" s="1"/>
  <c r="BI12" i="27" s="1"/>
  <c r="BH5" i="8"/>
  <c r="BI8" i="8" s="1"/>
  <c r="BI12" i="8" s="1"/>
  <c r="BI13" i="8" s="1"/>
  <c r="DT29" i="4"/>
  <c r="DR9" i="27"/>
  <c r="BF5" i="24"/>
  <c r="BG8" i="24" s="1"/>
  <c r="BG12" i="24" s="1"/>
  <c r="BG13" i="24" s="1"/>
  <c r="BF7" i="23"/>
  <c r="BG31" i="23" s="1"/>
  <c r="BG33" i="23" s="1"/>
  <c r="BG38" i="23" s="1"/>
  <c r="BG39" i="23" s="1"/>
  <c r="BY49" i="10"/>
  <c r="BG5" i="45"/>
  <c r="BH8" i="45" s="1"/>
  <c r="BH12" i="45" s="1"/>
  <c r="BG7" i="13"/>
  <c r="BG5" i="33"/>
  <c r="BH8" i="33" s="1"/>
  <c r="BH12" i="33" s="1"/>
  <c r="BH13" i="33" s="1"/>
  <c r="BZ10" i="10"/>
  <c r="FD25" i="4"/>
  <c r="BI13" i="27" l="1"/>
  <c r="BH13" i="45"/>
  <c r="FB32" i="46"/>
  <c r="FB38" i="13"/>
  <c r="BI7" i="46"/>
  <c r="CB9" i="10"/>
  <c r="BI7" i="7"/>
  <c r="BJ31" i="7" s="1"/>
  <c r="BJ33" i="7" s="1"/>
  <c r="BJ38" i="7" s="1"/>
  <c r="BJ39" i="7" s="1"/>
  <c r="BI5" i="27"/>
  <c r="BJ8" i="27" s="1"/>
  <c r="BJ12" i="27" s="1"/>
  <c r="BI5" i="8"/>
  <c r="BJ8" i="8" s="1"/>
  <c r="BJ12" i="8" s="1"/>
  <c r="BJ13" i="8" s="1"/>
  <c r="BH7" i="13"/>
  <c r="BH5" i="45"/>
  <c r="BI8" i="45" s="1"/>
  <c r="BI12" i="45" s="1"/>
  <c r="BH5" i="33"/>
  <c r="BI8" i="33" s="1"/>
  <c r="BI12" i="33" s="1"/>
  <c r="BI13" i="33" s="1"/>
  <c r="CA10" i="10"/>
  <c r="DT9" i="45"/>
  <c r="DT9" i="34"/>
  <c r="DW26" i="4"/>
  <c r="DT9" i="33"/>
  <c r="DT33" i="46"/>
  <c r="DT38" i="46" s="1"/>
  <c r="DT39" i="46" s="1"/>
  <c r="DU40" i="13"/>
  <c r="DU46" i="13" s="1"/>
  <c r="DU47" i="13" s="1"/>
  <c r="DV27" i="4"/>
  <c r="BG7" i="23"/>
  <c r="BH31" i="23" s="1"/>
  <c r="BH33" i="23" s="1"/>
  <c r="BH38" i="23" s="1"/>
  <c r="BH39" i="23" s="1"/>
  <c r="BZ49" i="10"/>
  <c r="BG5" i="24"/>
  <c r="BH8" i="24" s="1"/>
  <c r="BH12" i="24" s="1"/>
  <c r="BH13" i="24" s="1"/>
  <c r="DU29" i="4"/>
  <c r="DS9" i="27"/>
  <c r="BI5" i="25"/>
  <c r="BJ8" i="25" s="1"/>
  <c r="BJ12" i="25" s="1"/>
  <c r="BJ13" i="25" s="1"/>
  <c r="BI7" i="26"/>
  <c r="BJ31" i="26" s="1"/>
  <c r="BJ33" i="26" s="1"/>
  <c r="BJ38" i="26" s="1"/>
  <c r="BJ39" i="26" s="1"/>
  <c r="CB69" i="10"/>
  <c r="BI5" i="34"/>
  <c r="BJ8" i="34" s="1"/>
  <c r="BJ12" i="34" s="1"/>
  <c r="BJ13" i="34" s="1"/>
  <c r="FE25" i="4"/>
  <c r="BJ13" i="27" l="1"/>
  <c r="BI13" i="45"/>
  <c r="FC38" i="13"/>
  <c r="FC32" i="46"/>
  <c r="DU9" i="45"/>
  <c r="DW27" i="4"/>
  <c r="DU9" i="34"/>
  <c r="DX26" i="4"/>
  <c r="DV40" i="13"/>
  <c r="DV46" i="13" s="1"/>
  <c r="DV47" i="13" s="1"/>
  <c r="DU9" i="33"/>
  <c r="DU33" i="46"/>
  <c r="DU38" i="46" s="1"/>
  <c r="DU39" i="46" s="1"/>
  <c r="BI7" i="13"/>
  <c r="CB10" i="10"/>
  <c r="BI5" i="33"/>
  <c r="BJ8" i="33" s="1"/>
  <c r="BJ12" i="33" s="1"/>
  <c r="BJ13" i="33" s="1"/>
  <c r="BI5" i="45"/>
  <c r="BJ8" i="45" s="1"/>
  <c r="BJ12" i="45" s="1"/>
  <c r="BJ7" i="26"/>
  <c r="BK31" i="26" s="1"/>
  <c r="BK33" i="26" s="1"/>
  <c r="BK38" i="26" s="1"/>
  <c r="BK39" i="26" s="1"/>
  <c r="BJ5" i="34"/>
  <c r="BK8" i="34" s="1"/>
  <c r="BK12" i="34" s="1"/>
  <c r="BK13" i="34" s="1"/>
  <c r="BJ5" i="25"/>
  <c r="BK8" i="25" s="1"/>
  <c r="BK12" i="25" s="1"/>
  <c r="BK13" i="25" s="1"/>
  <c r="CC69" i="10"/>
  <c r="CA49" i="10"/>
  <c r="BH7" i="23"/>
  <c r="BI31" i="23" s="1"/>
  <c r="BI33" i="23" s="1"/>
  <c r="BI38" i="23" s="1"/>
  <c r="BI39" i="23" s="1"/>
  <c r="BH5" i="24"/>
  <c r="BI8" i="24" s="1"/>
  <c r="BI12" i="24" s="1"/>
  <c r="BI13" i="24" s="1"/>
  <c r="BJ5" i="8"/>
  <c r="BK8" i="8" s="1"/>
  <c r="BK12" i="8" s="1"/>
  <c r="BK13" i="8" s="1"/>
  <c r="CC9" i="10"/>
  <c r="BJ5" i="27"/>
  <c r="BK8" i="27" s="1"/>
  <c r="BK12" i="27" s="1"/>
  <c r="BJ7" i="7"/>
  <c r="BK31" i="7" s="1"/>
  <c r="BK33" i="7" s="1"/>
  <c r="BK38" i="7" s="1"/>
  <c r="BK39" i="7" s="1"/>
  <c r="BJ7" i="46"/>
  <c r="DT9" i="27"/>
  <c r="DV29" i="4"/>
  <c r="FF25" i="4"/>
  <c r="BK13" i="27" l="1"/>
  <c r="BJ13" i="45"/>
  <c r="FD32" i="46"/>
  <c r="FD38" i="13"/>
  <c r="BK5" i="8"/>
  <c r="BL8" i="8" s="1"/>
  <c r="BL12" i="8" s="1"/>
  <c r="BL13" i="8" s="1"/>
  <c r="BK5" i="27"/>
  <c r="BL8" i="27" s="1"/>
  <c r="BL12" i="27" s="1"/>
  <c r="BL13" i="27" s="1"/>
  <c r="BK7" i="7"/>
  <c r="BL31" i="7" s="1"/>
  <c r="BL33" i="7" s="1"/>
  <c r="BL38" i="7" s="1"/>
  <c r="BL39" i="7" s="1"/>
  <c r="CD9" i="10"/>
  <c r="BK7" i="46"/>
  <c r="DY26" i="4"/>
  <c r="DX27" i="4"/>
  <c r="DV33" i="46"/>
  <c r="DV38" i="46" s="1"/>
  <c r="DV39" i="46" s="1"/>
  <c r="DV9" i="45"/>
  <c r="DV9" i="34"/>
  <c r="DW40" i="13"/>
  <c r="DW46" i="13" s="1"/>
  <c r="DW47" i="13" s="1"/>
  <c r="DV9" i="33"/>
  <c r="BK7" i="26"/>
  <c r="BL31" i="26" s="1"/>
  <c r="BL33" i="26" s="1"/>
  <c r="BL38" i="26" s="1"/>
  <c r="BL39" i="26" s="1"/>
  <c r="BK5" i="25"/>
  <c r="BL8" i="25" s="1"/>
  <c r="BL12" i="25" s="1"/>
  <c r="BL13" i="25" s="1"/>
  <c r="CD69" i="10"/>
  <c r="BK5" i="34"/>
  <c r="BL8" i="34" s="1"/>
  <c r="BL12" i="34" s="1"/>
  <c r="BL13" i="34" s="1"/>
  <c r="BJ5" i="45"/>
  <c r="BK8" i="45" s="1"/>
  <c r="BK12" i="45" s="1"/>
  <c r="CC10" i="10"/>
  <c r="BJ5" i="33"/>
  <c r="BK8" i="33" s="1"/>
  <c r="BK12" i="33" s="1"/>
  <c r="BK13" i="33" s="1"/>
  <c r="BJ7" i="13"/>
  <c r="DU9" i="27"/>
  <c r="DW29" i="4"/>
  <c r="CB49" i="10"/>
  <c r="BI7" i="23"/>
  <c r="BJ31" i="23" s="1"/>
  <c r="BJ33" i="23" s="1"/>
  <c r="BJ38" i="23" s="1"/>
  <c r="BJ39" i="23" s="1"/>
  <c r="BI5" i="24"/>
  <c r="BJ8" i="24" s="1"/>
  <c r="BJ12" i="24" s="1"/>
  <c r="BJ13" i="24" s="1"/>
  <c r="FG25" i="4"/>
  <c r="BK13" i="45" l="1"/>
  <c r="FE32" i="46"/>
  <c r="FE38" i="13"/>
  <c r="DW9" i="45"/>
  <c r="DW9" i="33"/>
  <c r="DW33" i="46"/>
  <c r="DW38" i="46" s="1"/>
  <c r="DW39" i="46" s="1"/>
  <c r="DZ26" i="4"/>
  <c r="DW9" i="34"/>
  <c r="DX40" i="13"/>
  <c r="DX46" i="13" s="1"/>
  <c r="DX47" i="13" s="1"/>
  <c r="DY27" i="4"/>
  <c r="B42" i="4"/>
  <c r="BL7" i="7"/>
  <c r="BM31" i="7" s="1"/>
  <c r="BM33" i="7" s="1"/>
  <c r="BM38" i="7" s="1"/>
  <c r="BM39" i="7" s="1"/>
  <c r="CE9" i="10"/>
  <c r="BL7" i="46"/>
  <c r="BL5" i="8"/>
  <c r="BM8" i="8" s="1"/>
  <c r="BM12" i="8" s="1"/>
  <c r="BM13" i="8" s="1"/>
  <c r="BL5" i="27"/>
  <c r="BM8" i="27" s="1"/>
  <c r="BM12" i="27" s="1"/>
  <c r="BM13" i="27" s="1"/>
  <c r="CE69" i="10"/>
  <c r="BL5" i="34"/>
  <c r="BM8" i="34" s="1"/>
  <c r="BM12" i="34" s="1"/>
  <c r="BM13" i="34" s="1"/>
  <c r="BL7" i="26"/>
  <c r="BM31" i="26" s="1"/>
  <c r="BM33" i="26" s="1"/>
  <c r="BM38" i="26" s="1"/>
  <c r="BM39" i="26" s="1"/>
  <c r="BL5" i="25"/>
  <c r="BM8" i="25" s="1"/>
  <c r="BM12" i="25" s="1"/>
  <c r="BM13" i="25" s="1"/>
  <c r="BJ7" i="23"/>
  <c r="BK31" i="23" s="1"/>
  <c r="BK33" i="23" s="1"/>
  <c r="BK38" i="23" s="1"/>
  <c r="BK39" i="23" s="1"/>
  <c r="CC49" i="10"/>
  <c r="BJ5" i="24"/>
  <c r="BK8" i="24" s="1"/>
  <c r="BK12" i="24" s="1"/>
  <c r="BK13" i="24" s="1"/>
  <c r="BK5" i="33"/>
  <c r="BL8" i="33" s="1"/>
  <c r="BL12" i="33" s="1"/>
  <c r="BL13" i="33" s="1"/>
  <c r="BK5" i="45"/>
  <c r="BL8" i="45" s="1"/>
  <c r="BL12" i="45" s="1"/>
  <c r="BK7" i="13"/>
  <c r="CD10" i="10"/>
  <c r="DX29" i="4"/>
  <c r="DV9" i="27"/>
  <c r="FH25" i="4"/>
  <c r="BL13" i="45" l="1"/>
  <c r="FF32" i="46"/>
  <c r="FF38" i="13"/>
  <c r="DY29" i="4"/>
  <c r="DW9" i="27"/>
  <c r="DZ27" i="4"/>
  <c r="EA26" i="4"/>
  <c r="DX9" i="34"/>
  <c r="N17" i="34" s="1"/>
  <c r="N50" i="34" s="1"/>
  <c r="DX33" i="46"/>
  <c r="DX38" i="46" s="1"/>
  <c r="DX39" i="46" s="1"/>
  <c r="DX9" i="45"/>
  <c r="DY40" i="13"/>
  <c r="DY46" i="13" s="1"/>
  <c r="DY47" i="13" s="1"/>
  <c r="DX9" i="33"/>
  <c r="N17" i="33" s="1"/>
  <c r="N50" i="33" s="1"/>
  <c r="BM5" i="34"/>
  <c r="BN8" i="34" s="1"/>
  <c r="BN12" i="34" s="1"/>
  <c r="BN13" i="34" s="1"/>
  <c r="BM7" i="26"/>
  <c r="BN31" i="26" s="1"/>
  <c r="BN33" i="26" s="1"/>
  <c r="BN38" i="26" s="1"/>
  <c r="BN39" i="26" s="1"/>
  <c r="BM5" i="25"/>
  <c r="BN8" i="25" s="1"/>
  <c r="BN12" i="25" s="1"/>
  <c r="BN13" i="25" s="1"/>
  <c r="CF69" i="10"/>
  <c r="BM7" i="46"/>
  <c r="BM5" i="8"/>
  <c r="BN8" i="8" s="1"/>
  <c r="BN12" i="8" s="1"/>
  <c r="BN13" i="8" s="1"/>
  <c r="CF9" i="10"/>
  <c r="BM7" i="7"/>
  <c r="BN31" i="7" s="1"/>
  <c r="BN33" i="7" s="1"/>
  <c r="BN38" i="7" s="1"/>
  <c r="BN39" i="7" s="1"/>
  <c r="BM5" i="27"/>
  <c r="BN8" i="27" s="1"/>
  <c r="BN12" i="27" s="1"/>
  <c r="BN13" i="27" s="1"/>
  <c r="BL7" i="13"/>
  <c r="BL5" i="45"/>
  <c r="BM8" i="45" s="1"/>
  <c r="BM12" i="45" s="1"/>
  <c r="BL5" i="33"/>
  <c r="BM8" i="33" s="1"/>
  <c r="BM12" i="33" s="1"/>
  <c r="BM13" i="33" s="1"/>
  <c r="CE10" i="10"/>
  <c r="BK7" i="23"/>
  <c r="BL31" i="23" s="1"/>
  <c r="BL33" i="23" s="1"/>
  <c r="BL38" i="23" s="1"/>
  <c r="BL39" i="23" s="1"/>
  <c r="BK5" i="24"/>
  <c r="BL8" i="24" s="1"/>
  <c r="BL12" i="24" s="1"/>
  <c r="BL13" i="24" s="1"/>
  <c r="CD49" i="10"/>
  <c r="FI25" i="4"/>
  <c r="BM13" i="45" l="1"/>
  <c r="FG38" i="13"/>
  <c r="FG32" i="46"/>
  <c r="CG9" i="10"/>
  <c r="BN5" i="8"/>
  <c r="BO8" i="8" s="1"/>
  <c r="BO12" i="8" s="1"/>
  <c r="BO13" i="8" s="1"/>
  <c r="BN5" i="27"/>
  <c r="BO8" i="27" s="1"/>
  <c r="BO12" i="27" s="1"/>
  <c r="BO13" i="27" s="1"/>
  <c r="BN7" i="46"/>
  <c r="BN7" i="7"/>
  <c r="BO31" i="7" s="1"/>
  <c r="BO33" i="7" s="1"/>
  <c r="BO38" i="7" s="1"/>
  <c r="BO39" i="7" s="1"/>
  <c r="BN7" i="26"/>
  <c r="BO31" i="26" s="1"/>
  <c r="BO33" i="26" s="1"/>
  <c r="BO38" i="26" s="1"/>
  <c r="BO39" i="26" s="1"/>
  <c r="BN5" i="34"/>
  <c r="BO8" i="34" s="1"/>
  <c r="BO12" i="34" s="1"/>
  <c r="BO13" i="34" s="1"/>
  <c r="CG69" i="10"/>
  <c r="BN5" i="25"/>
  <c r="BO8" i="25" s="1"/>
  <c r="BO12" i="25" s="1"/>
  <c r="BO13" i="25" s="1"/>
  <c r="DY9" i="33"/>
  <c r="EA27" i="4"/>
  <c r="DY9" i="45"/>
  <c r="EB26" i="4"/>
  <c r="DY33" i="46"/>
  <c r="DY38" i="46" s="1"/>
  <c r="DY39" i="46" s="1"/>
  <c r="DZ40" i="13"/>
  <c r="DZ46" i="13" s="1"/>
  <c r="DZ47" i="13" s="1"/>
  <c r="DY9" i="34"/>
  <c r="DX9" i="27"/>
  <c r="DZ29" i="4"/>
  <c r="BL7" i="23"/>
  <c r="BM31" i="23" s="1"/>
  <c r="BM33" i="23" s="1"/>
  <c r="BM38" i="23" s="1"/>
  <c r="BM39" i="23" s="1"/>
  <c r="CE49" i="10"/>
  <c r="BL5" i="24"/>
  <c r="BM8" i="24" s="1"/>
  <c r="BM12" i="24" s="1"/>
  <c r="BM13" i="24" s="1"/>
  <c r="BM5" i="45"/>
  <c r="BN8" i="45" s="1"/>
  <c r="BN12" i="45" s="1"/>
  <c r="BM5" i="33"/>
  <c r="BN8" i="33" s="1"/>
  <c r="BN12" i="33" s="1"/>
  <c r="BN13" i="33" s="1"/>
  <c r="CF10" i="10"/>
  <c r="BM7" i="13"/>
  <c r="FJ25" i="4"/>
  <c r="BN13" i="45" l="1"/>
  <c r="FH32" i="46"/>
  <c r="FH38" i="13"/>
  <c r="DY9" i="27"/>
  <c r="EA29" i="4"/>
  <c r="DZ33" i="46"/>
  <c r="DZ38" i="46" s="1"/>
  <c r="DZ39" i="46" s="1"/>
  <c r="EC26" i="4"/>
  <c r="DZ9" i="33"/>
  <c r="EA40" i="13"/>
  <c r="EA46" i="13" s="1"/>
  <c r="EA47" i="13" s="1"/>
  <c r="DZ9" i="34"/>
  <c r="EB27" i="4"/>
  <c r="DZ9" i="45"/>
  <c r="BN5" i="33"/>
  <c r="BO8" i="33" s="1"/>
  <c r="BO12" i="33" s="1"/>
  <c r="BO13" i="33" s="1"/>
  <c r="BN5" i="45"/>
  <c r="BO8" i="45" s="1"/>
  <c r="BO12" i="45" s="1"/>
  <c r="CG10" i="10"/>
  <c r="BN7" i="13"/>
  <c r="BM5" i="24"/>
  <c r="BN8" i="24" s="1"/>
  <c r="BN12" i="24" s="1"/>
  <c r="BN13" i="24" s="1"/>
  <c r="CF49" i="10"/>
  <c r="BM7" i="23"/>
  <c r="BN31" i="23" s="1"/>
  <c r="BN33" i="23" s="1"/>
  <c r="BN38" i="23" s="1"/>
  <c r="BN39" i="23" s="1"/>
  <c r="BO5" i="25"/>
  <c r="BP8" i="25" s="1"/>
  <c r="BP12" i="25" s="1"/>
  <c r="BP13" i="25" s="1"/>
  <c r="BO7" i="26"/>
  <c r="BP31" i="26" s="1"/>
  <c r="BP33" i="26" s="1"/>
  <c r="BP38" i="26" s="1"/>
  <c r="BP39" i="26" s="1"/>
  <c r="CH69" i="10"/>
  <c r="BO5" i="34"/>
  <c r="BP8" i="34" s="1"/>
  <c r="BP12" i="34" s="1"/>
  <c r="BP13" i="34" s="1"/>
  <c r="CH9" i="10"/>
  <c r="BO5" i="27"/>
  <c r="BP8" i="27" s="1"/>
  <c r="BP12" i="27" s="1"/>
  <c r="BP13" i="27" s="1"/>
  <c r="BO7" i="7"/>
  <c r="BP31" i="7" s="1"/>
  <c r="BP33" i="7" s="1"/>
  <c r="BP38" i="7" s="1"/>
  <c r="BP39" i="7" s="1"/>
  <c r="BO7" i="46"/>
  <c r="BO5" i="8"/>
  <c r="BP8" i="8" s="1"/>
  <c r="BP12" i="8" s="1"/>
  <c r="BP13" i="8" s="1"/>
  <c r="FK25" i="4"/>
  <c r="BO13" i="45" l="1"/>
  <c r="FI32" i="46"/>
  <c r="FI38" i="13"/>
  <c r="BP7" i="46"/>
  <c r="CI9" i="10"/>
  <c r="BP5" i="8"/>
  <c r="BQ8" i="8" s="1"/>
  <c r="BQ12" i="8" s="1"/>
  <c r="BQ13" i="8" s="1"/>
  <c r="BP5" i="27"/>
  <c r="BQ8" i="27" s="1"/>
  <c r="BQ12" i="27" s="1"/>
  <c r="BQ13" i="27" s="1"/>
  <c r="BP7" i="7"/>
  <c r="BQ31" i="7" s="1"/>
  <c r="BQ33" i="7" s="1"/>
  <c r="BQ38" i="7" s="1"/>
  <c r="BQ39" i="7" s="1"/>
  <c r="BO7" i="13"/>
  <c r="BO5" i="45"/>
  <c r="BP8" i="45" s="1"/>
  <c r="BP12" i="45" s="1"/>
  <c r="CH10" i="10"/>
  <c r="BO5" i="33"/>
  <c r="BP8" i="33" s="1"/>
  <c r="BP12" i="33" s="1"/>
  <c r="BP13" i="33" s="1"/>
  <c r="EA9" i="33"/>
  <c r="EB40" i="13"/>
  <c r="EB46" i="13" s="1"/>
  <c r="EB47" i="13" s="1"/>
  <c r="EA9" i="34"/>
  <c r="ED26" i="4"/>
  <c r="EC27" i="4"/>
  <c r="EA9" i="45"/>
  <c r="EA33" i="46"/>
  <c r="EA38" i="46" s="1"/>
  <c r="EA39" i="46" s="1"/>
  <c r="BN5" i="24"/>
  <c r="BO8" i="24" s="1"/>
  <c r="BO12" i="24" s="1"/>
  <c r="BO13" i="24" s="1"/>
  <c r="BN7" i="23"/>
  <c r="BO31" i="23" s="1"/>
  <c r="BO33" i="23" s="1"/>
  <c r="BO38" i="23" s="1"/>
  <c r="BO39" i="23" s="1"/>
  <c r="CG49" i="10"/>
  <c r="DZ9" i="27"/>
  <c r="EB29" i="4"/>
  <c r="CI69" i="10"/>
  <c r="BP7" i="26"/>
  <c r="BQ31" i="26" s="1"/>
  <c r="BQ33" i="26" s="1"/>
  <c r="BQ38" i="26" s="1"/>
  <c r="BQ39" i="26" s="1"/>
  <c r="BP5" i="34"/>
  <c r="BQ8" i="34" s="1"/>
  <c r="BQ12" i="34" s="1"/>
  <c r="BQ13" i="34" s="1"/>
  <c r="BP5" i="25"/>
  <c r="BQ8" i="25" s="1"/>
  <c r="BQ12" i="25" s="1"/>
  <c r="BQ13" i="25" s="1"/>
  <c r="FL25" i="4"/>
  <c r="BP13" i="45" l="1"/>
  <c r="FJ32" i="46"/>
  <c r="FJ38" i="13"/>
  <c r="EC29" i="4"/>
  <c r="EA9" i="27"/>
  <c r="BP5" i="33"/>
  <c r="BQ8" i="33" s="1"/>
  <c r="BQ12" i="33" s="1"/>
  <c r="BQ13" i="33" s="1"/>
  <c r="BP7" i="13"/>
  <c r="BP5" i="45"/>
  <c r="BQ8" i="45" s="1"/>
  <c r="BQ12" i="45" s="1"/>
  <c r="CI10" i="10"/>
  <c r="CJ9" i="10"/>
  <c r="BQ7" i="46"/>
  <c r="BQ5" i="8"/>
  <c r="BR8" i="8" s="1"/>
  <c r="BR12" i="8" s="1"/>
  <c r="BR13" i="8" s="1"/>
  <c r="BQ5" i="27"/>
  <c r="BR8" i="27" s="1"/>
  <c r="BR12" i="27" s="1"/>
  <c r="BR13" i="27" s="1"/>
  <c r="BQ7" i="7"/>
  <c r="BR31" i="7" s="1"/>
  <c r="BR33" i="7" s="1"/>
  <c r="BR38" i="7" s="1"/>
  <c r="BR39" i="7" s="1"/>
  <c r="EB9" i="33"/>
  <c r="EB9" i="45"/>
  <c r="EE26" i="4"/>
  <c r="EB9" i="34"/>
  <c r="EB33" i="46"/>
  <c r="EB38" i="46" s="1"/>
  <c r="EB39" i="46" s="1"/>
  <c r="ED27" i="4"/>
  <c r="EC40" i="13"/>
  <c r="EC46" i="13" s="1"/>
  <c r="EC47" i="13" s="1"/>
  <c r="CJ69" i="10"/>
  <c r="BQ7" i="26"/>
  <c r="BR31" i="26" s="1"/>
  <c r="BR33" i="26" s="1"/>
  <c r="BR38" i="26" s="1"/>
  <c r="BR39" i="26" s="1"/>
  <c r="BQ5" i="34"/>
  <c r="BR8" i="34" s="1"/>
  <c r="BR12" i="34" s="1"/>
  <c r="BR13" i="34" s="1"/>
  <c r="BQ5" i="25"/>
  <c r="BR8" i="25" s="1"/>
  <c r="BR12" i="25" s="1"/>
  <c r="BR13" i="25" s="1"/>
  <c r="BO7" i="23"/>
  <c r="BP31" i="23" s="1"/>
  <c r="BP33" i="23" s="1"/>
  <c r="BP38" i="23" s="1"/>
  <c r="BP39" i="23" s="1"/>
  <c r="CH49" i="10"/>
  <c r="BO5" i="24"/>
  <c r="BP8" i="24" s="1"/>
  <c r="BP12" i="24" s="1"/>
  <c r="BP13" i="24" s="1"/>
  <c r="FM25" i="4"/>
  <c r="BQ13" i="45" l="1"/>
  <c r="FK32" i="46"/>
  <c r="FK38" i="13"/>
  <c r="EC9" i="45"/>
  <c r="ED40" i="13"/>
  <c r="ED46" i="13" s="1"/>
  <c r="ED47" i="13" s="1"/>
  <c r="EE27" i="4"/>
  <c r="EC9" i="34"/>
  <c r="EC9" i="33"/>
  <c r="EF26" i="4"/>
  <c r="EC33" i="46"/>
  <c r="EC38" i="46" s="1"/>
  <c r="EC39" i="46" s="1"/>
  <c r="BR5" i="27"/>
  <c r="BS8" i="27" s="1"/>
  <c r="BS12" i="27" s="1"/>
  <c r="BS13" i="27" s="1"/>
  <c r="BR5" i="8"/>
  <c r="BS8" i="8" s="1"/>
  <c r="BS12" i="8" s="1"/>
  <c r="BS13" i="8" s="1"/>
  <c r="BR7" i="46"/>
  <c r="BR7" i="7"/>
  <c r="BS31" i="7" s="1"/>
  <c r="BS33" i="7" s="1"/>
  <c r="BS38" i="7" s="1"/>
  <c r="BS39" i="7" s="1"/>
  <c r="CK9" i="10"/>
  <c r="BR5" i="34"/>
  <c r="BS8" i="34" s="1"/>
  <c r="BS12" i="34" s="1"/>
  <c r="BS13" i="34" s="1"/>
  <c r="BR5" i="25"/>
  <c r="BS8" i="25" s="1"/>
  <c r="BS12" i="25" s="1"/>
  <c r="BS13" i="25" s="1"/>
  <c r="BR7" i="26"/>
  <c r="BS31" i="26" s="1"/>
  <c r="BS33" i="26" s="1"/>
  <c r="BS38" i="26" s="1"/>
  <c r="BS39" i="26" s="1"/>
  <c r="CK69" i="10"/>
  <c r="BP5" i="24"/>
  <c r="BQ8" i="24" s="1"/>
  <c r="BQ12" i="24" s="1"/>
  <c r="BQ13" i="24" s="1"/>
  <c r="CI49" i="10"/>
  <c r="BP7" i="23"/>
  <c r="BQ31" i="23" s="1"/>
  <c r="BQ33" i="23" s="1"/>
  <c r="BQ38" i="23" s="1"/>
  <c r="BQ39" i="23" s="1"/>
  <c r="CJ10" i="10"/>
  <c r="BQ5" i="33"/>
  <c r="BR8" i="33" s="1"/>
  <c r="BR12" i="33" s="1"/>
  <c r="BR13" i="33" s="1"/>
  <c r="BQ5" i="45"/>
  <c r="BR8" i="45" s="1"/>
  <c r="BR12" i="45" s="1"/>
  <c r="BQ7" i="13"/>
  <c r="EB9" i="27"/>
  <c r="ED29" i="4"/>
  <c r="FN25" i="4"/>
  <c r="BR13" i="45" l="1"/>
  <c r="FL32" i="46"/>
  <c r="FL38" i="13"/>
  <c r="BS7" i="7"/>
  <c r="BT31" i="7" s="1"/>
  <c r="BT33" i="7" s="1"/>
  <c r="BT38" i="7" s="1"/>
  <c r="BT39" i="7" s="1"/>
  <c r="CL9" i="10"/>
  <c r="BS7" i="46"/>
  <c r="BS5" i="8"/>
  <c r="BT8" i="8" s="1"/>
  <c r="BT12" i="8" s="1"/>
  <c r="BT13" i="8" s="1"/>
  <c r="BS5" i="27"/>
  <c r="BT8" i="27" s="1"/>
  <c r="BT12" i="27" s="1"/>
  <c r="BT13" i="27" s="1"/>
  <c r="ED9" i="45"/>
  <c r="ED9" i="33"/>
  <c r="ED9" i="34"/>
  <c r="EE40" i="13"/>
  <c r="EE46" i="13" s="1"/>
  <c r="EE47" i="13" s="1"/>
  <c r="ED33" i="46"/>
  <c r="ED38" i="46" s="1"/>
  <c r="ED39" i="46" s="1"/>
  <c r="EF27" i="4"/>
  <c r="EG26" i="4"/>
  <c r="EC9" i="27"/>
  <c r="EE29" i="4"/>
  <c r="BQ5" i="24"/>
  <c r="BR8" i="24" s="1"/>
  <c r="BR12" i="24" s="1"/>
  <c r="BR13" i="24" s="1"/>
  <c r="CJ49" i="10"/>
  <c r="BQ7" i="23"/>
  <c r="BR31" i="23" s="1"/>
  <c r="BR33" i="23" s="1"/>
  <c r="BR38" i="23" s="1"/>
  <c r="BR39" i="23" s="1"/>
  <c r="BS7" i="26"/>
  <c r="BT31" i="26" s="1"/>
  <c r="BT33" i="26" s="1"/>
  <c r="BT38" i="26" s="1"/>
  <c r="BT39" i="26" s="1"/>
  <c r="BS5" i="34"/>
  <c r="BT8" i="34" s="1"/>
  <c r="BT12" i="34" s="1"/>
  <c r="BT13" i="34" s="1"/>
  <c r="CL69" i="10"/>
  <c r="BS5" i="25"/>
  <c r="BT8" i="25" s="1"/>
  <c r="BT12" i="25" s="1"/>
  <c r="BT13" i="25" s="1"/>
  <c r="BR5" i="45"/>
  <c r="BS8" i="45" s="1"/>
  <c r="BS12" i="45" s="1"/>
  <c r="BR7" i="13"/>
  <c r="CK10" i="10"/>
  <c r="BR5" i="33"/>
  <c r="BS8" i="33" s="1"/>
  <c r="BS12" i="33" s="1"/>
  <c r="BS13" i="33" s="1"/>
  <c r="FO25" i="4"/>
  <c r="BS13" i="45" l="1"/>
  <c r="FM38" i="13"/>
  <c r="FM32" i="46"/>
  <c r="EF29" i="4"/>
  <c r="ED9" i="27"/>
  <c r="CL10" i="10"/>
  <c r="BS5" i="45"/>
  <c r="BT8" i="45" s="1"/>
  <c r="BT12" i="45" s="1"/>
  <c r="BS5" i="33"/>
  <c r="BT8" i="33" s="1"/>
  <c r="BT12" i="33" s="1"/>
  <c r="BT13" i="33" s="1"/>
  <c r="BS7" i="13"/>
  <c r="BR7" i="23"/>
  <c r="BS31" i="23" s="1"/>
  <c r="BS33" i="23" s="1"/>
  <c r="BS38" i="23" s="1"/>
  <c r="BS39" i="23" s="1"/>
  <c r="CK49" i="10"/>
  <c r="BR5" i="24"/>
  <c r="BS8" i="24" s="1"/>
  <c r="BS12" i="24" s="1"/>
  <c r="BS13" i="24" s="1"/>
  <c r="BT7" i="46"/>
  <c r="BT5" i="27"/>
  <c r="BU8" i="27" s="1"/>
  <c r="BU12" i="27" s="1"/>
  <c r="BU13" i="27" s="1"/>
  <c r="BT5" i="8"/>
  <c r="BU8" i="8" s="1"/>
  <c r="BU12" i="8" s="1"/>
  <c r="BU13" i="8" s="1"/>
  <c r="CM9" i="10"/>
  <c r="BT7" i="7"/>
  <c r="BU31" i="7" s="1"/>
  <c r="BU33" i="7" s="1"/>
  <c r="BU38" i="7" s="1"/>
  <c r="BU39" i="7" s="1"/>
  <c r="EF40" i="13"/>
  <c r="EF46" i="13" s="1"/>
  <c r="EF47" i="13" s="1"/>
  <c r="EG27" i="4"/>
  <c r="EH26" i="4"/>
  <c r="EE33" i="46"/>
  <c r="EE38" i="46" s="1"/>
  <c r="EE39" i="46" s="1"/>
  <c r="EE9" i="34"/>
  <c r="EE9" i="45"/>
  <c r="EE9" i="33"/>
  <c r="CM69" i="10"/>
  <c r="BT5" i="25"/>
  <c r="BU8" i="25" s="1"/>
  <c r="BU12" i="25" s="1"/>
  <c r="BU13" i="25" s="1"/>
  <c r="BT5" i="34"/>
  <c r="BU8" i="34" s="1"/>
  <c r="BU12" i="34" s="1"/>
  <c r="BU13" i="34" s="1"/>
  <c r="BT7" i="26"/>
  <c r="BU31" i="26" s="1"/>
  <c r="BU33" i="26" s="1"/>
  <c r="BU38" i="26" s="1"/>
  <c r="BU39" i="26" s="1"/>
  <c r="FP25" i="4"/>
  <c r="BT13" i="45" l="1"/>
  <c r="FN32" i="46"/>
  <c r="FN38" i="13"/>
  <c r="BS7" i="23"/>
  <c r="BT31" i="23" s="1"/>
  <c r="BT33" i="23" s="1"/>
  <c r="BT38" i="23" s="1"/>
  <c r="BT39" i="23" s="1"/>
  <c r="CL49" i="10"/>
  <c r="BS5" i="24"/>
  <c r="BT8" i="24" s="1"/>
  <c r="BT12" i="24" s="1"/>
  <c r="BT13" i="24" s="1"/>
  <c r="EE9" i="27"/>
  <c r="EG29" i="4"/>
  <c r="BU7" i="46"/>
  <c r="CN9" i="10"/>
  <c r="BU7" i="7"/>
  <c r="BV31" i="7" s="1"/>
  <c r="BV33" i="7" s="1"/>
  <c r="BV38" i="7" s="1"/>
  <c r="BV39" i="7" s="1"/>
  <c r="BU5" i="8"/>
  <c r="BV8" i="8" s="1"/>
  <c r="BV12" i="8" s="1"/>
  <c r="BV13" i="8" s="1"/>
  <c r="BU5" i="27"/>
  <c r="BV8" i="27" s="1"/>
  <c r="BV12" i="27" s="1"/>
  <c r="BV13" i="27" s="1"/>
  <c r="BU7" i="26"/>
  <c r="BV31" i="26" s="1"/>
  <c r="BV33" i="26" s="1"/>
  <c r="BV38" i="26" s="1"/>
  <c r="BV39" i="26" s="1"/>
  <c r="BU5" i="25"/>
  <c r="BV8" i="25" s="1"/>
  <c r="BV12" i="25" s="1"/>
  <c r="BV13" i="25" s="1"/>
  <c r="BU5" i="34"/>
  <c r="BV8" i="34" s="1"/>
  <c r="BV12" i="34" s="1"/>
  <c r="BV13" i="34" s="1"/>
  <c r="CN69" i="10"/>
  <c r="CM10" i="10"/>
  <c r="BT5" i="45"/>
  <c r="BU8" i="45" s="1"/>
  <c r="BU12" i="45" s="1"/>
  <c r="BT5" i="33"/>
  <c r="BU8" i="33" s="1"/>
  <c r="BU12" i="33" s="1"/>
  <c r="BU13" i="33" s="1"/>
  <c r="BT7" i="13"/>
  <c r="EF9" i="45"/>
  <c r="EH27" i="4"/>
  <c r="EG40" i="13"/>
  <c r="EG46" i="13" s="1"/>
  <c r="EG47" i="13" s="1"/>
  <c r="EI26" i="4"/>
  <c r="EF33" i="46"/>
  <c r="EF38" i="46" s="1"/>
  <c r="EF39" i="46" s="1"/>
  <c r="EF9" i="34"/>
  <c r="EF9" i="33"/>
  <c r="FQ25" i="4"/>
  <c r="BU13" i="45" l="1"/>
  <c r="FO38" i="13"/>
  <c r="FO32" i="46"/>
  <c r="EF9" i="27"/>
  <c r="EH29" i="4"/>
  <c r="CN10" i="10"/>
  <c r="BU5" i="33"/>
  <c r="BV8" i="33" s="1"/>
  <c r="BV12" i="33" s="1"/>
  <c r="BV13" i="33" s="1"/>
  <c r="BU7" i="13"/>
  <c r="BU5" i="45"/>
  <c r="BV8" i="45" s="1"/>
  <c r="BV12" i="45" s="1"/>
  <c r="EG33" i="46"/>
  <c r="EG38" i="46" s="1"/>
  <c r="EG39" i="46" s="1"/>
  <c r="EG9" i="33"/>
  <c r="EH40" i="13"/>
  <c r="EH46" i="13" s="1"/>
  <c r="EH47" i="13" s="1"/>
  <c r="EG9" i="34"/>
  <c r="EI27" i="4"/>
  <c r="EJ26" i="4"/>
  <c r="EG9" i="45"/>
  <c r="BV7" i="7"/>
  <c r="BW31" i="7" s="1"/>
  <c r="BW33" i="7" s="1"/>
  <c r="BW38" i="7" s="1"/>
  <c r="BW39" i="7" s="1"/>
  <c r="BV5" i="8"/>
  <c r="BW8" i="8" s="1"/>
  <c r="BW12" i="8" s="1"/>
  <c r="BW13" i="8" s="1"/>
  <c r="CO9" i="10"/>
  <c r="BV5" i="27"/>
  <c r="BW8" i="27" s="1"/>
  <c r="BW12" i="27" s="1"/>
  <c r="BW13" i="27" s="1"/>
  <c r="BV7" i="46"/>
  <c r="BT7" i="23"/>
  <c r="BU31" i="23" s="1"/>
  <c r="BU33" i="23" s="1"/>
  <c r="BU38" i="23" s="1"/>
  <c r="BU39" i="23" s="1"/>
  <c r="CM49" i="10"/>
  <c r="BT5" i="24"/>
  <c r="BU8" i="24" s="1"/>
  <c r="BU12" i="24" s="1"/>
  <c r="BU13" i="24" s="1"/>
  <c r="BV5" i="25"/>
  <c r="BW8" i="25" s="1"/>
  <c r="BW12" i="25" s="1"/>
  <c r="BW13" i="25" s="1"/>
  <c r="BV5" i="34"/>
  <c r="BW8" i="34" s="1"/>
  <c r="BW12" i="34" s="1"/>
  <c r="BW13" i="34" s="1"/>
  <c r="BV7" i="26"/>
  <c r="BW31" i="26" s="1"/>
  <c r="BW33" i="26" s="1"/>
  <c r="BW38" i="26" s="1"/>
  <c r="BW39" i="26" s="1"/>
  <c r="CO69" i="10"/>
  <c r="FR25" i="4"/>
  <c r="BV13" i="45" l="1"/>
  <c r="FP38" i="13"/>
  <c r="FP32" i="46"/>
  <c r="BW5" i="27"/>
  <c r="BX8" i="27" s="1"/>
  <c r="BX12" i="27" s="1"/>
  <c r="BX13" i="27" s="1"/>
  <c r="BW5" i="8"/>
  <c r="BX8" i="8" s="1"/>
  <c r="BX12" i="8" s="1"/>
  <c r="BX13" i="8" s="1"/>
  <c r="CP9" i="10"/>
  <c r="BW7" i="7"/>
  <c r="BX31" i="7" s="1"/>
  <c r="BX33" i="7" s="1"/>
  <c r="BX38" i="7" s="1"/>
  <c r="BX39" i="7" s="1"/>
  <c r="BW7" i="46"/>
  <c r="EI29" i="4"/>
  <c r="EG9" i="27"/>
  <c r="BV7" i="13"/>
  <c r="BV5" i="33"/>
  <c r="BW8" i="33" s="1"/>
  <c r="BW12" i="33" s="1"/>
  <c r="BW13" i="33" s="1"/>
  <c r="BV5" i="45"/>
  <c r="BW8" i="45" s="1"/>
  <c r="BW12" i="45" s="1"/>
  <c r="CO10" i="10"/>
  <c r="BW5" i="34"/>
  <c r="BX8" i="34" s="1"/>
  <c r="BX12" i="34" s="1"/>
  <c r="BX13" i="34" s="1"/>
  <c r="BW7" i="26"/>
  <c r="BX31" i="26" s="1"/>
  <c r="BX33" i="26" s="1"/>
  <c r="BX38" i="26" s="1"/>
  <c r="BX39" i="26" s="1"/>
  <c r="CP69" i="10"/>
  <c r="BW5" i="25"/>
  <c r="BX8" i="25" s="1"/>
  <c r="BX12" i="25" s="1"/>
  <c r="BX13" i="25" s="1"/>
  <c r="BU5" i="24"/>
  <c r="BV8" i="24" s="1"/>
  <c r="BV12" i="24" s="1"/>
  <c r="BV13" i="24" s="1"/>
  <c r="BU7" i="23"/>
  <c r="BV31" i="23" s="1"/>
  <c r="BV33" i="23" s="1"/>
  <c r="BV38" i="23" s="1"/>
  <c r="BV39" i="23" s="1"/>
  <c r="CN49" i="10"/>
  <c r="EK26" i="4"/>
  <c r="EI40" i="13"/>
  <c r="EI46" i="13" s="1"/>
  <c r="EI47" i="13" s="1"/>
  <c r="EH33" i="46"/>
  <c r="EH38" i="46" s="1"/>
  <c r="EH39" i="46" s="1"/>
  <c r="EH9" i="33"/>
  <c r="EH9" i="34"/>
  <c r="EJ27" i="4"/>
  <c r="EH9" i="45"/>
  <c r="FS25" i="4"/>
  <c r="BW13" i="45" l="1"/>
  <c r="FQ38" i="13"/>
  <c r="FQ32" i="46"/>
  <c r="EJ29" i="4"/>
  <c r="EH9" i="27"/>
  <c r="BX5" i="34"/>
  <c r="BY8" i="34" s="1"/>
  <c r="BY12" i="34" s="1"/>
  <c r="BY13" i="34" s="1"/>
  <c r="BX7" i="26"/>
  <c r="BY31" i="26" s="1"/>
  <c r="BY33" i="26" s="1"/>
  <c r="BY38" i="26" s="1"/>
  <c r="BY39" i="26" s="1"/>
  <c r="CQ69" i="10"/>
  <c r="BX5" i="25"/>
  <c r="BY8" i="25" s="1"/>
  <c r="BY12" i="25" s="1"/>
  <c r="BY13" i="25" s="1"/>
  <c r="BW5" i="33"/>
  <c r="BX8" i="33" s="1"/>
  <c r="BX12" i="33" s="1"/>
  <c r="BX13" i="33" s="1"/>
  <c r="BW5" i="45"/>
  <c r="BX8" i="45" s="1"/>
  <c r="BX12" i="45" s="1"/>
  <c r="BW7" i="13"/>
  <c r="CP10" i="10"/>
  <c r="BX7" i="46"/>
  <c r="BX5" i="27"/>
  <c r="BY8" i="27" s="1"/>
  <c r="BY12" i="27" s="1"/>
  <c r="BY13" i="27" s="1"/>
  <c r="BX5" i="8"/>
  <c r="BY8" i="8" s="1"/>
  <c r="BY12" i="8" s="1"/>
  <c r="BY13" i="8" s="1"/>
  <c r="CQ9" i="10"/>
  <c r="BX7" i="7"/>
  <c r="BY31" i="7" s="1"/>
  <c r="BY33" i="7" s="1"/>
  <c r="BY38" i="7" s="1"/>
  <c r="BY39" i="7" s="1"/>
  <c r="BV5" i="24"/>
  <c r="BW8" i="24" s="1"/>
  <c r="BW12" i="24" s="1"/>
  <c r="BW13" i="24" s="1"/>
  <c r="BV7" i="23"/>
  <c r="BW31" i="23" s="1"/>
  <c r="BW33" i="23" s="1"/>
  <c r="BW38" i="23" s="1"/>
  <c r="BW39" i="23" s="1"/>
  <c r="CO49" i="10"/>
  <c r="EK27" i="4"/>
  <c r="EL26" i="4"/>
  <c r="EI9" i="34"/>
  <c r="EJ40" i="13"/>
  <c r="EJ46" i="13" s="1"/>
  <c r="EJ47" i="13" s="1"/>
  <c r="EI9" i="33"/>
  <c r="EI33" i="46"/>
  <c r="EI38" i="46" s="1"/>
  <c r="EI39" i="46" s="1"/>
  <c r="EI9" i="45"/>
  <c r="FT25" i="4"/>
  <c r="BX13" i="45" l="1"/>
  <c r="FR32" i="46"/>
  <c r="FR38" i="13"/>
  <c r="BY5" i="27"/>
  <c r="BZ8" i="27" s="1"/>
  <c r="BZ12" i="27" s="1"/>
  <c r="BZ13" i="27" s="1"/>
  <c r="BY7" i="46"/>
  <c r="BY7" i="7"/>
  <c r="BZ31" i="7" s="1"/>
  <c r="BZ33" i="7" s="1"/>
  <c r="BZ38" i="7" s="1"/>
  <c r="BZ39" i="7" s="1"/>
  <c r="CR9" i="10"/>
  <c r="BY5" i="8"/>
  <c r="BZ8" i="8" s="1"/>
  <c r="BZ12" i="8" s="1"/>
  <c r="BZ13" i="8" s="1"/>
  <c r="CQ10" i="10"/>
  <c r="BX7" i="13"/>
  <c r="BX5" i="33"/>
  <c r="BY8" i="33" s="1"/>
  <c r="BY12" i="33" s="1"/>
  <c r="BY13" i="33" s="1"/>
  <c r="BX5" i="45"/>
  <c r="BY8" i="45" s="1"/>
  <c r="BY12" i="45" s="1"/>
  <c r="BW5" i="24"/>
  <c r="BX8" i="24" s="1"/>
  <c r="BX12" i="24" s="1"/>
  <c r="BX13" i="24" s="1"/>
  <c r="BW7" i="23"/>
  <c r="BX31" i="23" s="1"/>
  <c r="BX33" i="23" s="1"/>
  <c r="BX38" i="23" s="1"/>
  <c r="BX39" i="23" s="1"/>
  <c r="CP49" i="10"/>
  <c r="BY5" i="25"/>
  <c r="BZ8" i="25" s="1"/>
  <c r="BZ12" i="25" s="1"/>
  <c r="BZ13" i="25" s="1"/>
  <c r="CR69" i="10"/>
  <c r="BY5" i="34"/>
  <c r="BZ8" i="34" s="1"/>
  <c r="BZ12" i="34" s="1"/>
  <c r="BZ13" i="34" s="1"/>
  <c r="BY7" i="26"/>
  <c r="BZ31" i="26" s="1"/>
  <c r="BZ33" i="26" s="1"/>
  <c r="BZ38" i="26" s="1"/>
  <c r="BZ39" i="26" s="1"/>
  <c r="EJ33" i="46"/>
  <c r="EJ38" i="46" s="1"/>
  <c r="EJ39" i="46" s="1"/>
  <c r="EJ9" i="45"/>
  <c r="EJ9" i="34"/>
  <c r="O17" i="34" s="1"/>
  <c r="O50" i="34" s="1"/>
  <c r="EM26" i="4"/>
  <c r="EK40" i="13"/>
  <c r="EK46" i="13" s="1"/>
  <c r="EK47" i="13" s="1"/>
  <c r="EJ9" i="33"/>
  <c r="EL27" i="4"/>
  <c r="EK29" i="4"/>
  <c r="EI9" i="27"/>
  <c r="FU25" i="4"/>
  <c r="BY13" i="45" l="1"/>
  <c r="FS38" i="13"/>
  <c r="FS32" i="46"/>
  <c r="BX5" i="24"/>
  <c r="BY8" i="24" s="1"/>
  <c r="BY12" i="24" s="1"/>
  <c r="BY13" i="24" s="1"/>
  <c r="BX7" i="23"/>
  <c r="BY31" i="23" s="1"/>
  <c r="BY33" i="23" s="1"/>
  <c r="BY38" i="23" s="1"/>
  <c r="BY39" i="23" s="1"/>
  <c r="CQ49" i="10"/>
  <c r="BY5" i="33"/>
  <c r="BZ8" i="33" s="1"/>
  <c r="BZ12" i="33" s="1"/>
  <c r="BZ13" i="33" s="1"/>
  <c r="CR10" i="10"/>
  <c r="BY5" i="45"/>
  <c r="BZ8" i="45" s="1"/>
  <c r="BZ12" i="45" s="1"/>
  <c r="BY7" i="13"/>
  <c r="EL40" i="13"/>
  <c r="EL46" i="13" s="1"/>
  <c r="EL47" i="13" s="1"/>
  <c r="EK9" i="34"/>
  <c r="EK9" i="45"/>
  <c r="EK9" i="33"/>
  <c r="EK33" i="46"/>
  <c r="EK38" i="46" s="1"/>
  <c r="EK39" i="46" s="1"/>
  <c r="EN26" i="4"/>
  <c r="EM27" i="4"/>
  <c r="BZ5" i="8"/>
  <c r="CA8" i="8" s="1"/>
  <c r="CA12" i="8" s="1"/>
  <c r="CA13" i="8" s="1"/>
  <c r="CS9" i="10"/>
  <c r="BZ7" i="7"/>
  <c r="CA31" i="7" s="1"/>
  <c r="CA33" i="7" s="1"/>
  <c r="CA38" i="7" s="1"/>
  <c r="CA39" i="7" s="1"/>
  <c r="BZ7" i="46"/>
  <c r="BZ5" i="27"/>
  <c r="CA8" i="27" s="1"/>
  <c r="CA12" i="27" s="1"/>
  <c r="CA13" i="27" s="1"/>
  <c r="EJ9" i="27"/>
  <c r="EL29" i="4"/>
  <c r="CS69" i="10"/>
  <c r="BZ5" i="25"/>
  <c r="CA8" i="25" s="1"/>
  <c r="CA12" i="25" s="1"/>
  <c r="CA13" i="25" s="1"/>
  <c r="BZ5" i="34"/>
  <c r="CA8" i="34" s="1"/>
  <c r="CA12" i="34" s="1"/>
  <c r="CA13" i="34" s="1"/>
  <c r="BZ7" i="26"/>
  <c r="CA31" i="26" s="1"/>
  <c r="CA33" i="26" s="1"/>
  <c r="CA38" i="26" s="1"/>
  <c r="CA39" i="26" s="1"/>
  <c r="FV25" i="4"/>
  <c r="BZ13" i="45" l="1"/>
  <c r="FT32" i="46"/>
  <c r="FT38" i="13"/>
  <c r="EL33" i="46"/>
  <c r="EL38" i="46" s="1"/>
  <c r="EL39" i="46" s="1"/>
  <c r="EL9" i="45"/>
  <c r="EM40" i="13"/>
  <c r="EM46" i="13" s="1"/>
  <c r="EM47" i="13" s="1"/>
  <c r="EO26" i="4"/>
  <c r="EN27" i="4"/>
  <c r="EL9" i="33"/>
  <c r="EL9" i="34"/>
  <c r="EK9" i="27"/>
  <c r="EM29" i="4"/>
  <c r="BY5" i="24"/>
  <c r="BZ8" i="24" s="1"/>
  <c r="BZ12" i="24" s="1"/>
  <c r="BZ13" i="24" s="1"/>
  <c r="CR49" i="10"/>
  <c r="BY7" i="23"/>
  <c r="BZ31" i="23" s="1"/>
  <c r="BZ33" i="23" s="1"/>
  <c r="BZ38" i="23" s="1"/>
  <c r="BZ39" i="23" s="1"/>
  <c r="CA7" i="7"/>
  <c r="CB31" i="7" s="1"/>
  <c r="CB33" i="7" s="1"/>
  <c r="CB38" i="7" s="1"/>
  <c r="CB39" i="7" s="1"/>
  <c r="CT9" i="10"/>
  <c r="CA5" i="8"/>
  <c r="CB8" i="8" s="1"/>
  <c r="CB12" i="8" s="1"/>
  <c r="CB13" i="8" s="1"/>
  <c r="CA7" i="46"/>
  <c r="CA5" i="27"/>
  <c r="CB8" i="27" s="1"/>
  <c r="CB12" i="27" s="1"/>
  <c r="CB13" i="27" s="1"/>
  <c r="CT69" i="10"/>
  <c r="CA5" i="34"/>
  <c r="CB8" i="34" s="1"/>
  <c r="CB12" i="34" s="1"/>
  <c r="CB13" i="34" s="1"/>
  <c r="CA5" i="25"/>
  <c r="CB8" i="25" s="1"/>
  <c r="CB12" i="25" s="1"/>
  <c r="CB13" i="25" s="1"/>
  <c r="CA7" i="26"/>
  <c r="CB31" i="26" s="1"/>
  <c r="CB33" i="26" s="1"/>
  <c r="CB38" i="26" s="1"/>
  <c r="CB39" i="26" s="1"/>
  <c r="BZ5" i="33"/>
  <c r="CA8" i="33" s="1"/>
  <c r="CA12" i="33" s="1"/>
  <c r="CA13" i="33" s="1"/>
  <c r="CS10" i="10"/>
  <c r="BZ7" i="13"/>
  <c r="BZ5" i="45"/>
  <c r="CA8" i="45" s="1"/>
  <c r="CA12" i="45" s="1"/>
  <c r="CA13" i="45" s="1"/>
  <c r="FW25" i="4"/>
  <c r="FU32" i="46" l="1"/>
  <c r="FU38" i="13"/>
  <c r="CA5" i="33"/>
  <c r="CB8" i="33" s="1"/>
  <c r="CB12" i="33" s="1"/>
  <c r="CB13" i="33" s="1"/>
  <c r="CA7" i="13"/>
  <c r="CT10" i="10"/>
  <c r="CA5" i="45"/>
  <c r="CB8" i="45" s="1"/>
  <c r="CB12" i="45" s="1"/>
  <c r="CB13" i="45" s="1"/>
  <c r="BZ5" i="24"/>
  <c r="CA8" i="24" s="1"/>
  <c r="CA12" i="24" s="1"/>
  <c r="CA13" i="24" s="1"/>
  <c r="CS49" i="10"/>
  <c r="BZ7" i="23"/>
  <c r="CA31" i="23" s="1"/>
  <c r="CA33" i="23" s="1"/>
  <c r="CA38" i="23" s="1"/>
  <c r="CA39" i="23" s="1"/>
  <c r="EN40" i="13"/>
  <c r="EN46" i="13" s="1"/>
  <c r="EN47" i="13" s="1"/>
  <c r="EM9" i="33"/>
  <c r="EO27" i="4"/>
  <c r="EM9" i="34"/>
  <c r="EM33" i="46"/>
  <c r="EM38" i="46" s="1"/>
  <c r="EM39" i="46" s="1"/>
  <c r="EM9" i="45"/>
  <c r="EP26" i="4"/>
  <c r="EN29" i="4"/>
  <c r="EL9" i="27"/>
  <c r="CB5" i="25"/>
  <c r="CC8" i="25" s="1"/>
  <c r="CC12" i="25" s="1"/>
  <c r="CC13" i="25" s="1"/>
  <c r="CB7" i="26"/>
  <c r="CC31" i="26" s="1"/>
  <c r="CC33" i="26" s="1"/>
  <c r="CC38" i="26" s="1"/>
  <c r="CC39" i="26" s="1"/>
  <c r="CU69" i="10"/>
  <c r="CB5" i="34"/>
  <c r="CC8" i="34" s="1"/>
  <c r="CC12" i="34" s="1"/>
  <c r="CC13" i="34" s="1"/>
  <c r="CB5" i="8"/>
  <c r="CC8" i="8" s="1"/>
  <c r="CC12" i="8" s="1"/>
  <c r="CC13" i="8" s="1"/>
  <c r="CB7" i="46"/>
  <c r="CU9" i="10"/>
  <c r="CB7" i="7"/>
  <c r="CC31" i="7" s="1"/>
  <c r="CC33" i="7" s="1"/>
  <c r="CC38" i="7" s="1"/>
  <c r="CC39" i="7" s="1"/>
  <c r="CB5" i="27"/>
  <c r="CC8" i="27" s="1"/>
  <c r="CC12" i="27" s="1"/>
  <c r="CC13" i="27" s="1"/>
  <c r="FX25" i="4"/>
  <c r="FV32" i="46" l="1"/>
  <c r="FV38" i="13"/>
  <c r="EO29" i="4"/>
  <c r="EM9" i="27"/>
  <c r="CC7" i="46"/>
  <c r="CV9" i="10"/>
  <c r="CC5" i="27"/>
  <c r="CD8" i="27" s="1"/>
  <c r="CD12" i="27" s="1"/>
  <c r="CD13" i="27" s="1"/>
  <c r="CC7" i="7"/>
  <c r="CD31" i="7" s="1"/>
  <c r="CD33" i="7" s="1"/>
  <c r="CD38" i="7" s="1"/>
  <c r="CD39" i="7" s="1"/>
  <c r="CC5" i="8"/>
  <c r="CD8" i="8" s="1"/>
  <c r="CD12" i="8" s="1"/>
  <c r="CD13" i="8" s="1"/>
  <c r="EN9" i="33"/>
  <c r="EN9" i="45"/>
  <c r="EN9" i="34"/>
  <c r="EO40" i="13"/>
  <c r="EO46" i="13" s="1"/>
  <c r="EO47" i="13" s="1"/>
  <c r="EP27" i="4"/>
  <c r="EQ26" i="4"/>
  <c r="EN33" i="46"/>
  <c r="EN38" i="46" s="1"/>
  <c r="EN39" i="46" s="1"/>
  <c r="CC5" i="25"/>
  <c r="CD8" i="25" s="1"/>
  <c r="CD12" i="25" s="1"/>
  <c r="CD13" i="25" s="1"/>
  <c r="CV69" i="10"/>
  <c r="CC5" i="34"/>
  <c r="CD8" i="34" s="1"/>
  <c r="CD12" i="34" s="1"/>
  <c r="CD13" i="34" s="1"/>
  <c r="CC7" i="26"/>
  <c r="CD31" i="26" s="1"/>
  <c r="CD33" i="26" s="1"/>
  <c r="CD38" i="26" s="1"/>
  <c r="CD39" i="26" s="1"/>
  <c r="CU10" i="10"/>
  <c r="CB5" i="45"/>
  <c r="CC8" i="45" s="1"/>
  <c r="CC12" i="45" s="1"/>
  <c r="CC13" i="45" s="1"/>
  <c r="CB5" i="33"/>
  <c r="CC8" i="33" s="1"/>
  <c r="CC12" i="33" s="1"/>
  <c r="CC13" i="33" s="1"/>
  <c r="CB7" i="13"/>
  <c r="CA5" i="24"/>
  <c r="CB8" i="24" s="1"/>
  <c r="CB12" i="24" s="1"/>
  <c r="CB13" i="24" s="1"/>
  <c r="CA7" i="23"/>
  <c r="CB31" i="23" s="1"/>
  <c r="CB33" i="23" s="1"/>
  <c r="CB38" i="23" s="1"/>
  <c r="CB39" i="23" s="1"/>
  <c r="CT49" i="10"/>
  <c r="FY25" i="4"/>
  <c r="FW38" i="13" l="1"/>
  <c r="FW32" i="46"/>
  <c r="CW69" i="10"/>
  <c r="CD5" i="34"/>
  <c r="CE8" i="34" s="1"/>
  <c r="CE12" i="34" s="1"/>
  <c r="CE13" i="34" s="1"/>
  <c r="CD7" i="26"/>
  <c r="CE31" i="26" s="1"/>
  <c r="CE33" i="26" s="1"/>
  <c r="CE38" i="26" s="1"/>
  <c r="CE39" i="26" s="1"/>
  <c r="CD5" i="25"/>
  <c r="CE8" i="25" s="1"/>
  <c r="CE12" i="25" s="1"/>
  <c r="CE13" i="25" s="1"/>
  <c r="CD5" i="8"/>
  <c r="CE8" i="8" s="1"/>
  <c r="CE12" i="8" s="1"/>
  <c r="CE13" i="8" s="1"/>
  <c r="CD7" i="7"/>
  <c r="CE31" i="7" s="1"/>
  <c r="CE33" i="7" s="1"/>
  <c r="CE38" i="7" s="1"/>
  <c r="CE39" i="7" s="1"/>
  <c r="CW9" i="10"/>
  <c r="CD7" i="46"/>
  <c r="CD5" i="27"/>
  <c r="CE8" i="27" s="1"/>
  <c r="CE12" i="27" s="1"/>
  <c r="CE13" i="27" s="1"/>
  <c r="EP29" i="4"/>
  <c r="EN9" i="27"/>
  <c r="CC5" i="33"/>
  <c r="CD8" i="33" s="1"/>
  <c r="CD12" i="33" s="1"/>
  <c r="CD13" i="33" s="1"/>
  <c r="CV10" i="10"/>
  <c r="CC7" i="13"/>
  <c r="CC5" i="45"/>
  <c r="CD8" i="45" s="1"/>
  <c r="CD12" i="45" s="1"/>
  <c r="CD13" i="45" s="1"/>
  <c r="EQ27" i="4"/>
  <c r="EO9" i="45"/>
  <c r="EO9" i="34"/>
  <c r="EP40" i="13"/>
  <c r="EP46" i="13" s="1"/>
  <c r="EP47" i="13" s="1"/>
  <c r="EO33" i="46"/>
  <c r="EO38" i="46" s="1"/>
  <c r="EO39" i="46" s="1"/>
  <c r="EO9" i="33"/>
  <c r="ER26" i="4"/>
  <c r="CU49" i="10"/>
  <c r="CB7" i="23"/>
  <c r="CC31" i="23" s="1"/>
  <c r="CC33" i="23" s="1"/>
  <c r="CC38" i="23" s="1"/>
  <c r="CC39" i="23" s="1"/>
  <c r="CB5" i="24"/>
  <c r="CC8" i="24" s="1"/>
  <c r="CC12" i="24" s="1"/>
  <c r="CC13" i="24" s="1"/>
  <c r="FZ25" i="4"/>
  <c r="FX32" i="46" l="1"/>
  <c r="FX38" i="13"/>
  <c r="CD5" i="45"/>
  <c r="CE8" i="45" s="1"/>
  <c r="CE12" i="45" s="1"/>
  <c r="CE13" i="45" s="1"/>
  <c r="CW10" i="10"/>
  <c r="CD7" i="13"/>
  <c r="CD5" i="33"/>
  <c r="CE8" i="33" s="1"/>
  <c r="CE12" i="33" s="1"/>
  <c r="CE13" i="33" s="1"/>
  <c r="EQ29" i="4"/>
  <c r="EO9" i="27"/>
  <c r="CC5" i="24"/>
  <c r="CD8" i="24" s="1"/>
  <c r="CD12" i="24" s="1"/>
  <c r="CD13" i="24" s="1"/>
  <c r="CC7" i="23"/>
  <c r="CD31" i="23" s="1"/>
  <c r="CD33" i="23" s="1"/>
  <c r="CD38" i="23" s="1"/>
  <c r="CD39" i="23" s="1"/>
  <c r="CV49" i="10"/>
  <c r="CE7" i="7"/>
  <c r="CF31" i="7" s="1"/>
  <c r="CF33" i="7" s="1"/>
  <c r="CF38" i="7" s="1"/>
  <c r="CF39" i="7" s="1"/>
  <c r="CE5" i="27"/>
  <c r="CF8" i="27" s="1"/>
  <c r="CF12" i="27" s="1"/>
  <c r="CF13" i="27" s="1"/>
  <c r="CX9" i="10"/>
  <c r="CE7" i="46"/>
  <c r="CE5" i="8"/>
  <c r="CF8" i="8" s="1"/>
  <c r="CF12" i="8" s="1"/>
  <c r="CF13" i="8" s="1"/>
  <c r="ES26" i="4"/>
  <c r="EQ40" i="13"/>
  <c r="EQ46" i="13" s="1"/>
  <c r="EQ47" i="13" s="1"/>
  <c r="EP9" i="34"/>
  <c r="EP33" i="46"/>
  <c r="EP38" i="46" s="1"/>
  <c r="EP39" i="46" s="1"/>
  <c r="EP9" i="33"/>
  <c r="ER27" i="4"/>
  <c r="EP9" i="45"/>
  <c r="CE5" i="34"/>
  <c r="CF8" i="34" s="1"/>
  <c r="CF12" i="34" s="1"/>
  <c r="CF13" i="34" s="1"/>
  <c r="CX69" i="10"/>
  <c r="CE5" i="25"/>
  <c r="CF8" i="25" s="1"/>
  <c r="CF12" i="25" s="1"/>
  <c r="CF13" i="25" s="1"/>
  <c r="CE7" i="26"/>
  <c r="CF31" i="26" s="1"/>
  <c r="CF33" i="26" s="1"/>
  <c r="CF38" i="26" s="1"/>
  <c r="CF39" i="26" s="1"/>
  <c r="GA25" i="4"/>
  <c r="FY32" i="46" l="1"/>
  <c r="FY38" i="13"/>
  <c r="EQ33" i="46"/>
  <c r="EQ38" i="46" s="1"/>
  <c r="EQ39" i="46" s="1"/>
  <c r="ES27" i="4"/>
  <c r="EQ9" i="34"/>
  <c r="EQ9" i="33"/>
  <c r="EQ9" i="45"/>
  <c r="ER40" i="13"/>
  <c r="ER46" i="13" s="1"/>
  <c r="ER47" i="13" s="1"/>
  <c r="ET26" i="4"/>
  <c r="CD7" i="23"/>
  <c r="CE31" i="23" s="1"/>
  <c r="CE33" i="23" s="1"/>
  <c r="CE38" i="23" s="1"/>
  <c r="CE39" i="23" s="1"/>
  <c r="CD5" i="24"/>
  <c r="CE8" i="24" s="1"/>
  <c r="CE12" i="24" s="1"/>
  <c r="CE13" i="24" s="1"/>
  <c r="CW49" i="10"/>
  <c r="EP9" i="27"/>
  <c r="ER29" i="4"/>
  <c r="CE5" i="45"/>
  <c r="CF8" i="45" s="1"/>
  <c r="CF12" i="45" s="1"/>
  <c r="CF13" i="45" s="1"/>
  <c r="CE5" i="33"/>
  <c r="CF8" i="33" s="1"/>
  <c r="CF12" i="33" s="1"/>
  <c r="CF13" i="33" s="1"/>
  <c r="CX10" i="10"/>
  <c r="CE7" i="13"/>
  <c r="CF5" i="27"/>
  <c r="CG8" i="27" s="1"/>
  <c r="CG12" i="27" s="1"/>
  <c r="CG13" i="27" s="1"/>
  <c r="CF7" i="7"/>
  <c r="CG31" i="7" s="1"/>
  <c r="CG33" i="7" s="1"/>
  <c r="CG38" i="7" s="1"/>
  <c r="CG39" i="7" s="1"/>
  <c r="CF7" i="46"/>
  <c r="CF5" i="8"/>
  <c r="CG8" i="8" s="1"/>
  <c r="CG12" i="8" s="1"/>
  <c r="CG13" i="8" s="1"/>
  <c r="CY9" i="10"/>
  <c r="CF5" i="25"/>
  <c r="CG8" i="25" s="1"/>
  <c r="CG12" i="25" s="1"/>
  <c r="CG13" i="25" s="1"/>
  <c r="CF5" i="34"/>
  <c r="CG8" i="34" s="1"/>
  <c r="CG12" i="34" s="1"/>
  <c r="CG13" i="34" s="1"/>
  <c r="CF7" i="26"/>
  <c r="CG31" i="26" s="1"/>
  <c r="CG33" i="26" s="1"/>
  <c r="CG38" i="26" s="1"/>
  <c r="CG39" i="26" s="1"/>
  <c r="CY69" i="10"/>
  <c r="GB25" i="4"/>
  <c r="FZ32" i="46" l="1"/>
  <c r="FZ38" i="13"/>
  <c r="CZ9" i="10"/>
  <c r="CG5" i="27"/>
  <c r="CH8" i="27" s="1"/>
  <c r="CH12" i="27" s="1"/>
  <c r="CH13" i="27" s="1"/>
  <c r="CG7" i="46"/>
  <c r="CG5" i="8"/>
  <c r="CH8" i="8" s="1"/>
  <c r="CH12" i="8" s="1"/>
  <c r="CH13" i="8" s="1"/>
  <c r="CG7" i="7"/>
  <c r="CH31" i="7" s="1"/>
  <c r="CH33" i="7" s="1"/>
  <c r="CH38" i="7" s="1"/>
  <c r="CH39" i="7" s="1"/>
  <c r="CE7" i="23"/>
  <c r="CF31" i="23" s="1"/>
  <c r="CF33" i="23" s="1"/>
  <c r="CF38" i="23" s="1"/>
  <c r="CF39" i="23" s="1"/>
  <c r="CX49" i="10"/>
  <c r="CE5" i="24"/>
  <c r="CF8" i="24" s="1"/>
  <c r="CF12" i="24" s="1"/>
  <c r="CF13" i="24" s="1"/>
  <c r="CZ69" i="10"/>
  <c r="CG7" i="26"/>
  <c r="CH31" i="26" s="1"/>
  <c r="CH33" i="26" s="1"/>
  <c r="CH38" i="26" s="1"/>
  <c r="CH39" i="26" s="1"/>
  <c r="CG5" i="25"/>
  <c r="CH8" i="25" s="1"/>
  <c r="CH12" i="25" s="1"/>
  <c r="CH13" i="25" s="1"/>
  <c r="CG5" i="34"/>
  <c r="CH8" i="34" s="1"/>
  <c r="CH12" i="34" s="1"/>
  <c r="CH13" i="34" s="1"/>
  <c r="ET27" i="4"/>
  <c r="ER9" i="33"/>
  <c r="ES40" i="13"/>
  <c r="ES46" i="13" s="1"/>
  <c r="ES47" i="13" s="1"/>
  <c r="ER9" i="45"/>
  <c r="ER9" i="34"/>
  <c r="EU26" i="4"/>
  <c r="ER33" i="46"/>
  <c r="ER38" i="46" s="1"/>
  <c r="ER39" i="46" s="1"/>
  <c r="CF7" i="13"/>
  <c r="CY10" i="10"/>
  <c r="CF5" i="45"/>
  <c r="CG8" i="45" s="1"/>
  <c r="CG12" i="45" s="1"/>
  <c r="CG13" i="45" s="1"/>
  <c r="CF5" i="33"/>
  <c r="CG8" i="33" s="1"/>
  <c r="CG12" i="33" s="1"/>
  <c r="CG13" i="33" s="1"/>
  <c r="ES29" i="4"/>
  <c r="EQ9" i="27"/>
  <c r="GC25" i="4"/>
  <c r="GA32" i="46" l="1"/>
  <c r="GA38" i="13"/>
  <c r="CH5" i="34"/>
  <c r="CI8" i="34" s="1"/>
  <c r="CI12" i="34" s="1"/>
  <c r="CI13" i="34" s="1"/>
  <c r="CH5" i="25"/>
  <c r="CI8" i="25" s="1"/>
  <c r="CI12" i="25" s="1"/>
  <c r="CI13" i="25" s="1"/>
  <c r="CH7" i="26"/>
  <c r="CI31" i="26" s="1"/>
  <c r="CI33" i="26" s="1"/>
  <c r="CI38" i="26" s="1"/>
  <c r="CI39" i="26" s="1"/>
  <c r="DA69" i="10"/>
  <c r="ER9" i="27"/>
  <c r="ET29" i="4"/>
  <c r="CF5" i="24"/>
  <c r="CG8" i="24" s="1"/>
  <c r="CG12" i="24" s="1"/>
  <c r="CG13" i="24" s="1"/>
  <c r="CY49" i="10"/>
  <c r="CF7" i="23"/>
  <c r="CG31" i="23" s="1"/>
  <c r="CG33" i="23" s="1"/>
  <c r="CG38" i="23" s="1"/>
  <c r="CG39" i="23" s="1"/>
  <c r="ES9" i="33"/>
  <c r="ES9" i="45"/>
  <c r="ET40" i="13"/>
  <c r="ET46" i="13" s="1"/>
  <c r="ET47" i="13" s="1"/>
  <c r="EV26" i="4"/>
  <c r="ES33" i="46"/>
  <c r="ES38" i="46" s="1"/>
  <c r="ES39" i="46" s="1"/>
  <c r="ES9" i="34"/>
  <c r="EU27" i="4"/>
  <c r="CZ10" i="10"/>
  <c r="CG7" i="13"/>
  <c r="CG5" i="33"/>
  <c r="CH8" i="33" s="1"/>
  <c r="CH12" i="33" s="1"/>
  <c r="CH13" i="33" s="1"/>
  <c r="CG5" i="45"/>
  <c r="CH8" i="45" s="1"/>
  <c r="CH12" i="45" s="1"/>
  <c r="CH13" i="45" s="1"/>
  <c r="CH5" i="27"/>
  <c r="CI8" i="27" s="1"/>
  <c r="CI12" i="27" s="1"/>
  <c r="CI13" i="27" s="1"/>
  <c r="CH5" i="8"/>
  <c r="CI8" i="8" s="1"/>
  <c r="CI12" i="8" s="1"/>
  <c r="CI13" i="8" s="1"/>
  <c r="CH7" i="46"/>
  <c r="DA9" i="10"/>
  <c r="CH7" i="7"/>
  <c r="CI31" i="7" s="1"/>
  <c r="CI33" i="7" s="1"/>
  <c r="CI38" i="7" s="1"/>
  <c r="CI39" i="7" s="1"/>
  <c r="GD25" i="4"/>
  <c r="GB32" i="46" l="1"/>
  <c r="GB38" i="13"/>
  <c r="EU29" i="4"/>
  <c r="ES9" i="27"/>
  <c r="CI5" i="27"/>
  <c r="CJ8" i="27" s="1"/>
  <c r="CJ12" i="27" s="1"/>
  <c r="CJ13" i="27" s="1"/>
  <c r="CI5" i="8"/>
  <c r="CJ8" i="8" s="1"/>
  <c r="CJ12" i="8" s="1"/>
  <c r="CJ13" i="8" s="1"/>
  <c r="DB9" i="10"/>
  <c r="CI7" i="7"/>
  <c r="CJ31" i="7" s="1"/>
  <c r="CJ33" i="7" s="1"/>
  <c r="CJ38" i="7" s="1"/>
  <c r="CJ39" i="7" s="1"/>
  <c r="CI7" i="46"/>
  <c r="ET33" i="46"/>
  <c r="ET38" i="46" s="1"/>
  <c r="ET39" i="46" s="1"/>
  <c r="EW26" i="4"/>
  <c r="ET9" i="33"/>
  <c r="ET9" i="34"/>
  <c r="EV27" i="4"/>
  <c r="EU40" i="13"/>
  <c r="EU46" i="13" s="1"/>
  <c r="EU47" i="13" s="1"/>
  <c r="ET9" i="45"/>
  <c r="DB69" i="10"/>
  <c r="CI5" i="25"/>
  <c r="CJ8" i="25" s="1"/>
  <c r="CJ12" i="25" s="1"/>
  <c r="CJ13" i="25" s="1"/>
  <c r="CI7" i="26"/>
  <c r="CJ31" i="26" s="1"/>
  <c r="CJ33" i="26" s="1"/>
  <c r="CJ38" i="26" s="1"/>
  <c r="CJ39" i="26" s="1"/>
  <c r="CI5" i="34"/>
  <c r="CJ8" i="34" s="1"/>
  <c r="CJ12" i="34" s="1"/>
  <c r="CJ13" i="34" s="1"/>
  <c r="CG7" i="23"/>
  <c r="CH31" i="23" s="1"/>
  <c r="CH33" i="23" s="1"/>
  <c r="CH38" i="23" s="1"/>
  <c r="CH39" i="23" s="1"/>
  <c r="CZ49" i="10"/>
  <c r="CG5" i="24"/>
  <c r="CH8" i="24" s="1"/>
  <c r="CH12" i="24" s="1"/>
  <c r="CH13" i="24" s="1"/>
  <c r="CH5" i="33"/>
  <c r="CI8" i="33" s="1"/>
  <c r="CI12" i="33" s="1"/>
  <c r="CI13" i="33" s="1"/>
  <c r="CH7" i="13"/>
  <c r="DA10" i="10"/>
  <c r="CH5" i="45"/>
  <c r="CI8" i="45" s="1"/>
  <c r="CI12" i="45" s="1"/>
  <c r="CI13" i="45" s="1"/>
  <c r="GE25" i="4"/>
  <c r="GC38" i="13" l="1"/>
  <c r="GC32" i="46"/>
  <c r="CJ7" i="26"/>
  <c r="CK31" i="26" s="1"/>
  <c r="CK33" i="26" s="1"/>
  <c r="CK38" i="26" s="1"/>
  <c r="CK39" i="26" s="1"/>
  <c r="DC69" i="10"/>
  <c r="CJ5" i="25"/>
  <c r="CK8" i="25" s="1"/>
  <c r="CK12" i="25" s="1"/>
  <c r="CK13" i="25" s="1"/>
  <c r="CJ5" i="34"/>
  <c r="CK8" i="34" s="1"/>
  <c r="CK12" i="34" s="1"/>
  <c r="CK13" i="34" s="1"/>
  <c r="CJ5" i="8"/>
  <c r="CK8" i="8" s="1"/>
  <c r="CK12" i="8" s="1"/>
  <c r="CK13" i="8" s="1"/>
  <c r="CJ5" i="27"/>
  <c r="CK8" i="27" s="1"/>
  <c r="CK12" i="27" s="1"/>
  <c r="CK13" i="27" s="1"/>
  <c r="DC9" i="10"/>
  <c r="CJ7" i="7"/>
  <c r="CK31" i="7" s="1"/>
  <c r="CK33" i="7" s="1"/>
  <c r="CK38" i="7" s="1"/>
  <c r="CK39" i="7" s="1"/>
  <c r="CJ7" i="46"/>
  <c r="EV40" i="13"/>
  <c r="EV46" i="13" s="1"/>
  <c r="EV47" i="13" s="1"/>
  <c r="EW27" i="4"/>
  <c r="EX26" i="4"/>
  <c r="EU9" i="45"/>
  <c r="EU33" i="46"/>
  <c r="EU38" i="46" s="1"/>
  <c r="EU39" i="46" s="1"/>
  <c r="EU9" i="33"/>
  <c r="EU9" i="34"/>
  <c r="CI7" i="13"/>
  <c r="CI5" i="45"/>
  <c r="CJ8" i="45" s="1"/>
  <c r="CJ12" i="45" s="1"/>
  <c r="CJ13" i="45" s="1"/>
  <c r="DB10" i="10"/>
  <c r="CI5" i="33"/>
  <c r="CJ8" i="33" s="1"/>
  <c r="CJ12" i="33" s="1"/>
  <c r="CJ13" i="33" s="1"/>
  <c r="ET9" i="27"/>
  <c r="EV29" i="4"/>
  <c r="CH5" i="24"/>
  <c r="CI8" i="24" s="1"/>
  <c r="CI12" i="24" s="1"/>
  <c r="CI13" i="24" s="1"/>
  <c r="DA49" i="10"/>
  <c r="CH7" i="23"/>
  <c r="CI31" i="23" s="1"/>
  <c r="CI33" i="23" s="1"/>
  <c r="CI38" i="23" s="1"/>
  <c r="CI39" i="23" s="1"/>
  <c r="GF25" i="4"/>
  <c r="GD32" i="46" l="1"/>
  <c r="GD38" i="13"/>
  <c r="EY26" i="4"/>
  <c r="EV9" i="33"/>
  <c r="EV9" i="45"/>
  <c r="EV9" i="34"/>
  <c r="P17" i="34" s="1"/>
  <c r="P50" i="34" s="1"/>
  <c r="EW40" i="13"/>
  <c r="EW46" i="13" s="1"/>
  <c r="EW47" i="13" s="1"/>
  <c r="EV33" i="46"/>
  <c r="EV38" i="46" s="1"/>
  <c r="EV39" i="46" s="1"/>
  <c r="EX27" i="4"/>
  <c r="CK5" i="34"/>
  <c r="CL8" i="34" s="1"/>
  <c r="CL12" i="34" s="1"/>
  <c r="CL13" i="34" s="1"/>
  <c r="CK7" i="26"/>
  <c r="CL31" i="26" s="1"/>
  <c r="CL33" i="26" s="1"/>
  <c r="CL38" i="26" s="1"/>
  <c r="CL39" i="26" s="1"/>
  <c r="DD69" i="10"/>
  <c r="CK5" i="25"/>
  <c r="CL8" i="25" s="1"/>
  <c r="CL12" i="25" s="1"/>
  <c r="CL13" i="25" s="1"/>
  <c r="EU9" i="27"/>
  <c r="EW29" i="4"/>
  <c r="CI7" i="23"/>
  <c r="CJ31" i="23" s="1"/>
  <c r="CJ33" i="23" s="1"/>
  <c r="CJ38" i="23" s="1"/>
  <c r="CJ39" i="23" s="1"/>
  <c r="DB49" i="10"/>
  <c r="CI5" i="24"/>
  <c r="CJ8" i="24" s="1"/>
  <c r="CJ12" i="24" s="1"/>
  <c r="CJ13" i="24" s="1"/>
  <c r="CK7" i="7"/>
  <c r="CL31" i="7" s="1"/>
  <c r="CL33" i="7" s="1"/>
  <c r="CL38" i="7" s="1"/>
  <c r="CL39" i="7" s="1"/>
  <c r="DD9" i="10"/>
  <c r="CK5" i="27"/>
  <c r="CL8" i="27" s="1"/>
  <c r="CL12" i="27" s="1"/>
  <c r="CL13" i="27" s="1"/>
  <c r="CK7" i="46"/>
  <c r="CK5" i="8"/>
  <c r="CL8" i="8" s="1"/>
  <c r="CL12" i="8" s="1"/>
  <c r="CL13" i="8" s="1"/>
  <c r="CJ5" i="33"/>
  <c r="CK8" i="33" s="1"/>
  <c r="CK12" i="33" s="1"/>
  <c r="CK13" i="33" s="1"/>
  <c r="CJ7" i="13"/>
  <c r="DC10" i="10"/>
  <c r="CJ5" i="45"/>
  <c r="CK8" i="45" s="1"/>
  <c r="CK12" i="45" s="1"/>
  <c r="CK13" i="45" s="1"/>
  <c r="GG25" i="4"/>
  <c r="GE38" i="13" l="1"/>
  <c r="GE32" i="46"/>
  <c r="CJ7" i="23"/>
  <c r="CK31" i="23" s="1"/>
  <c r="CK33" i="23" s="1"/>
  <c r="CK38" i="23" s="1"/>
  <c r="CK39" i="23" s="1"/>
  <c r="CJ5" i="24"/>
  <c r="CK8" i="24" s="1"/>
  <c r="CK12" i="24" s="1"/>
  <c r="CK13" i="24" s="1"/>
  <c r="DC49" i="10"/>
  <c r="EV9" i="27"/>
  <c r="EX29" i="4"/>
  <c r="CL7" i="7"/>
  <c r="CM31" i="7" s="1"/>
  <c r="CM33" i="7" s="1"/>
  <c r="CM38" i="7" s="1"/>
  <c r="CM39" i="7" s="1"/>
  <c r="DE9" i="10"/>
  <c r="CL5" i="27"/>
  <c r="CM8" i="27" s="1"/>
  <c r="CM12" i="27" s="1"/>
  <c r="CM13" i="27" s="1"/>
  <c r="CL7" i="46"/>
  <c r="CL5" i="8"/>
  <c r="CM8" i="8" s="1"/>
  <c r="CM12" i="8" s="1"/>
  <c r="CM13" i="8" s="1"/>
  <c r="CL7" i="26"/>
  <c r="CM31" i="26" s="1"/>
  <c r="CM33" i="26" s="1"/>
  <c r="CM38" i="26" s="1"/>
  <c r="CM39" i="26" s="1"/>
  <c r="DE69" i="10"/>
  <c r="CL5" i="34"/>
  <c r="CM8" i="34" s="1"/>
  <c r="CM12" i="34" s="1"/>
  <c r="CM13" i="34" s="1"/>
  <c r="CL5" i="25"/>
  <c r="CM8" i="25" s="1"/>
  <c r="CM12" i="25" s="1"/>
  <c r="CM13" i="25" s="1"/>
  <c r="CK7" i="13"/>
  <c r="CK5" i="33"/>
  <c r="CL8" i="33" s="1"/>
  <c r="CL12" i="33" s="1"/>
  <c r="CL13" i="33" s="1"/>
  <c r="DD10" i="10"/>
  <c r="CK5" i="45"/>
  <c r="CL8" i="45" s="1"/>
  <c r="CL12" i="45" s="1"/>
  <c r="CL13" i="45" s="1"/>
  <c r="EZ26" i="4"/>
  <c r="EW9" i="33"/>
  <c r="EW9" i="45"/>
  <c r="EY27" i="4"/>
  <c r="EX40" i="13"/>
  <c r="EX46" i="13" s="1"/>
  <c r="EX47" i="13" s="1"/>
  <c r="EW9" i="34"/>
  <c r="EW33" i="46"/>
  <c r="EW38" i="46" s="1"/>
  <c r="EW39" i="46" s="1"/>
  <c r="GH25" i="4"/>
  <c r="GF38" i="13" l="1"/>
  <c r="GF32" i="46"/>
  <c r="EW9" i="27"/>
  <c r="EY29" i="4"/>
  <c r="DF9" i="10"/>
  <c r="CM7" i="7"/>
  <c r="CN31" i="7" s="1"/>
  <c r="CN33" i="7" s="1"/>
  <c r="CN38" i="7" s="1"/>
  <c r="CN39" i="7" s="1"/>
  <c r="CM5" i="8"/>
  <c r="CN8" i="8" s="1"/>
  <c r="CN12" i="8" s="1"/>
  <c r="CN13" i="8" s="1"/>
  <c r="CM5" i="27"/>
  <c r="CN8" i="27" s="1"/>
  <c r="CN12" i="27" s="1"/>
  <c r="CN13" i="27" s="1"/>
  <c r="CM7" i="46"/>
  <c r="EZ27" i="4"/>
  <c r="FA26" i="4"/>
  <c r="EX9" i="45"/>
  <c r="EX9" i="34"/>
  <c r="EY40" i="13"/>
  <c r="EY46" i="13" s="1"/>
  <c r="EY47" i="13" s="1"/>
  <c r="EX9" i="33"/>
  <c r="EX33" i="46"/>
  <c r="EX38" i="46" s="1"/>
  <c r="EX39" i="46" s="1"/>
  <c r="DD49" i="10"/>
  <c r="CK5" i="24"/>
  <c r="CL8" i="24" s="1"/>
  <c r="CL12" i="24" s="1"/>
  <c r="CL13" i="24" s="1"/>
  <c r="CK7" i="23"/>
  <c r="CL31" i="23" s="1"/>
  <c r="CL33" i="23" s="1"/>
  <c r="CL38" i="23" s="1"/>
  <c r="CL39" i="23" s="1"/>
  <c r="CM5" i="25"/>
  <c r="CN8" i="25" s="1"/>
  <c r="CN12" i="25" s="1"/>
  <c r="CN13" i="25" s="1"/>
  <c r="CM5" i="34"/>
  <c r="CN8" i="34" s="1"/>
  <c r="CN12" i="34" s="1"/>
  <c r="CN13" i="34" s="1"/>
  <c r="CM7" i="26"/>
  <c r="CN31" i="26" s="1"/>
  <c r="CN33" i="26" s="1"/>
  <c r="CN38" i="26" s="1"/>
  <c r="CN39" i="26" s="1"/>
  <c r="DF69" i="10"/>
  <c r="DE10" i="10"/>
  <c r="CL7" i="13"/>
  <c r="CL5" i="45"/>
  <c r="CM8" i="45" s="1"/>
  <c r="CM12" i="45" s="1"/>
  <c r="CM13" i="45" s="1"/>
  <c r="CL5" i="33"/>
  <c r="CM8" i="33" s="1"/>
  <c r="CM12" i="33" s="1"/>
  <c r="CM13" i="33" s="1"/>
  <c r="GI25" i="4"/>
  <c r="GG32" i="46" l="1"/>
  <c r="GG38" i="13"/>
  <c r="EY9" i="34"/>
  <c r="FB26" i="4"/>
  <c r="EY9" i="33"/>
  <c r="EY33" i="46"/>
  <c r="EY38" i="46" s="1"/>
  <c r="EY39" i="46" s="1"/>
  <c r="EY9" i="45"/>
  <c r="FA27" i="4"/>
  <c r="EZ40" i="13"/>
  <c r="EZ46" i="13" s="1"/>
  <c r="EZ47" i="13" s="1"/>
  <c r="DG69" i="10"/>
  <c r="CN5" i="25"/>
  <c r="CO8" i="25" s="1"/>
  <c r="CO12" i="25" s="1"/>
  <c r="CO13" i="25" s="1"/>
  <c r="CN7" i="26"/>
  <c r="CO31" i="26" s="1"/>
  <c r="CO33" i="26" s="1"/>
  <c r="CO38" i="26" s="1"/>
  <c r="CO39" i="26" s="1"/>
  <c r="CN5" i="34"/>
  <c r="CO8" i="34" s="1"/>
  <c r="CO12" i="34" s="1"/>
  <c r="CO13" i="34" s="1"/>
  <c r="EX9" i="27"/>
  <c r="EZ29" i="4"/>
  <c r="CN7" i="7"/>
  <c r="CO31" i="7" s="1"/>
  <c r="CO33" i="7" s="1"/>
  <c r="CO38" i="7" s="1"/>
  <c r="CO39" i="7" s="1"/>
  <c r="DG9" i="10"/>
  <c r="CN5" i="27"/>
  <c r="CO8" i="27" s="1"/>
  <c r="CO12" i="27" s="1"/>
  <c r="CO13" i="27" s="1"/>
  <c r="CN5" i="8"/>
  <c r="CO8" i="8" s="1"/>
  <c r="CO12" i="8" s="1"/>
  <c r="CO13" i="8" s="1"/>
  <c r="CN7" i="46"/>
  <c r="CL5" i="24"/>
  <c r="CM8" i="24" s="1"/>
  <c r="CM12" i="24" s="1"/>
  <c r="CM13" i="24" s="1"/>
  <c r="DE49" i="10"/>
  <c r="CL7" i="23"/>
  <c r="CM31" i="23" s="1"/>
  <c r="CM33" i="23" s="1"/>
  <c r="CM38" i="23" s="1"/>
  <c r="CM39" i="23" s="1"/>
  <c r="CM5" i="45"/>
  <c r="CN8" i="45" s="1"/>
  <c r="CN12" i="45" s="1"/>
  <c r="CN13" i="45" s="1"/>
  <c r="DF10" i="10"/>
  <c r="CM7" i="13"/>
  <c r="CM5" i="33"/>
  <c r="CN8" i="33" s="1"/>
  <c r="CN12" i="33" s="1"/>
  <c r="CN13" i="33" s="1"/>
  <c r="GJ25" i="4"/>
  <c r="GH32" i="46" l="1"/>
  <c r="GH38" i="13"/>
  <c r="CO7" i="46"/>
  <c r="CO7" i="7"/>
  <c r="CP31" i="7" s="1"/>
  <c r="CP33" i="7" s="1"/>
  <c r="CP38" i="7" s="1"/>
  <c r="CP39" i="7" s="1"/>
  <c r="CO5" i="8"/>
  <c r="CP8" i="8" s="1"/>
  <c r="CP12" i="8" s="1"/>
  <c r="CP13" i="8" s="1"/>
  <c r="CO5" i="27"/>
  <c r="CP8" i="27" s="1"/>
  <c r="CP12" i="27" s="1"/>
  <c r="CP13" i="27" s="1"/>
  <c r="DH9" i="10"/>
  <c r="DH69" i="10"/>
  <c r="CO5" i="25"/>
  <c r="CP8" i="25" s="1"/>
  <c r="CP12" i="25" s="1"/>
  <c r="CP13" i="25" s="1"/>
  <c r="CO5" i="34"/>
  <c r="CP8" i="34" s="1"/>
  <c r="CP12" i="34" s="1"/>
  <c r="CP13" i="34" s="1"/>
  <c r="CO7" i="26"/>
  <c r="CP31" i="26" s="1"/>
  <c r="CP33" i="26" s="1"/>
  <c r="CP38" i="26" s="1"/>
  <c r="CP39" i="26" s="1"/>
  <c r="CN7" i="13"/>
  <c r="CN5" i="45"/>
  <c r="CO8" i="45" s="1"/>
  <c r="CO12" i="45" s="1"/>
  <c r="CO13" i="45" s="1"/>
  <c r="DG10" i="10"/>
  <c r="CN5" i="33"/>
  <c r="CO8" i="33" s="1"/>
  <c r="CO12" i="33" s="1"/>
  <c r="CO13" i="33" s="1"/>
  <c r="DF49" i="10"/>
  <c r="CM7" i="23"/>
  <c r="CN31" i="23" s="1"/>
  <c r="CN33" i="23" s="1"/>
  <c r="CN38" i="23" s="1"/>
  <c r="CN39" i="23" s="1"/>
  <c r="CM5" i="24"/>
  <c r="CN8" i="24" s="1"/>
  <c r="CN12" i="24" s="1"/>
  <c r="CN13" i="24" s="1"/>
  <c r="FA40" i="13"/>
  <c r="FA46" i="13" s="1"/>
  <c r="FA47" i="13" s="1"/>
  <c r="FC26" i="4"/>
  <c r="EZ9" i="33"/>
  <c r="EZ33" i="46"/>
  <c r="EZ38" i="46" s="1"/>
  <c r="EZ39" i="46" s="1"/>
  <c r="EZ9" i="34"/>
  <c r="FB27" i="4"/>
  <c r="EZ9" i="45"/>
  <c r="FA29" i="4"/>
  <c r="EY9" i="27"/>
  <c r="GK25" i="4"/>
  <c r="GI38" i="13" l="1"/>
  <c r="GI32" i="46"/>
  <c r="DH10" i="10"/>
  <c r="CO5" i="45"/>
  <c r="CP8" i="45" s="1"/>
  <c r="CP12" i="45" s="1"/>
  <c r="CP13" i="45" s="1"/>
  <c r="CO7" i="13"/>
  <c r="CO5" i="33"/>
  <c r="CP8" i="33" s="1"/>
  <c r="CP12" i="33" s="1"/>
  <c r="CP13" i="33" s="1"/>
  <c r="EZ9" i="27"/>
  <c r="FB29" i="4"/>
  <c r="CN5" i="24"/>
  <c r="CO8" i="24" s="1"/>
  <c r="CO12" i="24" s="1"/>
  <c r="CO13" i="24" s="1"/>
  <c r="DG49" i="10"/>
  <c r="CN7" i="23"/>
  <c r="CO31" i="23" s="1"/>
  <c r="CO33" i="23" s="1"/>
  <c r="CO38" i="23" s="1"/>
  <c r="CO39" i="23" s="1"/>
  <c r="CP5" i="34"/>
  <c r="CQ8" i="34" s="1"/>
  <c r="CQ12" i="34" s="1"/>
  <c r="CQ13" i="34" s="1"/>
  <c r="DI69" i="10"/>
  <c r="CP7" i="26"/>
  <c r="CQ31" i="26" s="1"/>
  <c r="CQ33" i="26" s="1"/>
  <c r="CQ38" i="26" s="1"/>
  <c r="CQ39" i="26" s="1"/>
  <c r="CP5" i="25"/>
  <c r="CQ8" i="25" s="1"/>
  <c r="CQ12" i="25" s="1"/>
  <c r="CQ13" i="25" s="1"/>
  <c r="CP7" i="46"/>
  <c r="CP7" i="7"/>
  <c r="CQ31" i="7" s="1"/>
  <c r="CQ33" i="7" s="1"/>
  <c r="CQ38" i="7" s="1"/>
  <c r="CQ39" i="7" s="1"/>
  <c r="DI9" i="10"/>
  <c r="CP5" i="27"/>
  <c r="CQ8" i="27" s="1"/>
  <c r="CQ12" i="27" s="1"/>
  <c r="CQ13" i="27" s="1"/>
  <c r="CP5" i="8"/>
  <c r="CQ8" i="8" s="1"/>
  <c r="CQ12" i="8" s="1"/>
  <c r="CQ13" i="8" s="1"/>
  <c r="FA33" i="46"/>
  <c r="FA38" i="46" s="1"/>
  <c r="FA39" i="46" s="1"/>
  <c r="FC27" i="4"/>
  <c r="FA9" i="45"/>
  <c r="FB40" i="13"/>
  <c r="FB46" i="13" s="1"/>
  <c r="FB47" i="13" s="1"/>
  <c r="FD26" i="4"/>
  <c r="FA9" i="34"/>
  <c r="FA9" i="33"/>
  <c r="GL25" i="4"/>
  <c r="GJ32" i="46" l="1"/>
  <c r="GJ38" i="13"/>
  <c r="CQ5" i="27"/>
  <c r="CR8" i="27" s="1"/>
  <c r="CR12" i="27" s="1"/>
  <c r="CR13" i="27" s="1"/>
  <c r="CQ5" i="8"/>
  <c r="CR8" i="8" s="1"/>
  <c r="CR12" i="8" s="1"/>
  <c r="CR13" i="8" s="1"/>
  <c r="CQ7" i="46"/>
  <c r="CQ7" i="7"/>
  <c r="CR31" i="7" s="1"/>
  <c r="CR33" i="7" s="1"/>
  <c r="CR38" i="7" s="1"/>
  <c r="CR39" i="7" s="1"/>
  <c r="DJ9" i="10"/>
  <c r="CO7" i="23"/>
  <c r="CP31" i="23" s="1"/>
  <c r="CP33" i="23" s="1"/>
  <c r="CP38" i="23" s="1"/>
  <c r="CP39" i="23" s="1"/>
  <c r="DH49" i="10"/>
  <c r="CO5" i="24"/>
  <c r="CP8" i="24" s="1"/>
  <c r="CP12" i="24" s="1"/>
  <c r="CP13" i="24" s="1"/>
  <c r="FC29" i="4"/>
  <c r="FA9" i="27"/>
  <c r="CQ5" i="34"/>
  <c r="CR8" i="34" s="1"/>
  <c r="CR12" i="34" s="1"/>
  <c r="CR13" i="34" s="1"/>
  <c r="CQ5" i="25"/>
  <c r="CR8" i="25" s="1"/>
  <c r="CR12" i="25" s="1"/>
  <c r="CR13" i="25" s="1"/>
  <c r="CQ7" i="26"/>
  <c r="CR31" i="26" s="1"/>
  <c r="CR33" i="26" s="1"/>
  <c r="CR38" i="26" s="1"/>
  <c r="CR39" i="26" s="1"/>
  <c r="DJ69" i="10"/>
  <c r="FD27" i="4"/>
  <c r="FB9" i="34"/>
  <c r="FB9" i="45"/>
  <c r="FE26" i="4"/>
  <c r="FB9" i="33"/>
  <c r="FC40" i="13"/>
  <c r="FC46" i="13" s="1"/>
  <c r="FC47" i="13" s="1"/>
  <c r="FB33" i="46"/>
  <c r="FB38" i="46" s="1"/>
  <c r="FB39" i="46" s="1"/>
  <c r="CP5" i="33"/>
  <c r="CQ8" i="33" s="1"/>
  <c r="CQ12" i="33" s="1"/>
  <c r="CQ13" i="33" s="1"/>
  <c r="CP5" i="45"/>
  <c r="CQ8" i="45" s="1"/>
  <c r="CQ12" i="45" s="1"/>
  <c r="CQ13" i="45" s="1"/>
  <c r="DI10" i="10"/>
  <c r="CP7" i="13"/>
  <c r="GM25" i="4"/>
  <c r="GK32" i="46" l="1"/>
  <c r="GK38" i="13"/>
  <c r="CR5" i="25"/>
  <c r="CS8" i="25" s="1"/>
  <c r="CS12" i="25" s="1"/>
  <c r="CS13" i="25" s="1"/>
  <c r="DK69" i="10"/>
  <c r="CR7" i="26"/>
  <c r="CS31" i="26" s="1"/>
  <c r="CS33" i="26" s="1"/>
  <c r="CS38" i="26" s="1"/>
  <c r="CS39" i="26" s="1"/>
  <c r="CR5" i="34"/>
  <c r="CS8" i="34" s="1"/>
  <c r="CS12" i="34" s="1"/>
  <c r="CS13" i="34" s="1"/>
  <c r="DI49" i="10"/>
  <c r="CP7" i="23"/>
  <c r="CQ31" i="23" s="1"/>
  <c r="CQ33" i="23" s="1"/>
  <c r="CQ38" i="23" s="1"/>
  <c r="CQ39" i="23" s="1"/>
  <c r="CP5" i="24"/>
  <c r="CQ8" i="24" s="1"/>
  <c r="CQ12" i="24" s="1"/>
  <c r="CQ13" i="24" s="1"/>
  <c r="CQ5" i="33"/>
  <c r="CR8" i="33" s="1"/>
  <c r="CR12" i="33" s="1"/>
  <c r="CR13" i="33" s="1"/>
  <c r="CQ5" i="45"/>
  <c r="CR8" i="45" s="1"/>
  <c r="CR12" i="45" s="1"/>
  <c r="CR13" i="45" s="1"/>
  <c r="CQ7" i="13"/>
  <c r="DJ10" i="10"/>
  <c r="CR7" i="7"/>
  <c r="CS31" i="7" s="1"/>
  <c r="CS33" i="7" s="1"/>
  <c r="CS38" i="7" s="1"/>
  <c r="CS39" i="7" s="1"/>
  <c r="DK9" i="10"/>
  <c r="CR5" i="27"/>
  <c r="CS8" i="27" s="1"/>
  <c r="CS12" i="27" s="1"/>
  <c r="CS13" i="27" s="1"/>
  <c r="CR7" i="46"/>
  <c r="CR5" i="8"/>
  <c r="CS8" i="8" s="1"/>
  <c r="CS12" i="8" s="1"/>
  <c r="CS13" i="8" s="1"/>
  <c r="FD40" i="13"/>
  <c r="FD46" i="13" s="1"/>
  <c r="FD47" i="13" s="1"/>
  <c r="FF26" i="4"/>
  <c r="FC33" i="46"/>
  <c r="FC38" i="46" s="1"/>
  <c r="FC39" i="46" s="1"/>
  <c r="FC9" i="33"/>
  <c r="FC9" i="34"/>
  <c r="FC9" i="45"/>
  <c r="FE27" i="4"/>
  <c r="FD29" i="4"/>
  <c r="FB9" i="27"/>
  <c r="GN25" i="4"/>
  <c r="GL32" i="46" l="1"/>
  <c r="GL38" i="13"/>
  <c r="CQ7" i="23"/>
  <c r="CR31" i="23" s="1"/>
  <c r="CR33" i="23" s="1"/>
  <c r="CR38" i="23" s="1"/>
  <c r="CR39" i="23" s="1"/>
  <c r="CQ5" i="24"/>
  <c r="CR8" i="24" s="1"/>
  <c r="CR12" i="24" s="1"/>
  <c r="CR13" i="24" s="1"/>
  <c r="DJ49" i="10"/>
  <c r="CS7" i="46"/>
  <c r="CS5" i="8"/>
  <c r="CT8" i="8" s="1"/>
  <c r="CT12" i="8" s="1"/>
  <c r="CT13" i="8" s="1"/>
  <c r="CS5" i="27"/>
  <c r="CT8" i="27" s="1"/>
  <c r="CT12" i="27" s="1"/>
  <c r="CT13" i="27" s="1"/>
  <c r="CS7" i="7"/>
  <c r="CT31" i="7" s="1"/>
  <c r="CT33" i="7" s="1"/>
  <c r="CT38" i="7" s="1"/>
  <c r="CT39" i="7" s="1"/>
  <c r="DL9" i="10"/>
  <c r="FE29" i="4"/>
  <c r="FC9" i="27"/>
  <c r="CR7" i="13"/>
  <c r="DK10" i="10"/>
  <c r="CR5" i="45"/>
  <c r="CS8" i="45" s="1"/>
  <c r="CS12" i="45" s="1"/>
  <c r="CS13" i="45" s="1"/>
  <c r="CR5" i="33"/>
  <c r="CS8" i="33" s="1"/>
  <c r="CS12" i="33" s="1"/>
  <c r="CS13" i="33" s="1"/>
  <c r="FE40" i="13"/>
  <c r="FE46" i="13" s="1"/>
  <c r="FE47" i="13" s="1"/>
  <c r="FG26" i="4"/>
  <c r="FD33" i="46"/>
  <c r="FD38" i="46" s="1"/>
  <c r="FD39" i="46" s="1"/>
  <c r="FF27" i="4"/>
  <c r="FD9" i="33"/>
  <c r="FD9" i="45"/>
  <c r="FD9" i="34"/>
  <c r="CS7" i="26"/>
  <c r="CT31" i="26" s="1"/>
  <c r="CT33" i="26" s="1"/>
  <c r="CT38" i="26" s="1"/>
  <c r="CT39" i="26" s="1"/>
  <c r="CS5" i="34"/>
  <c r="CT8" i="34" s="1"/>
  <c r="CT12" i="34" s="1"/>
  <c r="CT13" i="34" s="1"/>
  <c r="CS5" i="25"/>
  <c r="CT8" i="25" s="1"/>
  <c r="CT12" i="25" s="1"/>
  <c r="CT13" i="25" s="1"/>
  <c r="DL69" i="10"/>
  <c r="GO25" i="4"/>
  <c r="GM38" i="13" l="1"/>
  <c r="GM32" i="46"/>
  <c r="CS7" i="13"/>
  <c r="CS5" i="33"/>
  <c r="CT8" i="33" s="1"/>
  <c r="CT12" i="33" s="1"/>
  <c r="CT13" i="33" s="1"/>
  <c r="CS5" i="45"/>
  <c r="CT8" i="45" s="1"/>
  <c r="CT12" i="45" s="1"/>
  <c r="CT13" i="45" s="1"/>
  <c r="DL10" i="10"/>
  <c r="DM69" i="10"/>
  <c r="CT5" i="25"/>
  <c r="CU8" i="25" s="1"/>
  <c r="CU12" i="25" s="1"/>
  <c r="CU13" i="25" s="1"/>
  <c r="CT5" i="34"/>
  <c r="CU8" i="34" s="1"/>
  <c r="CU12" i="34" s="1"/>
  <c r="CU13" i="34" s="1"/>
  <c r="CT7" i="26"/>
  <c r="CU31" i="26" s="1"/>
  <c r="CU33" i="26" s="1"/>
  <c r="CU38" i="26" s="1"/>
  <c r="CU39" i="26" s="1"/>
  <c r="CT7" i="46"/>
  <c r="DM9" i="10"/>
  <c r="CT7" i="7"/>
  <c r="CU31" i="7" s="1"/>
  <c r="CU33" i="7" s="1"/>
  <c r="CU38" i="7" s="1"/>
  <c r="CU39" i="7" s="1"/>
  <c r="CT5" i="8"/>
  <c r="CU8" i="8" s="1"/>
  <c r="CU12" i="8" s="1"/>
  <c r="CU13" i="8" s="1"/>
  <c r="CT5" i="27"/>
  <c r="CU8" i="27" s="1"/>
  <c r="CU12" i="27" s="1"/>
  <c r="CU13" i="27" s="1"/>
  <c r="CR7" i="23"/>
  <c r="CS31" i="23" s="1"/>
  <c r="CS33" i="23" s="1"/>
  <c r="CS38" i="23" s="1"/>
  <c r="CS39" i="23" s="1"/>
  <c r="DK49" i="10"/>
  <c r="CR5" i="24"/>
  <c r="CS8" i="24" s="1"/>
  <c r="CS12" i="24" s="1"/>
  <c r="CS13" i="24" s="1"/>
  <c r="FF29" i="4"/>
  <c r="FD9" i="27"/>
  <c r="FE9" i="33"/>
  <c r="FE33" i="46"/>
  <c r="FE38" i="46" s="1"/>
  <c r="FE39" i="46" s="1"/>
  <c r="FH26" i="4"/>
  <c r="FG27" i="4"/>
  <c r="FE9" i="34"/>
  <c r="FE9" i="45"/>
  <c r="FF40" i="13"/>
  <c r="FF46" i="13" s="1"/>
  <c r="FF47" i="13" s="1"/>
  <c r="GP25" i="4"/>
  <c r="GN32" i="46" l="1"/>
  <c r="GN38" i="13"/>
  <c r="CU7" i="7"/>
  <c r="CV31" i="7" s="1"/>
  <c r="CV33" i="7" s="1"/>
  <c r="CV38" i="7" s="1"/>
  <c r="CV39" i="7" s="1"/>
  <c r="CU7" i="46"/>
  <c r="CU5" i="27"/>
  <c r="CV8" i="27" s="1"/>
  <c r="CV12" i="27" s="1"/>
  <c r="CV13" i="27" s="1"/>
  <c r="DN9" i="10"/>
  <c r="CU5" i="8"/>
  <c r="CV8" i="8" s="1"/>
  <c r="CV12" i="8" s="1"/>
  <c r="CV13" i="8" s="1"/>
  <c r="CT5" i="33"/>
  <c r="CU8" i="33" s="1"/>
  <c r="CU12" i="33" s="1"/>
  <c r="CU13" i="33" s="1"/>
  <c r="CT7" i="13"/>
  <c r="DM10" i="10"/>
  <c r="CT5" i="45"/>
  <c r="CU8" i="45" s="1"/>
  <c r="CU12" i="45" s="1"/>
  <c r="CU13" i="45" s="1"/>
  <c r="CS5" i="24"/>
  <c r="CT8" i="24" s="1"/>
  <c r="CT12" i="24" s="1"/>
  <c r="CT13" i="24" s="1"/>
  <c r="DL49" i="10"/>
  <c r="CS7" i="23"/>
  <c r="CT31" i="23" s="1"/>
  <c r="CT33" i="23" s="1"/>
  <c r="CT38" i="23" s="1"/>
  <c r="CT39" i="23" s="1"/>
  <c r="FH27" i="4"/>
  <c r="FI26" i="4"/>
  <c r="FF33" i="46"/>
  <c r="FF38" i="46" s="1"/>
  <c r="FF39" i="46" s="1"/>
  <c r="FF9" i="33"/>
  <c r="FF9" i="45"/>
  <c r="FG40" i="13"/>
  <c r="FG46" i="13" s="1"/>
  <c r="FG47" i="13" s="1"/>
  <c r="FF9" i="34"/>
  <c r="FG29" i="4"/>
  <c r="FE9" i="27"/>
  <c r="DN69" i="10"/>
  <c r="CU7" i="26"/>
  <c r="CV31" i="26" s="1"/>
  <c r="CV33" i="26" s="1"/>
  <c r="CV38" i="26" s="1"/>
  <c r="CV39" i="26" s="1"/>
  <c r="CU5" i="34"/>
  <c r="CV8" i="34" s="1"/>
  <c r="CV12" i="34" s="1"/>
  <c r="CV13" i="34" s="1"/>
  <c r="CU5" i="25"/>
  <c r="CV8" i="25" s="1"/>
  <c r="CV12" i="25" s="1"/>
  <c r="CV13" i="25" s="1"/>
  <c r="GQ25" i="4"/>
  <c r="GO32" i="46" l="1"/>
  <c r="GO38" i="13"/>
  <c r="FF9" i="27"/>
  <c r="FH29" i="4"/>
  <c r="FI27" i="4"/>
  <c r="FG33" i="46"/>
  <c r="FG38" i="46" s="1"/>
  <c r="FG39" i="46" s="1"/>
  <c r="FG9" i="45"/>
  <c r="FG9" i="34"/>
  <c r="FJ26" i="4"/>
  <c r="FG9" i="33"/>
  <c r="FH40" i="13"/>
  <c r="FH46" i="13" s="1"/>
  <c r="FH47" i="13" s="1"/>
  <c r="CT7" i="23"/>
  <c r="CU31" i="23" s="1"/>
  <c r="CU33" i="23" s="1"/>
  <c r="CU38" i="23" s="1"/>
  <c r="CU39" i="23" s="1"/>
  <c r="CT5" i="24"/>
  <c r="CU8" i="24" s="1"/>
  <c r="CU12" i="24" s="1"/>
  <c r="CU13" i="24" s="1"/>
  <c r="DM49" i="10"/>
  <c r="CV7" i="46"/>
  <c r="DO9" i="10"/>
  <c r="CV5" i="8"/>
  <c r="CW8" i="8" s="1"/>
  <c r="CW12" i="8" s="1"/>
  <c r="CW13" i="8" s="1"/>
  <c r="CV5" i="27"/>
  <c r="CW8" i="27" s="1"/>
  <c r="CW12" i="27" s="1"/>
  <c r="CW13" i="27" s="1"/>
  <c r="CV7" i="7"/>
  <c r="CW31" i="7" s="1"/>
  <c r="CW33" i="7" s="1"/>
  <c r="CW38" i="7" s="1"/>
  <c r="CW39" i="7" s="1"/>
  <c r="CU7" i="13"/>
  <c r="DN10" i="10"/>
  <c r="CU5" i="45"/>
  <c r="CV8" i="45" s="1"/>
  <c r="CV12" i="45" s="1"/>
  <c r="CV13" i="45" s="1"/>
  <c r="CU5" i="33"/>
  <c r="CV8" i="33" s="1"/>
  <c r="CV12" i="33" s="1"/>
  <c r="CV13" i="33" s="1"/>
  <c r="CV5" i="25"/>
  <c r="CW8" i="25" s="1"/>
  <c r="CW12" i="25" s="1"/>
  <c r="CW13" i="25" s="1"/>
  <c r="CV5" i="34"/>
  <c r="CW8" i="34" s="1"/>
  <c r="CW12" i="34" s="1"/>
  <c r="CW13" i="34" s="1"/>
  <c r="CV7" i="26"/>
  <c r="CW31" i="26" s="1"/>
  <c r="CW33" i="26" s="1"/>
  <c r="CW38" i="26" s="1"/>
  <c r="CW39" i="26" s="1"/>
  <c r="DO69" i="10"/>
  <c r="GR25" i="4"/>
  <c r="GP32" i="46" l="1"/>
  <c r="GP38" i="13"/>
  <c r="DP9" i="10"/>
  <c r="CW7" i="46"/>
  <c r="CW7" i="7"/>
  <c r="CX31" i="7" s="1"/>
  <c r="CX33" i="7" s="1"/>
  <c r="CX38" i="7" s="1"/>
  <c r="CX39" i="7" s="1"/>
  <c r="CW5" i="8"/>
  <c r="CX8" i="8" s="1"/>
  <c r="CX12" i="8" s="1"/>
  <c r="CX13" i="8" s="1"/>
  <c r="CW5" i="27"/>
  <c r="CX8" i="27" s="1"/>
  <c r="CX12" i="27" s="1"/>
  <c r="CX13" i="27" s="1"/>
  <c r="DP69" i="10"/>
  <c r="CW5" i="25"/>
  <c r="CX8" i="25" s="1"/>
  <c r="CX12" i="25" s="1"/>
  <c r="CX13" i="25" s="1"/>
  <c r="CW7" i="26"/>
  <c r="CX31" i="26" s="1"/>
  <c r="CX33" i="26" s="1"/>
  <c r="CX38" i="26" s="1"/>
  <c r="CX39" i="26" s="1"/>
  <c r="CW5" i="34"/>
  <c r="CX8" i="34" s="1"/>
  <c r="CX12" i="34" s="1"/>
  <c r="CX13" i="34" s="1"/>
  <c r="CV5" i="45"/>
  <c r="CW8" i="45" s="1"/>
  <c r="CW12" i="45" s="1"/>
  <c r="CW13" i="45" s="1"/>
  <c r="DO10" i="10"/>
  <c r="CV7" i="13"/>
  <c r="CV5" i="33"/>
  <c r="CW8" i="33" s="1"/>
  <c r="CW12" i="33" s="1"/>
  <c r="CW13" i="33" s="1"/>
  <c r="FG9" i="27"/>
  <c r="FI29" i="4"/>
  <c r="CU7" i="23"/>
  <c r="CV31" i="23" s="1"/>
  <c r="CV33" i="23" s="1"/>
  <c r="CV38" i="23" s="1"/>
  <c r="CV39" i="23" s="1"/>
  <c r="DN49" i="10"/>
  <c r="CU5" i="24"/>
  <c r="CV8" i="24" s="1"/>
  <c r="CV12" i="24" s="1"/>
  <c r="CV13" i="24" s="1"/>
  <c r="FI40" i="13"/>
  <c r="FI46" i="13" s="1"/>
  <c r="FI47" i="13" s="1"/>
  <c r="FH9" i="45"/>
  <c r="FK26" i="4"/>
  <c r="FH9" i="33"/>
  <c r="FH9" i="34"/>
  <c r="Q17" i="34" s="1"/>
  <c r="Q50" i="34" s="1"/>
  <c r="FH33" i="46"/>
  <c r="FH38" i="46" s="1"/>
  <c r="FH39" i="46" s="1"/>
  <c r="FJ27" i="4"/>
  <c r="GS25" i="4"/>
  <c r="GQ32" i="46" l="1"/>
  <c r="GQ38" i="13"/>
  <c r="CW5" i="45"/>
  <c r="CX8" i="45" s="1"/>
  <c r="CX12" i="45" s="1"/>
  <c r="CX13" i="45" s="1"/>
  <c r="CW5" i="33"/>
  <c r="CX8" i="33" s="1"/>
  <c r="CX12" i="33" s="1"/>
  <c r="CX13" i="33" s="1"/>
  <c r="DP10" i="10"/>
  <c r="CW7" i="13"/>
  <c r="FJ29" i="4"/>
  <c r="FH9" i="27"/>
  <c r="DQ69" i="10"/>
  <c r="CX5" i="25"/>
  <c r="CY8" i="25" s="1"/>
  <c r="CY12" i="25" s="1"/>
  <c r="CY13" i="25" s="1"/>
  <c r="CX5" i="34"/>
  <c r="CY8" i="34" s="1"/>
  <c r="CY12" i="34" s="1"/>
  <c r="CY13" i="34" s="1"/>
  <c r="CX7" i="26"/>
  <c r="CY31" i="26" s="1"/>
  <c r="CY33" i="26" s="1"/>
  <c r="CY38" i="26" s="1"/>
  <c r="CY39" i="26" s="1"/>
  <c r="FJ40" i="13"/>
  <c r="FJ46" i="13" s="1"/>
  <c r="FJ47" i="13" s="1"/>
  <c r="FI33" i="46"/>
  <c r="FI38" i="46" s="1"/>
  <c r="FI39" i="46" s="1"/>
  <c r="FI9" i="33"/>
  <c r="FK27" i="4"/>
  <c r="FI9" i="34"/>
  <c r="FI9" i="45"/>
  <c r="FL26" i="4"/>
  <c r="CV7" i="23"/>
  <c r="CW31" i="23" s="1"/>
  <c r="CW33" i="23" s="1"/>
  <c r="CW38" i="23" s="1"/>
  <c r="CW39" i="23" s="1"/>
  <c r="DO49" i="10"/>
  <c r="CV5" i="24"/>
  <c r="CW8" i="24" s="1"/>
  <c r="CW12" i="24" s="1"/>
  <c r="CW13" i="24" s="1"/>
  <c r="CX7" i="7"/>
  <c r="CY31" i="7" s="1"/>
  <c r="CY33" i="7" s="1"/>
  <c r="CY38" i="7" s="1"/>
  <c r="CY39" i="7" s="1"/>
  <c r="CX5" i="8"/>
  <c r="CY8" i="8" s="1"/>
  <c r="CY12" i="8" s="1"/>
  <c r="CY13" i="8" s="1"/>
  <c r="CX7" i="46"/>
  <c r="CX5" i="27"/>
  <c r="CY8" i="27" s="1"/>
  <c r="CY12" i="27" s="1"/>
  <c r="CY13" i="27" s="1"/>
  <c r="DQ9" i="10"/>
  <c r="GT25" i="4"/>
  <c r="GR32" i="46" l="1"/>
  <c r="GR38" i="13"/>
  <c r="DR9" i="10"/>
  <c r="CY7" i="46"/>
  <c r="CY5" i="8"/>
  <c r="CZ8" i="8" s="1"/>
  <c r="CZ12" i="8" s="1"/>
  <c r="CZ13" i="8" s="1"/>
  <c r="CY5" i="27"/>
  <c r="CZ8" i="27" s="1"/>
  <c r="CZ12" i="27" s="1"/>
  <c r="CZ13" i="27" s="1"/>
  <c r="CY7" i="7"/>
  <c r="CZ31" i="7" s="1"/>
  <c r="CZ33" i="7" s="1"/>
  <c r="CZ38" i="7" s="1"/>
  <c r="CZ39" i="7" s="1"/>
  <c r="FI9" i="27"/>
  <c r="FK29" i="4"/>
  <c r="DR69" i="10"/>
  <c r="CY5" i="25"/>
  <c r="CZ8" i="25" s="1"/>
  <c r="CZ12" i="25" s="1"/>
  <c r="CZ13" i="25" s="1"/>
  <c r="CY5" i="34"/>
  <c r="CZ8" i="34" s="1"/>
  <c r="CZ12" i="34" s="1"/>
  <c r="CZ13" i="34" s="1"/>
  <c r="CY7" i="26"/>
  <c r="CZ31" i="26" s="1"/>
  <c r="CZ33" i="26" s="1"/>
  <c r="CZ38" i="26" s="1"/>
  <c r="CZ39" i="26" s="1"/>
  <c r="DP49" i="10"/>
  <c r="CW5" i="24"/>
  <c r="CX8" i="24" s="1"/>
  <c r="CX12" i="24" s="1"/>
  <c r="CX13" i="24" s="1"/>
  <c r="CW7" i="23"/>
  <c r="CX31" i="23" s="1"/>
  <c r="CX33" i="23" s="1"/>
  <c r="CX38" i="23" s="1"/>
  <c r="CX39" i="23" s="1"/>
  <c r="CX7" i="13"/>
  <c r="DQ10" i="10"/>
  <c r="CX5" i="45"/>
  <c r="CY8" i="45" s="1"/>
  <c r="CY12" i="45" s="1"/>
  <c r="CY13" i="45" s="1"/>
  <c r="CX5" i="33"/>
  <c r="CY8" i="33" s="1"/>
  <c r="CY12" i="33" s="1"/>
  <c r="CY13" i="33" s="1"/>
  <c r="FJ9" i="34"/>
  <c r="FL27" i="4"/>
  <c r="FJ9" i="45"/>
  <c r="FJ33" i="46"/>
  <c r="FJ38" i="46" s="1"/>
  <c r="FJ39" i="46" s="1"/>
  <c r="FJ9" i="33"/>
  <c r="FK40" i="13"/>
  <c r="FK46" i="13" s="1"/>
  <c r="FK47" i="13" s="1"/>
  <c r="FM26" i="4"/>
  <c r="GU25" i="4"/>
  <c r="GS38" i="13" l="1"/>
  <c r="GS32" i="46"/>
  <c r="CY5" i="33"/>
  <c r="CZ8" i="33" s="1"/>
  <c r="CZ12" i="33" s="1"/>
  <c r="CZ13" i="33" s="1"/>
  <c r="DR10" i="10"/>
  <c r="CY5" i="45"/>
  <c r="CZ8" i="45" s="1"/>
  <c r="CZ12" i="45" s="1"/>
  <c r="CZ13" i="45" s="1"/>
  <c r="CY7" i="13"/>
  <c r="CX5" i="24"/>
  <c r="CY8" i="24" s="1"/>
  <c r="CY12" i="24" s="1"/>
  <c r="CY13" i="24" s="1"/>
  <c r="CX7" i="23"/>
  <c r="CY31" i="23" s="1"/>
  <c r="CY33" i="23" s="1"/>
  <c r="CY38" i="23" s="1"/>
  <c r="CY39" i="23" s="1"/>
  <c r="DQ49" i="10"/>
  <c r="FK9" i="34"/>
  <c r="FL40" i="13"/>
  <c r="FL46" i="13" s="1"/>
  <c r="FL47" i="13" s="1"/>
  <c r="FN26" i="4"/>
  <c r="FK9" i="33"/>
  <c r="FK33" i="46"/>
  <c r="FK38" i="46" s="1"/>
  <c r="FK39" i="46" s="1"/>
  <c r="FM27" i="4"/>
  <c r="FK9" i="45"/>
  <c r="DS69" i="10"/>
  <c r="CZ7" i="26"/>
  <c r="DA31" i="26" s="1"/>
  <c r="DA33" i="26" s="1"/>
  <c r="DA38" i="26" s="1"/>
  <c r="DA39" i="26" s="1"/>
  <c r="CZ5" i="34"/>
  <c r="DA8" i="34" s="1"/>
  <c r="DA12" i="34" s="1"/>
  <c r="DA13" i="34" s="1"/>
  <c r="CZ5" i="25"/>
  <c r="DA8" i="25" s="1"/>
  <c r="DA12" i="25" s="1"/>
  <c r="DA13" i="25" s="1"/>
  <c r="FJ9" i="27"/>
  <c r="FL29" i="4"/>
  <c r="CZ5" i="8"/>
  <c r="DA8" i="8" s="1"/>
  <c r="DA12" i="8" s="1"/>
  <c r="DA13" i="8" s="1"/>
  <c r="CZ7" i="7"/>
  <c r="DA31" i="7" s="1"/>
  <c r="DA33" i="7" s="1"/>
  <c r="DA38" i="7" s="1"/>
  <c r="DA39" i="7" s="1"/>
  <c r="DS9" i="10"/>
  <c r="CZ7" i="46"/>
  <c r="CZ5" i="27"/>
  <c r="DA8" i="27" s="1"/>
  <c r="DA12" i="27" s="1"/>
  <c r="DA13" i="27" s="1"/>
  <c r="GV25" i="4"/>
  <c r="GT32" i="46" l="1"/>
  <c r="GT38" i="13"/>
  <c r="DT69" i="10"/>
  <c r="DA5" i="25"/>
  <c r="DB8" i="25" s="1"/>
  <c r="DB12" i="25" s="1"/>
  <c r="DB13" i="25" s="1"/>
  <c r="DA7" i="26"/>
  <c r="DB31" i="26" s="1"/>
  <c r="DB33" i="26" s="1"/>
  <c r="DB38" i="26" s="1"/>
  <c r="DB39" i="26" s="1"/>
  <c r="DA5" i="34"/>
  <c r="DB8" i="34" s="1"/>
  <c r="DB12" i="34" s="1"/>
  <c r="DB13" i="34" s="1"/>
  <c r="FN27" i="4"/>
  <c r="FO26" i="4"/>
  <c r="FL33" i="46"/>
  <c r="FL38" i="46" s="1"/>
  <c r="FL39" i="46" s="1"/>
  <c r="FL9" i="34"/>
  <c r="FM40" i="13"/>
  <c r="FM46" i="13" s="1"/>
  <c r="FM47" i="13" s="1"/>
  <c r="FL9" i="33"/>
  <c r="FL9" i="45"/>
  <c r="FM29" i="4"/>
  <c r="FK9" i="27"/>
  <c r="CY7" i="23"/>
  <c r="CZ31" i="23" s="1"/>
  <c r="CZ33" i="23" s="1"/>
  <c r="CZ38" i="23" s="1"/>
  <c r="CZ39" i="23" s="1"/>
  <c r="DR49" i="10"/>
  <c r="CY5" i="24"/>
  <c r="CZ8" i="24" s="1"/>
  <c r="CZ12" i="24" s="1"/>
  <c r="CZ13" i="24" s="1"/>
  <c r="CZ7" i="13"/>
  <c r="DS10" i="10"/>
  <c r="CZ5" i="33"/>
  <c r="DA8" i="33" s="1"/>
  <c r="DA12" i="33" s="1"/>
  <c r="DA13" i="33" s="1"/>
  <c r="CZ5" i="45"/>
  <c r="DA8" i="45" s="1"/>
  <c r="DA12" i="45" s="1"/>
  <c r="DA13" i="45" s="1"/>
  <c r="DA7" i="7"/>
  <c r="DB31" i="7" s="1"/>
  <c r="DB33" i="7" s="1"/>
  <c r="DB38" i="7" s="1"/>
  <c r="DB39" i="7" s="1"/>
  <c r="DT9" i="10"/>
  <c r="DA5" i="27"/>
  <c r="DB8" i="27" s="1"/>
  <c r="DB12" i="27" s="1"/>
  <c r="DB13" i="27" s="1"/>
  <c r="DA7" i="46"/>
  <c r="DA5" i="8"/>
  <c r="DB8" i="8" s="1"/>
  <c r="DB12" i="8" s="1"/>
  <c r="DB13" i="8" s="1"/>
  <c r="GW25" i="4"/>
  <c r="GU38" i="13" l="1"/>
  <c r="GU32" i="46"/>
  <c r="FL9" i="27"/>
  <c r="FN29" i="4"/>
  <c r="DB7" i="46"/>
  <c r="DU9" i="10"/>
  <c r="DB7" i="7"/>
  <c r="DC31" i="7" s="1"/>
  <c r="DC33" i="7" s="1"/>
  <c r="DC38" i="7" s="1"/>
  <c r="DC39" i="7" s="1"/>
  <c r="DB5" i="27"/>
  <c r="DC8" i="27" s="1"/>
  <c r="DC12" i="27" s="1"/>
  <c r="DC13" i="27" s="1"/>
  <c r="DB5" i="8"/>
  <c r="DC8" i="8" s="1"/>
  <c r="DC12" i="8" s="1"/>
  <c r="DC13" i="8" s="1"/>
  <c r="DS49" i="10"/>
  <c r="CZ5" i="24"/>
  <c r="DA8" i="24" s="1"/>
  <c r="DA12" i="24" s="1"/>
  <c r="DA13" i="24" s="1"/>
  <c r="CZ7" i="23"/>
  <c r="DA31" i="23" s="1"/>
  <c r="DA33" i="23" s="1"/>
  <c r="DA38" i="23" s="1"/>
  <c r="DA39" i="23" s="1"/>
  <c r="DT10" i="10"/>
  <c r="DA5" i="33"/>
  <c r="DB8" i="33" s="1"/>
  <c r="DB12" i="33" s="1"/>
  <c r="DB13" i="33" s="1"/>
  <c r="DA5" i="45"/>
  <c r="DB8" i="45" s="1"/>
  <c r="DB12" i="45" s="1"/>
  <c r="DB13" i="45" s="1"/>
  <c r="DA7" i="13"/>
  <c r="FO27" i="4"/>
  <c r="FM9" i="34"/>
  <c r="FN40" i="13"/>
  <c r="FN46" i="13" s="1"/>
  <c r="FN47" i="13" s="1"/>
  <c r="FP26" i="4"/>
  <c r="FM33" i="46"/>
  <c r="FM38" i="46" s="1"/>
  <c r="FM39" i="46" s="1"/>
  <c r="FM9" i="45"/>
  <c r="FM9" i="33"/>
  <c r="DB7" i="26"/>
  <c r="DC31" i="26" s="1"/>
  <c r="DC33" i="26" s="1"/>
  <c r="DC38" i="26" s="1"/>
  <c r="DC39" i="26" s="1"/>
  <c r="DU69" i="10"/>
  <c r="DB5" i="34"/>
  <c r="DC8" i="34" s="1"/>
  <c r="DC12" i="34" s="1"/>
  <c r="DC13" i="34" s="1"/>
  <c r="DB5" i="25"/>
  <c r="DC8" i="25" s="1"/>
  <c r="DC12" i="25" s="1"/>
  <c r="DC13" i="25" s="1"/>
  <c r="GX25" i="4"/>
  <c r="GV38" i="13" l="1"/>
  <c r="GV32" i="46"/>
  <c r="DB5" i="33"/>
  <c r="DC8" i="33" s="1"/>
  <c r="DC12" i="33" s="1"/>
  <c r="DC13" i="33" s="1"/>
  <c r="DU10" i="10"/>
  <c r="DB5" i="45"/>
  <c r="DC8" i="45" s="1"/>
  <c r="DC12" i="45" s="1"/>
  <c r="DC13" i="45" s="1"/>
  <c r="DB7" i="13"/>
  <c r="DC5" i="8"/>
  <c r="DD8" i="8" s="1"/>
  <c r="DD12" i="8" s="1"/>
  <c r="DD13" i="8" s="1"/>
  <c r="DC7" i="7"/>
  <c r="DD31" i="7" s="1"/>
  <c r="DD33" i="7" s="1"/>
  <c r="DD38" i="7" s="1"/>
  <c r="DD39" i="7" s="1"/>
  <c r="DC7" i="46"/>
  <c r="DV9" i="10"/>
  <c r="DC5" i="27"/>
  <c r="DD8" i="27" s="1"/>
  <c r="DD12" i="27" s="1"/>
  <c r="DD13" i="27" s="1"/>
  <c r="FO29" i="4"/>
  <c r="FM9" i="27"/>
  <c r="DA5" i="24"/>
  <c r="DB8" i="24" s="1"/>
  <c r="DB12" i="24" s="1"/>
  <c r="DB13" i="24" s="1"/>
  <c r="DA7" i="23"/>
  <c r="DB31" i="23" s="1"/>
  <c r="DB33" i="23" s="1"/>
  <c r="DB38" i="23" s="1"/>
  <c r="DB39" i="23" s="1"/>
  <c r="DT49" i="10"/>
  <c r="DV69" i="10"/>
  <c r="DC5" i="25"/>
  <c r="DD8" i="25" s="1"/>
  <c r="DD12" i="25" s="1"/>
  <c r="DD13" i="25" s="1"/>
  <c r="DC5" i="34"/>
  <c r="DD8" i="34" s="1"/>
  <c r="DD12" i="34" s="1"/>
  <c r="DD13" i="34" s="1"/>
  <c r="DC7" i="26"/>
  <c r="DD31" i="26" s="1"/>
  <c r="DD33" i="26" s="1"/>
  <c r="DD38" i="26" s="1"/>
  <c r="DD39" i="26" s="1"/>
  <c r="FO40" i="13"/>
  <c r="FO46" i="13" s="1"/>
  <c r="FO47" i="13" s="1"/>
  <c r="FN33" i="46"/>
  <c r="FN38" i="46" s="1"/>
  <c r="FN39" i="46" s="1"/>
  <c r="FN9" i="34"/>
  <c r="FQ26" i="4"/>
  <c r="FN9" i="33"/>
  <c r="FP27" i="4"/>
  <c r="FN9" i="45"/>
  <c r="GY25" i="4"/>
  <c r="GW32" i="46" l="1"/>
  <c r="GW38" i="13"/>
  <c r="DU49" i="10"/>
  <c r="DB7" i="23"/>
  <c r="DC31" i="23" s="1"/>
  <c r="DC33" i="23" s="1"/>
  <c r="DC38" i="23" s="1"/>
  <c r="DC39" i="23" s="1"/>
  <c r="DB5" i="24"/>
  <c r="DC8" i="24" s="1"/>
  <c r="DC12" i="24" s="1"/>
  <c r="DC13" i="24" s="1"/>
  <c r="DD7" i="46"/>
  <c r="DD5" i="8"/>
  <c r="DE8" i="8" s="1"/>
  <c r="DE12" i="8" s="1"/>
  <c r="DE13" i="8" s="1"/>
  <c r="DD5" i="27"/>
  <c r="DE8" i="27" s="1"/>
  <c r="DE12" i="27" s="1"/>
  <c r="DE13" i="27" s="1"/>
  <c r="DD7" i="7"/>
  <c r="DE31" i="7" s="1"/>
  <c r="DE33" i="7" s="1"/>
  <c r="DE38" i="7" s="1"/>
  <c r="DE39" i="7" s="1"/>
  <c r="DW9" i="10"/>
  <c r="FP29" i="4"/>
  <c r="FN9" i="27"/>
  <c r="FR26" i="4"/>
  <c r="FQ27" i="4"/>
  <c r="FO33" i="46"/>
  <c r="FO38" i="46" s="1"/>
  <c r="FO39" i="46" s="1"/>
  <c r="FO9" i="33"/>
  <c r="FP40" i="13"/>
  <c r="FP46" i="13" s="1"/>
  <c r="FP47" i="13" s="1"/>
  <c r="FO9" i="45"/>
  <c r="FO9" i="34"/>
  <c r="DC7" i="13"/>
  <c r="DV10" i="10"/>
  <c r="DC5" i="45"/>
  <c r="DD8" i="45" s="1"/>
  <c r="DD12" i="45" s="1"/>
  <c r="DD13" i="45" s="1"/>
  <c r="DC5" i="33"/>
  <c r="DD8" i="33" s="1"/>
  <c r="DD12" i="33" s="1"/>
  <c r="DD13" i="33" s="1"/>
  <c r="DD5" i="34"/>
  <c r="DE8" i="34" s="1"/>
  <c r="DE12" i="34" s="1"/>
  <c r="DE13" i="34" s="1"/>
  <c r="DW69" i="10"/>
  <c r="DD5" i="25"/>
  <c r="DE8" i="25" s="1"/>
  <c r="DE12" i="25" s="1"/>
  <c r="DE13" i="25" s="1"/>
  <c r="DD7" i="26"/>
  <c r="DE31" i="26" s="1"/>
  <c r="DE33" i="26" s="1"/>
  <c r="DE38" i="26" s="1"/>
  <c r="DE39" i="26" s="1"/>
  <c r="GZ25" i="4"/>
  <c r="GX32" i="46" l="1"/>
  <c r="GX38" i="13"/>
  <c r="DX69" i="10"/>
  <c r="DE7" i="26"/>
  <c r="DF31" i="26" s="1"/>
  <c r="DF33" i="26" s="1"/>
  <c r="DF38" i="26" s="1"/>
  <c r="DF39" i="26" s="1"/>
  <c r="DE5" i="34"/>
  <c r="DF8" i="34" s="1"/>
  <c r="DF12" i="34" s="1"/>
  <c r="DF13" i="34" s="1"/>
  <c r="DE5" i="25"/>
  <c r="DF8" i="25" s="1"/>
  <c r="DF12" i="25" s="1"/>
  <c r="DF13" i="25" s="1"/>
  <c r="DE7" i="46"/>
  <c r="DX9" i="10"/>
  <c r="DE5" i="8"/>
  <c r="DF8" i="8" s="1"/>
  <c r="DF12" i="8" s="1"/>
  <c r="DF13" i="8" s="1"/>
  <c r="DE7" i="7"/>
  <c r="DF31" i="7" s="1"/>
  <c r="DF33" i="7" s="1"/>
  <c r="DF38" i="7" s="1"/>
  <c r="DF39" i="7" s="1"/>
  <c r="DE5" i="27"/>
  <c r="DF8" i="27" s="1"/>
  <c r="DF12" i="27" s="1"/>
  <c r="DF13" i="27" s="1"/>
  <c r="FR27" i="4"/>
  <c r="FP33" i="46"/>
  <c r="FP38" i="46" s="1"/>
  <c r="FP39" i="46" s="1"/>
  <c r="FP9" i="45"/>
  <c r="FP9" i="34"/>
  <c r="FQ40" i="13"/>
  <c r="FQ46" i="13" s="1"/>
  <c r="FQ47" i="13" s="1"/>
  <c r="FS26" i="4"/>
  <c r="FP9" i="33"/>
  <c r="FO9" i="27"/>
  <c r="FQ29" i="4"/>
  <c r="DD7" i="13"/>
  <c r="DD5" i="45"/>
  <c r="DE8" i="45" s="1"/>
  <c r="DE12" i="45" s="1"/>
  <c r="DE13" i="45" s="1"/>
  <c r="DW10" i="10"/>
  <c r="DD5" i="33"/>
  <c r="DE8" i="33" s="1"/>
  <c r="DE12" i="33" s="1"/>
  <c r="DE13" i="33" s="1"/>
  <c r="DC7" i="23"/>
  <c r="DD31" i="23" s="1"/>
  <c r="DD33" i="23" s="1"/>
  <c r="DD38" i="23" s="1"/>
  <c r="DD39" i="23" s="1"/>
  <c r="DV49" i="10"/>
  <c r="DC5" i="24"/>
  <c r="DD8" i="24" s="1"/>
  <c r="DD12" i="24" s="1"/>
  <c r="DD13" i="24" s="1"/>
  <c r="HA25" i="4"/>
  <c r="GY38" i="13" l="1"/>
  <c r="GY32" i="46"/>
  <c r="FP9" i="27"/>
  <c r="FR29" i="4"/>
  <c r="DW49" i="10"/>
  <c r="DD5" i="24"/>
  <c r="DE8" i="24" s="1"/>
  <c r="DE12" i="24" s="1"/>
  <c r="DE13" i="24" s="1"/>
  <c r="DD7" i="23"/>
  <c r="DE31" i="23" s="1"/>
  <c r="DE33" i="23" s="1"/>
  <c r="DE38" i="23" s="1"/>
  <c r="DE39" i="23" s="1"/>
  <c r="DY9" i="10"/>
  <c r="DF5" i="8"/>
  <c r="DG8" i="8" s="1"/>
  <c r="DG12" i="8" s="1"/>
  <c r="DG13" i="8" s="1"/>
  <c r="DF5" i="27"/>
  <c r="DG8" i="27" s="1"/>
  <c r="DG12" i="27" s="1"/>
  <c r="DG13" i="27" s="1"/>
  <c r="DF7" i="46"/>
  <c r="DF7" i="7"/>
  <c r="DG31" i="7" s="1"/>
  <c r="DG33" i="7" s="1"/>
  <c r="DG38" i="7" s="1"/>
  <c r="DG39" i="7" s="1"/>
  <c r="DE5" i="45"/>
  <c r="DF8" i="45" s="1"/>
  <c r="DF12" i="45" s="1"/>
  <c r="DF13" i="45" s="1"/>
  <c r="DE5" i="33"/>
  <c r="DF8" i="33" s="1"/>
  <c r="DF12" i="33" s="1"/>
  <c r="DF13" i="33" s="1"/>
  <c r="DX10" i="10"/>
  <c r="DE7" i="13"/>
  <c r="FQ9" i="33"/>
  <c r="FQ9" i="45"/>
  <c r="FQ33" i="46"/>
  <c r="FQ38" i="46" s="1"/>
  <c r="FQ39" i="46" s="1"/>
  <c r="FR40" i="13"/>
  <c r="FR46" i="13" s="1"/>
  <c r="FR47" i="13" s="1"/>
  <c r="FQ9" i="34"/>
  <c r="FS27" i="4"/>
  <c r="FT26" i="4"/>
  <c r="DF5" i="34"/>
  <c r="DG8" i="34" s="1"/>
  <c r="DG12" i="34" s="1"/>
  <c r="DG13" i="34" s="1"/>
  <c r="DF5" i="25"/>
  <c r="DG8" i="25" s="1"/>
  <c r="DG12" i="25" s="1"/>
  <c r="DG13" i="25" s="1"/>
  <c r="DY69" i="10"/>
  <c r="DF7" i="26"/>
  <c r="DG31" i="26" s="1"/>
  <c r="DG33" i="26" s="1"/>
  <c r="DG38" i="26" s="1"/>
  <c r="DG39" i="26" s="1"/>
  <c r="HB25" i="4"/>
  <c r="GZ32" i="46" l="1"/>
  <c r="GZ38" i="13"/>
  <c r="DF5" i="45"/>
  <c r="DG8" i="45" s="1"/>
  <c r="DG12" i="45" s="1"/>
  <c r="DG13" i="45" s="1"/>
  <c r="DF5" i="33"/>
  <c r="DG8" i="33" s="1"/>
  <c r="DG12" i="33" s="1"/>
  <c r="DG13" i="33" s="1"/>
  <c r="DF7" i="13"/>
  <c r="DY10" i="10"/>
  <c r="DG5" i="25"/>
  <c r="DH8" i="25" s="1"/>
  <c r="DH12" i="25" s="1"/>
  <c r="DH13" i="25" s="1"/>
  <c r="DG5" i="34"/>
  <c r="DH8" i="34" s="1"/>
  <c r="DH12" i="34" s="1"/>
  <c r="DH13" i="34" s="1"/>
  <c r="DZ69" i="10"/>
  <c r="DG7" i="26"/>
  <c r="DH31" i="26" s="1"/>
  <c r="DH33" i="26" s="1"/>
  <c r="DH38" i="26" s="1"/>
  <c r="DH39" i="26" s="1"/>
  <c r="DG5" i="8"/>
  <c r="DH8" i="8" s="1"/>
  <c r="DH12" i="8" s="1"/>
  <c r="DH13" i="8" s="1"/>
  <c r="DG7" i="7"/>
  <c r="DH31" i="7" s="1"/>
  <c r="DH33" i="7" s="1"/>
  <c r="DH38" i="7" s="1"/>
  <c r="DH39" i="7" s="1"/>
  <c r="DG5" i="27"/>
  <c r="DH8" i="27" s="1"/>
  <c r="DH12" i="27" s="1"/>
  <c r="DH13" i="27" s="1"/>
  <c r="DZ9" i="10"/>
  <c r="DG7" i="46"/>
  <c r="DE7" i="23"/>
  <c r="DF31" i="23" s="1"/>
  <c r="DF33" i="23" s="1"/>
  <c r="DF38" i="23" s="1"/>
  <c r="DF39" i="23" s="1"/>
  <c r="DX49" i="10"/>
  <c r="DE5" i="24"/>
  <c r="DF8" i="24" s="1"/>
  <c r="DF12" i="24" s="1"/>
  <c r="DF13" i="24" s="1"/>
  <c r="FS40" i="13"/>
  <c r="FS46" i="13" s="1"/>
  <c r="FS47" i="13" s="1"/>
  <c r="FR9" i="45"/>
  <c r="FT27" i="4"/>
  <c r="FU26" i="4"/>
  <c r="FR9" i="34"/>
  <c r="FR9" i="33"/>
  <c r="FR33" i="46"/>
  <c r="FR38" i="46" s="1"/>
  <c r="FR39" i="46" s="1"/>
  <c r="FS29" i="4"/>
  <c r="FQ9" i="27"/>
  <c r="HC25" i="4"/>
  <c r="HA32" i="46" l="1"/>
  <c r="HA38" i="13"/>
  <c r="DH5" i="27"/>
  <c r="DI8" i="27" s="1"/>
  <c r="DI12" i="27" s="1"/>
  <c r="DI13" i="27" s="1"/>
  <c r="DH7" i="7"/>
  <c r="DI31" i="7" s="1"/>
  <c r="DI33" i="7" s="1"/>
  <c r="DI38" i="7" s="1"/>
  <c r="DI39" i="7" s="1"/>
  <c r="DH7" i="46"/>
  <c r="EA9" i="10"/>
  <c r="DH5" i="8"/>
  <c r="DI8" i="8" s="1"/>
  <c r="DI12" i="8" s="1"/>
  <c r="DI13" i="8" s="1"/>
  <c r="DG7" i="13"/>
  <c r="DZ10" i="10"/>
  <c r="DG5" i="45"/>
  <c r="DH8" i="45" s="1"/>
  <c r="DH12" i="45" s="1"/>
  <c r="DH13" i="45" s="1"/>
  <c r="DG5" i="33"/>
  <c r="DH8" i="33" s="1"/>
  <c r="DH12" i="33" s="1"/>
  <c r="DH13" i="33" s="1"/>
  <c r="FR9" i="27"/>
  <c r="FT29" i="4"/>
  <c r="DY49" i="10"/>
  <c r="DF7" i="23"/>
  <c r="DG31" i="23" s="1"/>
  <c r="DG33" i="23" s="1"/>
  <c r="DG38" i="23" s="1"/>
  <c r="DG39" i="23" s="1"/>
  <c r="DF5" i="24"/>
  <c r="DG8" i="24" s="1"/>
  <c r="DG12" i="24" s="1"/>
  <c r="DG13" i="24" s="1"/>
  <c r="EA69" i="10"/>
  <c r="DH7" i="26"/>
  <c r="DI31" i="26" s="1"/>
  <c r="DI33" i="26" s="1"/>
  <c r="DI38" i="26" s="1"/>
  <c r="DI39" i="26" s="1"/>
  <c r="DH5" i="25"/>
  <c r="DI8" i="25" s="1"/>
  <c r="DI12" i="25" s="1"/>
  <c r="DI13" i="25" s="1"/>
  <c r="DH5" i="34"/>
  <c r="DI8" i="34" s="1"/>
  <c r="DI12" i="34" s="1"/>
  <c r="DI13" i="34" s="1"/>
  <c r="FS9" i="33"/>
  <c r="FU27" i="4"/>
  <c r="FS9" i="45"/>
  <c r="FV26" i="4"/>
  <c r="FT40" i="13"/>
  <c r="FT46" i="13" s="1"/>
  <c r="FT47" i="13" s="1"/>
  <c r="FS33" i="46"/>
  <c r="FS38" i="46" s="1"/>
  <c r="FS39" i="46" s="1"/>
  <c r="FS9" i="34"/>
  <c r="HD25" i="4"/>
  <c r="HB32" i="46" l="1"/>
  <c r="HB38" i="13"/>
  <c r="EB69" i="10"/>
  <c r="DI5" i="34"/>
  <c r="DJ8" i="34" s="1"/>
  <c r="DJ12" i="34" s="1"/>
  <c r="DJ13" i="34" s="1"/>
  <c r="DI7" i="26"/>
  <c r="DJ31" i="26" s="1"/>
  <c r="DJ33" i="26" s="1"/>
  <c r="DJ38" i="26" s="1"/>
  <c r="DJ39" i="26" s="1"/>
  <c r="DI5" i="25"/>
  <c r="DJ8" i="25" s="1"/>
  <c r="DJ12" i="25" s="1"/>
  <c r="DJ13" i="25" s="1"/>
  <c r="EB9" i="10"/>
  <c r="DI7" i="46"/>
  <c r="DI7" i="7"/>
  <c r="DJ31" i="7" s="1"/>
  <c r="DJ33" i="7" s="1"/>
  <c r="DJ38" i="7" s="1"/>
  <c r="DJ39" i="7" s="1"/>
  <c r="DI5" i="8"/>
  <c r="DJ8" i="8" s="1"/>
  <c r="DJ12" i="8" s="1"/>
  <c r="DJ13" i="8" s="1"/>
  <c r="DI5" i="27"/>
  <c r="DJ8" i="27" s="1"/>
  <c r="DJ12" i="27" s="1"/>
  <c r="DJ13" i="27" s="1"/>
  <c r="FT33" i="46"/>
  <c r="FT38" i="46" s="1"/>
  <c r="FT39" i="46" s="1"/>
  <c r="FT9" i="33"/>
  <c r="FT9" i="45"/>
  <c r="FU40" i="13"/>
  <c r="FU46" i="13" s="1"/>
  <c r="FU47" i="13" s="1"/>
  <c r="FW26" i="4"/>
  <c r="FV27" i="4"/>
  <c r="FT9" i="34"/>
  <c r="R17" i="34" s="1"/>
  <c r="R50" i="34" s="1"/>
  <c r="DG5" i="24"/>
  <c r="DH8" i="24" s="1"/>
  <c r="DH12" i="24" s="1"/>
  <c r="DH13" i="24" s="1"/>
  <c r="DZ49" i="10"/>
  <c r="DG7" i="23"/>
  <c r="DH31" i="23" s="1"/>
  <c r="DH33" i="23" s="1"/>
  <c r="DH38" i="23" s="1"/>
  <c r="DH39" i="23" s="1"/>
  <c r="DH7" i="13"/>
  <c r="DH5" i="33"/>
  <c r="DI8" i="33" s="1"/>
  <c r="DI12" i="33" s="1"/>
  <c r="DI13" i="33" s="1"/>
  <c r="EA10" i="10"/>
  <c r="DH5" i="45"/>
  <c r="DI8" i="45" s="1"/>
  <c r="DI12" i="45" s="1"/>
  <c r="DI13" i="45" s="1"/>
  <c r="FU29" i="4"/>
  <c r="FS9" i="27"/>
  <c r="HE25" i="4"/>
  <c r="HC38" i="13" l="1"/>
  <c r="HC32" i="46"/>
  <c r="FX26" i="4"/>
  <c r="FU9" i="45"/>
  <c r="FU9" i="34"/>
  <c r="FW27" i="4"/>
  <c r="FU33" i="46"/>
  <c r="FU38" i="46" s="1"/>
  <c r="FU39" i="46" s="1"/>
  <c r="FU9" i="33"/>
  <c r="FV40" i="13"/>
  <c r="FV46" i="13" s="1"/>
  <c r="FV47" i="13" s="1"/>
  <c r="DI7" i="13"/>
  <c r="DI5" i="45"/>
  <c r="DJ8" i="45" s="1"/>
  <c r="DJ12" i="45" s="1"/>
  <c r="DJ13" i="45" s="1"/>
  <c r="DI5" i="33"/>
  <c r="DJ8" i="33" s="1"/>
  <c r="DJ12" i="33" s="1"/>
  <c r="DJ13" i="33" s="1"/>
  <c r="EB10" i="10"/>
  <c r="EC9" i="10"/>
  <c r="DJ5" i="27"/>
  <c r="DK8" i="27" s="1"/>
  <c r="DK12" i="27" s="1"/>
  <c r="DK13" i="27" s="1"/>
  <c r="DJ5" i="8"/>
  <c r="DK8" i="8" s="1"/>
  <c r="DK12" i="8" s="1"/>
  <c r="DK13" i="8" s="1"/>
  <c r="DJ7" i="7"/>
  <c r="DK31" i="7" s="1"/>
  <c r="DK33" i="7" s="1"/>
  <c r="DK38" i="7" s="1"/>
  <c r="DK39" i="7" s="1"/>
  <c r="DJ7" i="46"/>
  <c r="DH5" i="24"/>
  <c r="DI8" i="24" s="1"/>
  <c r="DI12" i="24" s="1"/>
  <c r="DI13" i="24" s="1"/>
  <c r="DH7" i="23"/>
  <c r="DI31" i="23" s="1"/>
  <c r="DI33" i="23" s="1"/>
  <c r="DI38" i="23" s="1"/>
  <c r="DI39" i="23" s="1"/>
  <c r="EA49" i="10"/>
  <c r="FT9" i="27"/>
  <c r="FV29" i="4"/>
  <c r="DJ5" i="25"/>
  <c r="DK8" i="25" s="1"/>
  <c r="DK12" i="25" s="1"/>
  <c r="DK13" i="25" s="1"/>
  <c r="DJ5" i="34"/>
  <c r="DK8" i="34" s="1"/>
  <c r="DK12" i="34" s="1"/>
  <c r="DK13" i="34" s="1"/>
  <c r="EC69" i="10"/>
  <c r="DJ7" i="26"/>
  <c r="DK31" i="26" s="1"/>
  <c r="DK33" i="26" s="1"/>
  <c r="DK38" i="26" s="1"/>
  <c r="DK39" i="26" s="1"/>
  <c r="HF25" i="4"/>
  <c r="HD32" i="46" l="1"/>
  <c r="HD38" i="13"/>
  <c r="DJ5" i="45"/>
  <c r="DK8" i="45" s="1"/>
  <c r="DK12" i="45" s="1"/>
  <c r="DK13" i="45" s="1"/>
  <c r="DJ5" i="33"/>
  <c r="DK8" i="33" s="1"/>
  <c r="DK12" i="33" s="1"/>
  <c r="DK13" i="33" s="1"/>
  <c r="DJ7" i="13"/>
  <c r="EC10" i="10"/>
  <c r="DK7" i="26"/>
  <c r="DL31" i="26" s="1"/>
  <c r="DL33" i="26" s="1"/>
  <c r="DL38" i="26" s="1"/>
  <c r="DL39" i="26" s="1"/>
  <c r="DK5" i="34"/>
  <c r="DL8" i="34" s="1"/>
  <c r="DL12" i="34" s="1"/>
  <c r="DL13" i="34" s="1"/>
  <c r="ED69" i="10"/>
  <c r="DK5" i="25"/>
  <c r="DL8" i="25" s="1"/>
  <c r="DL12" i="25" s="1"/>
  <c r="DL13" i="25" s="1"/>
  <c r="FU9" i="27"/>
  <c r="FW29" i="4"/>
  <c r="DK7" i="46"/>
  <c r="DK7" i="7"/>
  <c r="DL31" i="7" s="1"/>
  <c r="DL33" i="7" s="1"/>
  <c r="DL38" i="7" s="1"/>
  <c r="DL39" i="7" s="1"/>
  <c r="DK5" i="8"/>
  <c r="DL8" i="8" s="1"/>
  <c r="DL12" i="8" s="1"/>
  <c r="DL13" i="8" s="1"/>
  <c r="DK5" i="27"/>
  <c r="DL8" i="27" s="1"/>
  <c r="DL12" i="27" s="1"/>
  <c r="DL13" i="27" s="1"/>
  <c r="ED9" i="10"/>
  <c r="DI7" i="23"/>
  <c r="DJ31" i="23" s="1"/>
  <c r="DJ33" i="23" s="1"/>
  <c r="DJ38" i="23" s="1"/>
  <c r="DJ39" i="23" s="1"/>
  <c r="DI5" i="24"/>
  <c r="DJ8" i="24" s="1"/>
  <c r="DJ12" i="24" s="1"/>
  <c r="DJ13" i="24" s="1"/>
  <c r="EB49" i="10"/>
  <c r="FV33" i="46"/>
  <c r="FV38" i="46" s="1"/>
  <c r="FV39" i="46" s="1"/>
  <c r="FY26" i="4"/>
  <c r="FW40" i="13"/>
  <c r="FW46" i="13" s="1"/>
  <c r="FW47" i="13" s="1"/>
  <c r="FV9" i="33"/>
  <c r="FV9" i="34"/>
  <c r="FV9" i="45"/>
  <c r="FX27" i="4"/>
  <c r="HG25" i="4"/>
  <c r="HE32" i="46" l="1"/>
  <c r="HE38" i="13"/>
  <c r="DL5" i="8"/>
  <c r="DM8" i="8" s="1"/>
  <c r="DM12" i="8" s="1"/>
  <c r="DM13" i="8" s="1"/>
  <c r="EE9" i="10"/>
  <c r="DL7" i="46"/>
  <c r="DL7" i="7"/>
  <c r="DM31" i="7" s="1"/>
  <c r="DM33" i="7" s="1"/>
  <c r="DM38" i="7" s="1"/>
  <c r="DM39" i="7" s="1"/>
  <c r="DL5" i="27"/>
  <c r="DM8" i="27" s="1"/>
  <c r="DM12" i="27" s="1"/>
  <c r="DM13" i="27" s="1"/>
  <c r="DK7" i="13"/>
  <c r="DK5" i="45"/>
  <c r="DL8" i="45" s="1"/>
  <c r="DL12" i="45" s="1"/>
  <c r="DL13" i="45" s="1"/>
  <c r="DK5" i="33"/>
  <c r="DL8" i="33" s="1"/>
  <c r="DL12" i="33" s="1"/>
  <c r="DL13" i="33" s="1"/>
  <c r="ED10" i="10"/>
  <c r="FX29" i="4"/>
  <c r="FV9" i="27"/>
  <c r="DL5" i="34"/>
  <c r="DM8" i="34" s="1"/>
  <c r="DM12" i="34" s="1"/>
  <c r="DM13" i="34" s="1"/>
  <c r="DL7" i="26"/>
  <c r="DM31" i="26" s="1"/>
  <c r="DM33" i="26" s="1"/>
  <c r="DM38" i="26" s="1"/>
  <c r="DM39" i="26" s="1"/>
  <c r="EE69" i="10"/>
  <c r="DL5" i="25"/>
  <c r="DM8" i="25" s="1"/>
  <c r="DM12" i="25" s="1"/>
  <c r="DM13" i="25" s="1"/>
  <c r="FW9" i="45"/>
  <c r="FW9" i="33"/>
  <c r="FW9" i="34"/>
  <c r="FZ26" i="4"/>
  <c r="FY27" i="4"/>
  <c r="FX40" i="13"/>
  <c r="FX46" i="13" s="1"/>
  <c r="FX47" i="13" s="1"/>
  <c r="FW33" i="46"/>
  <c r="FW38" i="46" s="1"/>
  <c r="FW39" i="46" s="1"/>
  <c r="EC49" i="10"/>
  <c r="DJ7" i="23"/>
  <c r="DK31" i="23" s="1"/>
  <c r="DK33" i="23" s="1"/>
  <c r="DK38" i="23" s="1"/>
  <c r="DK39" i="23" s="1"/>
  <c r="DJ5" i="24"/>
  <c r="DK8" i="24" s="1"/>
  <c r="DK12" i="24" s="1"/>
  <c r="DK13" i="24" s="1"/>
  <c r="HH25" i="4"/>
  <c r="HF32" i="46" l="1"/>
  <c r="HF38" i="13"/>
  <c r="DM5" i="25"/>
  <c r="DN8" i="25" s="1"/>
  <c r="DN12" i="25" s="1"/>
  <c r="DN13" i="25" s="1"/>
  <c r="EF69" i="10"/>
  <c r="DM7" i="26"/>
  <c r="DN31" i="26" s="1"/>
  <c r="DN33" i="26" s="1"/>
  <c r="DN38" i="26" s="1"/>
  <c r="DN39" i="26" s="1"/>
  <c r="DM5" i="34"/>
  <c r="DN8" i="34" s="1"/>
  <c r="DN12" i="34" s="1"/>
  <c r="DN13" i="34" s="1"/>
  <c r="DK5" i="24"/>
  <c r="DL8" i="24" s="1"/>
  <c r="DL12" i="24" s="1"/>
  <c r="DL13" i="24" s="1"/>
  <c r="ED49" i="10"/>
  <c r="DK7" i="23"/>
  <c r="DL31" i="23" s="1"/>
  <c r="DL33" i="23" s="1"/>
  <c r="DL38" i="23" s="1"/>
  <c r="DL39" i="23" s="1"/>
  <c r="DL5" i="45"/>
  <c r="DM8" i="45" s="1"/>
  <c r="DM12" i="45" s="1"/>
  <c r="DM13" i="45" s="1"/>
  <c r="EE10" i="10"/>
  <c r="DL7" i="13"/>
  <c r="DL5" i="33"/>
  <c r="DM8" i="33" s="1"/>
  <c r="DM12" i="33" s="1"/>
  <c r="DM13" i="33" s="1"/>
  <c r="DM5" i="27"/>
  <c r="DN8" i="27" s="1"/>
  <c r="DN12" i="27" s="1"/>
  <c r="DN13" i="27" s="1"/>
  <c r="DM7" i="7"/>
  <c r="DN31" i="7" s="1"/>
  <c r="DN33" i="7" s="1"/>
  <c r="DN38" i="7" s="1"/>
  <c r="DN39" i="7" s="1"/>
  <c r="EF9" i="10"/>
  <c r="DM7" i="46"/>
  <c r="DM5" i="8"/>
  <c r="DN8" i="8" s="1"/>
  <c r="DN12" i="8" s="1"/>
  <c r="DN13" i="8" s="1"/>
  <c r="FW9" i="27"/>
  <c r="FY29" i="4"/>
  <c r="FX9" i="34"/>
  <c r="FZ27" i="4"/>
  <c r="FY40" i="13"/>
  <c r="FY46" i="13" s="1"/>
  <c r="FY47" i="13" s="1"/>
  <c r="GA26" i="4"/>
  <c r="FX9" i="33"/>
  <c r="FX9" i="45"/>
  <c r="FX33" i="46"/>
  <c r="FX38" i="46" s="1"/>
  <c r="FX39" i="46" s="1"/>
  <c r="HI25" i="4"/>
  <c r="HG32" i="46" l="1"/>
  <c r="HG38" i="13"/>
  <c r="DN7" i="7"/>
  <c r="DO31" i="7" s="1"/>
  <c r="DO33" i="7" s="1"/>
  <c r="DO38" i="7" s="1"/>
  <c r="DO39" i="7" s="1"/>
  <c r="DN5" i="8"/>
  <c r="DO8" i="8" s="1"/>
  <c r="DO12" i="8" s="1"/>
  <c r="DO13" i="8" s="1"/>
  <c r="DN5" i="27"/>
  <c r="DO8" i="27" s="1"/>
  <c r="DO12" i="27" s="1"/>
  <c r="DO13" i="27" s="1"/>
  <c r="DN7" i="46"/>
  <c r="EG9" i="10"/>
  <c r="FY9" i="33"/>
  <c r="FY9" i="45"/>
  <c r="GA27" i="4"/>
  <c r="FY33" i="46"/>
  <c r="FY38" i="46" s="1"/>
  <c r="FY39" i="46" s="1"/>
  <c r="FY9" i="34"/>
  <c r="GB26" i="4"/>
  <c r="FZ40" i="13"/>
  <c r="FZ46" i="13" s="1"/>
  <c r="FZ47" i="13" s="1"/>
  <c r="DL5" i="24"/>
  <c r="DM8" i="24" s="1"/>
  <c r="DM12" i="24" s="1"/>
  <c r="DM13" i="24" s="1"/>
  <c r="EE49" i="10"/>
  <c r="DL7" i="23"/>
  <c r="DM31" i="23" s="1"/>
  <c r="DM33" i="23" s="1"/>
  <c r="DM38" i="23" s="1"/>
  <c r="DM39" i="23" s="1"/>
  <c r="FZ29" i="4"/>
  <c r="FX9" i="27"/>
  <c r="DN5" i="25"/>
  <c r="DO8" i="25" s="1"/>
  <c r="DO12" i="25" s="1"/>
  <c r="DO13" i="25" s="1"/>
  <c r="EG69" i="10"/>
  <c r="DN5" i="34"/>
  <c r="DO8" i="34" s="1"/>
  <c r="DO12" i="34" s="1"/>
  <c r="DO13" i="34" s="1"/>
  <c r="DN7" i="26"/>
  <c r="DO31" i="26" s="1"/>
  <c r="DO33" i="26" s="1"/>
  <c r="DO38" i="26" s="1"/>
  <c r="DO39" i="26" s="1"/>
  <c r="DM5" i="45"/>
  <c r="DN8" i="45" s="1"/>
  <c r="DN12" i="45" s="1"/>
  <c r="DN13" i="45" s="1"/>
  <c r="DM5" i="33"/>
  <c r="DN8" i="33" s="1"/>
  <c r="DN12" i="33" s="1"/>
  <c r="DN13" i="33" s="1"/>
  <c r="DM7" i="13"/>
  <c r="EF10" i="10"/>
  <c r="HJ25" i="4"/>
  <c r="HH32" i="46" l="1"/>
  <c r="HH38" i="13"/>
  <c r="EF49" i="10"/>
  <c r="DM5" i="24"/>
  <c r="DN8" i="24" s="1"/>
  <c r="DN12" i="24" s="1"/>
  <c r="DN13" i="24" s="1"/>
  <c r="DM7" i="23"/>
  <c r="DN31" i="23" s="1"/>
  <c r="DN33" i="23" s="1"/>
  <c r="DN38" i="23" s="1"/>
  <c r="DN39" i="23" s="1"/>
  <c r="DN7" i="13"/>
  <c r="DN5" i="33"/>
  <c r="DO8" i="33" s="1"/>
  <c r="DO12" i="33" s="1"/>
  <c r="DO13" i="33" s="1"/>
  <c r="EG10" i="10"/>
  <c r="DN5" i="45"/>
  <c r="DO8" i="45" s="1"/>
  <c r="DO12" i="45" s="1"/>
  <c r="DO13" i="45" s="1"/>
  <c r="GA29" i="4"/>
  <c r="FY9" i="27"/>
  <c r="EH69" i="10"/>
  <c r="DO5" i="34"/>
  <c r="DP8" i="34" s="1"/>
  <c r="DP12" i="34" s="1"/>
  <c r="DP13" i="34" s="1"/>
  <c r="DO5" i="25"/>
  <c r="DP8" i="25" s="1"/>
  <c r="DP12" i="25" s="1"/>
  <c r="DP13" i="25" s="1"/>
  <c r="DO7" i="26"/>
  <c r="DP31" i="26" s="1"/>
  <c r="DP33" i="26" s="1"/>
  <c r="DP38" i="26" s="1"/>
  <c r="DP39" i="26" s="1"/>
  <c r="FZ9" i="34"/>
  <c r="FZ9" i="33"/>
  <c r="FZ9" i="45"/>
  <c r="GC26" i="4"/>
  <c r="GA40" i="13"/>
  <c r="GA46" i="13" s="1"/>
  <c r="GA47" i="13" s="1"/>
  <c r="GB27" i="4"/>
  <c r="FZ33" i="46"/>
  <c r="FZ38" i="46" s="1"/>
  <c r="FZ39" i="46" s="1"/>
  <c r="EH9" i="10"/>
  <c r="DO7" i="7"/>
  <c r="DP31" i="7" s="1"/>
  <c r="DP33" i="7" s="1"/>
  <c r="DP38" i="7" s="1"/>
  <c r="DP39" i="7" s="1"/>
  <c r="DO5" i="8"/>
  <c r="DP8" i="8" s="1"/>
  <c r="DP12" i="8" s="1"/>
  <c r="DP13" i="8" s="1"/>
  <c r="DO7" i="46"/>
  <c r="DO5" i="27"/>
  <c r="DP8" i="27" s="1"/>
  <c r="DP12" i="27" s="1"/>
  <c r="DP13" i="27" s="1"/>
  <c r="HK25" i="4"/>
  <c r="HI38" i="13" l="1"/>
  <c r="HI32" i="46"/>
  <c r="DP5" i="34"/>
  <c r="DQ8" i="34" s="1"/>
  <c r="DQ12" i="34" s="1"/>
  <c r="DQ13" i="34" s="1"/>
  <c r="DP7" i="26"/>
  <c r="DQ31" i="26" s="1"/>
  <c r="DQ33" i="26" s="1"/>
  <c r="DQ38" i="26" s="1"/>
  <c r="DQ39" i="26" s="1"/>
  <c r="EI69" i="10"/>
  <c r="DP5" i="25"/>
  <c r="DQ8" i="25" s="1"/>
  <c r="DQ12" i="25" s="1"/>
  <c r="DQ13" i="25" s="1"/>
  <c r="DO5" i="33"/>
  <c r="DP8" i="33" s="1"/>
  <c r="DP12" i="33" s="1"/>
  <c r="DP13" i="33" s="1"/>
  <c r="DO7" i="13"/>
  <c r="DO5" i="45"/>
  <c r="DP8" i="45" s="1"/>
  <c r="DP12" i="45" s="1"/>
  <c r="DP13" i="45" s="1"/>
  <c r="EH10" i="10"/>
  <c r="EI9" i="10"/>
  <c r="DP5" i="8"/>
  <c r="DQ8" i="8" s="1"/>
  <c r="DQ12" i="8" s="1"/>
  <c r="DQ13" i="8" s="1"/>
  <c r="DP7" i="7"/>
  <c r="DQ31" i="7" s="1"/>
  <c r="DQ33" i="7" s="1"/>
  <c r="DQ38" i="7" s="1"/>
  <c r="DQ39" i="7" s="1"/>
  <c r="DP7" i="46"/>
  <c r="DP5" i="27"/>
  <c r="DQ8" i="27" s="1"/>
  <c r="DQ12" i="27" s="1"/>
  <c r="DQ13" i="27" s="1"/>
  <c r="GB29" i="4"/>
  <c r="FZ9" i="27"/>
  <c r="GB40" i="13"/>
  <c r="GB46" i="13" s="1"/>
  <c r="GB47" i="13" s="1"/>
  <c r="GA9" i="45"/>
  <c r="GD26" i="4"/>
  <c r="GA9" i="33"/>
  <c r="GA33" i="46"/>
  <c r="GA38" i="46" s="1"/>
  <c r="GA39" i="46" s="1"/>
  <c r="GC27" i="4"/>
  <c r="GA9" i="34"/>
  <c r="DN7" i="23"/>
  <c r="DO31" i="23" s="1"/>
  <c r="DO33" i="23" s="1"/>
  <c r="DO38" i="23" s="1"/>
  <c r="DO39" i="23" s="1"/>
  <c r="DN5" i="24"/>
  <c r="DO8" i="24" s="1"/>
  <c r="DO12" i="24" s="1"/>
  <c r="DO13" i="24" s="1"/>
  <c r="EG49" i="10"/>
  <c r="HL25" i="4"/>
  <c r="HJ32" i="46" l="1"/>
  <c r="HJ38" i="13"/>
  <c r="GC29" i="4"/>
  <c r="GA9" i="27"/>
  <c r="EJ9" i="10"/>
  <c r="DQ7" i="7"/>
  <c r="DR31" i="7" s="1"/>
  <c r="DR33" i="7" s="1"/>
  <c r="DR38" i="7" s="1"/>
  <c r="DR39" i="7" s="1"/>
  <c r="DQ7" i="46"/>
  <c r="DQ5" i="8"/>
  <c r="DR8" i="8" s="1"/>
  <c r="DR12" i="8" s="1"/>
  <c r="DR13" i="8" s="1"/>
  <c r="DQ5" i="27"/>
  <c r="DR8" i="27" s="1"/>
  <c r="DR12" i="27" s="1"/>
  <c r="DR13" i="27" s="1"/>
  <c r="DP7" i="13"/>
  <c r="DP5" i="45"/>
  <c r="DQ8" i="45" s="1"/>
  <c r="DQ12" i="45" s="1"/>
  <c r="DQ13" i="45" s="1"/>
  <c r="EI10" i="10"/>
  <c r="DP5" i="33"/>
  <c r="DQ8" i="33" s="1"/>
  <c r="DQ12" i="33" s="1"/>
  <c r="DQ13" i="33" s="1"/>
  <c r="DQ7" i="26"/>
  <c r="DR31" i="26" s="1"/>
  <c r="DR33" i="26" s="1"/>
  <c r="DR38" i="26" s="1"/>
  <c r="DR39" i="26" s="1"/>
  <c r="DQ5" i="25"/>
  <c r="DR8" i="25" s="1"/>
  <c r="DR12" i="25" s="1"/>
  <c r="DR13" i="25" s="1"/>
  <c r="DQ5" i="34"/>
  <c r="DR8" i="34" s="1"/>
  <c r="DR12" i="34" s="1"/>
  <c r="DR13" i="34" s="1"/>
  <c r="EJ69" i="10"/>
  <c r="DO5" i="24"/>
  <c r="DP8" i="24" s="1"/>
  <c r="DP12" i="24" s="1"/>
  <c r="DP13" i="24" s="1"/>
  <c r="DO7" i="23"/>
  <c r="DP31" i="23" s="1"/>
  <c r="DP33" i="23" s="1"/>
  <c r="DP38" i="23" s="1"/>
  <c r="DP39" i="23" s="1"/>
  <c r="EH49" i="10"/>
  <c r="GB9" i="33"/>
  <c r="GC40" i="13"/>
  <c r="GC46" i="13" s="1"/>
  <c r="GC47" i="13" s="1"/>
  <c r="GB33" i="46"/>
  <c r="GB38" i="46" s="1"/>
  <c r="GB39" i="46" s="1"/>
  <c r="GB9" i="45"/>
  <c r="GE26" i="4"/>
  <c r="GB9" i="34"/>
  <c r="GD27" i="4"/>
  <c r="HM25" i="4"/>
  <c r="HK38" i="13" l="1"/>
  <c r="HK32" i="46"/>
  <c r="DR7" i="26"/>
  <c r="DS31" i="26" s="1"/>
  <c r="DS33" i="26" s="1"/>
  <c r="DS38" i="26" s="1"/>
  <c r="DS39" i="26" s="1"/>
  <c r="EK69" i="10"/>
  <c r="DR5" i="34"/>
  <c r="DS8" i="34" s="1"/>
  <c r="DS12" i="34" s="1"/>
  <c r="DS13" i="34" s="1"/>
  <c r="DR5" i="25"/>
  <c r="DS8" i="25" s="1"/>
  <c r="DS12" i="25" s="1"/>
  <c r="DS13" i="25" s="1"/>
  <c r="DQ5" i="45"/>
  <c r="DR8" i="45" s="1"/>
  <c r="DR12" i="45" s="1"/>
  <c r="DR13" i="45" s="1"/>
  <c r="DQ7" i="13"/>
  <c r="DQ5" i="33"/>
  <c r="DR8" i="33" s="1"/>
  <c r="DR12" i="33" s="1"/>
  <c r="DR13" i="33" s="1"/>
  <c r="EJ10" i="10"/>
  <c r="GE27" i="4"/>
  <c r="GD40" i="13"/>
  <c r="GD46" i="13" s="1"/>
  <c r="GD47" i="13" s="1"/>
  <c r="GC9" i="33"/>
  <c r="GC9" i="45"/>
  <c r="GF26" i="4"/>
  <c r="GC33" i="46"/>
  <c r="GC38" i="46" s="1"/>
  <c r="GC39" i="46" s="1"/>
  <c r="GC9" i="34"/>
  <c r="EK9" i="10"/>
  <c r="DR5" i="8"/>
  <c r="DS8" i="8" s="1"/>
  <c r="DS12" i="8" s="1"/>
  <c r="DS13" i="8" s="1"/>
  <c r="DR7" i="7"/>
  <c r="DS31" i="7" s="1"/>
  <c r="DS33" i="7" s="1"/>
  <c r="DS38" i="7" s="1"/>
  <c r="DS39" i="7" s="1"/>
  <c r="DR7" i="46"/>
  <c r="DR5" i="27"/>
  <c r="DS8" i="27" s="1"/>
  <c r="DS12" i="27" s="1"/>
  <c r="DS13" i="27" s="1"/>
  <c r="DP7" i="23"/>
  <c r="DQ31" i="23" s="1"/>
  <c r="DQ33" i="23" s="1"/>
  <c r="DQ38" i="23" s="1"/>
  <c r="DQ39" i="23" s="1"/>
  <c r="EI49" i="10"/>
  <c r="DP5" i="24"/>
  <c r="DQ8" i="24" s="1"/>
  <c r="DQ12" i="24" s="1"/>
  <c r="DQ13" i="24" s="1"/>
  <c r="GB9" i="27"/>
  <c r="GD29" i="4"/>
  <c r="HN25" i="4"/>
  <c r="HL38" i="13" l="1"/>
  <c r="HL32" i="46"/>
  <c r="GE29" i="4"/>
  <c r="GC9" i="27"/>
  <c r="DS5" i="25"/>
  <c r="DT8" i="25" s="1"/>
  <c r="DT12" i="25" s="1"/>
  <c r="DT13" i="25" s="1"/>
  <c r="DS5" i="34"/>
  <c r="DT8" i="34" s="1"/>
  <c r="DT12" i="34" s="1"/>
  <c r="DT13" i="34" s="1"/>
  <c r="DS7" i="26"/>
  <c r="DT31" i="26" s="1"/>
  <c r="DT33" i="26" s="1"/>
  <c r="DT38" i="26" s="1"/>
  <c r="DT39" i="26" s="1"/>
  <c r="EL69" i="10"/>
  <c r="GD9" i="33"/>
  <c r="GD9" i="34"/>
  <c r="GD33" i="46"/>
  <c r="GD38" i="46" s="1"/>
  <c r="GD39" i="46" s="1"/>
  <c r="GG26" i="4"/>
  <c r="GF27" i="4"/>
  <c r="GE40" i="13"/>
  <c r="GE46" i="13" s="1"/>
  <c r="GE47" i="13" s="1"/>
  <c r="GD9" i="45"/>
  <c r="DR5" i="33"/>
  <c r="DS8" i="33" s="1"/>
  <c r="DS12" i="33" s="1"/>
  <c r="DS13" i="33" s="1"/>
  <c r="DR5" i="45"/>
  <c r="DS8" i="45" s="1"/>
  <c r="DS12" i="45" s="1"/>
  <c r="DS13" i="45" s="1"/>
  <c r="EK10" i="10"/>
  <c r="DR7" i="13"/>
  <c r="DQ7" i="23"/>
  <c r="DR31" i="23" s="1"/>
  <c r="DR33" i="23" s="1"/>
  <c r="DR38" i="23" s="1"/>
  <c r="DR39" i="23" s="1"/>
  <c r="DQ5" i="24"/>
  <c r="DR8" i="24" s="1"/>
  <c r="DR12" i="24" s="1"/>
  <c r="DR13" i="24" s="1"/>
  <c r="EJ49" i="10"/>
  <c r="DS7" i="46"/>
  <c r="EL9" i="10"/>
  <c r="DS5" i="27"/>
  <c r="DT8" i="27" s="1"/>
  <c r="DT12" i="27" s="1"/>
  <c r="DT13" i="27" s="1"/>
  <c r="DS5" i="8"/>
  <c r="DT8" i="8" s="1"/>
  <c r="DT12" i="8" s="1"/>
  <c r="DT13" i="8" s="1"/>
  <c r="DS7" i="7"/>
  <c r="DT31" i="7" s="1"/>
  <c r="DT33" i="7" s="1"/>
  <c r="DT38" i="7" s="1"/>
  <c r="DT39" i="7" s="1"/>
  <c r="HO25" i="4"/>
  <c r="HM32" i="46" l="1"/>
  <c r="HM38" i="13"/>
  <c r="GE9" i="33"/>
  <c r="GE9" i="34"/>
  <c r="GG27" i="4"/>
  <c r="GH26" i="4"/>
  <c r="GF40" i="13"/>
  <c r="GF46" i="13" s="1"/>
  <c r="GF47" i="13" s="1"/>
  <c r="GE33" i="46"/>
  <c r="GE38" i="46" s="1"/>
  <c r="GE39" i="46" s="1"/>
  <c r="GE9" i="45"/>
  <c r="B46" i="4"/>
  <c r="GF29" i="4"/>
  <c r="GD9" i="27"/>
  <c r="DS5" i="33"/>
  <c r="DT8" i="33" s="1"/>
  <c r="DT12" i="33" s="1"/>
  <c r="DT13" i="33" s="1"/>
  <c r="DS5" i="45"/>
  <c r="DT8" i="45" s="1"/>
  <c r="DT12" i="45" s="1"/>
  <c r="DT13" i="45" s="1"/>
  <c r="EL10" i="10"/>
  <c r="DS7" i="13"/>
  <c r="DT5" i="34"/>
  <c r="DU8" i="34" s="1"/>
  <c r="DU12" i="34" s="1"/>
  <c r="DU13" i="34" s="1"/>
  <c r="DT5" i="25"/>
  <c r="DU8" i="25" s="1"/>
  <c r="DU12" i="25" s="1"/>
  <c r="DU13" i="25" s="1"/>
  <c r="EM69" i="10"/>
  <c r="DT7" i="26"/>
  <c r="DU31" i="26" s="1"/>
  <c r="DU33" i="26" s="1"/>
  <c r="DU38" i="26" s="1"/>
  <c r="DU39" i="26" s="1"/>
  <c r="EK49" i="10"/>
  <c r="DR7" i="23"/>
  <c r="DS31" i="23" s="1"/>
  <c r="DS33" i="23" s="1"/>
  <c r="DS38" i="23" s="1"/>
  <c r="DS39" i="23" s="1"/>
  <c r="DR5" i="24"/>
  <c r="DS8" i="24" s="1"/>
  <c r="DS12" i="24" s="1"/>
  <c r="DS13" i="24" s="1"/>
  <c r="DT7" i="7"/>
  <c r="DU31" i="7" s="1"/>
  <c r="DU33" i="7" s="1"/>
  <c r="DU38" i="7" s="1"/>
  <c r="DU39" i="7" s="1"/>
  <c r="DT7" i="46"/>
  <c r="DT5" i="27"/>
  <c r="DU8" i="27" s="1"/>
  <c r="DU12" i="27" s="1"/>
  <c r="DU13" i="27" s="1"/>
  <c r="EM9" i="10"/>
  <c r="DT5" i="8"/>
  <c r="DU8" i="8" s="1"/>
  <c r="DU12" i="8" s="1"/>
  <c r="DU13" i="8" s="1"/>
  <c r="HP25" i="4"/>
  <c r="HN32" i="46" l="1"/>
  <c r="HN38" i="13"/>
  <c r="EN9" i="10"/>
  <c r="DU5" i="8"/>
  <c r="DV8" i="8" s="1"/>
  <c r="DV12" i="8" s="1"/>
  <c r="DV13" i="8" s="1"/>
  <c r="DU5" i="27"/>
  <c r="DV8" i="27" s="1"/>
  <c r="DV12" i="27" s="1"/>
  <c r="DV13" i="27" s="1"/>
  <c r="DU7" i="7"/>
  <c r="DV31" i="7" s="1"/>
  <c r="DV33" i="7" s="1"/>
  <c r="DV38" i="7" s="1"/>
  <c r="DV39" i="7" s="1"/>
  <c r="DU7" i="46"/>
  <c r="DT7" i="13"/>
  <c r="DT5" i="33"/>
  <c r="DU8" i="33" s="1"/>
  <c r="DU12" i="33" s="1"/>
  <c r="DU13" i="33" s="1"/>
  <c r="EM10" i="10"/>
  <c r="DT5" i="45"/>
  <c r="DU8" i="45" s="1"/>
  <c r="DU12" i="45" s="1"/>
  <c r="DU13" i="45" s="1"/>
  <c r="GG40" i="13"/>
  <c r="GG46" i="13" s="1"/>
  <c r="GG47" i="13" s="1"/>
  <c r="GI26" i="4"/>
  <c r="GF33" i="46"/>
  <c r="GF38" i="46" s="1"/>
  <c r="GF39" i="46" s="1"/>
  <c r="GF9" i="34"/>
  <c r="S17" i="34" s="1"/>
  <c r="S50" i="34" s="1"/>
  <c r="GF9" i="45"/>
  <c r="GH27" i="4"/>
  <c r="GF9" i="33"/>
  <c r="EL49" i="10"/>
  <c r="DS7" i="23"/>
  <c r="DT31" i="23" s="1"/>
  <c r="DT33" i="23" s="1"/>
  <c r="DT38" i="23" s="1"/>
  <c r="DT39" i="23" s="1"/>
  <c r="DS5" i="24"/>
  <c r="DT8" i="24" s="1"/>
  <c r="DT12" i="24" s="1"/>
  <c r="DT13" i="24" s="1"/>
  <c r="GG29" i="4"/>
  <c r="GE9" i="27"/>
  <c r="DU5" i="25"/>
  <c r="DV8" i="25" s="1"/>
  <c r="DV12" i="25" s="1"/>
  <c r="DV13" i="25" s="1"/>
  <c r="DU5" i="34"/>
  <c r="DV8" i="34" s="1"/>
  <c r="DV12" i="34" s="1"/>
  <c r="DV13" i="34" s="1"/>
  <c r="DU7" i="26"/>
  <c r="DV31" i="26" s="1"/>
  <c r="DV33" i="26" s="1"/>
  <c r="DV38" i="26" s="1"/>
  <c r="DV39" i="26" s="1"/>
  <c r="EN69" i="10"/>
  <c r="HQ25" i="4"/>
  <c r="HO38" i="13" l="1"/>
  <c r="HO32" i="46"/>
  <c r="GH29" i="4"/>
  <c r="GF9" i="27"/>
  <c r="EN10" i="10"/>
  <c r="DU5" i="33"/>
  <c r="DV8" i="33" s="1"/>
  <c r="DV12" i="33" s="1"/>
  <c r="DV13" i="33" s="1"/>
  <c r="DU5" i="45"/>
  <c r="DV8" i="45" s="1"/>
  <c r="DV12" i="45" s="1"/>
  <c r="DV13" i="45" s="1"/>
  <c r="DU7" i="13"/>
  <c r="GJ26" i="4"/>
  <c r="GH40" i="13"/>
  <c r="GH46" i="13" s="1"/>
  <c r="GH47" i="13" s="1"/>
  <c r="GG9" i="45"/>
  <c r="GG33" i="46"/>
  <c r="GG38" i="46" s="1"/>
  <c r="GG39" i="46" s="1"/>
  <c r="GI27" i="4"/>
  <c r="GG9" i="34"/>
  <c r="GG9" i="33"/>
  <c r="DV7" i="26"/>
  <c r="DW31" i="26" s="1"/>
  <c r="DW33" i="26" s="1"/>
  <c r="DW38" i="26" s="1"/>
  <c r="DW39" i="26" s="1"/>
  <c r="EO69" i="10"/>
  <c r="DV5" i="34"/>
  <c r="DW8" i="34" s="1"/>
  <c r="DW12" i="34" s="1"/>
  <c r="DW13" i="34" s="1"/>
  <c r="DV5" i="25"/>
  <c r="DW8" i="25" s="1"/>
  <c r="DW12" i="25" s="1"/>
  <c r="DW13" i="25" s="1"/>
  <c r="DT7" i="23"/>
  <c r="DU31" i="23" s="1"/>
  <c r="DU33" i="23" s="1"/>
  <c r="DU38" i="23" s="1"/>
  <c r="DU39" i="23" s="1"/>
  <c r="EM49" i="10"/>
  <c r="DT5" i="24"/>
  <c r="DU8" i="24" s="1"/>
  <c r="DU12" i="24" s="1"/>
  <c r="DU13" i="24" s="1"/>
  <c r="DV7" i="46"/>
  <c r="DV5" i="8"/>
  <c r="DW8" i="8" s="1"/>
  <c r="DW12" i="8" s="1"/>
  <c r="DW13" i="8" s="1"/>
  <c r="DV7" i="7"/>
  <c r="DW31" i="7" s="1"/>
  <c r="DW33" i="7" s="1"/>
  <c r="DW38" i="7" s="1"/>
  <c r="DW39" i="7" s="1"/>
  <c r="DV5" i="27"/>
  <c r="DW8" i="27" s="1"/>
  <c r="DW12" i="27" s="1"/>
  <c r="DW13" i="27" s="1"/>
  <c r="EO9" i="10"/>
  <c r="HR25" i="4"/>
  <c r="HP32" i="46" l="1"/>
  <c r="HP38" i="13"/>
  <c r="GG9" i="27"/>
  <c r="GI29" i="4"/>
  <c r="GJ27" i="4"/>
  <c r="GH9" i="33"/>
  <c r="GH9" i="34"/>
  <c r="GH33" i="46"/>
  <c r="GH38" i="46" s="1"/>
  <c r="GH39" i="46" s="1"/>
  <c r="GI40" i="13"/>
  <c r="GI46" i="13" s="1"/>
  <c r="GI47" i="13" s="1"/>
  <c r="GH9" i="45"/>
  <c r="GK26" i="4"/>
  <c r="DW5" i="25"/>
  <c r="DX8" i="25" s="1"/>
  <c r="DX12" i="25" s="1"/>
  <c r="DX13" i="25" s="1"/>
  <c r="EP69" i="10"/>
  <c r="DW5" i="34"/>
  <c r="DX8" i="34" s="1"/>
  <c r="DX12" i="34" s="1"/>
  <c r="DX13" i="34" s="1"/>
  <c r="DW7" i="26"/>
  <c r="DX31" i="26" s="1"/>
  <c r="DX33" i="26" s="1"/>
  <c r="DX38" i="26" s="1"/>
  <c r="DX39" i="26" s="1"/>
  <c r="DU7" i="23"/>
  <c r="DV31" i="23" s="1"/>
  <c r="DV33" i="23" s="1"/>
  <c r="DV38" i="23" s="1"/>
  <c r="DV39" i="23" s="1"/>
  <c r="EN49" i="10"/>
  <c r="DU5" i="24"/>
  <c r="DV8" i="24" s="1"/>
  <c r="DV12" i="24" s="1"/>
  <c r="DV13" i="24" s="1"/>
  <c r="DV5" i="45"/>
  <c r="DW8" i="45" s="1"/>
  <c r="DW12" i="45" s="1"/>
  <c r="DW13" i="45" s="1"/>
  <c r="EO10" i="10"/>
  <c r="DV7" i="13"/>
  <c r="DV5" i="33"/>
  <c r="DW8" i="33" s="1"/>
  <c r="DW12" i="33" s="1"/>
  <c r="DW13" i="33" s="1"/>
  <c r="DW5" i="27"/>
  <c r="DX8" i="27" s="1"/>
  <c r="DX12" i="27" s="1"/>
  <c r="DX13" i="27" s="1"/>
  <c r="DW5" i="8"/>
  <c r="DX8" i="8" s="1"/>
  <c r="DX12" i="8" s="1"/>
  <c r="DX13" i="8" s="1"/>
  <c r="DW7" i="7"/>
  <c r="DX31" i="7" s="1"/>
  <c r="DX33" i="7" s="1"/>
  <c r="DX38" i="7" s="1"/>
  <c r="DX39" i="7" s="1"/>
  <c r="DW7" i="46"/>
  <c r="EP9" i="10"/>
  <c r="HS25" i="4"/>
  <c r="HQ32" i="46" l="1"/>
  <c r="HQ38" i="13"/>
  <c r="DV7" i="23"/>
  <c r="DW31" i="23" s="1"/>
  <c r="DW33" i="23" s="1"/>
  <c r="DW38" i="23" s="1"/>
  <c r="DW39" i="23" s="1"/>
  <c r="DV5" i="24"/>
  <c r="DW8" i="24" s="1"/>
  <c r="DW12" i="24" s="1"/>
  <c r="DW13" i="24" s="1"/>
  <c r="EO49" i="10"/>
  <c r="DX7" i="46"/>
  <c r="DX5" i="27"/>
  <c r="DY8" i="27" s="1"/>
  <c r="DY12" i="27" s="1"/>
  <c r="DY13" i="27" s="1"/>
  <c r="DX7" i="7"/>
  <c r="DY31" i="7" s="1"/>
  <c r="DY33" i="7" s="1"/>
  <c r="DY38" i="7" s="1"/>
  <c r="DY39" i="7" s="1"/>
  <c r="EQ9" i="10"/>
  <c r="DX5" i="8"/>
  <c r="DY8" i="8" s="1"/>
  <c r="DY12" i="8" s="1"/>
  <c r="DY13" i="8" s="1"/>
  <c r="DX5" i="34"/>
  <c r="DY8" i="34" s="1"/>
  <c r="DY12" i="34" s="1"/>
  <c r="DY13" i="34" s="1"/>
  <c r="EQ69" i="10"/>
  <c r="DX7" i="26"/>
  <c r="DY31" i="26" s="1"/>
  <c r="DY33" i="26" s="1"/>
  <c r="DY38" i="26" s="1"/>
  <c r="DY39" i="26" s="1"/>
  <c r="DX5" i="25"/>
  <c r="DY8" i="25" s="1"/>
  <c r="DY12" i="25" s="1"/>
  <c r="DY13" i="25" s="1"/>
  <c r="EP10" i="10"/>
  <c r="DW7" i="13"/>
  <c r="DW5" i="33"/>
  <c r="DX8" i="33" s="1"/>
  <c r="DX12" i="33" s="1"/>
  <c r="DX13" i="33" s="1"/>
  <c r="DW5" i="45"/>
  <c r="DX8" i="45" s="1"/>
  <c r="DX12" i="45" s="1"/>
  <c r="DX13" i="45" s="1"/>
  <c r="GL26" i="4"/>
  <c r="GI9" i="45"/>
  <c r="GI9" i="33"/>
  <c r="GI33" i="46"/>
  <c r="GI38" i="46" s="1"/>
  <c r="GI39" i="46" s="1"/>
  <c r="GJ40" i="13"/>
  <c r="GJ46" i="13" s="1"/>
  <c r="GJ47" i="13" s="1"/>
  <c r="GK27" i="4"/>
  <c r="GI9" i="34"/>
  <c r="GH9" i="27"/>
  <c r="GJ29" i="4"/>
  <c r="HT25" i="4"/>
  <c r="HR32" i="46" l="1"/>
  <c r="HR38" i="13"/>
  <c r="DX7" i="13"/>
  <c r="DX5" i="33"/>
  <c r="DY8" i="33" s="1"/>
  <c r="DY12" i="33" s="1"/>
  <c r="DY13" i="33" s="1"/>
  <c r="EQ10" i="10"/>
  <c r="DX5" i="45"/>
  <c r="DY8" i="45" s="1"/>
  <c r="DY12" i="45" s="1"/>
  <c r="DY13" i="45" s="1"/>
  <c r="GK29" i="4"/>
  <c r="GI9" i="27"/>
  <c r="DY5" i="8"/>
  <c r="DZ8" i="8" s="1"/>
  <c r="DZ12" i="8" s="1"/>
  <c r="DZ13" i="8" s="1"/>
  <c r="DY7" i="46"/>
  <c r="ER9" i="10"/>
  <c r="DY7" i="7"/>
  <c r="DZ31" i="7" s="1"/>
  <c r="DZ33" i="7" s="1"/>
  <c r="DZ38" i="7" s="1"/>
  <c r="DZ39" i="7" s="1"/>
  <c r="DY5" i="27"/>
  <c r="DZ8" i="27" s="1"/>
  <c r="DZ12" i="27" s="1"/>
  <c r="DZ13" i="27" s="1"/>
  <c r="DW5" i="24"/>
  <c r="DX8" i="24" s="1"/>
  <c r="DX12" i="24" s="1"/>
  <c r="DX13" i="24" s="1"/>
  <c r="DW7" i="23"/>
  <c r="DX31" i="23" s="1"/>
  <c r="DX33" i="23" s="1"/>
  <c r="DX38" i="23" s="1"/>
  <c r="DX39" i="23" s="1"/>
  <c r="EP49" i="10"/>
  <c r="DY5" i="25"/>
  <c r="DZ8" i="25" s="1"/>
  <c r="DZ12" i="25" s="1"/>
  <c r="DZ13" i="25" s="1"/>
  <c r="ER69" i="10"/>
  <c r="DY7" i="26"/>
  <c r="DZ31" i="26" s="1"/>
  <c r="DZ33" i="26" s="1"/>
  <c r="DZ38" i="26" s="1"/>
  <c r="DZ39" i="26" s="1"/>
  <c r="DY5" i="34"/>
  <c r="DZ8" i="34" s="1"/>
  <c r="DZ12" i="34" s="1"/>
  <c r="DZ13" i="34" s="1"/>
  <c r="GL27" i="4"/>
  <c r="GJ33" i="46"/>
  <c r="GJ38" i="46" s="1"/>
  <c r="GJ39" i="46" s="1"/>
  <c r="GK40" i="13"/>
  <c r="GK46" i="13" s="1"/>
  <c r="GK47" i="13" s="1"/>
  <c r="GM26" i="4"/>
  <c r="GJ9" i="33"/>
  <c r="GJ9" i="45"/>
  <c r="GJ9" i="34"/>
  <c r="HU25" i="4"/>
  <c r="HS38" i="13" l="1"/>
  <c r="HS32" i="46"/>
  <c r="ES69" i="10"/>
  <c r="DZ5" i="34"/>
  <c r="EA8" i="34" s="1"/>
  <c r="EA12" i="34" s="1"/>
  <c r="EA13" i="34" s="1"/>
  <c r="DZ7" i="26"/>
  <c r="EA31" i="26" s="1"/>
  <c r="EA33" i="26" s="1"/>
  <c r="EA38" i="26" s="1"/>
  <c r="EA39" i="26" s="1"/>
  <c r="DZ5" i="25"/>
  <c r="EA8" i="25" s="1"/>
  <c r="EA12" i="25" s="1"/>
  <c r="EA13" i="25" s="1"/>
  <c r="GL29" i="4"/>
  <c r="GJ9" i="27"/>
  <c r="ER10" i="10"/>
  <c r="DY5" i="33"/>
  <c r="DZ8" i="33" s="1"/>
  <c r="DZ12" i="33" s="1"/>
  <c r="DZ13" i="33" s="1"/>
  <c r="DY5" i="45"/>
  <c r="DZ8" i="45" s="1"/>
  <c r="DZ12" i="45" s="1"/>
  <c r="DZ13" i="45" s="1"/>
  <c r="DY7" i="13"/>
  <c r="EQ49" i="10"/>
  <c r="DX5" i="24"/>
  <c r="DY8" i="24" s="1"/>
  <c r="DY12" i="24" s="1"/>
  <c r="DY13" i="24" s="1"/>
  <c r="DX7" i="23"/>
  <c r="DY31" i="23" s="1"/>
  <c r="DY33" i="23" s="1"/>
  <c r="DY38" i="23" s="1"/>
  <c r="DY39" i="23" s="1"/>
  <c r="DZ5" i="8"/>
  <c r="EA8" i="8" s="1"/>
  <c r="EA12" i="8" s="1"/>
  <c r="EA13" i="8" s="1"/>
  <c r="ES9" i="10"/>
  <c r="DZ5" i="27"/>
  <c r="EA8" i="27" s="1"/>
  <c r="EA12" i="27" s="1"/>
  <c r="EA13" i="27" s="1"/>
  <c r="DZ7" i="7"/>
  <c r="EA31" i="7" s="1"/>
  <c r="EA33" i="7" s="1"/>
  <c r="EA38" i="7" s="1"/>
  <c r="EA39" i="7" s="1"/>
  <c r="DZ7" i="46"/>
  <c r="GK9" i="45"/>
  <c r="GK9" i="33"/>
  <c r="GM27" i="4"/>
  <c r="GK33" i="46"/>
  <c r="GK38" i="46" s="1"/>
  <c r="GK39" i="46" s="1"/>
  <c r="GL40" i="13"/>
  <c r="GL46" i="13" s="1"/>
  <c r="GL47" i="13" s="1"/>
  <c r="GN26" i="4"/>
  <c r="GK9" i="34"/>
  <c r="HV25" i="4"/>
  <c r="HT32" i="46" l="1"/>
  <c r="HT38" i="13"/>
  <c r="DY5" i="24"/>
  <c r="DZ8" i="24" s="1"/>
  <c r="DZ12" i="24" s="1"/>
  <c r="DZ13" i="24" s="1"/>
  <c r="ER49" i="10"/>
  <c r="DY7" i="23"/>
  <c r="DZ31" i="23" s="1"/>
  <c r="DZ33" i="23" s="1"/>
  <c r="DZ38" i="23" s="1"/>
  <c r="DZ39" i="23" s="1"/>
  <c r="DZ5" i="33"/>
  <c r="EA8" i="33" s="1"/>
  <c r="EA12" i="33" s="1"/>
  <c r="EA13" i="33" s="1"/>
  <c r="DZ7" i="13"/>
  <c r="ES10" i="10"/>
  <c r="DZ5" i="45"/>
  <c r="EA8" i="45" s="1"/>
  <c r="EA12" i="45" s="1"/>
  <c r="EA13" i="45" s="1"/>
  <c r="ET9" i="10"/>
  <c r="EA7" i="46"/>
  <c r="EA5" i="8"/>
  <c r="EB8" i="8" s="1"/>
  <c r="EB12" i="8" s="1"/>
  <c r="EB13" i="8" s="1"/>
  <c r="EA7" i="7"/>
  <c r="EB31" i="7" s="1"/>
  <c r="EB33" i="7" s="1"/>
  <c r="EB38" i="7" s="1"/>
  <c r="EB39" i="7" s="1"/>
  <c r="EA5" i="27"/>
  <c r="EB8" i="27" s="1"/>
  <c r="EB12" i="27" s="1"/>
  <c r="EB13" i="27" s="1"/>
  <c r="GL33" i="46"/>
  <c r="GL38" i="46" s="1"/>
  <c r="GL39" i="46" s="1"/>
  <c r="GO26" i="4"/>
  <c r="GN27" i="4"/>
  <c r="GL9" i="33"/>
  <c r="GL9" i="34"/>
  <c r="GM40" i="13"/>
  <c r="GM46" i="13" s="1"/>
  <c r="GM47" i="13" s="1"/>
  <c r="GL9" i="45"/>
  <c r="GK9" i="27"/>
  <c r="GM29" i="4"/>
  <c r="ET69" i="10"/>
  <c r="EA7" i="26"/>
  <c r="EB31" i="26" s="1"/>
  <c r="EB33" i="26" s="1"/>
  <c r="EB38" i="26" s="1"/>
  <c r="EB39" i="26" s="1"/>
  <c r="EA5" i="25"/>
  <c r="EB8" i="25" s="1"/>
  <c r="EB12" i="25" s="1"/>
  <c r="EB13" i="25" s="1"/>
  <c r="EA5" i="34"/>
  <c r="EB8" i="34" s="1"/>
  <c r="EB12" i="34" s="1"/>
  <c r="EB13" i="34" s="1"/>
  <c r="HW25" i="4"/>
  <c r="HU32" i="46" l="1"/>
  <c r="HU38" i="13"/>
  <c r="GN40" i="13"/>
  <c r="GN46" i="13" s="1"/>
  <c r="GN47" i="13" s="1"/>
  <c r="GO27" i="4"/>
  <c r="GM9" i="34"/>
  <c r="GP26" i="4"/>
  <c r="GM9" i="45"/>
  <c r="GM9" i="33"/>
  <c r="GM33" i="46"/>
  <c r="GM38" i="46" s="1"/>
  <c r="GM39" i="46" s="1"/>
  <c r="GL9" i="27"/>
  <c r="GN29" i="4"/>
  <c r="EA5" i="45"/>
  <c r="EB8" i="45" s="1"/>
  <c r="EB12" i="45" s="1"/>
  <c r="EB13" i="45" s="1"/>
  <c r="EA7" i="13"/>
  <c r="EA5" i="33"/>
  <c r="EB8" i="33" s="1"/>
  <c r="EB12" i="33" s="1"/>
  <c r="EB13" i="33" s="1"/>
  <c r="ET10" i="10"/>
  <c r="ES49" i="10"/>
  <c r="DZ5" i="24"/>
  <c r="EA8" i="24" s="1"/>
  <c r="EA12" i="24" s="1"/>
  <c r="EA13" i="24" s="1"/>
  <c r="DZ7" i="23"/>
  <c r="EA31" i="23" s="1"/>
  <c r="EA33" i="23" s="1"/>
  <c r="EA38" i="23" s="1"/>
  <c r="EA39" i="23" s="1"/>
  <c r="EB5" i="8"/>
  <c r="EC8" i="8" s="1"/>
  <c r="EC12" i="8" s="1"/>
  <c r="EC13" i="8" s="1"/>
  <c r="EB7" i="7"/>
  <c r="EC31" i="7" s="1"/>
  <c r="EC33" i="7" s="1"/>
  <c r="EC38" i="7" s="1"/>
  <c r="EC39" i="7" s="1"/>
  <c r="EB7" i="46"/>
  <c r="EU9" i="10"/>
  <c r="EB5" i="27"/>
  <c r="EC8" i="27" s="1"/>
  <c r="EC12" i="27" s="1"/>
  <c r="EC13" i="27" s="1"/>
  <c r="EB5" i="25"/>
  <c r="EC8" i="25" s="1"/>
  <c r="EC12" i="25" s="1"/>
  <c r="EC13" i="25" s="1"/>
  <c r="EB5" i="34"/>
  <c r="EC8" i="34" s="1"/>
  <c r="EC12" i="34" s="1"/>
  <c r="EC13" i="34" s="1"/>
  <c r="EU69" i="10"/>
  <c r="EB7" i="26"/>
  <c r="EC31" i="26" s="1"/>
  <c r="EC33" i="26" s="1"/>
  <c r="EC38" i="26" s="1"/>
  <c r="EC39" i="26" s="1"/>
  <c r="HX25" i="4"/>
  <c r="HV32" i="46" l="1"/>
  <c r="HV38" i="13"/>
  <c r="EB5" i="33"/>
  <c r="EC8" i="33" s="1"/>
  <c r="EC12" i="33" s="1"/>
  <c r="EC13" i="33" s="1"/>
  <c r="EU10" i="10"/>
  <c r="EB5" i="45"/>
  <c r="EC8" i="45" s="1"/>
  <c r="EC12" i="45" s="1"/>
  <c r="EC13" i="45" s="1"/>
  <c r="EB7" i="13"/>
  <c r="EC7" i="46"/>
  <c r="EC5" i="27"/>
  <c r="ED8" i="27" s="1"/>
  <c r="ED12" i="27" s="1"/>
  <c r="ED13" i="27" s="1"/>
  <c r="EC7" i="7"/>
  <c r="ED31" i="7" s="1"/>
  <c r="ED33" i="7" s="1"/>
  <c r="ED38" i="7" s="1"/>
  <c r="ED39" i="7" s="1"/>
  <c r="EV9" i="10"/>
  <c r="EC5" i="8"/>
  <c r="ED8" i="8" s="1"/>
  <c r="ED12" i="8" s="1"/>
  <c r="ED13" i="8" s="1"/>
  <c r="GN9" i="45"/>
  <c r="GN9" i="34"/>
  <c r="GP27" i="4"/>
  <c r="GO40" i="13"/>
  <c r="GO46" i="13" s="1"/>
  <c r="GO47" i="13" s="1"/>
  <c r="GQ26" i="4"/>
  <c r="GN33" i="46"/>
  <c r="GN38" i="46" s="1"/>
  <c r="GN39" i="46" s="1"/>
  <c r="GN9" i="33"/>
  <c r="EC5" i="34"/>
  <c r="ED8" i="34" s="1"/>
  <c r="ED12" i="34" s="1"/>
  <c r="ED13" i="34" s="1"/>
  <c r="EV69" i="10"/>
  <c r="EC7" i="26"/>
  <c r="ED31" i="26" s="1"/>
  <c r="ED33" i="26" s="1"/>
  <c r="ED38" i="26" s="1"/>
  <c r="ED39" i="26" s="1"/>
  <c r="EC5" i="25"/>
  <c r="ED8" i="25" s="1"/>
  <c r="ED12" i="25" s="1"/>
  <c r="ED13" i="25" s="1"/>
  <c r="EA5" i="24"/>
  <c r="EB8" i="24" s="1"/>
  <c r="EB12" i="24" s="1"/>
  <c r="EB13" i="24" s="1"/>
  <c r="ET49" i="10"/>
  <c r="EA7" i="23"/>
  <c r="EB31" i="23" s="1"/>
  <c r="EB33" i="23" s="1"/>
  <c r="EB38" i="23" s="1"/>
  <c r="EB39" i="23" s="1"/>
  <c r="GO29" i="4"/>
  <c r="GM9" i="27"/>
  <c r="HY25" i="4"/>
  <c r="HW32" i="46" l="1"/>
  <c r="HW38" i="13"/>
  <c r="GQ27" i="4"/>
  <c r="GO9" i="45"/>
  <c r="GP40" i="13"/>
  <c r="GP46" i="13" s="1"/>
  <c r="GP47" i="13" s="1"/>
  <c r="GO33" i="46"/>
  <c r="GO38" i="46" s="1"/>
  <c r="GO39" i="46" s="1"/>
  <c r="GO9" i="33"/>
  <c r="GR26" i="4"/>
  <c r="GO9" i="34"/>
  <c r="GP29" i="4"/>
  <c r="GN9" i="27"/>
  <c r="ED7" i="7"/>
  <c r="EE31" i="7" s="1"/>
  <c r="EE33" i="7" s="1"/>
  <c r="EE38" i="7" s="1"/>
  <c r="EE39" i="7" s="1"/>
  <c r="ED7" i="46"/>
  <c r="EW9" i="10"/>
  <c r="ED5" i="27"/>
  <c r="EE8" i="27" s="1"/>
  <c r="EE12" i="27" s="1"/>
  <c r="EE13" i="27" s="1"/>
  <c r="ED5" i="8"/>
  <c r="EE8" i="8" s="1"/>
  <c r="EE12" i="8" s="1"/>
  <c r="EE13" i="8" s="1"/>
  <c r="ED7" i="26"/>
  <c r="EE31" i="26" s="1"/>
  <c r="EE33" i="26" s="1"/>
  <c r="EE38" i="26" s="1"/>
  <c r="EE39" i="26" s="1"/>
  <c r="ED5" i="34"/>
  <c r="EE8" i="34" s="1"/>
  <c r="EE12" i="34" s="1"/>
  <c r="EE13" i="34" s="1"/>
  <c r="ED5" i="25"/>
  <c r="EE8" i="25" s="1"/>
  <c r="EE12" i="25" s="1"/>
  <c r="EE13" i="25" s="1"/>
  <c r="EW69" i="10"/>
  <c r="EC7" i="13"/>
  <c r="EC5" i="33"/>
  <c r="ED8" i="33" s="1"/>
  <c r="ED12" i="33" s="1"/>
  <c r="ED13" i="33" s="1"/>
  <c r="EV10" i="10"/>
  <c r="EC5" i="45"/>
  <c r="ED8" i="45" s="1"/>
  <c r="ED12" i="45" s="1"/>
  <c r="ED13" i="45" s="1"/>
  <c r="EB5" i="24"/>
  <c r="EC8" i="24" s="1"/>
  <c r="EC12" i="24" s="1"/>
  <c r="EC13" i="24" s="1"/>
  <c r="EB7" i="23"/>
  <c r="EC31" i="23" s="1"/>
  <c r="EC33" i="23" s="1"/>
  <c r="EC38" i="23" s="1"/>
  <c r="EC39" i="23" s="1"/>
  <c r="EU49" i="10"/>
  <c r="HZ25" i="4"/>
  <c r="HX32" i="46" l="1"/>
  <c r="HX38" i="13"/>
  <c r="EE5" i="8"/>
  <c r="EF8" i="8" s="1"/>
  <c r="EF12" i="8" s="1"/>
  <c r="EF13" i="8" s="1"/>
  <c r="EX9" i="10"/>
  <c r="EE7" i="7"/>
  <c r="EF31" i="7" s="1"/>
  <c r="EF33" i="7" s="1"/>
  <c r="EF38" i="7" s="1"/>
  <c r="EF39" i="7" s="1"/>
  <c r="EE7" i="46"/>
  <c r="EE5" i="27"/>
  <c r="EF8" i="27" s="1"/>
  <c r="EF12" i="27" s="1"/>
  <c r="EF13" i="27" s="1"/>
  <c r="GP33" i="46"/>
  <c r="GP38" i="46" s="1"/>
  <c r="GP39" i="46" s="1"/>
  <c r="GP9" i="33"/>
  <c r="GS26" i="4"/>
  <c r="GR27" i="4"/>
  <c r="GP9" i="34"/>
  <c r="GQ40" i="13"/>
  <c r="GQ46" i="13" s="1"/>
  <c r="GQ47" i="13" s="1"/>
  <c r="GP9" i="45"/>
  <c r="EE5" i="34"/>
  <c r="EF8" i="34" s="1"/>
  <c r="EF12" i="34" s="1"/>
  <c r="EF13" i="34" s="1"/>
  <c r="EE5" i="25"/>
  <c r="EF8" i="25" s="1"/>
  <c r="EF12" i="25" s="1"/>
  <c r="EF13" i="25" s="1"/>
  <c r="EX69" i="10"/>
  <c r="EE7" i="26"/>
  <c r="EF31" i="26" s="1"/>
  <c r="EF33" i="26" s="1"/>
  <c r="EF38" i="26" s="1"/>
  <c r="EF39" i="26" s="1"/>
  <c r="EC5" i="24"/>
  <c r="ED8" i="24" s="1"/>
  <c r="ED12" i="24" s="1"/>
  <c r="ED13" i="24" s="1"/>
  <c r="EC7" i="23"/>
  <c r="ED31" i="23" s="1"/>
  <c r="ED33" i="23" s="1"/>
  <c r="ED38" i="23" s="1"/>
  <c r="ED39" i="23" s="1"/>
  <c r="EV49" i="10"/>
  <c r="EW10" i="10"/>
  <c r="ED5" i="45"/>
  <c r="EE8" i="45" s="1"/>
  <c r="EE12" i="45" s="1"/>
  <c r="EE13" i="45" s="1"/>
  <c r="ED7" i="13"/>
  <c r="ED5" i="33"/>
  <c r="EE8" i="33" s="1"/>
  <c r="EE12" i="33" s="1"/>
  <c r="EE13" i="33" s="1"/>
  <c r="GQ29" i="4"/>
  <c r="GO9" i="27"/>
  <c r="IA25" i="4"/>
  <c r="HY38" i="13" l="1"/>
  <c r="HY32" i="46"/>
  <c r="EX10" i="10"/>
  <c r="EE5" i="45"/>
  <c r="EF8" i="45" s="1"/>
  <c r="EF12" i="45" s="1"/>
  <c r="EF13" i="45" s="1"/>
  <c r="EE7" i="13"/>
  <c r="EE5" i="33"/>
  <c r="EF8" i="33" s="1"/>
  <c r="EF12" i="33" s="1"/>
  <c r="EF13" i="33" s="1"/>
  <c r="EF5" i="34"/>
  <c r="EG8" i="34" s="1"/>
  <c r="EG12" i="34" s="1"/>
  <c r="EG13" i="34" s="1"/>
  <c r="EF7" i="26"/>
  <c r="EG31" i="26" s="1"/>
  <c r="EG33" i="26" s="1"/>
  <c r="EG38" i="26" s="1"/>
  <c r="EG39" i="26" s="1"/>
  <c r="EF5" i="25"/>
  <c r="EG8" i="25" s="1"/>
  <c r="EG12" i="25" s="1"/>
  <c r="EG13" i="25" s="1"/>
  <c r="EY69" i="10"/>
  <c r="GP9" i="27"/>
  <c r="GR29" i="4"/>
  <c r="ED5" i="24"/>
  <c r="EE8" i="24" s="1"/>
  <c r="EE12" i="24" s="1"/>
  <c r="EE13" i="24" s="1"/>
  <c r="EW49" i="10"/>
  <c r="ED7" i="23"/>
  <c r="EE31" i="23" s="1"/>
  <c r="EE33" i="23" s="1"/>
  <c r="EE38" i="23" s="1"/>
  <c r="EE39" i="23" s="1"/>
  <c r="EF7" i="46"/>
  <c r="EY9" i="10"/>
  <c r="EF5" i="27"/>
  <c r="EG8" i="27" s="1"/>
  <c r="EG12" i="27" s="1"/>
  <c r="EG13" i="27" s="1"/>
  <c r="EF7" i="7"/>
  <c r="EG31" i="7" s="1"/>
  <c r="EG33" i="7" s="1"/>
  <c r="EG38" i="7" s="1"/>
  <c r="EG39" i="7" s="1"/>
  <c r="EF5" i="8"/>
  <c r="EG8" i="8" s="1"/>
  <c r="EG12" i="8" s="1"/>
  <c r="EG13" i="8" s="1"/>
  <c r="GQ33" i="46"/>
  <c r="GQ38" i="46" s="1"/>
  <c r="GQ39" i="46" s="1"/>
  <c r="GQ9" i="34"/>
  <c r="GS27" i="4"/>
  <c r="GQ9" i="45"/>
  <c r="GT26" i="4"/>
  <c r="GQ9" i="33"/>
  <c r="GR40" i="13"/>
  <c r="GR46" i="13" s="1"/>
  <c r="GR47" i="13" s="1"/>
  <c r="IB25" i="4"/>
  <c r="HZ32" i="46" l="1"/>
  <c r="HZ38" i="13"/>
  <c r="GR33" i="46"/>
  <c r="GR38" i="46" s="1"/>
  <c r="GR39" i="46" s="1"/>
  <c r="GR9" i="34"/>
  <c r="GS40" i="13"/>
  <c r="GS46" i="13" s="1"/>
  <c r="GS47" i="13" s="1"/>
  <c r="GR9" i="45"/>
  <c r="GR9" i="33"/>
  <c r="GU26" i="4"/>
  <c r="GT27" i="4"/>
  <c r="EE7" i="23"/>
  <c r="EF31" i="23" s="1"/>
  <c r="EF33" i="23" s="1"/>
  <c r="EF38" i="23" s="1"/>
  <c r="EF39" i="23" s="1"/>
  <c r="EX49" i="10"/>
  <c r="EE5" i="24"/>
  <c r="EF8" i="24" s="1"/>
  <c r="EF12" i="24" s="1"/>
  <c r="EF13" i="24" s="1"/>
  <c r="EG7" i="26"/>
  <c r="EH31" i="26" s="1"/>
  <c r="EH33" i="26" s="1"/>
  <c r="EH38" i="26" s="1"/>
  <c r="EH39" i="26" s="1"/>
  <c r="EG5" i="25"/>
  <c r="EH8" i="25" s="1"/>
  <c r="EH12" i="25" s="1"/>
  <c r="EH13" i="25" s="1"/>
  <c r="EZ69" i="10"/>
  <c r="EG5" i="34"/>
  <c r="EH8" i="34" s="1"/>
  <c r="EH12" i="34" s="1"/>
  <c r="EH13" i="34" s="1"/>
  <c r="GS29" i="4"/>
  <c r="GQ9" i="27"/>
  <c r="EG5" i="8"/>
  <c r="EH8" i="8" s="1"/>
  <c r="EH12" i="8" s="1"/>
  <c r="EH13" i="8" s="1"/>
  <c r="EG7" i="7"/>
  <c r="EH31" i="7" s="1"/>
  <c r="EH33" i="7" s="1"/>
  <c r="EH38" i="7" s="1"/>
  <c r="EH39" i="7" s="1"/>
  <c r="EZ9" i="10"/>
  <c r="EG5" i="27"/>
  <c r="EH8" i="27" s="1"/>
  <c r="EH12" i="27" s="1"/>
  <c r="EH13" i="27" s="1"/>
  <c r="EG7" i="46"/>
  <c r="EF7" i="13"/>
  <c r="EY10" i="10"/>
  <c r="EF5" i="45"/>
  <c r="EG8" i="45" s="1"/>
  <c r="EG12" i="45" s="1"/>
  <c r="EG13" i="45" s="1"/>
  <c r="EF5" i="33"/>
  <c r="EG8" i="33" s="1"/>
  <c r="EG12" i="33" s="1"/>
  <c r="EG13" i="33" s="1"/>
  <c r="IC25" i="4"/>
  <c r="IA38" i="13" l="1"/>
  <c r="IA32" i="46"/>
  <c r="EH5" i="25"/>
  <c r="EI8" i="25" s="1"/>
  <c r="EI12" i="25" s="1"/>
  <c r="EI13" i="25" s="1"/>
  <c r="EH5" i="34"/>
  <c r="EI8" i="34" s="1"/>
  <c r="EI12" i="34" s="1"/>
  <c r="EI13" i="34" s="1"/>
  <c r="EH7" i="26"/>
  <c r="EI31" i="26" s="1"/>
  <c r="EI33" i="26" s="1"/>
  <c r="EI38" i="26" s="1"/>
  <c r="EI39" i="26" s="1"/>
  <c r="FA69" i="10"/>
  <c r="EF7" i="23"/>
  <c r="EG31" i="23" s="1"/>
  <c r="EG33" i="23" s="1"/>
  <c r="EG38" i="23" s="1"/>
  <c r="EG39" i="23" s="1"/>
  <c r="EF5" i="24"/>
  <c r="EG8" i="24" s="1"/>
  <c r="EG12" i="24" s="1"/>
  <c r="EG13" i="24" s="1"/>
  <c r="EY49" i="10"/>
  <c r="GR9" i="27"/>
  <c r="GT29" i="4"/>
  <c r="GS33" i="46"/>
  <c r="GS38" i="46" s="1"/>
  <c r="GS39" i="46" s="1"/>
  <c r="GS9" i="33"/>
  <c r="GV26" i="4"/>
  <c r="GS9" i="34"/>
  <c r="GT40" i="13"/>
  <c r="GT46" i="13" s="1"/>
  <c r="GT47" i="13" s="1"/>
  <c r="GU27" i="4"/>
  <c r="GS9" i="45"/>
  <c r="EG5" i="33"/>
  <c r="EH8" i="33" s="1"/>
  <c r="EH12" i="33" s="1"/>
  <c r="EH13" i="33" s="1"/>
  <c r="EG5" i="45"/>
  <c r="EH8" i="45" s="1"/>
  <c r="EH12" i="45" s="1"/>
  <c r="EH13" i="45" s="1"/>
  <c r="EG7" i="13"/>
  <c r="EZ10" i="10"/>
  <c r="EH7" i="7"/>
  <c r="EI31" i="7" s="1"/>
  <c r="EI33" i="7" s="1"/>
  <c r="EI38" i="7" s="1"/>
  <c r="EI39" i="7" s="1"/>
  <c r="EH5" i="27"/>
  <c r="EI8" i="27" s="1"/>
  <c r="EI12" i="27" s="1"/>
  <c r="EI13" i="27" s="1"/>
  <c r="EH5" i="8"/>
  <c r="EI8" i="8" s="1"/>
  <c r="EI12" i="8" s="1"/>
  <c r="EI13" i="8" s="1"/>
  <c r="FA9" i="10"/>
  <c r="EH7" i="46"/>
  <c r="ID25" i="4"/>
  <c r="IB38" i="13" l="1"/>
  <c r="IB32" i="46"/>
  <c r="EI7" i="7"/>
  <c r="EJ31" i="7" s="1"/>
  <c r="EJ33" i="7" s="1"/>
  <c r="EJ38" i="7" s="1"/>
  <c r="EJ39" i="7" s="1"/>
  <c r="EI7" i="46"/>
  <c r="EI5" i="27"/>
  <c r="EJ8" i="27" s="1"/>
  <c r="EJ12" i="27" s="1"/>
  <c r="EJ13" i="27" s="1"/>
  <c r="EI5" i="8"/>
  <c r="EJ8" i="8" s="1"/>
  <c r="EJ12" i="8" s="1"/>
  <c r="EJ13" i="8" s="1"/>
  <c r="FB9" i="10"/>
  <c r="EI5" i="25"/>
  <c r="EJ8" i="25" s="1"/>
  <c r="EJ12" i="25" s="1"/>
  <c r="EJ13" i="25" s="1"/>
  <c r="EI7" i="26"/>
  <c r="EJ31" i="26" s="1"/>
  <c r="EJ33" i="26" s="1"/>
  <c r="EJ38" i="26" s="1"/>
  <c r="EJ39" i="26" s="1"/>
  <c r="FB69" i="10"/>
  <c r="EI5" i="34"/>
  <c r="EJ8" i="34" s="1"/>
  <c r="EJ12" i="34" s="1"/>
  <c r="EJ13" i="34" s="1"/>
  <c r="GS9" i="27"/>
  <c r="GU29" i="4"/>
  <c r="GT9" i="34"/>
  <c r="GT9" i="45"/>
  <c r="GU40" i="13"/>
  <c r="GU46" i="13" s="1"/>
  <c r="GU47" i="13" s="1"/>
  <c r="GT9" i="33"/>
  <c r="GT33" i="46"/>
  <c r="GT38" i="46" s="1"/>
  <c r="GT39" i="46" s="1"/>
  <c r="GW26" i="4"/>
  <c r="GV27" i="4"/>
  <c r="EZ49" i="10"/>
  <c r="EG7" i="23"/>
  <c r="EH31" i="23" s="1"/>
  <c r="EH33" i="23" s="1"/>
  <c r="EH38" i="23" s="1"/>
  <c r="EH39" i="23" s="1"/>
  <c r="EG5" i="24"/>
  <c r="EH8" i="24" s="1"/>
  <c r="EH12" i="24" s="1"/>
  <c r="EH13" i="24" s="1"/>
  <c r="EH7" i="13"/>
  <c r="EH5" i="33"/>
  <c r="EI8" i="33" s="1"/>
  <c r="EI12" i="33" s="1"/>
  <c r="EI13" i="33" s="1"/>
  <c r="FA10" i="10"/>
  <c r="EH5" i="45"/>
  <c r="EI8" i="45" s="1"/>
  <c r="EI12" i="45" s="1"/>
  <c r="EI13" i="45" s="1"/>
  <c r="IE25" i="4"/>
  <c r="IC32" i="46" l="1"/>
  <c r="IC38" i="13"/>
  <c r="EI5" i="45"/>
  <c r="EJ8" i="45" s="1"/>
  <c r="EJ12" i="45" s="1"/>
  <c r="EJ13" i="45" s="1"/>
  <c r="FB10" i="10"/>
  <c r="EI5" i="33"/>
  <c r="EJ8" i="33" s="1"/>
  <c r="EJ12" i="33" s="1"/>
  <c r="EJ13" i="33" s="1"/>
  <c r="EI7" i="13"/>
  <c r="EJ7" i="26"/>
  <c r="EK31" i="26" s="1"/>
  <c r="EK33" i="26" s="1"/>
  <c r="EK38" i="26" s="1"/>
  <c r="EK39" i="26" s="1"/>
  <c r="EJ5" i="34"/>
  <c r="EK8" i="34" s="1"/>
  <c r="EK12" i="34" s="1"/>
  <c r="EK13" i="34" s="1"/>
  <c r="FC69" i="10"/>
  <c r="EJ5" i="25"/>
  <c r="EK8" i="25" s="1"/>
  <c r="EK12" i="25" s="1"/>
  <c r="EK13" i="25" s="1"/>
  <c r="GV29" i="4"/>
  <c r="GT9" i="27"/>
  <c r="EJ7" i="46"/>
  <c r="EJ7" i="7"/>
  <c r="EK31" i="7" s="1"/>
  <c r="EK33" i="7" s="1"/>
  <c r="EK38" i="7" s="1"/>
  <c r="EK39" i="7" s="1"/>
  <c r="FC9" i="10"/>
  <c r="EJ5" i="8"/>
  <c r="EK8" i="8" s="1"/>
  <c r="EK12" i="8" s="1"/>
  <c r="EK13" i="8" s="1"/>
  <c r="EJ5" i="27"/>
  <c r="EK8" i="27" s="1"/>
  <c r="EK12" i="27" s="1"/>
  <c r="EK13" i="27" s="1"/>
  <c r="EH5" i="24"/>
  <c r="EI8" i="24" s="1"/>
  <c r="EI12" i="24" s="1"/>
  <c r="EI13" i="24" s="1"/>
  <c r="FA49" i="10"/>
  <c r="EH7" i="23"/>
  <c r="EI31" i="23" s="1"/>
  <c r="EI33" i="23" s="1"/>
  <c r="EI38" i="23" s="1"/>
  <c r="EI39" i="23" s="1"/>
  <c r="GU9" i="45"/>
  <c r="GW27" i="4"/>
  <c r="GU33" i="46"/>
  <c r="GU38" i="46" s="1"/>
  <c r="GU39" i="46" s="1"/>
  <c r="GV40" i="13"/>
  <c r="GV46" i="13" s="1"/>
  <c r="GV47" i="13" s="1"/>
  <c r="GU9" i="33"/>
  <c r="GX26" i="4"/>
  <c r="GU9" i="34"/>
  <c r="IF25" i="4"/>
  <c r="ID32" i="46" l="1"/>
  <c r="ID38" i="13"/>
  <c r="FD9" i="10"/>
  <c r="EK7" i="46"/>
  <c r="EK7" i="7"/>
  <c r="EL31" i="7" s="1"/>
  <c r="EL33" i="7" s="1"/>
  <c r="EL38" i="7" s="1"/>
  <c r="EL39" i="7" s="1"/>
  <c r="EK5" i="27"/>
  <c r="EL8" i="27" s="1"/>
  <c r="EL12" i="27" s="1"/>
  <c r="EL13" i="27" s="1"/>
  <c r="EK5" i="8"/>
  <c r="EL8" i="8" s="1"/>
  <c r="EL12" i="8" s="1"/>
  <c r="EL13" i="8" s="1"/>
  <c r="EK5" i="25"/>
  <c r="EL8" i="25" s="1"/>
  <c r="EL12" i="25" s="1"/>
  <c r="EL13" i="25" s="1"/>
  <c r="EK7" i="26"/>
  <c r="EL31" i="26" s="1"/>
  <c r="EL33" i="26" s="1"/>
  <c r="EL38" i="26" s="1"/>
  <c r="EL39" i="26" s="1"/>
  <c r="FD69" i="10"/>
  <c r="EK5" i="34"/>
  <c r="EL8" i="34" s="1"/>
  <c r="EL12" i="34" s="1"/>
  <c r="EL13" i="34" s="1"/>
  <c r="GU9" i="27"/>
  <c r="GW29" i="4"/>
  <c r="EJ5" i="33"/>
  <c r="EK8" i="33" s="1"/>
  <c r="EK12" i="33" s="1"/>
  <c r="EK13" i="33" s="1"/>
  <c r="EJ5" i="45"/>
  <c r="EK8" i="45" s="1"/>
  <c r="EK12" i="45" s="1"/>
  <c r="EK13" i="45" s="1"/>
  <c r="EJ7" i="13"/>
  <c r="FC10" i="10"/>
  <c r="GX27" i="4"/>
  <c r="GV9" i="45"/>
  <c r="GW40" i="13"/>
  <c r="GW46" i="13" s="1"/>
  <c r="GW47" i="13" s="1"/>
  <c r="GY26" i="4"/>
  <c r="GV33" i="46"/>
  <c r="GV38" i="46" s="1"/>
  <c r="GV39" i="46" s="1"/>
  <c r="GV9" i="33"/>
  <c r="GV9" i="34"/>
  <c r="EI5" i="24"/>
  <c r="EJ8" i="24" s="1"/>
  <c r="EJ12" i="24" s="1"/>
  <c r="EJ13" i="24" s="1"/>
  <c r="EI7" i="23"/>
  <c r="EJ31" i="23" s="1"/>
  <c r="EJ33" i="23" s="1"/>
  <c r="EJ38" i="23" s="1"/>
  <c r="EJ39" i="23" s="1"/>
  <c r="FB49" i="10"/>
  <c r="IG25" i="4"/>
  <c r="IE38" i="13" l="1"/>
  <c r="IE32" i="46"/>
  <c r="EK5" i="33"/>
  <c r="EL8" i="33" s="1"/>
  <c r="EL12" i="33" s="1"/>
  <c r="EL13" i="33" s="1"/>
  <c r="FD10" i="10"/>
  <c r="EK7" i="13"/>
  <c r="EK5" i="45"/>
  <c r="EL8" i="45" s="1"/>
  <c r="EL12" i="45" s="1"/>
  <c r="EL13" i="45" s="1"/>
  <c r="GV9" i="27"/>
  <c r="GX29" i="4"/>
  <c r="FC49" i="10"/>
  <c r="EJ7" i="23"/>
  <c r="EK31" i="23" s="1"/>
  <c r="EK33" i="23" s="1"/>
  <c r="EK38" i="23" s="1"/>
  <c r="EK39" i="23" s="1"/>
  <c r="EJ5" i="24"/>
  <c r="EK8" i="24" s="1"/>
  <c r="EK12" i="24" s="1"/>
  <c r="EK13" i="24" s="1"/>
  <c r="FE69" i="10"/>
  <c r="EL5" i="34"/>
  <c r="EM8" i="34" s="1"/>
  <c r="EM12" i="34" s="1"/>
  <c r="EM13" i="34" s="1"/>
  <c r="EL5" i="25"/>
  <c r="EM8" i="25" s="1"/>
  <c r="EM12" i="25" s="1"/>
  <c r="EM13" i="25" s="1"/>
  <c r="EL7" i="26"/>
  <c r="EM31" i="26" s="1"/>
  <c r="EM33" i="26" s="1"/>
  <c r="EM38" i="26" s="1"/>
  <c r="EM39" i="26" s="1"/>
  <c r="GZ26" i="4"/>
  <c r="GY27" i="4"/>
  <c r="GW33" i="46"/>
  <c r="GW38" i="46" s="1"/>
  <c r="GW39" i="46" s="1"/>
  <c r="GX40" i="13"/>
  <c r="GX46" i="13" s="1"/>
  <c r="GX47" i="13" s="1"/>
  <c r="GW9" i="45"/>
  <c r="GW9" i="34"/>
  <c r="GW9" i="33"/>
  <c r="FE9" i="10"/>
  <c r="EL7" i="7"/>
  <c r="EM31" i="7" s="1"/>
  <c r="EM33" i="7" s="1"/>
  <c r="EM38" i="7" s="1"/>
  <c r="EM39" i="7" s="1"/>
  <c r="EL7" i="46"/>
  <c r="EL5" i="27"/>
  <c r="EM8" i="27" s="1"/>
  <c r="EM12" i="27" s="1"/>
  <c r="EM13" i="27" s="1"/>
  <c r="EL5" i="8"/>
  <c r="EM8" i="8" s="1"/>
  <c r="EM12" i="8" s="1"/>
  <c r="EM13" i="8" s="1"/>
  <c r="IH25" i="4"/>
  <c r="IF32" i="46" l="1"/>
  <c r="IF38" i="13"/>
  <c r="HA26" i="4"/>
  <c r="GX9" i="45"/>
  <c r="GX9" i="34"/>
  <c r="GX9" i="33"/>
  <c r="GX33" i="46"/>
  <c r="GX38" i="46" s="1"/>
  <c r="GX39" i="46" s="1"/>
  <c r="GZ27" i="4"/>
  <c r="GY40" i="13"/>
  <c r="GY46" i="13" s="1"/>
  <c r="GY47" i="13" s="1"/>
  <c r="EK5" i="24"/>
  <c r="EL8" i="24" s="1"/>
  <c r="EL12" i="24" s="1"/>
  <c r="EL13" i="24" s="1"/>
  <c r="EK7" i="23"/>
  <c r="EL31" i="23" s="1"/>
  <c r="EL33" i="23" s="1"/>
  <c r="EL38" i="23" s="1"/>
  <c r="EL39" i="23" s="1"/>
  <c r="FD49" i="10"/>
  <c r="GW9" i="27"/>
  <c r="GY29" i="4"/>
  <c r="EM5" i="34"/>
  <c r="EN8" i="34" s="1"/>
  <c r="EN12" i="34" s="1"/>
  <c r="EN13" i="34" s="1"/>
  <c r="EM5" i="25"/>
  <c r="EN8" i="25" s="1"/>
  <c r="EN12" i="25" s="1"/>
  <c r="EN13" i="25" s="1"/>
  <c r="FF69" i="10"/>
  <c r="EM7" i="26"/>
  <c r="EN31" i="26" s="1"/>
  <c r="EN33" i="26" s="1"/>
  <c r="EN38" i="26" s="1"/>
  <c r="EN39" i="26" s="1"/>
  <c r="FE10" i="10"/>
  <c r="EL5" i="45"/>
  <c r="EM8" i="45" s="1"/>
  <c r="EM12" i="45" s="1"/>
  <c r="EM13" i="45" s="1"/>
  <c r="EL5" i="33"/>
  <c r="EM8" i="33" s="1"/>
  <c r="EM12" i="33" s="1"/>
  <c r="EM13" i="33" s="1"/>
  <c r="EL7" i="13"/>
  <c r="EM7" i="7"/>
  <c r="EN31" i="7" s="1"/>
  <c r="EN33" i="7" s="1"/>
  <c r="EN38" i="7" s="1"/>
  <c r="EN39" i="7" s="1"/>
  <c r="EM7" i="46"/>
  <c r="FF9" i="10"/>
  <c r="EM5" i="8"/>
  <c r="EN8" i="8" s="1"/>
  <c r="EN12" i="8" s="1"/>
  <c r="EN13" i="8" s="1"/>
  <c r="EM5" i="27"/>
  <c r="EN8" i="27" s="1"/>
  <c r="EN12" i="27" s="1"/>
  <c r="EN13" i="27" s="1"/>
  <c r="II25" i="4"/>
  <c r="IG32" i="46" l="1"/>
  <c r="IG38" i="13"/>
  <c r="EN5" i="8"/>
  <c r="EO8" i="8" s="1"/>
  <c r="EO12" i="8" s="1"/>
  <c r="EO13" i="8" s="1"/>
  <c r="FG9" i="10"/>
  <c r="EN5" i="27"/>
  <c r="EO8" i="27" s="1"/>
  <c r="EO12" i="27" s="1"/>
  <c r="EO13" i="27" s="1"/>
  <c r="EN7" i="46"/>
  <c r="EN7" i="7"/>
  <c r="EO31" i="7" s="1"/>
  <c r="EO33" i="7" s="1"/>
  <c r="EO38" i="7" s="1"/>
  <c r="EO39" i="7" s="1"/>
  <c r="GZ29" i="4"/>
  <c r="GX9" i="27"/>
  <c r="EN7" i="26"/>
  <c r="EO31" i="26" s="1"/>
  <c r="EO33" i="26" s="1"/>
  <c r="EO38" i="26" s="1"/>
  <c r="EO39" i="26" s="1"/>
  <c r="FG69" i="10"/>
  <c r="EN5" i="25"/>
  <c r="EO8" i="25" s="1"/>
  <c r="EO12" i="25" s="1"/>
  <c r="EO13" i="25" s="1"/>
  <c r="EN5" i="34"/>
  <c r="EO8" i="34" s="1"/>
  <c r="EO12" i="34" s="1"/>
  <c r="EO13" i="34" s="1"/>
  <c r="FE49" i="10"/>
  <c r="EL5" i="24"/>
  <c r="EM8" i="24" s="1"/>
  <c r="EM12" i="24" s="1"/>
  <c r="EM13" i="24" s="1"/>
  <c r="EL7" i="23"/>
  <c r="EM31" i="23" s="1"/>
  <c r="EM33" i="23" s="1"/>
  <c r="EM38" i="23" s="1"/>
  <c r="EM39" i="23" s="1"/>
  <c r="EM5" i="33"/>
  <c r="EN8" i="33" s="1"/>
  <c r="EN12" i="33" s="1"/>
  <c r="EN13" i="33" s="1"/>
  <c r="EM5" i="45"/>
  <c r="EN8" i="45" s="1"/>
  <c r="EN12" i="45" s="1"/>
  <c r="EN13" i="45" s="1"/>
  <c r="EM7" i="13"/>
  <c r="FF10" i="10"/>
  <c r="GY33" i="46"/>
  <c r="GY38" i="46" s="1"/>
  <c r="GY39" i="46" s="1"/>
  <c r="GY9" i="34"/>
  <c r="GY9" i="45"/>
  <c r="GZ40" i="13"/>
  <c r="GZ46" i="13" s="1"/>
  <c r="GZ47" i="13" s="1"/>
  <c r="HB26" i="4"/>
  <c r="HA27" i="4"/>
  <c r="GY9" i="33"/>
  <c r="IJ25" i="4"/>
  <c r="IH32" i="46" l="1"/>
  <c r="IH38" i="13"/>
  <c r="GY9" i="27"/>
  <c r="HA29" i="4"/>
  <c r="EO7" i="26"/>
  <c r="EP31" i="26" s="1"/>
  <c r="EP33" i="26" s="1"/>
  <c r="EP38" i="26" s="1"/>
  <c r="EP39" i="26" s="1"/>
  <c r="FH69" i="10"/>
  <c r="EO5" i="34"/>
  <c r="EP8" i="34" s="1"/>
  <c r="EP12" i="34" s="1"/>
  <c r="EP13" i="34" s="1"/>
  <c r="EO5" i="25"/>
  <c r="EP8" i="25" s="1"/>
  <c r="EP12" i="25" s="1"/>
  <c r="EP13" i="25" s="1"/>
  <c r="EN5" i="33"/>
  <c r="EO8" i="33" s="1"/>
  <c r="EO12" i="33" s="1"/>
  <c r="EO13" i="33" s="1"/>
  <c r="EN5" i="45"/>
  <c r="EO8" i="45" s="1"/>
  <c r="EO12" i="45" s="1"/>
  <c r="EO13" i="45" s="1"/>
  <c r="FG10" i="10"/>
  <c r="EN7" i="13"/>
  <c r="EO5" i="27"/>
  <c r="EP8" i="27" s="1"/>
  <c r="EP12" i="27" s="1"/>
  <c r="EP13" i="27" s="1"/>
  <c r="EO7" i="46"/>
  <c r="EO5" i="8"/>
  <c r="EP8" i="8" s="1"/>
  <c r="EP12" i="8" s="1"/>
  <c r="EP13" i="8" s="1"/>
  <c r="FH9" i="10"/>
  <c r="EO7" i="7"/>
  <c r="EP31" i="7" s="1"/>
  <c r="EP33" i="7" s="1"/>
  <c r="EP38" i="7" s="1"/>
  <c r="EP39" i="7" s="1"/>
  <c r="EM7" i="23"/>
  <c r="EN31" i="23" s="1"/>
  <c r="EN33" i="23" s="1"/>
  <c r="EN38" i="23" s="1"/>
  <c r="EN39" i="23" s="1"/>
  <c r="FF49" i="10"/>
  <c r="EM5" i="24"/>
  <c r="EN8" i="24" s="1"/>
  <c r="EN12" i="24" s="1"/>
  <c r="EN13" i="24" s="1"/>
  <c r="HA40" i="13"/>
  <c r="HA46" i="13" s="1"/>
  <c r="HA47" i="13" s="1"/>
  <c r="HB27" i="4"/>
  <c r="GZ9" i="45"/>
  <c r="GZ9" i="34"/>
  <c r="GZ9" i="33"/>
  <c r="HC26" i="4"/>
  <c r="GZ33" i="46"/>
  <c r="GZ38" i="46" s="1"/>
  <c r="GZ39" i="46" s="1"/>
  <c r="IK25" i="4"/>
  <c r="G55" i="11"/>
  <c r="H91" i="11"/>
  <c r="H9" i="11"/>
  <c r="H55" i="11"/>
  <c r="I55" i="11"/>
  <c r="I91" i="11"/>
  <c r="I9" i="11"/>
  <c r="J9" i="11"/>
  <c r="J91" i="11"/>
  <c r="J55" i="11"/>
  <c r="K91" i="11"/>
  <c r="K55" i="11"/>
  <c r="K9" i="11"/>
  <c r="L91" i="11"/>
  <c r="L55" i="11"/>
  <c r="L9" i="11"/>
  <c r="M9" i="11"/>
  <c r="M55" i="11"/>
  <c r="M91" i="11"/>
  <c r="N9" i="11"/>
  <c r="N55" i="11"/>
  <c r="N91" i="11"/>
  <c r="O91" i="11"/>
  <c r="O9" i="11"/>
  <c r="O55" i="11"/>
  <c r="P55" i="11"/>
  <c r="P91" i="11"/>
  <c r="P9" i="11"/>
  <c r="Q55" i="11"/>
  <c r="Q91" i="11"/>
  <c r="Q9" i="11"/>
  <c r="R91" i="11"/>
  <c r="R55" i="11"/>
  <c r="R9" i="11"/>
  <c r="S9" i="11"/>
  <c r="S55" i="11"/>
  <c r="S91" i="11"/>
  <c r="T91" i="11"/>
  <c r="T9" i="11"/>
  <c r="T55" i="11"/>
  <c r="II38" i="13" l="1"/>
  <c r="II32" i="46"/>
  <c r="EO7" i="13"/>
  <c r="EO5" i="45"/>
  <c r="EP8" i="45" s="1"/>
  <c r="EP12" i="45" s="1"/>
  <c r="EP13" i="45" s="1"/>
  <c r="EO5" i="33"/>
  <c r="EP8" i="33" s="1"/>
  <c r="EP12" i="33" s="1"/>
  <c r="EP13" i="33" s="1"/>
  <c r="FH10" i="10"/>
  <c r="GZ9" i="27"/>
  <c r="HB29" i="4"/>
  <c r="FI69" i="10"/>
  <c r="EP5" i="25"/>
  <c r="EQ8" i="25" s="1"/>
  <c r="EQ12" i="25" s="1"/>
  <c r="EQ13" i="25" s="1"/>
  <c r="EP7" i="26"/>
  <c r="EQ31" i="26" s="1"/>
  <c r="EQ33" i="26" s="1"/>
  <c r="EQ38" i="26" s="1"/>
  <c r="EQ39" i="26" s="1"/>
  <c r="EP5" i="34"/>
  <c r="EQ8" i="34" s="1"/>
  <c r="EQ12" i="34" s="1"/>
  <c r="EQ13" i="34" s="1"/>
  <c r="EP5" i="8"/>
  <c r="EQ8" i="8" s="1"/>
  <c r="EQ12" i="8" s="1"/>
  <c r="EQ13" i="8" s="1"/>
  <c r="FI9" i="10"/>
  <c r="EP7" i="7"/>
  <c r="EQ31" i="7" s="1"/>
  <c r="EQ33" i="7" s="1"/>
  <c r="EQ38" i="7" s="1"/>
  <c r="EQ39" i="7" s="1"/>
  <c r="EP5" i="27"/>
  <c r="EQ8" i="27" s="1"/>
  <c r="EQ12" i="27" s="1"/>
  <c r="EQ13" i="27" s="1"/>
  <c r="EP7" i="46"/>
  <c r="HA9" i="45"/>
  <c r="HA9" i="33"/>
  <c r="HC27" i="4"/>
  <c r="HA9" i="34"/>
  <c r="HB40" i="13"/>
  <c r="HB46" i="13" s="1"/>
  <c r="HB47" i="13" s="1"/>
  <c r="HD26" i="4"/>
  <c r="HA33" i="46"/>
  <c r="HA38" i="46" s="1"/>
  <c r="HA39" i="46" s="1"/>
  <c r="EN5" i="24"/>
  <c r="EO8" i="24" s="1"/>
  <c r="EO12" i="24" s="1"/>
  <c r="EO13" i="24" s="1"/>
  <c r="FG49" i="10"/>
  <c r="EN7" i="23"/>
  <c r="EO31" i="23" s="1"/>
  <c r="EO33" i="23" s="1"/>
  <c r="EO38" i="23" s="1"/>
  <c r="EO39" i="23" s="1"/>
  <c r="IL25" i="4"/>
  <c r="L34" i="4"/>
  <c r="M34" i="4"/>
  <c r="N34" i="4"/>
  <c r="O34" i="4"/>
  <c r="P34" i="4"/>
  <c r="Q34" i="4"/>
  <c r="R34" i="4"/>
  <c r="S34" i="4"/>
  <c r="T34" i="4"/>
  <c r="U34" i="4"/>
  <c r="T5" i="44"/>
  <c r="N5" i="44"/>
  <c r="J5" i="44"/>
  <c r="J36" i="46"/>
  <c r="K36" i="46"/>
  <c r="L36" i="46"/>
  <c r="M36" i="46"/>
  <c r="N36" i="46"/>
  <c r="O36" i="46"/>
  <c r="P36" i="46"/>
  <c r="Q36" i="46"/>
  <c r="R36" i="46"/>
  <c r="S36" i="46"/>
  <c r="Q5" i="44"/>
  <c r="I5" i="44"/>
  <c r="J43" i="13"/>
  <c r="K43" i="13"/>
  <c r="L43" i="13"/>
  <c r="M43" i="13"/>
  <c r="N43" i="13"/>
  <c r="O43" i="13"/>
  <c r="P43" i="13"/>
  <c r="Q43" i="13"/>
  <c r="R43" i="13"/>
  <c r="S43" i="13"/>
  <c r="M5" i="44"/>
  <c r="P5" i="44"/>
  <c r="L5" i="44"/>
  <c r="H5" i="44"/>
  <c r="V91" i="11"/>
  <c r="K5" i="44"/>
  <c r="V55" i="11"/>
  <c r="O5" i="44"/>
  <c r="I17" i="45"/>
  <c r="I50" i="45" s="1"/>
  <c r="J17" i="45"/>
  <c r="J50" i="45" s="1"/>
  <c r="K17" i="45"/>
  <c r="K50" i="45" s="1"/>
  <c r="L17" i="45"/>
  <c r="L50" i="45" s="1"/>
  <c r="M17" i="45"/>
  <c r="M50" i="45" s="1"/>
  <c r="N17" i="45"/>
  <c r="N50" i="45" s="1"/>
  <c r="O17" i="45"/>
  <c r="O50" i="45" s="1"/>
  <c r="P17" i="45"/>
  <c r="P50" i="45" s="1"/>
  <c r="Q17" i="45"/>
  <c r="Q50" i="45" s="1"/>
  <c r="R17" i="45"/>
  <c r="R50" i="45" s="1"/>
  <c r="S17" i="45"/>
  <c r="S50" i="45" s="1"/>
  <c r="S5" i="44"/>
  <c r="R5" i="44"/>
  <c r="O17" i="33"/>
  <c r="O50" i="33" s="1"/>
  <c r="P17" i="33"/>
  <c r="P50" i="33" s="1"/>
  <c r="Q17" i="33"/>
  <c r="Q50" i="33" s="1"/>
  <c r="R17" i="33"/>
  <c r="R50" i="33" s="1"/>
  <c r="S17" i="33"/>
  <c r="S50" i="33" s="1"/>
  <c r="IJ32" i="46" l="1"/>
  <c r="IJ38" i="13"/>
  <c r="FH49" i="10"/>
  <c r="EO7" i="23"/>
  <c r="EP31" i="23" s="1"/>
  <c r="EP33" i="23" s="1"/>
  <c r="EP38" i="23" s="1"/>
  <c r="EP39" i="23" s="1"/>
  <c r="EO5" i="24"/>
  <c r="EP8" i="24" s="1"/>
  <c r="EP12" i="24" s="1"/>
  <c r="EP13" i="24" s="1"/>
  <c r="EQ5" i="34"/>
  <c r="ER8" i="34" s="1"/>
  <c r="ER12" i="34" s="1"/>
  <c r="ER13" i="34" s="1"/>
  <c r="EQ5" i="25"/>
  <c r="ER8" i="25" s="1"/>
  <c r="ER12" i="25" s="1"/>
  <c r="ER13" i="25" s="1"/>
  <c r="FJ69" i="10"/>
  <c r="EQ7" i="26"/>
  <c r="ER31" i="26" s="1"/>
  <c r="ER33" i="26" s="1"/>
  <c r="ER38" i="26" s="1"/>
  <c r="ER39" i="26" s="1"/>
  <c r="HC40" i="13"/>
  <c r="HB9" i="45"/>
  <c r="HB9" i="34"/>
  <c r="HD27" i="4"/>
  <c r="HE26" i="4"/>
  <c r="HB33" i="46"/>
  <c r="HB9" i="33"/>
  <c r="EQ5" i="8"/>
  <c r="ER8" i="8" s="1"/>
  <c r="ER12" i="8" s="1"/>
  <c r="ER13" i="8" s="1"/>
  <c r="FJ9" i="10"/>
  <c r="EQ7" i="7"/>
  <c r="ER31" i="7" s="1"/>
  <c r="ER33" i="7" s="1"/>
  <c r="ER38" i="7" s="1"/>
  <c r="ER39" i="7" s="1"/>
  <c r="EQ7" i="46"/>
  <c r="EQ5" i="27"/>
  <c r="ER8" i="27" s="1"/>
  <c r="ER12" i="27" s="1"/>
  <c r="ER13" i="27" s="1"/>
  <c r="FI10" i="10"/>
  <c r="EP5" i="33"/>
  <c r="EQ8" i="33" s="1"/>
  <c r="EQ12" i="33" s="1"/>
  <c r="EQ13" i="33" s="1"/>
  <c r="EP5" i="45"/>
  <c r="EQ8" i="45" s="1"/>
  <c r="EQ12" i="45" s="1"/>
  <c r="EQ13" i="45" s="1"/>
  <c r="EP7" i="13"/>
  <c r="HC29" i="4"/>
  <c r="HA9" i="27"/>
  <c r="IM25" i="4"/>
  <c r="M36" i="4"/>
  <c r="M35" i="4"/>
  <c r="J42" i="46"/>
  <c r="K42" i="46"/>
  <c r="L42" i="46"/>
  <c r="M42" i="46"/>
  <c r="N42" i="46"/>
  <c r="O42" i="46"/>
  <c r="P42" i="46"/>
  <c r="Q42" i="46"/>
  <c r="R42" i="46"/>
  <c r="S42" i="46"/>
  <c r="L36" i="4"/>
  <c r="L35" i="4"/>
  <c r="J17" i="27"/>
  <c r="K17" i="27"/>
  <c r="K50" i="27" s="1"/>
  <c r="L17" i="27"/>
  <c r="L50" i="27" s="1"/>
  <c r="M17" i="27"/>
  <c r="M50" i="27" s="1"/>
  <c r="N17" i="27"/>
  <c r="N50" i="27" s="1"/>
  <c r="O17" i="27"/>
  <c r="O50" i="27" s="1"/>
  <c r="P17" i="27"/>
  <c r="P50" i="27" s="1"/>
  <c r="Q17" i="27"/>
  <c r="Q50" i="27" s="1"/>
  <c r="R17" i="27"/>
  <c r="R50" i="27" s="1"/>
  <c r="S17" i="27"/>
  <c r="S50" i="27" s="1"/>
  <c r="U35" i="4"/>
  <c r="U36" i="4"/>
  <c r="T36" i="4"/>
  <c r="T35" i="4"/>
  <c r="L50" i="13"/>
  <c r="M50" i="13"/>
  <c r="N50" i="13"/>
  <c r="P50" i="13"/>
  <c r="Q50" i="13"/>
  <c r="R50" i="13"/>
  <c r="T50" i="13"/>
  <c r="U50" i="13"/>
  <c r="S35" i="4"/>
  <c r="S36" i="4"/>
  <c r="R35" i="4"/>
  <c r="R36" i="4"/>
  <c r="Q35" i="4"/>
  <c r="Q36" i="4"/>
  <c r="P36" i="4"/>
  <c r="P35" i="4"/>
  <c r="O36" i="4"/>
  <c r="O35" i="4"/>
  <c r="N35" i="4"/>
  <c r="N36" i="4"/>
  <c r="IK32" i="46" l="1"/>
  <c r="IK38" i="13"/>
  <c r="ER5" i="8"/>
  <c r="ES8" i="8" s="1"/>
  <c r="ES12" i="8" s="1"/>
  <c r="ES13" i="8" s="1"/>
  <c r="ER7" i="7"/>
  <c r="ES31" i="7" s="1"/>
  <c r="ES33" i="7" s="1"/>
  <c r="ES38" i="7" s="1"/>
  <c r="ES39" i="7" s="1"/>
  <c r="ER5" i="27"/>
  <c r="ES8" i="27" s="1"/>
  <c r="ES12" i="27" s="1"/>
  <c r="ES13" i="27" s="1"/>
  <c r="FK9" i="10"/>
  <c r="ER7" i="46"/>
  <c r="HC9" i="34"/>
  <c r="T17" i="34" s="1"/>
  <c r="T50" i="34" s="1"/>
  <c r="HC33" i="46"/>
  <c r="HC38" i="46" s="1"/>
  <c r="HE27" i="4"/>
  <c r="V34" i="4" s="1"/>
  <c r="HC9" i="45"/>
  <c r="T17" i="45" s="1"/>
  <c r="T50" i="45" s="1"/>
  <c r="HC9" i="33"/>
  <c r="T17" i="33" s="1"/>
  <c r="T50" i="33" s="1"/>
  <c r="HF26" i="4"/>
  <c r="HD40" i="13"/>
  <c r="HD46" i="13" s="1"/>
  <c r="HD29" i="4"/>
  <c r="HB9" i="27"/>
  <c r="HB38" i="46"/>
  <c r="ER7" i="26"/>
  <c r="ES31" i="26" s="1"/>
  <c r="ES33" i="26" s="1"/>
  <c r="ES38" i="26" s="1"/>
  <c r="ES39" i="26" s="1"/>
  <c r="FK69" i="10"/>
  <c r="ER5" i="34"/>
  <c r="ES8" i="34" s="1"/>
  <c r="ES12" i="34" s="1"/>
  <c r="ES13" i="34" s="1"/>
  <c r="ER5" i="25"/>
  <c r="ES8" i="25" s="1"/>
  <c r="ES12" i="25" s="1"/>
  <c r="ES13" i="25" s="1"/>
  <c r="HC46" i="13"/>
  <c r="T43" i="13"/>
  <c r="FJ10" i="10"/>
  <c r="EQ5" i="45"/>
  <c r="ER8" i="45" s="1"/>
  <c r="ER12" i="45" s="1"/>
  <c r="ER13" i="45" s="1"/>
  <c r="EQ5" i="33"/>
  <c r="ER8" i="33" s="1"/>
  <c r="ER12" i="33" s="1"/>
  <c r="ER13" i="33" s="1"/>
  <c r="EQ7" i="13"/>
  <c r="FI49" i="10"/>
  <c r="EP5" i="24"/>
  <c r="EQ8" i="24" s="1"/>
  <c r="EQ12" i="24" s="1"/>
  <c r="EQ13" i="24" s="1"/>
  <c r="EP7" i="23"/>
  <c r="EQ31" i="23" s="1"/>
  <c r="EQ33" i="23" s="1"/>
  <c r="EQ38" i="23" s="1"/>
  <c r="EQ39" i="23" s="1"/>
  <c r="IN25" i="4"/>
  <c r="J50" i="27"/>
  <c r="T36" i="46" l="1"/>
  <c r="IL32" i="46"/>
  <c r="IL38" i="13"/>
  <c r="HC9" i="27"/>
  <c r="T17" i="27" s="1"/>
  <c r="T50" i="27" s="1"/>
  <c r="HE29" i="4"/>
  <c r="ES7" i="26"/>
  <c r="ET31" i="26" s="1"/>
  <c r="ET33" i="26" s="1"/>
  <c r="ET38" i="26" s="1"/>
  <c r="ET39" i="26" s="1"/>
  <c r="ES5" i="34"/>
  <c r="ET8" i="34" s="1"/>
  <c r="ET12" i="34" s="1"/>
  <c r="ET13" i="34" s="1"/>
  <c r="ES5" i="25"/>
  <c r="ET8" i="25" s="1"/>
  <c r="ET12" i="25" s="1"/>
  <c r="ET13" i="25" s="1"/>
  <c r="FL69" i="10"/>
  <c r="V35" i="4"/>
  <c r="V36" i="4"/>
  <c r="HC47" i="13"/>
  <c r="HD47" i="13" s="1"/>
  <c r="V50" i="13"/>
  <c r="ES5" i="27"/>
  <c r="ET8" i="27" s="1"/>
  <c r="ET12" i="27" s="1"/>
  <c r="ET13" i="27" s="1"/>
  <c r="ES5" i="8"/>
  <c r="ET8" i="8" s="1"/>
  <c r="ET12" i="8" s="1"/>
  <c r="ET13" i="8" s="1"/>
  <c r="ES7" i="46"/>
  <c r="FL9" i="10"/>
  <c r="ES7" i="7"/>
  <c r="ET31" i="7" s="1"/>
  <c r="ET33" i="7" s="1"/>
  <c r="ET38" i="7" s="1"/>
  <c r="ET39" i="7" s="1"/>
  <c r="HD9" i="33"/>
  <c r="HE40" i="13"/>
  <c r="HE46" i="13" s="1"/>
  <c r="HD33" i="46"/>
  <c r="HD38" i="46" s="1"/>
  <c r="HF27" i="4"/>
  <c r="HG26" i="4"/>
  <c r="HD9" i="45"/>
  <c r="HD9" i="34"/>
  <c r="HB39" i="46"/>
  <c r="HC39" i="46" s="1"/>
  <c r="T42" i="46"/>
  <c r="EQ5" i="24"/>
  <c r="ER8" i="24" s="1"/>
  <c r="ER12" i="24" s="1"/>
  <c r="ER13" i="24" s="1"/>
  <c r="EQ7" i="23"/>
  <c r="ER31" i="23" s="1"/>
  <c r="ER33" i="23" s="1"/>
  <c r="ER38" i="23" s="1"/>
  <c r="ER39" i="23" s="1"/>
  <c r="FJ49" i="10"/>
  <c r="ER5" i="33"/>
  <c r="ES8" i="33" s="1"/>
  <c r="ES12" i="33" s="1"/>
  <c r="ES13" i="33" s="1"/>
  <c r="ER5" i="45"/>
  <c r="ES8" i="45" s="1"/>
  <c r="ES12" i="45" s="1"/>
  <c r="ES13" i="45" s="1"/>
  <c r="FK10" i="10"/>
  <c r="ER7" i="13"/>
  <c r="IO25" i="4"/>
  <c r="U9" i="11"/>
  <c r="U91" i="11"/>
  <c r="U55" i="11"/>
  <c r="IM32" i="46" l="1"/>
  <c r="IM38" i="13"/>
  <c r="ER7" i="23"/>
  <c r="ES31" i="23" s="1"/>
  <c r="ES33" i="23" s="1"/>
  <c r="ES38" i="23" s="1"/>
  <c r="ES39" i="23" s="1"/>
  <c r="ER5" i="24"/>
  <c r="ES8" i="24" s="1"/>
  <c r="ES12" i="24" s="1"/>
  <c r="ES13" i="24" s="1"/>
  <c r="FK49" i="10"/>
  <c r="ET5" i="8"/>
  <c r="EU8" i="8" s="1"/>
  <c r="EU12" i="8" s="1"/>
  <c r="EU13" i="8" s="1"/>
  <c r="FM9" i="10"/>
  <c r="ET7" i="7"/>
  <c r="EU31" i="7" s="1"/>
  <c r="EU33" i="7" s="1"/>
  <c r="EU38" i="7" s="1"/>
  <c r="EU39" i="7" s="1"/>
  <c r="ET5" i="27"/>
  <c r="EU8" i="27" s="1"/>
  <c r="EU12" i="27" s="1"/>
  <c r="EU13" i="27" s="1"/>
  <c r="ET7" i="46"/>
  <c r="HF40" i="13"/>
  <c r="HF46" i="13" s="1"/>
  <c r="HE9" i="34"/>
  <c r="HE9" i="33"/>
  <c r="HE9" i="45"/>
  <c r="HE33" i="46"/>
  <c r="HE38" i="46" s="1"/>
  <c r="HH26" i="4"/>
  <c r="HG27" i="4"/>
  <c r="HD39" i="46"/>
  <c r="ET7" i="26"/>
  <c r="EU31" i="26" s="1"/>
  <c r="EU33" i="26" s="1"/>
  <c r="EU38" i="26" s="1"/>
  <c r="EU39" i="26" s="1"/>
  <c r="ET5" i="34"/>
  <c r="EU8" i="34" s="1"/>
  <c r="EU12" i="34" s="1"/>
  <c r="EU13" i="34" s="1"/>
  <c r="ET5" i="25"/>
  <c r="EU8" i="25" s="1"/>
  <c r="EU12" i="25" s="1"/>
  <c r="EU13" i="25" s="1"/>
  <c r="FM69" i="10"/>
  <c r="HD9" i="27"/>
  <c r="HF29" i="4"/>
  <c r="HE47" i="13"/>
  <c r="FL10" i="10"/>
  <c r="ES7" i="13"/>
  <c r="ES5" i="45"/>
  <c r="ET8" i="45" s="1"/>
  <c r="ET12" i="45" s="1"/>
  <c r="ET13" i="45" s="1"/>
  <c r="ES5" i="33"/>
  <c r="ET8" i="33" s="1"/>
  <c r="ET12" i="33" s="1"/>
  <c r="ET13" i="33" s="1"/>
  <c r="U5" i="44"/>
  <c r="HF47" i="13" l="1"/>
  <c r="ET5" i="45"/>
  <c r="EU8" i="45" s="1"/>
  <c r="EU12" i="45" s="1"/>
  <c r="EU13" i="45" s="1"/>
  <c r="ET7" i="13"/>
  <c r="ET5" i="33"/>
  <c r="EU8" i="33" s="1"/>
  <c r="EU12" i="33" s="1"/>
  <c r="EU13" i="33" s="1"/>
  <c r="FM10" i="10"/>
  <c r="FN9" i="10"/>
  <c r="EU7" i="46"/>
  <c r="EU5" i="8"/>
  <c r="EV8" i="8" s="1"/>
  <c r="EV12" i="8" s="1"/>
  <c r="EV13" i="8" s="1"/>
  <c r="EU7" i="7"/>
  <c r="EV31" i="7" s="1"/>
  <c r="EV33" i="7" s="1"/>
  <c r="EV38" i="7" s="1"/>
  <c r="EV39" i="7" s="1"/>
  <c r="EU5" i="27"/>
  <c r="EV8" i="27" s="1"/>
  <c r="EV12" i="27" s="1"/>
  <c r="EV13" i="27" s="1"/>
  <c r="HI26" i="4"/>
  <c r="HH27" i="4"/>
  <c r="HG40" i="13"/>
  <c r="HG46" i="13" s="1"/>
  <c r="HF9" i="34"/>
  <c r="HF9" i="33"/>
  <c r="HF9" i="45"/>
  <c r="HF33" i="46"/>
  <c r="HF38" i="46" s="1"/>
  <c r="FL49" i="10"/>
  <c r="ES7" i="23"/>
  <c r="ET31" i="23" s="1"/>
  <c r="ET33" i="23" s="1"/>
  <c r="ET38" i="23" s="1"/>
  <c r="ET39" i="23" s="1"/>
  <c r="ES5" i="24"/>
  <c r="ET8" i="24" s="1"/>
  <c r="ET12" i="24" s="1"/>
  <c r="ET13" i="24" s="1"/>
  <c r="HE39" i="46"/>
  <c r="HG29" i="4"/>
  <c r="HE9" i="27"/>
  <c r="EU5" i="34"/>
  <c r="EV8" i="34" s="1"/>
  <c r="EV12" i="34" s="1"/>
  <c r="EV13" i="34" s="1"/>
  <c r="EU5" i="25"/>
  <c r="EV8" i="25" s="1"/>
  <c r="EV12" i="25" s="1"/>
  <c r="EV13" i="25" s="1"/>
  <c r="EU7" i="26"/>
  <c r="EV31" i="26" s="1"/>
  <c r="EV33" i="26" s="1"/>
  <c r="EV38" i="26" s="1"/>
  <c r="EV39" i="26" s="1"/>
  <c r="FN69" i="10"/>
  <c r="HG47" i="13" l="1"/>
  <c r="HF39" i="46"/>
  <c r="HF9" i="27"/>
  <c r="HH29" i="4"/>
  <c r="EU7" i="13"/>
  <c r="EU5" i="45"/>
  <c r="EV8" i="45" s="1"/>
  <c r="EV12" i="45" s="1"/>
  <c r="EV13" i="45" s="1"/>
  <c r="FN10" i="10"/>
  <c r="EU5" i="33"/>
  <c r="EV8" i="33" s="1"/>
  <c r="EV12" i="33" s="1"/>
  <c r="EV13" i="33" s="1"/>
  <c r="HG33" i="46"/>
  <c r="HG38" i="46" s="1"/>
  <c r="HI27" i="4"/>
  <c r="HG9" i="34"/>
  <c r="HG9" i="33"/>
  <c r="HG9" i="45"/>
  <c r="HH40" i="13"/>
  <c r="HH46" i="13" s="1"/>
  <c r="HJ26" i="4"/>
  <c r="EV5" i="8"/>
  <c r="EW8" i="8" s="1"/>
  <c r="EW12" i="8" s="1"/>
  <c r="EW13" i="8" s="1"/>
  <c r="EV7" i="7"/>
  <c r="EW31" i="7" s="1"/>
  <c r="EW33" i="7" s="1"/>
  <c r="EW38" i="7" s="1"/>
  <c r="EW39" i="7" s="1"/>
  <c r="FO9" i="10"/>
  <c r="EV5" i="27"/>
  <c r="EW8" i="27" s="1"/>
  <c r="EW12" i="27" s="1"/>
  <c r="EW13" i="27" s="1"/>
  <c r="EV7" i="46"/>
  <c r="FO69" i="10"/>
  <c r="EV7" i="26"/>
  <c r="EW31" i="26" s="1"/>
  <c r="EW33" i="26" s="1"/>
  <c r="EW38" i="26" s="1"/>
  <c r="EW39" i="26" s="1"/>
  <c r="EV5" i="25"/>
  <c r="EW8" i="25" s="1"/>
  <c r="EW12" i="25" s="1"/>
  <c r="EW13" i="25" s="1"/>
  <c r="EV5" i="34"/>
  <c r="EW8" i="34" s="1"/>
  <c r="EW12" i="34" s="1"/>
  <c r="EW13" i="34" s="1"/>
  <c r="ET5" i="24"/>
  <c r="EU8" i="24" s="1"/>
  <c r="EU12" i="24" s="1"/>
  <c r="EU13" i="24" s="1"/>
  <c r="ET7" i="23"/>
  <c r="EU31" i="23" s="1"/>
  <c r="EU33" i="23" s="1"/>
  <c r="EU38" i="23" s="1"/>
  <c r="EU39" i="23" s="1"/>
  <c r="FM49" i="10"/>
  <c r="HH47" i="13" l="1"/>
  <c r="HG39" i="46"/>
  <c r="FN49" i="10"/>
  <c r="EU5" i="24"/>
  <c r="EV8" i="24" s="1"/>
  <c r="EV12" i="24" s="1"/>
  <c r="EV13" i="24" s="1"/>
  <c r="EU7" i="23"/>
  <c r="EV31" i="23" s="1"/>
  <c r="EV33" i="23" s="1"/>
  <c r="EV38" i="23" s="1"/>
  <c r="EV39" i="23" s="1"/>
  <c r="HI29" i="4"/>
  <c r="HG9" i="27"/>
  <c r="FP9" i="10"/>
  <c r="EW5" i="8"/>
  <c r="EX8" i="8" s="1"/>
  <c r="EX12" i="8" s="1"/>
  <c r="EX13" i="8" s="1"/>
  <c r="EW7" i="46"/>
  <c r="EW7" i="7"/>
  <c r="EX31" i="7" s="1"/>
  <c r="EX33" i="7" s="1"/>
  <c r="EX38" i="7" s="1"/>
  <c r="EX39" i="7" s="1"/>
  <c r="EW5" i="27"/>
  <c r="EX8" i="27" s="1"/>
  <c r="EX12" i="27" s="1"/>
  <c r="EX13" i="27" s="1"/>
  <c r="HJ27" i="4"/>
  <c r="HH9" i="33"/>
  <c r="HH9" i="34"/>
  <c r="HH33" i="46"/>
  <c r="HH38" i="46" s="1"/>
  <c r="HI40" i="13"/>
  <c r="HH9" i="45"/>
  <c r="HK26" i="4"/>
  <c r="EV5" i="45"/>
  <c r="EW8" i="45" s="1"/>
  <c r="EW12" i="45" s="1"/>
  <c r="EW13" i="45" s="1"/>
  <c r="FO10" i="10"/>
  <c r="EV5" i="33"/>
  <c r="EW8" i="33" s="1"/>
  <c r="EW12" i="33" s="1"/>
  <c r="EW13" i="33" s="1"/>
  <c r="EV7" i="13"/>
  <c r="EW5" i="34"/>
  <c r="EX8" i="34" s="1"/>
  <c r="EX12" i="34" s="1"/>
  <c r="EX13" i="34" s="1"/>
  <c r="EW7" i="26"/>
  <c r="EX31" i="26" s="1"/>
  <c r="EX33" i="26" s="1"/>
  <c r="EX38" i="26" s="1"/>
  <c r="EX39" i="26" s="1"/>
  <c r="EW5" i="25"/>
  <c r="EX8" i="25" s="1"/>
  <c r="EX12" i="25" s="1"/>
  <c r="EX13" i="25" s="1"/>
  <c r="FP69" i="10"/>
  <c r="HH39" i="46" l="1"/>
  <c r="HI46" i="13"/>
  <c r="HI47" i="13" s="1"/>
  <c r="FQ69" i="10"/>
  <c r="EX7" i="26"/>
  <c r="EY31" i="26" s="1"/>
  <c r="EY33" i="26" s="1"/>
  <c r="EY38" i="26" s="1"/>
  <c r="EY39" i="26" s="1"/>
  <c r="EX5" i="25"/>
  <c r="EY8" i="25" s="1"/>
  <c r="EY12" i="25" s="1"/>
  <c r="EY13" i="25" s="1"/>
  <c r="EX5" i="34"/>
  <c r="EY8" i="34" s="1"/>
  <c r="EY12" i="34" s="1"/>
  <c r="EY13" i="34" s="1"/>
  <c r="EX5" i="27"/>
  <c r="EY8" i="27" s="1"/>
  <c r="EY12" i="27" s="1"/>
  <c r="EY13" i="27" s="1"/>
  <c r="EX5" i="8"/>
  <c r="EY8" i="8" s="1"/>
  <c r="EY12" i="8" s="1"/>
  <c r="EY13" i="8" s="1"/>
  <c r="EX7" i="46"/>
  <c r="FQ9" i="10"/>
  <c r="EX7" i="7"/>
  <c r="EY31" i="7" s="1"/>
  <c r="EY33" i="7" s="1"/>
  <c r="EY38" i="7" s="1"/>
  <c r="EY39" i="7" s="1"/>
  <c r="HH9" i="27"/>
  <c r="HJ29" i="4"/>
  <c r="EW5" i="33"/>
  <c r="EX8" i="33" s="1"/>
  <c r="EX12" i="33" s="1"/>
  <c r="EX13" i="33" s="1"/>
  <c r="EW7" i="13"/>
  <c r="FP10" i="10"/>
  <c r="EW5" i="45"/>
  <c r="EX8" i="45" s="1"/>
  <c r="EX12" i="45" s="1"/>
  <c r="EX13" i="45" s="1"/>
  <c r="HL26" i="4"/>
  <c r="HI33" i="46"/>
  <c r="HI38" i="46" s="1"/>
  <c r="HI9" i="33"/>
  <c r="HI9" i="34"/>
  <c r="HK27" i="4"/>
  <c r="HI9" i="45"/>
  <c r="HJ40" i="13"/>
  <c r="HJ46" i="13" s="1"/>
  <c r="FO49" i="10"/>
  <c r="EV7" i="23"/>
  <c r="EW31" i="23" s="1"/>
  <c r="EW33" i="23" s="1"/>
  <c r="EW38" i="23" s="1"/>
  <c r="EW39" i="23" s="1"/>
  <c r="EV5" i="24"/>
  <c r="EW8" i="24" s="1"/>
  <c r="EW12" i="24" s="1"/>
  <c r="EW13" i="24" s="1"/>
  <c r="HI39" i="46" l="1"/>
  <c r="HJ47" i="13"/>
  <c r="EY7" i="7"/>
  <c r="EZ31" i="7" s="1"/>
  <c r="EZ33" i="7" s="1"/>
  <c r="EZ38" i="7" s="1"/>
  <c r="EZ39" i="7" s="1"/>
  <c r="EY5" i="8"/>
  <c r="EZ8" i="8" s="1"/>
  <c r="EZ12" i="8" s="1"/>
  <c r="EZ13" i="8" s="1"/>
  <c r="EY5" i="27"/>
  <c r="EZ8" i="27" s="1"/>
  <c r="EZ12" i="27" s="1"/>
  <c r="EZ13" i="27" s="1"/>
  <c r="EY7" i="46"/>
  <c r="FR9" i="10"/>
  <c r="HL27" i="4"/>
  <c r="HK40" i="13"/>
  <c r="HK46" i="13" s="1"/>
  <c r="HM26" i="4"/>
  <c r="HJ9" i="33"/>
  <c r="HJ9" i="34"/>
  <c r="HJ33" i="46"/>
  <c r="HJ9" i="45"/>
  <c r="EX7" i="13"/>
  <c r="FQ10" i="10"/>
  <c r="EX5" i="45"/>
  <c r="EY8" i="45" s="1"/>
  <c r="EY12" i="45" s="1"/>
  <c r="EY13" i="45" s="1"/>
  <c r="EX5" i="33"/>
  <c r="EY8" i="33" s="1"/>
  <c r="EY12" i="33" s="1"/>
  <c r="EY13" i="33" s="1"/>
  <c r="EY5" i="25"/>
  <c r="EZ8" i="25" s="1"/>
  <c r="EZ12" i="25" s="1"/>
  <c r="EZ13" i="25" s="1"/>
  <c r="FR69" i="10"/>
  <c r="EY5" i="34"/>
  <c r="EZ8" i="34" s="1"/>
  <c r="EZ12" i="34" s="1"/>
  <c r="EZ13" i="34" s="1"/>
  <c r="EY7" i="26"/>
  <c r="EZ31" i="26" s="1"/>
  <c r="EZ33" i="26" s="1"/>
  <c r="EZ38" i="26" s="1"/>
  <c r="EZ39" i="26" s="1"/>
  <c r="HI9" i="27"/>
  <c r="HK29" i="4"/>
  <c r="EW5" i="24"/>
  <c r="EX8" i="24" s="1"/>
  <c r="EX12" i="24" s="1"/>
  <c r="EX13" i="24" s="1"/>
  <c r="EW7" i="23"/>
  <c r="EX31" i="23" s="1"/>
  <c r="EX33" i="23" s="1"/>
  <c r="EX38" i="23" s="1"/>
  <c r="EX39" i="23" s="1"/>
  <c r="FP49" i="10"/>
  <c r="HK47" i="13" l="1"/>
  <c r="EY5" i="45"/>
  <c r="EZ8" i="45" s="1"/>
  <c r="EZ12" i="45" s="1"/>
  <c r="EZ13" i="45" s="1"/>
  <c r="EY7" i="13"/>
  <c r="EY5" i="33"/>
  <c r="EZ8" i="33" s="1"/>
  <c r="EZ12" i="33" s="1"/>
  <c r="EZ13" i="33" s="1"/>
  <c r="FR10" i="10"/>
  <c r="HJ38" i="46"/>
  <c r="HL40" i="13"/>
  <c r="HN26" i="4"/>
  <c r="HK33" i="46"/>
  <c r="HK38" i="46" s="1"/>
  <c r="HK9" i="34"/>
  <c r="HK9" i="33"/>
  <c r="HM27" i="4"/>
  <c r="HK9" i="45"/>
  <c r="FQ49" i="10"/>
  <c r="EX5" i="24"/>
  <c r="EY8" i="24" s="1"/>
  <c r="EY12" i="24" s="1"/>
  <c r="EY13" i="24" s="1"/>
  <c r="EX7" i="23"/>
  <c r="EY31" i="23" s="1"/>
  <c r="EY33" i="23" s="1"/>
  <c r="EY38" i="23" s="1"/>
  <c r="EY39" i="23" s="1"/>
  <c r="HJ9" i="27"/>
  <c r="HL29" i="4"/>
  <c r="EZ5" i="27"/>
  <c r="FA8" i="27" s="1"/>
  <c r="FA12" i="27" s="1"/>
  <c r="FA13" i="27" s="1"/>
  <c r="EZ7" i="7"/>
  <c r="FA31" i="7" s="1"/>
  <c r="FA33" i="7" s="1"/>
  <c r="FA38" i="7" s="1"/>
  <c r="FA39" i="7" s="1"/>
  <c r="EZ5" i="8"/>
  <c r="FA8" i="8" s="1"/>
  <c r="FA12" i="8" s="1"/>
  <c r="FA13" i="8" s="1"/>
  <c r="FS9" i="10"/>
  <c r="EZ7" i="46"/>
  <c r="EZ5" i="25"/>
  <c r="FA8" i="25" s="1"/>
  <c r="FA12" i="25" s="1"/>
  <c r="FA13" i="25" s="1"/>
  <c r="EZ7" i="26"/>
  <c r="FA31" i="26" s="1"/>
  <c r="FA33" i="26" s="1"/>
  <c r="FA38" i="26" s="1"/>
  <c r="FA39" i="26" s="1"/>
  <c r="FS69" i="10"/>
  <c r="EZ5" i="34"/>
  <c r="FA8" i="34" s="1"/>
  <c r="FA12" i="34" s="1"/>
  <c r="FA13" i="34" s="1"/>
  <c r="EZ7" i="13" l="1"/>
  <c r="EZ5" i="45"/>
  <c r="FA8" i="45" s="1"/>
  <c r="FA12" i="45" s="1"/>
  <c r="FA13" i="45" s="1"/>
  <c r="FS10" i="10"/>
  <c r="EZ5" i="33"/>
  <c r="FA8" i="33" s="1"/>
  <c r="FA12" i="33" s="1"/>
  <c r="FA13" i="33" s="1"/>
  <c r="EY7" i="23"/>
  <c r="EZ31" i="23" s="1"/>
  <c r="EZ33" i="23" s="1"/>
  <c r="EZ38" i="23" s="1"/>
  <c r="EZ39" i="23" s="1"/>
  <c r="EY5" i="24"/>
  <c r="EZ8" i="24" s="1"/>
  <c r="EZ12" i="24" s="1"/>
  <c r="EZ13" i="24" s="1"/>
  <c r="FR49" i="10"/>
  <c r="HK9" i="27"/>
  <c r="HM29" i="4"/>
  <c r="FT69" i="10"/>
  <c r="FA5" i="25"/>
  <c r="FB8" i="25" s="1"/>
  <c r="FB12" i="25" s="1"/>
  <c r="FB13" i="25" s="1"/>
  <c r="FA7" i="26"/>
  <c r="FB31" i="26" s="1"/>
  <c r="FB33" i="26" s="1"/>
  <c r="FB38" i="26" s="1"/>
  <c r="FB39" i="26" s="1"/>
  <c r="FA5" i="34"/>
  <c r="FB8" i="34" s="1"/>
  <c r="FB12" i="34" s="1"/>
  <c r="FB13" i="34" s="1"/>
  <c r="HL46" i="13"/>
  <c r="HL47" i="13" s="1"/>
  <c r="HL9" i="33"/>
  <c r="HM40" i="13"/>
  <c r="HM46" i="13" s="1"/>
  <c r="HL9" i="45"/>
  <c r="HO26" i="4"/>
  <c r="HN27" i="4"/>
  <c r="HL33" i="46"/>
  <c r="HL9" i="34"/>
  <c r="FA5" i="8"/>
  <c r="FB8" i="8" s="1"/>
  <c r="FB12" i="8" s="1"/>
  <c r="FB13" i="8" s="1"/>
  <c r="FT9" i="10"/>
  <c r="FA7" i="7"/>
  <c r="FB31" i="7" s="1"/>
  <c r="FB33" i="7" s="1"/>
  <c r="FB38" i="7" s="1"/>
  <c r="FB39" i="7" s="1"/>
  <c r="FA5" i="27"/>
  <c r="FB8" i="27" s="1"/>
  <c r="FB12" i="27" s="1"/>
  <c r="FB13" i="27" s="1"/>
  <c r="FA7" i="46"/>
  <c r="HJ39" i="46"/>
  <c r="HK39" i="46" s="1"/>
  <c r="FB5" i="8" l="1"/>
  <c r="FC8" i="8" s="1"/>
  <c r="FC12" i="8" s="1"/>
  <c r="FC13" i="8" s="1"/>
  <c r="FB7" i="46"/>
  <c r="FB5" i="27"/>
  <c r="FC8" i="27" s="1"/>
  <c r="FC12" i="27" s="1"/>
  <c r="FC13" i="27" s="1"/>
  <c r="FB7" i="7"/>
  <c r="FC31" i="7" s="1"/>
  <c r="FC33" i="7" s="1"/>
  <c r="FC38" i="7" s="1"/>
  <c r="FC39" i="7" s="1"/>
  <c r="FU9" i="10"/>
  <c r="HN29" i="4"/>
  <c r="HL9" i="27"/>
  <c r="FB5" i="25"/>
  <c r="FC8" i="25" s="1"/>
  <c r="FC12" i="25" s="1"/>
  <c r="FC13" i="25" s="1"/>
  <c r="FU69" i="10"/>
  <c r="FB5" i="34"/>
  <c r="FC8" i="34" s="1"/>
  <c r="FC12" i="34" s="1"/>
  <c r="FC13" i="34" s="1"/>
  <c r="FB7" i="26"/>
  <c r="FC31" i="26" s="1"/>
  <c r="FC33" i="26" s="1"/>
  <c r="FC38" i="26" s="1"/>
  <c r="FC39" i="26" s="1"/>
  <c r="HO27" i="4"/>
  <c r="HM9" i="45"/>
  <c r="HM9" i="33"/>
  <c r="HP26" i="4"/>
  <c r="HM33" i="46"/>
  <c r="HM38" i="46" s="1"/>
  <c r="HN40" i="13"/>
  <c r="HM9" i="34"/>
  <c r="FA5" i="33"/>
  <c r="FB8" i="33" s="1"/>
  <c r="FB12" i="33" s="1"/>
  <c r="FB13" i="33" s="1"/>
  <c r="FT10" i="10"/>
  <c r="FA5" i="45"/>
  <c r="FB8" i="45" s="1"/>
  <c r="FB12" i="45" s="1"/>
  <c r="FB13" i="45" s="1"/>
  <c r="FA7" i="13"/>
  <c r="EZ5" i="24"/>
  <c r="FA8" i="24" s="1"/>
  <c r="FA12" i="24" s="1"/>
  <c r="FA13" i="24" s="1"/>
  <c r="EZ7" i="23"/>
  <c r="FA31" i="23" s="1"/>
  <c r="FA33" i="23" s="1"/>
  <c r="FA38" i="23" s="1"/>
  <c r="FA39" i="23" s="1"/>
  <c r="FS49" i="10"/>
  <c r="HL38" i="46"/>
  <c r="HM47" i="13"/>
  <c r="FA5" i="24" l="1"/>
  <c r="FB8" i="24" s="1"/>
  <c r="FB12" i="24" s="1"/>
  <c r="FB13" i="24" s="1"/>
  <c r="FA7" i="23"/>
  <c r="FB31" i="23" s="1"/>
  <c r="FB33" i="23" s="1"/>
  <c r="FB38" i="23" s="1"/>
  <c r="FB39" i="23" s="1"/>
  <c r="FT49" i="10"/>
  <c r="HO29" i="4"/>
  <c r="HM9" i="27"/>
  <c r="FV69" i="10"/>
  <c r="FC7" i="26"/>
  <c r="FD31" i="26" s="1"/>
  <c r="FD33" i="26" s="1"/>
  <c r="FD38" i="26" s="1"/>
  <c r="FD39" i="26" s="1"/>
  <c r="FC5" i="34"/>
  <c r="FD8" i="34" s="1"/>
  <c r="FD12" i="34" s="1"/>
  <c r="FD13" i="34" s="1"/>
  <c r="FC5" i="25"/>
  <c r="FD8" i="25" s="1"/>
  <c r="FD12" i="25" s="1"/>
  <c r="FD13" i="25" s="1"/>
  <c r="FC7" i="7"/>
  <c r="FD31" i="7" s="1"/>
  <c r="FD33" i="7" s="1"/>
  <c r="FD38" i="7" s="1"/>
  <c r="FD39" i="7" s="1"/>
  <c r="FC7" i="46"/>
  <c r="FV9" i="10"/>
  <c r="FC5" i="27"/>
  <c r="FD8" i="27" s="1"/>
  <c r="FD12" i="27" s="1"/>
  <c r="FD13" i="27" s="1"/>
  <c r="FC5" i="8"/>
  <c r="FD8" i="8" s="1"/>
  <c r="FD12" i="8" s="1"/>
  <c r="FD13" i="8" s="1"/>
  <c r="FB5" i="45"/>
  <c r="FC8" i="45" s="1"/>
  <c r="FC12" i="45" s="1"/>
  <c r="FC13" i="45" s="1"/>
  <c r="FU10" i="10"/>
  <c r="FB5" i="33"/>
  <c r="FC8" i="33" s="1"/>
  <c r="FC12" i="33" s="1"/>
  <c r="FC13" i="33" s="1"/>
  <c r="FB7" i="13"/>
  <c r="HN46" i="13"/>
  <c r="HN47" i="13" s="1"/>
  <c r="U43" i="13"/>
  <c r="HQ26" i="4"/>
  <c r="HN9" i="45"/>
  <c r="HP27" i="4"/>
  <c r="HN9" i="34"/>
  <c r="HN9" i="33"/>
  <c r="HN33" i="46"/>
  <c r="HO40" i="13"/>
  <c r="HO46" i="13" s="1"/>
  <c r="HL39" i="46"/>
  <c r="HM39" i="46" s="1"/>
  <c r="HO47" i="13" l="1"/>
  <c r="HN38" i="46"/>
  <c r="HN39" i="46" s="1"/>
  <c r="U36" i="46"/>
  <c r="HP29" i="4"/>
  <c r="HN9" i="27"/>
  <c r="W34" i="4"/>
  <c r="FD5" i="34"/>
  <c r="FE8" i="34" s="1"/>
  <c r="FE12" i="34" s="1"/>
  <c r="FE13" i="34" s="1"/>
  <c r="FW69" i="10"/>
  <c r="FD5" i="25"/>
  <c r="FE8" i="25" s="1"/>
  <c r="FE12" i="25" s="1"/>
  <c r="FE13" i="25" s="1"/>
  <c r="FD7" i="26"/>
  <c r="FE31" i="26" s="1"/>
  <c r="FE33" i="26" s="1"/>
  <c r="FE38" i="26" s="1"/>
  <c r="FE39" i="26" s="1"/>
  <c r="FB5" i="24"/>
  <c r="FC8" i="24" s="1"/>
  <c r="FC12" i="24" s="1"/>
  <c r="FC13" i="24" s="1"/>
  <c r="FU49" i="10"/>
  <c r="FB7" i="23"/>
  <c r="FC31" i="23" s="1"/>
  <c r="FC33" i="23" s="1"/>
  <c r="FC38" i="23" s="1"/>
  <c r="FC39" i="23" s="1"/>
  <c r="FD7" i="7"/>
  <c r="FE31" i="7" s="1"/>
  <c r="FE33" i="7" s="1"/>
  <c r="FE38" i="7" s="1"/>
  <c r="FE39" i="7" s="1"/>
  <c r="FD5" i="27"/>
  <c r="FE8" i="27" s="1"/>
  <c r="FE12" i="27" s="1"/>
  <c r="FE13" i="27" s="1"/>
  <c r="FD5" i="8"/>
  <c r="FE8" i="8" s="1"/>
  <c r="FE12" i="8" s="1"/>
  <c r="FE13" i="8" s="1"/>
  <c r="FD7" i="46"/>
  <c r="FW9" i="10"/>
  <c r="HR26" i="4"/>
  <c r="HO9" i="34"/>
  <c r="HO9" i="45"/>
  <c r="HO33" i="46"/>
  <c r="HO38" i="46" s="1"/>
  <c r="HP40" i="13"/>
  <c r="HP46" i="13" s="1"/>
  <c r="HQ27" i="4"/>
  <c r="HO9" i="33"/>
  <c r="FC5" i="33"/>
  <c r="FD8" i="33" s="1"/>
  <c r="FD12" i="33" s="1"/>
  <c r="FD13" i="33" s="1"/>
  <c r="FC7" i="13"/>
  <c r="FC5" i="45"/>
  <c r="FD8" i="45" s="1"/>
  <c r="FD12" i="45" s="1"/>
  <c r="FD13" i="45" s="1"/>
  <c r="FV10" i="10"/>
  <c r="HP47" i="13" l="1"/>
  <c r="HO39" i="46"/>
  <c r="W36" i="4"/>
  <c r="W35" i="4"/>
  <c r="FC7" i="23"/>
  <c r="FD31" i="23" s="1"/>
  <c r="FD33" i="23" s="1"/>
  <c r="FD38" i="23" s="1"/>
  <c r="FD39" i="23" s="1"/>
  <c r="FV49" i="10"/>
  <c r="FC5" i="24"/>
  <c r="FD8" i="24" s="1"/>
  <c r="FD12" i="24" s="1"/>
  <c r="FD13" i="24" s="1"/>
  <c r="FD7" i="13"/>
  <c r="FD5" i="45"/>
  <c r="FE8" i="45" s="1"/>
  <c r="FE12" i="45" s="1"/>
  <c r="FE13" i="45" s="1"/>
  <c r="FD5" i="33"/>
  <c r="FE8" i="33" s="1"/>
  <c r="FE12" i="33" s="1"/>
  <c r="FE13" i="33" s="1"/>
  <c r="FW10" i="10"/>
  <c r="HQ29" i="4"/>
  <c r="HO9" i="27"/>
  <c r="HP33" i="46"/>
  <c r="HP38" i="46" s="1"/>
  <c r="HP9" i="33"/>
  <c r="HQ40" i="13"/>
  <c r="HQ46" i="13" s="1"/>
  <c r="HQ47" i="13" s="1"/>
  <c r="HS26" i="4"/>
  <c r="HR27" i="4"/>
  <c r="HP9" i="34"/>
  <c r="HP9" i="45"/>
  <c r="FE7" i="26"/>
  <c r="FF31" i="26" s="1"/>
  <c r="FF33" i="26" s="1"/>
  <c r="FF38" i="26" s="1"/>
  <c r="FF39" i="26" s="1"/>
  <c r="FE5" i="34"/>
  <c r="FF8" i="34" s="1"/>
  <c r="FF12" i="34" s="1"/>
  <c r="FF13" i="34" s="1"/>
  <c r="FE5" i="25"/>
  <c r="FF8" i="25" s="1"/>
  <c r="FF12" i="25" s="1"/>
  <c r="FF13" i="25" s="1"/>
  <c r="FX69" i="10"/>
  <c r="FE7" i="46"/>
  <c r="FX9" i="10"/>
  <c r="FE5" i="8"/>
  <c r="FF8" i="8" s="1"/>
  <c r="FF12" i="8" s="1"/>
  <c r="FF13" i="8" s="1"/>
  <c r="FE5" i="27"/>
  <c r="FF8" i="27" s="1"/>
  <c r="FF12" i="27" s="1"/>
  <c r="FF13" i="27" s="1"/>
  <c r="FE7" i="7"/>
  <c r="FF31" i="7" s="1"/>
  <c r="FF33" i="7" s="1"/>
  <c r="FF38" i="7" s="1"/>
  <c r="FF39" i="7" s="1"/>
  <c r="HP39" i="46" l="1"/>
  <c r="FE7" i="13"/>
  <c r="FE5" i="33"/>
  <c r="FF8" i="33" s="1"/>
  <c r="FF12" i="33" s="1"/>
  <c r="FF13" i="33" s="1"/>
  <c r="FE5" i="45"/>
  <c r="FF8" i="45" s="1"/>
  <c r="FF12" i="45" s="1"/>
  <c r="FF13" i="45" s="1"/>
  <c r="FX10" i="10"/>
  <c r="FW49" i="10"/>
  <c r="FD5" i="24"/>
  <c r="FE8" i="24" s="1"/>
  <c r="FE12" i="24" s="1"/>
  <c r="FE13" i="24" s="1"/>
  <c r="FD7" i="23"/>
  <c r="FE31" i="23" s="1"/>
  <c r="FE33" i="23" s="1"/>
  <c r="FE38" i="23" s="1"/>
  <c r="FE39" i="23" s="1"/>
  <c r="HR40" i="13"/>
  <c r="HR46" i="13" s="1"/>
  <c r="HR47" i="13" s="1"/>
  <c r="HQ9" i="45"/>
  <c r="HQ9" i="34"/>
  <c r="HS27" i="4"/>
  <c r="HT26" i="4"/>
  <c r="HQ33" i="46"/>
  <c r="HQ38" i="46" s="1"/>
  <c r="HQ9" i="33"/>
  <c r="FF5" i="8"/>
  <c r="FG8" i="8" s="1"/>
  <c r="FG12" i="8" s="1"/>
  <c r="FG13" i="8" s="1"/>
  <c r="FF7" i="7"/>
  <c r="FG31" i="7" s="1"/>
  <c r="FG33" i="7" s="1"/>
  <c r="FG38" i="7" s="1"/>
  <c r="FG39" i="7" s="1"/>
  <c r="FY9" i="10"/>
  <c r="FF5" i="27"/>
  <c r="FG8" i="27" s="1"/>
  <c r="FG12" i="27" s="1"/>
  <c r="FG13" i="27" s="1"/>
  <c r="FF7" i="46"/>
  <c r="FF7" i="26"/>
  <c r="FG31" i="26" s="1"/>
  <c r="FG33" i="26" s="1"/>
  <c r="FG38" i="26" s="1"/>
  <c r="FG39" i="26" s="1"/>
  <c r="FF5" i="34"/>
  <c r="FG8" i="34" s="1"/>
  <c r="FG12" i="34" s="1"/>
  <c r="FG13" i="34" s="1"/>
  <c r="FF5" i="25"/>
  <c r="FG8" i="25" s="1"/>
  <c r="FG12" i="25" s="1"/>
  <c r="FG13" i="25" s="1"/>
  <c r="FY69" i="10"/>
  <c r="HP9" i="27"/>
  <c r="HR29" i="4"/>
  <c r="HQ39" i="46" l="1"/>
  <c r="HS29" i="4"/>
  <c r="HQ9" i="27"/>
  <c r="FX49" i="10"/>
  <c r="FE7" i="23"/>
  <c r="FF31" i="23" s="1"/>
  <c r="FF33" i="23" s="1"/>
  <c r="FF38" i="23" s="1"/>
  <c r="FF39" i="23" s="1"/>
  <c r="FE5" i="24"/>
  <c r="FF8" i="24" s="1"/>
  <c r="FF12" i="24" s="1"/>
  <c r="FF13" i="24" s="1"/>
  <c r="FG7" i="7"/>
  <c r="FH31" i="7" s="1"/>
  <c r="FH33" i="7" s="1"/>
  <c r="FH38" i="7" s="1"/>
  <c r="FH39" i="7" s="1"/>
  <c r="FG5" i="8"/>
  <c r="FH8" i="8" s="1"/>
  <c r="FH12" i="8" s="1"/>
  <c r="FH13" i="8" s="1"/>
  <c r="FZ9" i="10"/>
  <c r="FG7" i="46"/>
  <c r="FG5" i="27"/>
  <c r="FH8" i="27" s="1"/>
  <c r="FH12" i="27" s="1"/>
  <c r="FH13" i="27" s="1"/>
  <c r="HR33" i="46"/>
  <c r="HR38" i="46" s="1"/>
  <c r="HT27" i="4"/>
  <c r="HR9" i="34"/>
  <c r="HR9" i="33"/>
  <c r="HU26" i="4"/>
  <c r="HR9" i="45"/>
  <c r="HS40" i="13"/>
  <c r="HS46" i="13" s="1"/>
  <c r="HS47" i="13" s="1"/>
  <c r="FG5" i="34"/>
  <c r="FH8" i="34" s="1"/>
  <c r="FH12" i="34" s="1"/>
  <c r="FH13" i="34" s="1"/>
  <c r="FG7" i="26"/>
  <c r="FH31" i="26" s="1"/>
  <c r="FH33" i="26" s="1"/>
  <c r="FH38" i="26" s="1"/>
  <c r="FH39" i="26" s="1"/>
  <c r="FZ69" i="10"/>
  <c r="FG5" i="25"/>
  <c r="FH8" i="25" s="1"/>
  <c r="FH12" i="25" s="1"/>
  <c r="FH13" i="25" s="1"/>
  <c r="FF7" i="13"/>
  <c r="FF5" i="33"/>
  <c r="FG8" i="33" s="1"/>
  <c r="FG12" i="33" s="1"/>
  <c r="FG13" i="33" s="1"/>
  <c r="FF5" i="45"/>
  <c r="FG8" i="45" s="1"/>
  <c r="FG12" i="45" s="1"/>
  <c r="FG13" i="45" s="1"/>
  <c r="FY10" i="10"/>
  <c r="HR39" i="46" l="1"/>
  <c r="FG7" i="13"/>
  <c r="FZ10" i="10"/>
  <c r="FG5" i="45"/>
  <c r="FH8" i="45" s="1"/>
  <c r="FH12" i="45" s="1"/>
  <c r="FH13" i="45" s="1"/>
  <c r="FG5" i="33"/>
  <c r="FH8" i="33" s="1"/>
  <c r="FH12" i="33" s="1"/>
  <c r="FH13" i="33" s="1"/>
  <c r="FY49" i="10"/>
  <c r="FF5" i="24"/>
  <c r="FG8" i="24" s="1"/>
  <c r="FG12" i="24" s="1"/>
  <c r="FG13" i="24" s="1"/>
  <c r="FF7" i="23"/>
  <c r="FG31" i="23" s="1"/>
  <c r="FG33" i="23" s="1"/>
  <c r="FG38" i="23" s="1"/>
  <c r="FG39" i="23" s="1"/>
  <c r="FH7" i="26"/>
  <c r="FI31" i="26" s="1"/>
  <c r="FI33" i="26" s="1"/>
  <c r="FI38" i="26" s="1"/>
  <c r="FI39" i="26" s="1"/>
  <c r="FH5" i="34"/>
  <c r="FI8" i="34" s="1"/>
  <c r="FI12" i="34" s="1"/>
  <c r="FI13" i="34" s="1"/>
  <c r="FH5" i="25"/>
  <c r="FI8" i="25" s="1"/>
  <c r="FI12" i="25" s="1"/>
  <c r="FI13" i="25" s="1"/>
  <c r="GA69" i="10"/>
  <c r="FH5" i="27"/>
  <c r="FI8" i="27" s="1"/>
  <c r="FI12" i="27" s="1"/>
  <c r="FI13" i="27" s="1"/>
  <c r="GA9" i="10"/>
  <c r="FH5" i="8"/>
  <c r="FI8" i="8" s="1"/>
  <c r="FI12" i="8" s="1"/>
  <c r="FI13" i="8" s="1"/>
  <c r="FH7" i="46"/>
  <c r="FH7" i="7"/>
  <c r="FI31" i="7" s="1"/>
  <c r="FI33" i="7" s="1"/>
  <c r="FI38" i="7" s="1"/>
  <c r="FI39" i="7" s="1"/>
  <c r="HV26" i="4"/>
  <c r="HS9" i="33"/>
  <c r="HS9" i="45"/>
  <c r="HS33" i="46"/>
  <c r="HS38" i="46" s="1"/>
  <c r="HU27" i="4"/>
  <c r="HS9" i="34"/>
  <c r="HT40" i="13"/>
  <c r="HT46" i="13" s="1"/>
  <c r="HT47" i="13" s="1"/>
  <c r="HR9" i="27"/>
  <c r="HT29" i="4"/>
  <c r="HS39" i="46" l="1"/>
  <c r="FG7" i="23"/>
  <c r="FH31" i="23" s="1"/>
  <c r="FH33" i="23" s="1"/>
  <c r="FH38" i="23" s="1"/>
  <c r="FH39" i="23" s="1"/>
  <c r="FG5" i="24"/>
  <c r="FH8" i="24" s="1"/>
  <c r="FH12" i="24" s="1"/>
  <c r="FH13" i="24" s="1"/>
  <c r="FZ49" i="10"/>
  <c r="FH5" i="33"/>
  <c r="FI8" i="33" s="1"/>
  <c r="FI12" i="33" s="1"/>
  <c r="FI13" i="33" s="1"/>
  <c r="GA10" i="10"/>
  <c r="FH7" i="13"/>
  <c r="FH5" i="45"/>
  <c r="FI8" i="45" s="1"/>
  <c r="FI12" i="45" s="1"/>
  <c r="FI13" i="45" s="1"/>
  <c r="GB69" i="10"/>
  <c r="FI7" i="26"/>
  <c r="FJ31" i="26" s="1"/>
  <c r="FJ33" i="26" s="1"/>
  <c r="FJ38" i="26" s="1"/>
  <c r="FJ39" i="26" s="1"/>
  <c r="FI5" i="25"/>
  <c r="FJ8" i="25" s="1"/>
  <c r="FJ12" i="25" s="1"/>
  <c r="FJ13" i="25" s="1"/>
  <c r="FI5" i="34"/>
  <c r="FJ8" i="34" s="1"/>
  <c r="FJ12" i="34" s="1"/>
  <c r="FJ13" i="34" s="1"/>
  <c r="HW26" i="4"/>
  <c r="HT33" i="46"/>
  <c r="HT38" i="46" s="1"/>
  <c r="HT39" i="46" s="1"/>
  <c r="HT9" i="45"/>
  <c r="HT9" i="33"/>
  <c r="HU40" i="13"/>
  <c r="HU46" i="13" s="1"/>
  <c r="HT9" i="34"/>
  <c r="HV27" i="4"/>
  <c r="FI7" i="46"/>
  <c r="FI7" i="7"/>
  <c r="FJ31" i="7" s="1"/>
  <c r="FJ33" i="7" s="1"/>
  <c r="FJ38" i="7" s="1"/>
  <c r="FJ39" i="7" s="1"/>
  <c r="FI5" i="8"/>
  <c r="FJ8" i="8" s="1"/>
  <c r="FJ12" i="8" s="1"/>
  <c r="FJ13" i="8" s="1"/>
  <c r="GB9" i="10"/>
  <c r="FI5" i="27"/>
  <c r="FJ8" i="27" s="1"/>
  <c r="FJ12" i="27" s="1"/>
  <c r="FJ13" i="27" s="1"/>
  <c r="HU29" i="4"/>
  <c r="HS9" i="27"/>
  <c r="FJ7" i="26" l="1"/>
  <c r="FK31" i="26" s="1"/>
  <c r="FK33" i="26" s="1"/>
  <c r="FK38" i="26" s="1"/>
  <c r="FK39" i="26" s="1"/>
  <c r="FJ5" i="34"/>
  <c r="FK8" i="34" s="1"/>
  <c r="FK12" i="34" s="1"/>
  <c r="FK13" i="34" s="1"/>
  <c r="FJ5" i="25"/>
  <c r="FK8" i="25" s="1"/>
  <c r="FK12" i="25" s="1"/>
  <c r="FK13" i="25" s="1"/>
  <c r="GC69" i="10"/>
  <c r="FH7" i="23"/>
  <c r="FI31" i="23" s="1"/>
  <c r="FI33" i="23" s="1"/>
  <c r="FI38" i="23" s="1"/>
  <c r="FI39" i="23" s="1"/>
  <c r="GA49" i="10"/>
  <c r="FH5" i="24"/>
  <c r="FI8" i="24" s="1"/>
  <c r="FI12" i="24" s="1"/>
  <c r="FI13" i="24" s="1"/>
  <c r="FI5" i="45"/>
  <c r="FJ8" i="45" s="1"/>
  <c r="FJ12" i="45" s="1"/>
  <c r="FJ13" i="45" s="1"/>
  <c r="GB10" i="10"/>
  <c r="FI7" i="13"/>
  <c r="FI5" i="33"/>
  <c r="FJ8" i="33" s="1"/>
  <c r="FJ12" i="33" s="1"/>
  <c r="FJ13" i="33" s="1"/>
  <c r="HW27" i="4"/>
  <c r="HU9" i="45"/>
  <c r="HU9" i="34"/>
  <c r="HV40" i="13"/>
  <c r="HV46" i="13" s="1"/>
  <c r="HU9" i="33"/>
  <c r="HX26" i="4"/>
  <c r="HU33" i="46"/>
  <c r="HU38" i="46" s="1"/>
  <c r="GC9" i="10"/>
  <c r="FJ7" i="46"/>
  <c r="FJ5" i="8"/>
  <c r="FK8" i="8" s="1"/>
  <c r="FK12" i="8" s="1"/>
  <c r="FK13" i="8" s="1"/>
  <c r="FJ5" i="27"/>
  <c r="FK8" i="27" s="1"/>
  <c r="FK12" i="27" s="1"/>
  <c r="FK13" i="27" s="1"/>
  <c r="FJ7" i="7"/>
  <c r="FK31" i="7" s="1"/>
  <c r="FK33" i="7" s="1"/>
  <c r="FK38" i="7" s="1"/>
  <c r="FK39" i="7" s="1"/>
  <c r="HT9" i="27"/>
  <c r="HV29" i="4"/>
  <c r="HU47" i="13"/>
  <c r="HV47" i="13" l="1"/>
  <c r="FI5" i="24"/>
  <c r="FJ8" i="24" s="1"/>
  <c r="FJ12" i="24" s="1"/>
  <c r="FJ13" i="24" s="1"/>
  <c r="FI7" i="23"/>
  <c r="FJ31" i="23" s="1"/>
  <c r="FJ33" i="23" s="1"/>
  <c r="FJ38" i="23" s="1"/>
  <c r="FJ39" i="23" s="1"/>
  <c r="GB49" i="10"/>
  <c r="HU9" i="27"/>
  <c r="HW29" i="4"/>
  <c r="FJ7" i="13"/>
  <c r="FJ5" i="33"/>
  <c r="FK8" i="33" s="1"/>
  <c r="FK12" i="33" s="1"/>
  <c r="FK13" i="33" s="1"/>
  <c r="FJ5" i="45"/>
  <c r="FK8" i="45" s="1"/>
  <c r="FK12" i="45" s="1"/>
  <c r="FK13" i="45" s="1"/>
  <c r="GC10" i="10"/>
  <c r="FK5" i="25"/>
  <c r="FL8" i="25" s="1"/>
  <c r="FL12" i="25" s="1"/>
  <c r="FL13" i="25" s="1"/>
  <c r="GD69" i="10"/>
  <c r="FK7" i="26"/>
  <c r="FL31" i="26" s="1"/>
  <c r="FL33" i="26" s="1"/>
  <c r="FL38" i="26" s="1"/>
  <c r="FL39" i="26" s="1"/>
  <c r="FK5" i="34"/>
  <c r="FL8" i="34" s="1"/>
  <c r="FL12" i="34" s="1"/>
  <c r="FL13" i="34" s="1"/>
  <c r="GD9" i="10"/>
  <c r="FK5" i="8"/>
  <c r="FL8" i="8" s="1"/>
  <c r="FL12" i="8" s="1"/>
  <c r="FL13" i="8" s="1"/>
  <c r="FK5" i="27"/>
  <c r="FL8" i="27" s="1"/>
  <c r="FL12" i="27" s="1"/>
  <c r="FL13" i="27" s="1"/>
  <c r="FK7" i="46"/>
  <c r="FK7" i="7"/>
  <c r="FL31" i="7" s="1"/>
  <c r="FL33" i="7" s="1"/>
  <c r="FL38" i="7" s="1"/>
  <c r="FL39" i="7" s="1"/>
  <c r="HX27" i="4"/>
  <c r="HV9" i="33"/>
  <c r="HY26" i="4"/>
  <c r="HV33" i="46"/>
  <c r="HV38" i="46" s="1"/>
  <c r="HW40" i="13"/>
  <c r="HW46" i="13" s="1"/>
  <c r="HV9" i="45"/>
  <c r="HV9" i="34"/>
  <c r="HU39" i="46"/>
  <c r="HV39" i="46" l="1"/>
  <c r="FL7" i="46"/>
  <c r="GE9" i="10"/>
  <c r="FL5" i="8"/>
  <c r="FM8" i="8" s="1"/>
  <c r="FM12" i="8" s="1"/>
  <c r="FM13" i="8" s="1"/>
  <c r="FL7" i="7"/>
  <c r="FM31" i="7" s="1"/>
  <c r="FM33" i="7" s="1"/>
  <c r="FM38" i="7" s="1"/>
  <c r="FM39" i="7" s="1"/>
  <c r="FL5" i="27"/>
  <c r="FM8" i="27" s="1"/>
  <c r="FM12" i="27" s="1"/>
  <c r="FM13" i="27" s="1"/>
  <c r="HX29" i="4"/>
  <c r="HV9" i="27"/>
  <c r="GC49" i="10"/>
  <c r="FJ5" i="24"/>
  <c r="FK8" i="24" s="1"/>
  <c r="FK12" i="24" s="1"/>
  <c r="FK13" i="24" s="1"/>
  <c r="FJ7" i="23"/>
  <c r="FK31" i="23" s="1"/>
  <c r="FK33" i="23" s="1"/>
  <c r="FK38" i="23" s="1"/>
  <c r="FK39" i="23" s="1"/>
  <c r="GE69" i="10"/>
  <c r="FL7" i="26"/>
  <c r="FM31" i="26" s="1"/>
  <c r="FM33" i="26" s="1"/>
  <c r="FM38" i="26" s="1"/>
  <c r="FM39" i="26" s="1"/>
  <c r="FL5" i="34"/>
  <c r="FM8" i="34" s="1"/>
  <c r="FM12" i="34" s="1"/>
  <c r="FM13" i="34" s="1"/>
  <c r="FL5" i="25"/>
  <c r="FM8" i="25" s="1"/>
  <c r="FM12" i="25" s="1"/>
  <c r="FM13" i="25" s="1"/>
  <c r="FK5" i="33"/>
  <c r="FL8" i="33" s="1"/>
  <c r="FL12" i="33" s="1"/>
  <c r="FL13" i="33" s="1"/>
  <c r="FK5" i="45"/>
  <c r="FL8" i="45" s="1"/>
  <c r="FL12" i="45" s="1"/>
  <c r="FL13" i="45" s="1"/>
  <c r="GD10" i="10"/>
  <c r="FK7" i="13"/>
  <c r="HW47" i="13"/>
  <c r="HZ26" i="4"/>
  <c r="HW33" i="46"/>
  <c r="HW38" i="46" s="1"/>
  <c r="HW9" i="34"/>
  <c r="HW9" i="33"/>
  <c r="HY27" i="4"/>
  <c r="HX40" i="13"/>
  <c r="HX46" i="13" s="1"/>
  <c r="HW9" i="45"/>
  <c r="HW39" i="46" l="1"/>
  <c r="HY29" i="4"/>
  <c r="HW9" i="27"/>
  <c r="FK5" i="24"/>
  <c r="FL8" i="24" s="1"/>
  <c r="FL12" i="24" s="1"/>
  <c r="FL13" i="24" s="1"/>
  <c r="FK7" i="23"/>
  <c r="FL31" i="23" s="1"/>
  <c r="FL33" i="23" s="1"/>
  <c r="FL38" i="23" s="1"/>
  <c r="FL39" i="23" s="1"/>
  <c r="GD49" i="10"/>
  <c r="FM5" i="25"/>
  <c r="FN8" i="25" s="1"/>
  <c r="FN12" i="25" s="1"/>
  <c r="FN13" i="25" s="1"/>
  <c r="GF69" i="10"/>
  <c r="FM7" i="26"/>
  <c r="FN31" i="26" s="1"/>
  <c r="FN33" i="26" s="1"/>
  <c r="FN38" i="26" s="1"/>
  <c r="FN39" i="26" s="1"/>
  <c r="FM5" i="34"/>
  <c r="FN8" i="34" s="1"/>
  <c r="FN12" i="34" s="1"/>
  <c r="FN13" i="34" s="1"/>
  <c r="HX47" i="13"/>
  <c r="HZ27" i="4"/>
  <c r="HX33" i="46"/>
  <c r="HX38" i="46" s="1"/>
  <c r="IA26" i="4"/>
  <c r="HX9" i="33"/>
  <c r="HY40" i="13"/>
  <c r="HY46" i="13" s="1"/>
  <c r="HX9" i="34"/>
  <c r="HX9" i="45"/>
  <c r="GE10" i="10"/>
  <c r="FL5" i="33"/>
  <c r="FM8" i="33" s="1"/>
  <c r="FM12" i="33" s="1"/>
  <c r="FM13" i="33" s="1"/>
  <c r="FL5" i="45"/>
  <c r="FM8" i="45" s="1"/>
  <c r="FM12" i="45" s="1"/>
  <c r="FM13" i="45" s="1"/>
  <c r="FL7" i="13"/>
  <c r="FM5" i="27"/>
  <c r="FN8" i="27" s="1"/>
  <c r="FN12" i="27" s="1"/>
  <c r="FN13" i="27" s="1"/>
  <c r="FM7" i="46"/>
  <c r="FM7" i="7"/>
  <c r="FN31" i="7" s="1"/>
  <c r="FN33" i="7" s="1"/>
  <c r="FN38" i="7" s="1"/>
  <c r="FN39" i="7" s="1"/>
  <c r="FM5" i="8"/>
  <c r="FN8" i="8" s="1"/>
  <c r="FN12" i="8" s="1"/>
  <c r="FN13" i="8" s="1"/>
  <c r="GF9" i="10"/>
  <c r="HX39" i="46" l="1"/>
  <c r="HX9" i="27"/>
  <c r="HZ29" i="4"/>
  <c r="FN5" i="25"/>
  <c r="FO8" i="25" s="1"/>
  <c r="FO12" i="25" s="1"/>
  <c r="FO13" i="25" s="1"/>
  <c r="FN5" i="34"/>
  <c r="FO8" i="34" s="1"/>
  <c r="FO12" i="34" s="1"/>
  <c r="FO13" i="34" s="1"/>
  <c r="FN7" i="26"/>
  <c r="FO31" i="26" s="1"/>
  <c r="FO33" i="26" s="1"/>
  <c r="FO38" i="26" s="1"/>
  <c r="FO39" i="26" s="1"/>
  <c r="GG69" i="10"/>
  <c r="HY47" i="13"/>
  <c r="HZ40" i="13"/>
  <c r="HZ46" i="13" s="1"/>
  <c r="HY9" i="45"/>
  <c r="HY9" i="33"/>
  <c r="HY33" i="46"/>
  <c r="HY38" i="46" s="1"/>
  <c r="IB26" i="4"/>
  <c r="IA27" i="4"/>
  <c r="HY9" i="34"/>
  <c r="FN5" i="27"/>
  <c r="FO8" i="27" s="1"/>
  <c r="FO12" i="27" s="1"/>
  <c r="FO13" i="27" s="1"/>
  <c r="FN5" i="8"/>
  <c r="FO8" i="8" s="1"/>
  <c r="FO12" i="8" s="1"/>
  <c r="FO13" i="8" s="1"/>
  <c r="FN7" i="46"/>
  <c r="GG9" i="10"/>
  <c r="FN7" i="7"/>
  <c r="FO31" i="7" s="1"/>
  <c r="FO33" i="7" s="1"/>
  <c r="FO38" i="7" s="1"/>
  <c r="FO39" i="7" s="1"/>
  <c r="FL5" i="24"/>
  <c r="FM8" i="24" s="1"/>
  <c r="FM12" i="24" s="1"/>
  <c r="FM13" i="24" s="1"/>
  <c r="FL7" i="23"/>
  <c r="FM31" i="23" s="1"/>
  <c r="FM33" i="23" s="1"/>
  <c r="FM38" i="23" s="1"/>
  <c r="FM39" i="23" s="1"/>
  <c r="GE49" i="10"/>
  <c r="FM5" i="45"/>
  <c r="FN8" i="45" s="1"/>
  <c r="FN12" i="45" s="1"/>
  <c r="FN13" i="45" s="1"/>
  <c r="FM7" i="13"/>
  <c r="GF10" i="10"/>
  <c r="FM5" i="33"/>
  <c r="FN8" i="33" s="1"/>
  <c r="FN12" i="33" s="1"/>
  <c r="FN13" i="33" s="1"/>
  <c r="HZ47" i="13" l="1"/>
  <c r="IA29" i="4"/>
  <c r="HY9" i="27"/>
  <c r="FN5" i="33"/>
  <c r="FO8" i="33" s="1"/>
  <c r="FO12" i="33" s="1"/>
  <c r="FO13" i="33" s="1"/>
  <c r="FN5" i="45"/>
  <c r="FO8" i="45" s="1"/>
  <c r="FO12" i="45" s="1"/>
  <c r="FO13" i="45" s="1"/>
  <c r="GG10" i="10"/>
  <c r="FN7" i="13"/>
  <c r="FM5" i="24"/>
  <c r="FN8" i="24" s="1"/>
  <c r="FN12" i="24" s="1"/>
  <c r="FN13" i="24" s="1"/>
  <c r="FM7" i="23"/>
  <c r="FN31" i="23" s="1"/>
  <c r="FN33" i="23" s="1"/>
  <c r="FN38" i="23" s="1"/>
  <c r="FN39" i="23" s="1"/>
  <c r="GF49" i="10"/>
  <c r="HZ9" i="34"/>
  <c r="HZ9" i="45"/>
  <c r="IC26" i="4"/>
  <c r="IB27" i="4"/>
  <c r="HZ9" i="33"/>
  <c r="IA40" i="13"/>
  <c r="IA46" i="13" s="1"/>
  <c r="HZ33" i="46"/>
  <c r="HZ38" i="46" s="1"/>
  <c r="GH69" i="10"/>
  <c r="FO7" i="26"/>
  <c r="FP31" i="26" s="1"/>
  <c r="FP33" i="26" s="1"/>
  <c r="FP38" i="26" s="1"/>
  <c r="FP39" i="26" s="1"/>
  <c r="FO5" i="25"/>
  <c r="FP8" i="25" s="1"/>
  <c r="FP12" i="25" s="1"/>
  <c r="FP13" i="25" s="1"/>
  <c r="FO5" i="34"/>
  <c r="FP8" i="34" s="1"/>
  <c r="FP12" i="34" s="1"/>
  <c r="FP13" i="34" s="1"/>
  <c r="FO5" i="8"/>
  <c r="FP8" i="8" s="1"/>
  <c r="FP12" i="8" s="1"/>
  <c r="FP13" i="8" s="1"/>
  <c r="FO5" i="27"/>
  <c r="FP8" i="27" s="1"/>
  <c r="FP12" i="27" s="1"/>
  <c r="FP13" i="27" s="1"/>
  <c r="FO7" i="7"/>
  <c r="FP31" i="7" s="1"/>
  <c r="FP33" i="7" s="1"/>
  <c r="FP38" i="7" s="1"/>
  <c r="FP39" i="7" s="1"/>
  <c r="GH9" i="10"/>
  <c r="FO7" i="46"/>
  <c r="HY39" i="46"/>
  <c r="IA47" i="13" l="1"/>
  <c r="X50" i="13"/>
  <c r="HZ9" i="27"/>
  <c r="IB29" i="4"/>
  <c r="GH10" i="10"/>
  <c r="FO5" i="45"/>
  <c r="FP8" i="45" s="1"/>
  <c r="FP12" i="45" s="1"/>
  <c r="FP13" i="45" s="1"/>
  <c r="FO5" i="33"/>
  <c r="FP8" i="33" s="1"/>
  <c r="FP12" i="33" s="1"/>
  <c r="FP13" i="33" s="1"/>
  <c r="FO7" i="13"/>
  <c r="FP5" i="27"/>
  <c r="FQ8" i="27" s="1"/>
  <c r="FQ12" i="27" s="1"/>
  <c r="FQ13" i="27" s="1"/>
  <c r="GI9" i="10"/>
  <c r="FP7" i="46"/>
  <c r="FP7" i="7"/>
  <c r="FQ31" i="7" s="1"/>
  <c r="FQ33" i="7" s="1"/>
  <c r="FQ38" i="7" s="1"/>
  <c r="FQ39" i="7" s="1"/>
  <c r="FP5" i="8"/>
  <c r="FQ8" i="8" s="1"/>
  <c r="FQ12" i="8" s="1"/>
  <c r="FQ13" i="8" s="1"/>
  <c r="IC27" i="4"/>
  <c r="IA9" i="34"/>
  <c r="IA9" i="33"/>
  <c r="ID26" i="4"/>
  <c r="IA33" i="46"/>
  <c r="IA38" i="46" s="1"/>
  <c r="IB40" i="13"/>
  <c r="IB46" i="13" s="1"/>
  <c r="IA9" i="45"/>
  <c r="HZ39" i="46"/>
  <c r="GG49" i="10"/>
  <c r="FN7" i="23"/>
  <c r="FO31" i="23" s="1"/>
  <c r="FO33" i="23" s="1"/>
  <c r="FO38" i="23" s="1"/>
  <c r="FO39" i="23" s="1"/>
  <c r="FN5" i="24"/>
  <c r="FO8" i="24" s="1"/>
  <c r="FO12" i="24" s="1"/>
  <c r="FO13" i="24" s="1"/>
  <c r="FP7" i="26"/>
  <c r="FQ31" i="26" s="1"/>
  <c r="FQ33" i="26" s="1"/>
  <c r="FQ38" i="26" s="1"/>
  <c r="FQ39" i="26" s="1"/>
  <c r="FP5" i="25"/>
  <c r="FQ8" i="25" s="1"/>
  <c r="FQ12" i="25" s="1"/>
  <c r="FQ13" i="25" s="1"/>
  <c r="GI69" i="10"/>
  <c r="FP5" i="34"/>
  <c r="FQ8" i="34" s="1"/>
  <c r="FQ12" i="34" s="1"/>
  <c r="FQ13" i="34" s="1"/>
  <c r="IB47" i="13" l="1"/>
  <c r="FP7" i="13"/>
  <c r="FP5" i="45"/>
  <c r="FQ8" i="45" s="1"/>
  <c r="FQ12" i="45" s="1"/>
  <c r="FQ13" i="45" s="1"/>
  <c r="FP5" i="33"/>
  <c r="FQ8" i="33" s="1"/>
  <c r="FQ12" i="33" s="1"/>
  <c r="FQ13" i="33" s="1"/>
  <c r="GI10" i="10"/>
  <c r="IC29" i="4"/>
  <c r="IA9" i="27"/>
  <c r="GJ69" i="10"/>
  <c r="FQ7" i="26"/>
  <c r="FR31" i="26" s="1"/>
  <c r="FR33" i="26" s="1"/>
  <c r="FR38" i="26" s="1"/>
  <c r="FR39" i="26" s="1"/>
  <c r="FQ5" i="34"/>
  <c r="FR8" i="34" s="1"/>
  <c r="FR12" i="34" s="1"/>
  <c r="FR13" i="34" s="1"/>
  <c r="FQ5" i="25"/>
  <c r="FR8" i="25" s="1"/>
  <c r="FR12" i="25" s="1"/>
  <c r="FR13" i="25" s="1"/>
  <c r="GJ9" i="10"/>
  <c r="FQ7" i="7"/>
  <c r="FR31" i="7" s="1"/>
  <c r="FR33" i="7" s="1"/>
  <c r="FR38" i="7" s="1"/>
  <c r="FR39" i="7" s="1"/>
  <c r="FQ7" i="46"/>
  <c r="FQ5" i="27"/>
  <c r="FR8" i="27" s="1"/>
  <c r="FR12" i="27" s="1"/>
  <c r="FR13" i="27" s="1"/>
  <c r="FQ5" i="8"/>
  <c r="FR8" i="8" s="1"/>
  <c r="FR12" i="8" s="1"/>
  <c r="FR13" i="8" s="1"/>
  <c r="FO7" i="23"/>
  <c r="FP31" i="23" s="1"/>
  <c r="FP33" i="23" s="1"/>
  <c r="FP38" i="23" s="1"/>
  <c r="FP39" i="23" s="1"/>
  <c r="FO5" i="24"/>
  <c r="FP8" i="24" s="1"/>
  <c r="FP12" i="24" s="1"/>
  <c r="FP13" i="24" s="1"/>
  <c r="GH49" i="10"/>
  <c r="IA39" i="46"/>
  <c r="IB33" i="46"/>
  <c r="IB38" i="46" s="1"/>
  <c r="ID27" i="4"/>
  <c r="IE26" i="4"/>
  <c r="IB9" i="33"/>
  <c r="IC40" i="13"/>
  <c r="IC46" i="13" s="1"/>
  <c r="IB9" i="34"/>
  <c r="IB9" i="45"/>
  <c r="IC47" i="13" l="1"/>
  <c r="FR5" i="8"/>
  <c r="FS8" i="8" s="1"/>
  <c r="FS12" i="8" s="1"/>
  <c r="FS13" i="8" s="1"/>
  <c r="FR5" i="27"/>
  <c r="FS8" i="27" s="1"/>
  <c r="FS12" i="27" s="1"/>
  <c r="FS13" i="27" s="1"/>
  <c r="FR7" i="7"/>
  <c r="FS31" i="7" s="1"/>
  <c r="FS33" i="7" s="1"/>
  <c r="FS38" i="7" s="1"/>
  <c r="FS39" i="7" s="1"/>
  <c r="GK9" i="10"/>
  <c r="FR7" i="46"/>
  <c r="FR5" i="25"/>
  <c r="FS8" i="25" s="1"/>
  <c r="FS12" i="25" s="1"/>
  <c r="FS13" i="25" s="1"/>
  <c r="FR5" i="34"/>
  <c r="FS8" i="34" s="1"/>
  <c r="FS12" i="34" s="1"/>
  <c r="FS13" i="34" s="1"/>
  <c r="FR7" i="26"/>
  <c r="FS31" i="26" s="1"/>
  <c r="FS33" i="26" s="1"/>
  <c r="FS38" i="26" s="1"/>
  <c r="FS39" i="26" s="1"/>
  <c r="GK69" i="10"/>
  <c r="FQ7" i="13"/>
  <c r="FQ5" i="33"/>
  <c r="FR8" i="33" s="1"/>
  <c r="FR12" i="33" s="1"/>
  <c r="FR13" i="33" s="1"/>
  <c r="FQ5" i="45"/>
  <c r="FR8" i="45" s="1"/>
  <c r="FR12" i="45" s="1"/>
  <c r="FR13" i="45" s="1"/>
  <c r="GJ10" i="10"/>
  <c r="ID29" i="4"/>
  <c r="IB9" i="27"/>
  <c r="IC33" i="46"/>
  <c r="IC38" i="46" s="1"/>
  <c r="IC9" i="45"/>
  <c r="IC9" i="33"/>
  <c r="ID40" i="13"/>
  <c r="ID46" i="13" s="1"/>
  <c r="IE27" i="4"/>
  <c r="IF26" i="4"/>
  <c r="IC9" i="34"/>
  <c r="FP5" i="24"/>
  <c r="FQ8" i="24" s="1"/>
  <c r="FQ12" i="24" s="1"/>
  <c r="FQ13" i="24" s="1"/>
  <c r="GI49" i="10"/>
  <c r="FP7" i="23"/>
  <c r="FQ31" i="23" s="1"/>
  <c r="FQ33" i="23" s="1"/>
  <c r="FQ38" i="23" s="1"/>
  <c r="FQ39" i="23" s="1"/>
  <c r="IB39" i="46"/>
  <c r="ID47" i="13" l="1"/>
  <c r="IC39" i="46"/>
  <c r="FS7" i="46"/>
  <c r="FS5" i="8"/>
  <c r="FT8" i="8" s="1"/>
  <c r="FT12" i="8" s="1"/>
  <c r="FT13" i="8" s="1"/>
  <c r="GL9" i="10"/>
  <c r="FS5" i="27"/>
  <c r="FT8" i="27" s="1"/>
  <c r="FT12" i="27" s="1"/>
  <c r="FT13" i="27" s="1"/>
  <c r="FS7" i="7"/>
  <c r="FT31" i="7" s="1"/>
  <c r="FT33" i="7" s="1"/>
  <c r="FT38" i="7" s="1"/>
  <c r="FT39" i="7" s="1"/>
  <c r="FS5" i="34"/>
  <c r="FT8" i="34" s="1"/>
  <c r="FT12" i="34" s="1"/>
  <c r="FT13" i="34" s="1"/>
  <c r="GL69" i="10"/>
  <c r="FS5" i="25"/>
  <c r="FT8" i="25" s="1"/>
  <c r="FT12" i="25" s="1"/>
  <c r="FT13" i="25" s="1"/>
  <c r="FS7" i="26"/>
  <c r="FT31" i="26" s="1"/>
  <c r="FT33" i="26" s="1"/>
  <c r="FT38" i="26" s="1"/>
  <c r="FT39" i="26" s="1"/>
  <c r="FR7" i="13"/>
  <c r="FR5" i="33"/>
  <c r="FS8" i="33" s="1"/>
  <c r="FS12" i="33" s="1"/>
  <c r="FS13" i="33" s="1"/>
  <c r="GK10" i="10"/>
  <c r="FR5" i="45"/>
  <c r="FS8" i="45" s="1"/>
  <c r="FS12" i="45" s="1"/>
  <c r="FS13" i="45" s="1"/>
  <c r="FQ5" i="24"/>
  <c r="FR8" i="24" s="1"/>
  <c r="FR12" i="24" s="1"/>
  <c r="FR13" i="24" s="1"/>
  <c r="GJ49" i="10"/>
  <c r="FQ7" i="23"/>
  <c r="FR31" i="23" s="1"/>
  <c r="FR33" i="23" s="1"/>
  <c r="FR38" i="23" s="1"/>
  <c r="FR39" i="23" s="1"/>
  <c r="IG26" i="4"/>
  <c r="ID9" i="45"/>
  <c r="IE40" i="13"/>
  <c r="IE46" i="13" s="1"/>
  <c r="ID9" i="34"/>
  <c r="ID9" i="33"/>
  <c r="IF27" i="4"/>
  <c r="ID33" i="46"/>
  <c r="ID38" i="46" s="1"/>
  <c r="IC9" i="27"/>
  <c r="IE29" i="4"/>
  <c r="IE47" i="13" l="1"/>
  <c r="FS5" i="45"/>
  <c r="FT8" i="45" s="1"/>
  <c r="FT12" i="45" s="1"/>
  <c r="FT13" i="45" s="1"/>
  <c r="FS7" i="13"/>
  <c r="GL10" i="10"/>
  <c r="FS5" i="33"/>
  <c r="FT8" i="33" s="1"/>
  <c r="FT12" i="33" s="1"/>
  <c r="FT13" i="33" s="1"/>
  <c r="FT5" i="8"/>
  <c r="FU8" i="8" s="1"/>
  <c r="FU12" i="8" s="1"/>
  <c r="FU13" i="8" s="1"/>
  <c r="FT5" i="27"/>
  <c r="FU8" i="27" s="1"/>
  <c r="FU12" i="27" s="1"/>
  <c r="FU13" i="27" s="1"/>
  <c r="FT7" i="7"/>
  <c r="FU31" i="7" s="1"/>
  <c r="FU33" i="7" s="1"/>
  <c r="FU38" i="7" s="1"/>
  <c r="FU39" i="7" s="1"/>
  <c r="FT7" i="46"/>
  <c r="GM9" i="10"/>
  <c r="FR7" i="23"/>
  <c r="FS31" i="23" s="1"/>
  <c r="FS33" i="23" s="1"/>
  <c r="FS38" i="23" s="1"/>
  <c r="FS39" i="23" s="1"/>
  <c r="GK49" i="10"/>
  <c r="FR5" i="24"/>
  <c r="FS8" i="24" s="1"/>
  <c r="FS12" i="24" s="1"/>
  <c r="FS13" i="24" s="1"/>
  <c r="IF40" i="13"/>
  <c r="IF46" i="13" s="1"/>
  <c r="IF47" i="13" s="1"/>
  <c r="IG27" i="4"/>
  <c r="IE9" i="33"/>
  <c r="IE9" i="45"/>
  <c r="IH26" i="4"/>
  <c r="IE9" i="34"/>
  <c r="IE33" i="46"/>
  <c r="IE38" i="46" s="1"/>
  <c r="FT5" i="25"/>
  <c r="FU8" i="25" s="1"/>
  <c r="FU12" i="25" s="1"/>
  <c r="FU13" i="25" s="1"/>
  <c r="FT5" i="34"/>
  <c r="FU8" i="34" s="1"/>
  <c r="FU12" i="34" s="1"/>
  <c r="FU13" i="34" s="1"/>
  <c r="FT7" i="26"/>
  <c r="FU31" i="26" s="1"/>
  <c r="FU33" i="26" s="1"/>
  <c r="FU38" i="26" s="1"/>
  <c r="FU39" i="26" s="1"/>
  <c r="GM69" i="10"/>
  <c r="IF29" i="4"/>
  <c r="ID9" i="27"/>
  <c r="ID39" i="46"/>
  <c r="IE39" i="46" l="1"/>
  <c r="GN9" i="10"/>
  <c r="FU7" i="7"/>
  <c r="FV31" i="7" s="1"/>
  <c r="FV33" i="7" s="1"/>
  <c r="FV38" i="7" s="1"/>
  <c r="FV39" i="7" s="1"/>
  <c r="FU5" i="8"/>
  <c r="FV8" i="8" s="1"/>
  <c r="FV12" i="8" s="1"/>
  <c r="FV13" i="8" s="1"/>
  <c r="FU7" i="46"/>
  <c r="FU5" i="27"/>
  <c r="FV8" i="27" s="1"/>
  <c r="FV12" i="27" s="1"/>
  <c r="FV13" i="27" s="1"/>
  <c r="FU5" i="25"/>
  <c r="FV8" i="25" s="1"/>
  <c r="FV12" i="25" s="1"/>
  <c r="FV13" i="25" s="1"/>
  <c r="FU7" i="26"/>
  <c r="FV31" i="26" s="1"/>
  <c r="FV33" i="26" s="1"/>
  <c r="FV38" i="26" s="1"/>
  <c r="FV39" i="26" s="1"/>
  <c r="FU5" i="34"/>
  <c r="FV8" i="34" s="1"/>
  <c r="FV12" i="34" s="1"/>
  <c r="FV13" i="34" s="1"/>
  <c r="GN69" i="10"/>
  <c r="FT5" i="33"/>
  <c r="FU8" i="33" s="1"/>
  <c r="FU12" i="33" s="1"/>
  <c r="FU13" i="33" s="1"/>
  <c r="FT5" i="45"/>
  <c r="FU8" i="45" s="1"/>
  <c r="FU12" i="45" s="1"/>
  <c r="FU13" i="45" s="1"/>
  <c r="FT7" i="13"/>
  <c r="GM10" i="10"/>
  <c r="IG29" i="4"/>
  <c r="IE9" i="27"/>
  <c r="GL49" i="10"/>
  <c r="FS7" i="23"/>
  <c r="FT31" i="23" s="1"/>
  <c r="FT33" i="23" s="1"/>
  <c r="FT38" i="23" s="1"/>
  <c r="FT39" i="23" s="1"/>
  <c r="FS5" i="24"/>
  <c r="FT8" i="24" s="1"/>
  <c r="FT12" i="24" s="1"/>
  <c r="FT13" i="24" s="1"/>
  <c r="II26" i="4"/>
  <c r="IG40" i="13"/>
  <c r="IG46" i="13" s="1"/>
  <c r="IG47" i="13" s="1"/>
  <c r="IF33" i="46"/>
  <c r="IF38" i="46" s="1"/>
  <c r="IF39" i="46" s="1"/>
  <c r="IF9" i="34"/>
  <c r="IF9" i="45"/>
  <c r="IH27" i="4"/>
  <c r="IF9" i="33"/>
  <c r="D10" i="11"/>
  <c r="D92" i="11"/>
  <c r="D56" i="11"/>
  <c r="E56" i="11"/>
  <c r="E53" i="11" s="1"/>
  <c r="E10" i="11"/>
  <c r="E92" i="11"/>
  <c r="E89" i="11" s="1"/>
  <c r="F56" i="11"/>
  <c r="F53" i="11" s="1"/>
  <c r="F92" i="11"/>
  <c r="F89" i="11" s="1"/>
  <c r="F10" i="11"/>
  <c r="G56" i="11"/>
  <c r="G53" i="11" s="1"/>
  <c r="G92" i="11"/>
  <c r="G89" i="11" s="1"/>
  <c r="G10" i="11"/>
  <c r="H10" i="11"/>
  <c r="H56" i="11"/>
  <c r="H53" i="11" s="1"/>
  <c r="H92" i="11"/>
  <c r="H89" i="11" s="1"/>
  <c r="I92" i="11"/>
  <c r="I89" i="11" s="1"/>
  <c r="I56" i="11"/>
  <c r="I53" i="11" s="1"/>
  <c r="I10" i="11"/>
  <c r="J56" i="11"/>
  <c r="J53" i="11" s="1"/>
  <c r="J92" i="11"/>
  <c r="J89" i="11" s="1"/>
  <c r="J10" i="11"/>
  <c r="K10" i="11"/>
  <c r="K92" i="11"/>
  <c r="K89" i="11" s="1"/>
  <c r="K56" i="11"/>
  <c r="K53" i="11" s="1"/>
  <c r="L10" i="11"/>
  <c r="L92" i="11"/>
  <c r="L89" i="11" s="1"/>
  <c r="L56" i="11"/>
  <c r="L53" i="11" s="1"/>
  <c r="M56" i="11"/>
  <c r="M53" i="11" s="1"/>
  <c r="M10" i="11"/>
  <c r="M92" i="11"/>
  <c r="M89" i="11" s="1"/>
  <c r="N10" i="11"/>
  <c r="N56" i="11"/>
  <c r="N53" i="11" s="1"/>
  <c r="N92" i="11"/>
  <c r="N89" i="11" s="1"/>
  <c r="O56" i="11"/>
  <c r="O53" i="11" s="1"/>
  <c r="O92" i="11"/>
  <c r="O89" i="11" s="1"/>
  <c r="O10" i="11"/>
  <c r="P92" i="11"/>
  <c r="P89" i="11" s="1"/>
  <c r="P56" i="11"/>
  <c r="P53" i="11" s="1"/>
  <c r="P10" i="11"/>
  <c r="Q92" i="11"/>
  <c r="Q89" i="11" s="1"/>
  <c r="Q56" i="11"/>
  <c r="Q53" i="11" s="1"/>
  <c r="Q10" i="11"/>
  <c r="R10" i="11"/>
  <c r="R56" i="11"/>
  <c r="R53" i="11" s="1"/>
  <c r="R92" i="11"/>
  <c r="R89" i="11" s="1"/>
  <c r="S92" i="11"/>
  <c r="S89" i="11" s="1"/>
  <c r="S56" i="11"/>
  <c r="S53" i="11" s="1"/>
  <c r="S10" i="11"/>
  <c r="T10" i="11"/>
  <c r="T92" i="11"/>
  <c r="T89" i="11" s="1"/>
  <c r="T56" i="11"/>
  <c r="T53" i="11" s="1"/>
  <c r="H43" i="13"/>
  <c r="I43" i="13"/>
  <c r="V43" i="13"/>
  <c r="FU5" i="45" l="1"/>
  <c r="FV8" i="45" s="1"/>
  <c r="FV12" i="45" s="1"/>
  <c r="FV13" i="45" s="1"/>
  <c r="GN10" i="10"/>
  <c r="FU5" i="33"/>
  <c r="FV8" i="33" s="1"/>
  <c r="FV12" i="33" s="1"/>
  <c r="FV13" i="33" s="1"/>
  <c r="FU7" i="13"/>
  <c r="IJ26" i="4"/>
  <c r="IG33" i="46"/>
  <c r="IG38" i="46" s="1"/>
  <c r="IG39" i="46" s="1"/>
  <c r="IG9" i="33"/>
  <c r="II27" i="4"/>
  <c r="IG9" i="34"/>
  <c r="IG9" i="45"/>
  <c r="IH40" i="13"/>
  <c r="IF9" i="27"/>
  <c r="IH29" i="4"/>
  <c r="FV5" i="34"/>
  <c r="FW8" i="34" s="1"/>
  <c r="FW12" i="34" s="1"/>
  <c r="FW13" i="34" s="1"/>
  <c r="FV5" i="25"/>
  <c r="FW8" i="25" s="1"/>
  <c r="FW12" i="25" s="1"/>
  <c r="FW13" i="25" s="1"/>
  <c r="FV7" i="26"/>
  <c r="FW31" i="26" s="1"/>
  <c r="FW33" i="26" s="1"/>
  <c r="FW38" i="26" s="1"/>
  <c r="FW39" i="26" s="1"/>
  <c r="GO69" i="10"/>
  <c r="GO9" i="10"/>
  <c r="FV7" i="46"/>
  <c r="FV5" i="27"/>
  <c r="FW8" i="27" s="1"/>
  <c r="FW12" i="27" s="1"/>
  <c r="FW13" i="27" s="1"/>
  <c r="FV5" i="8"/>
  <c r="FW8" i="8" s="1"/>
  <c r="FW12" i="8" s="1"/>
  <c r="FW13" i="8" s="1"/>
  <c r="FV7" i="7"/>
  <c r="FW31" i="7" s="1"/>
  <c r="FW33" i="7" s="1"/>
  <c r="FW38" i="7" s="1"/>
  <c r="FW39" i="7" s="1"/>
  <c r="FT5" i="24"/>
  <c r="FU8" i="24" s="1"/>
  <c r="FU12" i="24" s="1"/>
  <c r="FU13" i="24" s="1"/>
  <c r="FT7" i="23"/>
  <c r="FU31" i="23" s="1"/>
  <c r="FU33" i="23" s="1"/>
  <c r="FU38" i="23" s="1"/>
  <c r="FU39" i="23" s="1"/>
  <c r="GM49" i="10"/>
  <c r="L6" i="44"/>
  <c r="L3" i="44" s="1"/>
  <c r="L11" i="44" s="1"/>
  <c r="L7" i="11"/>
  <c r="F6" i="44"/>
  <c r="F3" i="44" s="1"/>
  <c r="F11" i="44" s="1"/>
  <c r="F7" i="11"/>
  <c r="K6" i="44"/>
  <c r="K3" i="44" s="1"/>
  <c r="K11" i="44" s="1"/>
  <c r="K7" i="11"/>
  <c r="B57" i="13"/>
  <c r="B58" i="13" s="1"/>
  <c r="C65" i="13"/>
  <c r="C66" i="13" s="1"/>
  <c r="C67" i="13" s="1"/>
  <c r="C57" i="13"/>
  <c r="C58" i="13" s="1"/>
  <c r="B65" i="13"/>
  <c r="B66" i="13" s="1"/>
  <c r="B67" i="13" s="1"/>
  <c r="O6" i="44"/>
  <c r="O3" i="44" s="1"/>
  <c r="O11" i="44" s="1"/>
  <c r="O7" i="11"/>
  <c r="I50" i="13"/>
  <c r="J50" i="13"/>
  <c r="K50" i="13"/>
  <c r="O50" i="13"/>
  <c r="S50" i="13"/>
  <c r="W50" i="13"/>
  <c r="U17" i="33"/>
  <c r="U50" i="33" s="1"/>
  <c r="V17" i="33"/>
  <c r="V50" i="33" s="1"/>
  <c r="V56" i="11"/>
  <c r="D53" i="11"/>
  <c r="V53" i="11" s="1"/>
  <c r="V92" i="11"/>
  <c r="D89" i="11"/>
  <c r="V89" i="11" s="1"/>
  <c r="D6" i="44"/>
  <c r="D3" i="44" s="1"/>
  <c r="D11" i="44" s="1"/>
  <c r="D7" i="11"/>
  <c r="V10" i="11"/>
  <c r="I6" i="44"/>
  <c r="I3" i="44" s="1"/>
  <c r="I11" i="44" s="1"/>
  <c r="I7" i="11"/>
  <c r="N6" i="44"/>
  <c r="N3" i="44" s="1"/>
  <c r="N11" i="44" s="1"/>
  <c r="N7" i="11"/>
  <c r="E6" i="44"/>
  <c r="E3" i="44" s="1"/>
  <c r="E11" i="44" s="1"/>
  <c r="E7" i="11"/>
  <c r="S6" i="44"/>
  <c r="S3" i="44" s="1"/>
  <c r="S11" i="44" s="1"/>
  <c r="S7" i="11"/>
  <c r="R6" i="44"/>
  <c r="R3" i="44" s="1"/>
  <c r="R11" i="44" s="1"/>
  <c r="R7" i="11"/>
  <c r="T6" i="44"/>
  <c r="T3" i="44" s="1"/>
  <c r="T11" i="44" s="1"/>
  <c r="T7" i="11"/>
  <c r="M6" i="44"/>
  <c r="M3" i="44" s="1"/>
  <c r="M11" i="44" s="1"/>
  <c r="M7" i="11"/>
  <c r="H6" i="44"/>
  <c r="H3" i="44" s="1"/>
  <c r="H11" i="44" s="1"/>
  <c r="H7" i="11"/>
  <c r="Q6" i="44"/>
  <c r="Q3" i="44" s="1"/>
  <c r="Q11" i="44" s="1"/>
  <c r="Q7" i="11"/>
  <c r="P6" i="44"/>
  <c r="P3" i="44" s="1"/>
  <c r="P11" i="44" s="1"/>
  <c r="P7" i="11"/>
  <c r="J6" i="44"/>
  <c r="J3" i="44" s="1"/>
  <c r="J11" i="44" s="1"/>
  <c r="J7" i="11"/>
  <c r="U17" i="34"/>
  <c r="U50" i="34" s="1"/>
  <c r="V17" i="34"/>
  <c r="V50" i="34" s="1"/>
  <c r="F17" i="45"/>
  <c r="F50" i="45" s="1"/>
  <c r="G17" i="45"/>
  <c r="G50" i="45" s="1"/>
  <c r="H17" i="45"/>
  <c r="H50" i="45" s="1"/>
  <c r="U17" i="45"/>
  <c r="U50" i="45" s="1"/>
  <c r="V17" i="45"/>
  <c r="V50" i="45" s="1"/>
  <c r="H36" i="46"/>
  <c r="I36" i="46"/>
  <c r="V36" i="46"/>
  <c r="J34" i="4"/>
  <c r="K34" i="4"/>
  <c r="X34" i="4"/>
  <c r="G6" i="44"/>
  <c r="G3" i="44" s="1"/>
  <c r="G11" i="44" s="1"/>
  <c r="G7" i="11"/>
  <c r="IG9" i="27" l="1"/>
  <c r="II29" i="4"/>
  <c r="IH46" i="13"/>
  <c r="IH9" i="33"/>
  <c r="IH9" i="34"/>
  <c r="IH9" i="45"/>
  <c r="IH33" i="46"/>
  <c r="II40" i="13"/>
  <c r="II46" i="13" s="1"/>
  <c r="IJ27" i="4"/>
  <c r="IK26" i="4"/>
  <c r="GP9" i="10"/>
  <c r="FW5" i="8"/>
  <c r="FX8" i="8" s="1"/>
  <c r="FX12" i="8" s="1"/>
  <c r="FX13" i="8" s="1"/>
  <c r="FW7" i="7"/>
  <c r="FX31" i="7" s="1"/>
  <c r="FX33" i="7" s="1"/>
  <c r="FX38" i="7" s="1"/>
  <c r="FX39" i="7" s="1"/>
  <c r="FW5" i="27"/>
  <c r="FX8" i="27" s="1"/>
  <c r="FX12" i="27" s="1"/>
  <c r="FX13" i="27" s="1"/>
  <c r="FW7" i="46"/>
  <c r="FV5" i="33"/>
  <c r="FW8" i="33" s="1"/>
  <c r="FW12" i="33" s="1"/>
  <c r="FW13" i="33" s="1"/>
  <c r="FV7" i="13"/>
  <c r="FV5" i="45"/>
  <c r="FW8" i="45" s="1"/>
  <c r="FW12" i="45" s="1"/>
  <c r="FW13" i="45" s="1"/>
  <c r="GO10" i="10"/>
  <c r="FU7" i="23"/>
  <c r="FV31" i="23" s="1"/>
  <c r="FV33" i="23" s="1"/>
  <c r="FV38" i="23" s="1"/>
  <c r="FV39" i="23" s="1"/>
  <c r="GN49" i="10"/>
  <c r="FU5" i="24"/>
  <c r="FV8" i="24" s="1"/>
  <c r="FV12" i="24" s="1"/>
  <c r="FV13" i="24" s="1"/>
  <c r="GP69" i="10"/>
  <c r="FW5" i="34"/>
  <c r="FX8" i="34" s="1"/>
  <c r="FX12" i="34" s="1"/>
  <c r="FX13" i="34" s="1"/>
  <c r="FW7" i="26"/>
  <c r="FX31" i="26" s="1"/>
  <c r="FX33" i="26" s="1"/>
  <c r="FX38" i="26" s="1"/>
  <c r="FX39" i="26" s="1"/>
  <c r="FW5" i="25"/>
  <c r="FX8" i="25" s="1"/>
  <c r="FX12" i="25" s="1"/>
  <c r="FX13" i="25" s="1"/>
  <c r="V7" i="11"/>
  <c r="I51" i="13"/>
  <c r="I52" i="13" s="1"/>
  <c r="B60" i="13"/>
  <c r="C59" i="13"/>
  <c r="C60" i="13"/>
  <c r="B48" i="46"/>
  <c r="B49" i="46" s="1"/>
  <c r="B51" i="46" s="1"/>
  <c r="B56" i="46"/>
  <c r="B57" i="46" s="1"/>
  <c r="B58" i="46" s="1"/>
  <c r="C56" i="46"/>
  <c r="C57" i="46" s="1"/>
  <c r="C58" i="46" s="1"/>
  <c r="X35" i="4"/>
  <c r="X36" i="4"/>
  <c r="J35" i="4"/>
  <c r="J36" i="4"/>
  <c r="B59" i="13"/>
  <c r="H42" i="46"/>
  <c r="I42" i="46"/>
  <c r="H17" i="27"/>
  <c r="U17" i="27"/>
  <c r="U50" i="27" s="1"/>
  <c r="V17" i="27"/>
  <c r="V50" i="27" s="1"/>
  <c r="K35" i="4"/>
  <c r="K39" i="4" s="1"/>
  <c r="K36" i="4"/>
  <c r="J51" i="13" l="1"/>
  <c r="FW7" i="13"/>
  <c r="GP10" i="10"/>
  <c r="FW5" i="33"/>
  <c r="FX8" i="33" s="1"/>
  <c r="FX12" i="33" s="1"/>
  <c r="FX13" i="33" s="1"/>
  <c r="FW5" i="45"/>
  <c r="FX8" i="45" s="1"/>
  <c r="FX12" i="45" s="1"/>
  <c r="FX13" i="45" s="1"/>
  <c r="FX5" i="25"/>
  <c r="FY8" i="25" s="1"/>
  <c r="FY12" i="25" s="1"/>
  <c r="FY13" i="25" s="1"/>
  <c r="FX5" i="34"/>
  <c r="FY8" i="34" s="1"/>
  <c r="FY12" i="34" s="1"/>
  <c r="FY13" i="34" s="1"/>
  <c r="GQ69" i="10"/>
  <c r="FX7" i="26"/>
  <c r="FY31" i="26" s="1"/>
  <c r="FY33" i="26" s="1"/>
  <c r="FY38" i="26" s="1"/>
  <c r="FY39" i="26" s="1"/>
  <c r="IJ29" i="4"/>
  <c r="IH9" i="27"/>
  <c r="IH47" i="13"/>
  <c r="II47" i="13" s="1"/>
  <c r="IK27" i="4"/>
  <c r="IL26" i="4"/>
  <c r="II9" i="33"/>
  <c r="II33" i="46"/>
  <c r="II38" i="46" s="1"/>
  <c r="II9" i="34"/>
  <c r="IJ40" i="13"/>
  <c r="IJ46" i="13" s="1"/>
  <c r="II9" i="45"/>
  <c r="GO49" i="10"/>
  <c r="FV5" i="24"/>
  <c r="FW8" i="24" s="1"/>
  <c r="FW12" i="24" s="1"/>
  <c r="FW13" i="24" s="1"/>
  <c r="FV7" i="23"/>
  <c r="FW31" i="23" s="1"/>
  <c r="FW33" i="23" s="1"/>
  <c r="FW38" i="23" s="1"/>
  <c r="FW39" i="23" s="1"/>
  <c r="IH38" i="46"/>
  <c r="FX7" i="46"/>
  <c r="FX5" i="8"/>
  <c r="FY8" i="8" s="1"/>
  <c r="FY12" i="8" s="1"/>
  <c r="FY13" i="8" s="1"/>
  <c r="FX5" i="27"/>
  <c r="FY8" i="27" s="1"/>
  <c r="FY12" i="27" s="1"/>
  <c r="FY13" i="27" s="1"/>
  <c r="FX7" i="7"/>
  <c r="FY31" i="7" s="1"/>
  <c r="FY33" i="7" s="1"/>
  <c r="FY38" i="7" s="1"/>
  <c r="FY39" i="7" s="1"/>
  <c r="GQ9" i="10"/>
  <c r="H50" i="27"/>
  <c r="K40" i="4"/>
  <c r="K72" i="4" s="1"/>
  <c r="V40" i="4"/>
  <c r="V72" i="4" s="1"/>
  <c r="X40" i="4"/>
  <c r="M40" i="4"/>
  <c r="M72" i="4" s="1"/>
  <c r="T40" i="4"/>
  <c r="T72" i="4" s="1"/>
  <c r="P40" i="4"/>
  <c r="P72" i="4" s="1"/>
  <c r="R40" i="4"/>
  <c r="R72" i="4" s="1"/>
  <c r="S40" i="4"/>
  <c r="S72" i="4" s="1"/>
  <c r="W40" i="4"/>
  <c r="W72" i="4" s="1"/>
  <c r="U40" i="4"/>
  <c r="U72" i="4" s="1"/>
  <c r="O40" i="4"/>
  <c r="O72" i="4" s="1"/>
  <c r="Q40" i="4"/>
  <c r="Q72" i="4" s="1"/>
  <c r="L40" i="4"/>
  <c r="L72" i="4" s="1"/>
  <c r="N40" i="4"/>
  <c r="N72" i="4" s="1"/>
  <c r="J39" i="4"/>
  <c r="L39" i="4"/>
  <c r="P39" i="4"/>
  <c r="X39" i="4"/>
  <c r="Q39" i="4"/>
  <c r="N39" i="4"/>
  <c r="R39" i="4"/>
  <c r="W39" i="4"/>
  <c r="M39" i="4"/>
  <c r="V39" i="4"/>
  <c r="U39" i="4"/>
  <c r="S39" i="4"/>
  <c r="O39" i="4"/>
  <c r="B31" i="33" s="1"/>
  <c r="T39" i="4"/>
  <c r="B31" i="34" s="1"/>
  <c r="B50" i="46"/>
  <c r="H43" i="46"/>
  <c r="J52" i="13" l="1"/>
  <c r="K51" i="13"/>
  <c r="IH39" i="46"/>
  <c r="II39" i="46" s="1"/>
  <c r="IJ47" i="13"/>
  <c r="FX7" i="13"/>
  <c r="FX5" i="33"/>
  <c r="FY8" i="33" s="1"/>
  <c r="FY12" i="33" s="1"/>
  <c r="FY13" i="33" s="1"/>
  <c r="FX5" i="45"/>
  <c r="FY8" i="45" s="1"/>
  <c r="FY12" i="45" s="1"/>
  <c r="FY13" i="45" s="1"/>
  <c r="GQ10" i="10"/>
  <c r="FW7" i="23"/>
  <c r="FX31" i="23" s="1"/>
  <c r="FX33" i="23" s="1"/>
  <c r="FX38" i="23" s="1"/>
  <c r="FX39" i="23" s="1"/>
  <c r="FW5" i="24"/>
  <c r="FX8" i="24" s="1"/>
  <c r="FX12" i="24" s="1"/>
  <c r="FX13" i="24" s="1"/>
  <c r="GP49" i="10"/>
  <c r="GR9" i="10"/>
  <c r="FY7" i="46"/>
  <c r="FY7" i="7"/>
  <c r="FZ31" i="7" s="1"/>
  <c r="FZ33" i="7" s="1"/>
  <c r="FZ38" i="7" s="1"/>
  <c r="FZ39" i="7" s="1"/>
  <c r="FY5" i="27"/>
  <c r="FZ8" i="27" s="1"/>
  <c r="FZ12" i="27" s="1"/>
  <c r="FZ13" i="27" s="1"/>
  <c r="FY5" i="8"/>
  <c r="FZ8" i="8" s="1"/>
  <c r="FZ12" i="8" s="1"/>
  <c r="FZ13" i="8" s="1"/>
  <c r="IK40" i="13"/>
  <c r="IM26" i="4"/>
  <c r="IL27" i="4"/>
  <c r="IJ33" i="46"/>
  <c r="IJ9" i="45"/>
  <c r="IJ9" i="34"/>
  <c r="IJ9" i="33"/>
  <c r="FY7" i="26"/>
  <c r="FZ31" i="26" s="1"/>
  <c r="FZ33" i="26" s="1"/>
  <c r="FZ38" i="26" s="1"/>
  <c r="FZ39" i="26" s="1"/>
  <c r="GR69" i="10"/>
  <c r="FY5" i="25"/>
  <c r="FZ8" i="25" s="1"/>
  <c r="FZ12" i="25" s="1"/>
  <c r="FZ13" i="25" s="1"/>
  <c r="FY5" i="34"/>
  <c r="FZ8" i="34" s="1"/>
  <c r="FZ12" i="34" s="1"/>
  <c r="FZ13" i="34" s="1"/>
  <c r="II9" i="27"/>
  <c r="IK29" i="4"/>
  <c r="X72" i="4"/>
  <c r="U12" i="10"/>
  <c r="I43" i="46"/>
  <c r="H44" i="46"/>
  <c r="L51" i="13" l="1"/>
  <c r="K52" i="13"/>
  <c r="IJ38" i="46"/>
  <c r="IJ39" i="46" s="1"/>
  <c r="IK39" i="46" s="1"/>
  <c r="FY7" i="13"/>
  <c r="FY5" i="33"/>
  <c r="FZ8" i="33" s="1"/>
  <c r="FZ12" i="33" s="1"/>
  <c r="FZ13" i="33" s="1"/>
  <c r="FY5" i="45"/>
  <c r="FZ8" i="45" s="1"/>
  <c r="FZ12" i="45" s="1"/>
  <c r="FZ13" i="45" s="1"/>
  <c r="GR10" i="10"/>
  <c r="IL29" i="4"/>
  <c r="IJ9" i="27"/>
  <c r="FZ7" i="26"/>
  <c r="GA31" i="26" s="1"/>
  <c r="GA33" i="26" s="1"/>
  <c r="GA38" i="26" s="1"/>
  <c r="GA39" i="26" s="1"/>
  <c r="GS69" i="10"/>
  <c r="FZ5" i="34"/>
  <c r="GA8" i="34" s="1"/>
  <c r="GA12" i="34" s="1"/>
  <c r="GA13" i="34" s="1"/>
  <c r="FZ5" i="25"/>
  <c r="GA8" i="25" s="1"/>
  <c r="GA12" i="25" s="1"/>
  <c r="GA13" i="25" s="1"/>
  <c r="FZ5" i="27"/>
  <c r="GA8" i="27" s="1"/>
  <c r="GA12" i="27" s="1"/>
  <c r="GA13" i="27" s="1"/>
  <c r="GS9" i="10"/>
  <c r="FZ7" i="7"/>
  <c r="GA31" i="7" s="1"/>
  <c r="GA33" i="7" s="1"/>
  <c r="GA38" i="7" s="1"/>
  <c r="GA39" i="7" s="1"/>
  <c r="FZ7" i="46"/>
  <c r="FZ5" i="8"/>
  <c r="GA8" i="8" s="1"/>
  <c r="GA12" i="8" s="1"/>
  <c r="GA13" i="8" s="1"/>
  <c r="IK9" i="45"/>
  <c r="IK33" i="46"/>
  <c r="IK38" i="46" s="1"/>
  <c r="IM27" i="4"/>
  <c r="IL40" i="13"/>
  <c r="IL46" i="13" s="1"/>
  <c r="IN26" i="4"/>
  <c r="IK9" i="34"/>
  <c r="IK9" i="33"/>
  <c r="IK46" i="13"/>
  <c r="FX5" i="24"/>
  <c r="FY8" i="24" s="1"/>
  <c r="FY12" i="24" s="1"/>
  <c r="FY13" i="24" s="1"/>
  <c r="FX7" i="23"/>
  <c r="FY31" i="23" s="1"/>
  <c r="FY33" i="23" s="1"/>
  <c r="FY38" i="23" s="1"/>
  <c r="FY39" i="23" s="1"/>
  <c r="GQ49" i="10"/>
  <c r="I44" i="46"/>
  <c r="J43" i="46"/>
  <c r="V12" i="10"/>
  <c r="W12" i="10" s="1"/>
  <c r="X12" i="10" s="1"/>
  <c r="L52" i="13" l="1"/>
  <c r="M51" i="13"/>
  <c r="IK9" i="27"/>
  <c r="IM29" i="4"/>
  <c r="GS10" i="10"/>
  <c r="FZ7" i="13"/>
  <c r="FZ5" i="45"/>
  <c r="GA8" i="45" s="1"/>
  <c r="GA12" i="45" s="1"/>
  <c r="GA13" i="45" s="1"/>
  <c r="FZ5" i="33"/>
  <c r="GA8" i="33" s="1"/>
  <c r="GA12" i="33" s="1"/>
  <c r="GA13" i="33" s="1"/>
  <c r="IO26" i="4"/>
  <c r="IM40" i="13"/>
  <c r="IL9" i="34"/>
  <c r="IL9" i="45"/>
  <c r="IN27" i="4"/>
  <c r="IL33" i="46"/>
  <c r="IL38" i="46" s="1"/>
  <c r="IL39" i="46" s="1"/>
  <c r="IL9" i="33"/>
  <c r="IK47" i="13"/>
  <c r="IL47" i="13" s="1"/>
  <c r="GA7" i="26"/>
  <c r="GB31" i="26" s="1"/>
  <c r="GB33" i="26" s="1"/>
  <c r="GB38" i="26" s="1"/>
  <c r="GB39" i="26" s="1"/>
  <c r="GT69" i="10"/>
  <c r="GA5" i="34"/>
  <c r="GB8" i="34" s="1"/>
  <c r="GB12" i="34" s="1"/>
  <c r="GB13" i="34" s="1"/>
  <c r="GA5" i="25"/>
  <c r="GB8" i="25" s="1"/>
  <c r="GB12" i="25" s="1"/>
  <c r="GB13" i="25" s="1"/>
  <c r="C19" i="10"/>
  <c r="FY7" i="23"/>
  <c r="FZ31" i="23" s="1"/>
  <c r="FZ33" i="23" s="1"/>
  <c r="FZ38" i="23" s="1"/>
  <c r="FZ39" i="23" s="1"/>
  <c r="FY5" i="24"/>
  <c r="FZ8" i="24" s="1"/>
  <c r="FZ12" i="24" s="1"/>
  <c r="FZ13" i="24" s="1"/>
  <c r="GR49" i="10"/>
  <c r="GA5" i="27"/>
  <c r="GB8" i="27" s="1"/>
  <c r="GB12" i="27" s="1"/>
  <c r="GB13" i="27" s="1"/>
  <c r="GT9" i="10"/>
  <c r="GA7" i="7"/>
  <c r="GB31" i="7" s="1"/>
  <c r="GB33" i="7" s="1"/>
  <c r="GB38" i="7" s="1"/>
  <c r="GB39" i="7" s="1"/>
  <c r="GA5" i="8"/>
  <c r="GB8" i="8" s="1"/>
  <c r="GB12" i="8" s="1"/>
  <c r="GB13" i="8" s="1"/>
  <c r="GA7" i="46"/>
  <c r="Y12" i="10"/>
  <c r="Z12" i="10" s="1"/>
  <c r="AA12" i="10" s="1"/>
  <c r="AB12" i="10" s="1"/>
  <c r="AC12" i="10" s="1"/>
  <c r="AD12" i="10" s="1"/>
  <c r="AE12" i="10" s="1"/>
  <c r="AF12" i="10" s="1"/>
  <c r="AG12" i="10" s="1"/>
  <c r="AH12" i="10" s="1"/>
  <c r="AI12" i="10" s="1"/>
  <c r="AJ12" i="10" s="1"/>
  <c r="K43" i="46"/>
  <c r="J44" i="46"/>
  <c r="D19" i="10" l="1"/>
  <c r="M52" i="13"/>
  <c r="N51" i="13"/>
  <c r="IL9" i="27"/>
  <c r="IN29" i="4"/>
  <c r="IM46" i="13"/>
  <c r="W43" i="13"/>
  <c r="D65" i="13" s="1"/>
  <c r="D66" i="13" s="1"/>
  <c r="D67" i="13" s="1"/>
  <c r="IM33" i="46"/>
  <c r="IM9" i="45"/>
  <c r="W17" i="45" s="1"/>
  <c r="W50" i="45" s="1"/>
  <c r="IM9" i="34"/>
  <c r="W17" i="34" s="1"/>
  <c r="W50" i="34" s="1"/>
  <c r="IM9" i="33"/>
  <c r="W17" i="33" s="1"/>
  <c r="W50" i="33" s="1"/>
  <c r="IO27" i="4"/>
  <c r="Y34" i="4" s="1"/>
  <c r="GB5" i="34"/>
  <c r="GC8" i="34" s="1"/>
  <c r="GC12" i="34" s="1"/>
  <c r="GC13" i="34" s="1"/>
  <c r="GB5" i="25"/>
  <c r="GC8" i="25" s="1"/>
  <c r="GC12" i="25" s="1"/>
  <c r="GC13" i="25" s="1"/>
  <c r="GU69" i="10"/>
  <c r="GB7" i="26"/>
  <c r="GC31" i="26" s="1"/>
  <c r="GC33" i="26" s="1"/>
  <c r="GC38" i="26" s="1"/>
  <c r="GC39" i="26" s="1"/>
  <c r="U56" i="11"/>
  <c r="U53" i="11" s="1"/>
  <c r="U92" i="11"/>
  <c r="U89" i="11" s="1"/>
  <c r="GA5" i="45"/>
  <c r="GB8" i="45" s="1"/>
  <c r="GB12" i="45" s="1"/>
  <c r="GB13" i="45" s="1"/>
  <c r="GA5" i="33"/>
  <c r="GB8" i="33" s="1"/>
  <c r="GB12" i="33" s="1"/>
  <c r="GB13" i="33" s="1"/>
  <c r="GA7" i="13"/>
  <c r="GT10" i="10"/>
  <c r="GU9" i="10"/>
  <c r="GB7" i="7"/>
  <c r="GC31" i="7" s="1"/>
  <c r="GC33" i="7" s="1"/>
  <c r="GC38" i="7" s="1"/>
  <c r="GC39" i="7" s="1"/>
  <c r="GB5" i="27"/>
  <c r="GC8" i="27" s="1"/>
  <c r="GC12" i="27" s="1"/>
  <c r="GC13" i="27" s="1"/>
  <c r="GB7" i="46"/>
  <c r="GB5" i="8"/>
  <c r="GC8" i="8" s="1"/>
  <c r="GC12" i="8" s="1"/>
  <c r="GC13" i="8" s="1"/>
  <c r="U10" i="11"/>
  <c r="FZ5" i="24"/>
  <c r="GA8" i="24" s="1"/>
  <c r="GA12" i="24" s="1"/>
  <c r="GA13" i="24" s="1"/>
  <c r="FZ7" i="23"/>
  <c r="GA31" i="23" s="1"/>
  <c r="GA33" i="23" s="1"/>
  <c r="GA38" i="23" s="1"/>
  <c r="GA39" i="23" s="1"/>
  <c r="GS49" i="10"/>
  <c r="K44" i="46"/>
  <c r="L43" i="46"/>
  <c r="AK12" i="10"/>
  <c r="AL12" i="10" s="1"/>
  <c r="AM12" i="10" s="1"/>
  <c r="AN12" i="10" s="1"/>
  <c r="AO12" i="10" s="1"/>
  <c r="AP12" i="10" s="1"/>
  <c r="AQ12" i="10" s="1"/>
  <c r="AR12" i="10" s="1"/>
  <c r="AS12" i="10" s="1"/>
  <c r="AT12" i="10" s="1"/>
  <c r="AU12" i="10" s="1"/>
  <c r="AV12" i="10" s="1"/>
  <c r="E19" i="10" l="1"/>
  <c r="N52" i="13"/>
  <c r="O51" i="13"/>
  <c r="U6" i="44"/>
  <c r="U3" i="44" s="1"/>
  <c r="U11" i="44" s="1"/>
  <c r="U7" i="11"/>
  <c r="IM9" i="27"/>
  <c r="IO29" i="4"/>
  <c r="IM38" i="46"/>
  <c r="W36" i="46"/>
  <c r="D56" i="46" s="1"/>
  <c r="D57" i="46" s="1"/>
  <c r="D58" i="46" s="1"/>
  <c r="GC5" i="27"/>
  <c r="GD8" i="27" s="1"/>
  <c r="GD12" i="27" s="1"/>
  <c r="GD13" i="27" s="1"/>
  <c r="GV9" i="10"/>
  <c r="GC7" i="7"/>
  <c r="GD31" i="7" s="1"/>
  <c r="GD33" i="7" s="1"/>
  <c r="GD38" i="7" s="1"/>
  <c r="GD39" i="7" s="1"/>
  <c r="GC7" i="46"/>
  <c r="GC5" i="8"/>
  <c r="GD8" i="8" s="1"/>
  <c r="GD12" i="8" s="1"/>
  <c r="GD13" i="8" s="1"/>
  <c r="IM47" i="13"/>
  <c r="B61" i="13" s="1"/>
  <c r="Y50" i="13"/>
  <c r="Y36" i="4"/>
  <c r="Y35" i="4"/>
  <c r="GA7" i="23"/>
  <c r="GB31" i="23" s="1"/>
  <c r="GB33" i="23" s="1"/>
  <c r="GB38" i="23" s="1"/>
  <c r="GB39" i="23" s="1"/>
  <c r="GT49" i="10"/>
  <c r="GA5" i="24"/>
  <c r="GB8" i="24" s="1"/>
  <c r="GB12" i="24" s="1"/>
  <c r="GB13" i="24" s="1"/>
  <c r="GC5" i="34"/>
  <c r="GD8" i="34" s="1"/>
  <c r="GD12" i="34" s="1"/>
  <c r="GD13" i="34" s="1"/>
  <c r="GC5" i="25"/>
  <c r="GD8" i="25" s="1"/>
  <c r="GD12" i="25" s="1"/>
  <c r="GD13" i="25" s="1"/>
  <c r="GC7" i="26"/>
  <c r="GD31" i="26" s="1"/>
  <c r="GD33" i="26" s="1"/>
  <c r="GD38" i="26" s="1"/>
  <c r="GD39" i="26" s="1"/>
  <c r="GV69" i="10"/>
  <c r="GB7" i="13"/>
  <c r="GU10" i="10"/>
  <c r="GB5" i="45"/>
  <c r="GC8" i="45" s="1"/>
  <c r="GC12" i="45" s="1"/>
  <c r="GC13" i="45" s="1"/>
  <c r="GB5" i="33"/>
  <c r="GC8" i="33" s="1"/>
  <c r="GC12" i="33" s="1"/>
  <c r="GC13" i="33" s="1"/>
  <c r="L44" i="46"/>
  <c r="M43" i="46"/>
  <c r="AW12" i="10"/>
  <c r="AX12" i="10" s="1"/>
  <c r="AY12" i="10" s="1"/>
  <c r="AZ12" i="10" s="1"/>
  <c r="BA12" i="10" s="1"/>
  <c r="BB12" i="10" s="1"/>
  <c r="BC12" i="10" s="1"/>
  <c r="BD12" i="10" s="1"/>
  <c r="BE12" i="10" s="1"/>
  <c r="BF12" i="10" s="1"/>
  <c r="BG12" i="10" s="1"/>
  <c r="BH12" i="10" s="1"/>
  <c r="O52" i="13" l="1"/>
  <c r="P51" i="13"/>
  <c r="G17" i="27"/>
  <c r="W17" i="27"/>
  <c r="W50" i="27" s="1"/>
  <c r="GV10" i="10"/>
  <c r="GC7" i="13"/>
  <c r="GC5" i="45"/>
  <c r="GD8" i="45" s="1"/>
  <c r="GD12" i="45" s="1"/>
  <c r="GD13" i="45" s="1"/>
  <c r="GC5" i="33"/>
  <c r="GD8" i="33" s="1"/>
  <c r="GD12" i="33" s="1"/>
  <c r="GD13" i="33" s="1"/>
  <c r="GW69" i="10"/>
  <c r="GD7" i="26"/>
  <c r="GE31" i="26" s="1"/>
  <c r="GE33" i="26" s="1"/>
  <c r="GE38" i="26" s="1"/>
  <c r="GE39" i="26" s="1"/>
  <c r="GD5" i="25"/>
  <c r="GE8" i="25" s="1"/>
  <c r="GE12" i="25" s="1"/>
  <c r="GE13" i="25" s="1"/>
  <c r="GD5" i="34"/>
  <c r="GE8" i="34" s="1"/>
  <c r="GE12" i="34" s="1"/>
  <c r="GE13" i="34" s="1"/>
  <c r="U42" i="46"/>
  <c r="V42" i="46"/>
  <c r="W42" i="46"/>
  <c r="IM39" i="46"/>
  <c r="GD5" i="8"/>
  <c r="GE8" i="8" s="1"/>
  <c r="GE12" i="8" s="1"/>
  <c r="GE13" i="8" s="1"/>
  <c r="GD7" i="46"/>
  <c r="GD5" i="27"/>
  <c r="GE8" i="27" s="1"/>
  <c r="GE12" i="27" s="1"/>
  <c r="GE13" i="27" s="1"/>
  <c r="GW9" i="10"/>
  <c r="GD7" i="7"/>
  <c r="GE31" i="7" s="1"/>
  <c r="GE33" i="7" s="1"/>
  <c r="GE38" i="7" s="1"/>
  <c r="GE39" i="7" s="1"/>
  <c r="GB5" i="24"/>
  <c r="GC8" i="24" s="1"/>
  <c r="GC12" i="24" s="1"/>
  <c r="GC13" i="24" s="1"/>
  <c r="GB7" i="23"/>
  <c r="GC31" i="23" s="1"/>
  <c r="GC33" i="23" s="1"/>
  <c r="GC38" i="23" s="1"/>
  <c r="GC39" i="23" s="1"/>
  <c r="GU49" i="10"/>
  <c r="N43" i="46"/>
  <c r="M44" i="46"/>
  <c r="BI12" i="10"/>
  <c r="BJ12" i="10" s="1"/>
  <c r="BK12" i="10" s="1"/>
  <c r="BL12" i="10" s="1"/>
  <c r="BM12" i="10" s="1"/>
  <c r="F19" i="10"/>
  <c r="BN12" i="10" l="1"/>
  <c r="P52" i="13"/>
  <c r="Q51" i="13"/>
  <c r="GC7" i="23"/>
  <c r="GD31" i="23" s="1"/>
  <c r="GD33" i="23" s="1"/>
  <c r="GD38" i="23" s="1"/>
  <c r="GD39" i="23" s="1"/>
  <c r="GC5" i="24"/>
  <c r="GD8" i="24" s="1"/>
  <c r="GD12" i="24" s="1"/>
  <c r="GD13" i="24" s="1"/>
  <c r="GV49" i="10"/>
  <c r="GE7" i="26"/>
  <c r="GF31" i="26" s="1"/>
  <c r="GF33" i="26" s="1"/>
  <c r="GF38" i="26" s="1"/>
  <c r="GF39" i="26" s="1"/>
  <c r="GE5" i="34"/>
  <c r="GF8" i="34" s="1"/>
  <c r="GF12" i="34" s="1"/>
  <c r="GF13" i="34" s="1"/>
  <c r="GX69" i="10"/>
  <c r="GE5" i="25"/>
  <c r="GF8" i="25" s="1"/>
  <c r="GF12" i="25" s="1"/>
  <c r="GF13" i="25" s="1"/>
  <c r="GW10" i="10"/>
  <c r="GD5" i="33"/>
  <c r="GE8" i="33" s="1"/>
  <c r="GE12" i="33" s="1"/>
  <c r="GE13" i="33" s="1"/>
  <c r="GD5" i="45"/>
  <c r="GE8" i="45" s="1"/>
  <c r="GE12" i="45" s="1"/>
  <c r="GE13" i="45" s="1"/>
  <c r="GD7" i="13"/>
  <c r="GE7" i="7"/>
  <c r="GF31" i="7" s="1"/>
  <c r="GF33" i="7" s="1"/>
  <c r="GF38" i="7" s="1"/>
  <c r="GF39" i="7" s="1"/>
  <c r="GE5" i="27"/>
  <c r="GF8" i="27" s="1"/>
  <c r="GF12" i="27" s="1"/>
  <c r="GF13" i="27" s="1"/>
  <c r="GX9" i="10"/>
  <c r="GE5" i="8"/>
  <c r="GF8" i="8" s="1"/>
  <c r="GF12" i="8" s="1"/>
  <c r="GF13" i="8" s="1"/>
  <c r="GE7" i="46"/>
  <c r="G50" i="27"/>
  <c r="D25" i="27"/>
  <c r="B25" i="27"/>
  <c r="C25" i="27"/>
  <c r="O43" i="46"/>
  <c r="N44" i="46"/>
  <c r="BO12" i="10" l="1"/>
  <c r="BP12" i="10" s="1"/>
  <c r="BQ12" i="10" s="1"/>
  <c r="BR12" i="10" s="1"/>
  <c r="BS12" i="10" s="1"/>
  <c r="BT12" i="10" s="1"/>
  <c r="BU12" i="10" s="1"/>
  <c r="G19" i="10"/>
  <c r="Q52" i="13"/>
  <c r="R51" i="13"/>
  <c r="GX10" i="10"/>
  <c r="GE5" i="33"/>
  <c r="GF8" i="33" s="1"/>
  <c r="GF12" i="33" s="1"/>
  <c r="GF13" i="33" s="1"/>
  <c r="GE7" i="13"/>
  <c r="GE5" i="45"/>
  <c r="GF8" i="45" s="1"/>
  <c r="GF12" i="45" s="1"/>
  <c r="GF13" i="45" s="1"/>
  <c r="GD5" i="24"/>
  <c r="GE8" i="24" s="1"/>
  <c r="GE12" i="24" s="1"/>
  <c r="GE13" i="24" s="1"/>
  <c r="GD7" i="23"/>
  <c r="GE31" i="23" s="1"/>
  <c r="GE33" i="23" s="1"/>
  <c r="GE38" i="23" s="1"/>
  <c r="GE39" i="23" s="1"/>
  <c r="GW49" i="10"/>
  <c r="GY9" i="10"/>
  <c r="GF7" i="46"/>
  <c r="GF5" i="27"/>
  <c r="GG8" i="27" s="1"/>
  <c r="GG12" i="27" s="1"/>
  <c r="GG13" i="27" s="1"/>
  <c r="GF7" i="7"/>
  <c r="GG31" i="7" s="1"/>
  <c r="GG33" i="7" s="1"/>
  <c r="GG38" i="7" s="1"/>
  <c r="GG39" i="7" s="1"/>
  <c r="GF5" i="8"/>
  <c r="GG8" i="8" s="1"/>
  <c r="GG12" i="8" s="1"/>
  <c r="GG13" i="8" s="1"/>
  <c r="GF7" i="26"/>
  <c r="GG31" i="26" s="1"/>
  <c r="GG33" i="26" s="1"/>
  <c r="GG38" i="26" s="1"/>
  <c r="GG39" i="26" s="1"/>
  <c r="GF5" i="34"/>
  <c r="GG8" i="34" s="1"/>
  <c r="GG12" i="34" s="1"/>
  <c r="GG13" i="34" s="1"/>
  <c r="GY69" i="10"/>
  <c r="GF5" i="25"/>
  <c r="GG8" i="25" s="1"/>
  <c r="GG12" i="25" s="1"/>
  <c r="GG13" i="25" s="1"/>
  <c r="P43" i="46"/>
  <c r="O44" i="46"/>
  <c r="BV12" i="10" l="1"/>
  <c r="R52" i="13"/>
  <c r="S51" i="13"/>
  <c r="GG7" i="26"/>
  <c r="GH31" i="26" s="1"/>
  <c r="GH33" i="26" s="1"/>
  <c r="GH38" i="26" s="1"/>
  <c r="GH39" i="26" s="1"/>
  <c r="GZ69" i="10"/>
  <c r="GG5" i="25"/>
  <c r="GH8" i="25" s="1"/>
  <c r="GH12" i="25" s="1"/>
  <c r="GH13" i="25" s="1"/>
  <c r="GG5" i="34"/>
  <c r="GH8" i="34" s="1"/>
  <c r="GH12" i="34" s="1"/>
  <c r="GH13" i="34" s="1"/>
  <c r="GE7" i="23"/>
  <c r="GF31" i="23" s="1"/>
  <c r="GF33" i="23" s="1"/>
  <c r="GF38" i="23" s="1"/>
  <c r="GF39" i="23" s="1"/>
  <c r="GX49" i="10"/>
  <c r="GE5" i="24"/>
  <c r="GF8" i="24" s="1"/>
  <c r="GF12" i="24" s="1"/>
  <c r="GF13" i="24" s="1"/>
  <c r="GZ9" i="10"/>
  <c r="GG7" i="7"/>
  <c r="GH31" i="7" s="1"/>
  <c r="GH33" i="7" s="1"/>
  <c r="GH38" i="7" s="1"/>
  <c r="GH39" i="7" s="1"/>
  <c r="GG5" i="8"/>
  <c r="GH8" i="8" s="1"/>
  <c r="GH12" i="8" s="1"/>
  <c r="GH13" i="8" s="1"/>
  <c r="GG7" i="46"/>
  <c r="GG5" i="27"/>
  <c r="GH8" i="27" s="1"/>
  <c r="GH12" i="27" s="1"/>
  <c r="GH13" i="27" s="1"/>
  <c r="GF5" i="33"/>
  <c r="GG8" i="33" s="1"/>
  <c r="GG12" i="33" s="1"/>
  <c r="GG13" i="33" s="1"/>
  <c r="GY10" i="10"/>
  <c r="GF7" i="13"/>
  <c r="GF5" i="45"/>
  <c r="GG8" i="45" s="1"/>
  <c r="GG12" i="45" s="1"/>
  <c r="GG13" i="45" s="1"/>
  <c r="P44" i="46"/>
  <c r="Q43" i="46"/>
  <c r="BW12" i="10" l="1"/>
  <c r="S52" i="13"/>
  <c r="T51" i="13"/>
  <c r="GG7" i="13"/>
  <c r="GG5" i="33"/>
  <c r="GH8" i="33" s="1"/>
  <c r="GH12" i="33" s="1"/>
  <c r="GH13" i="33" s="1"/>
  <c r="GG5" i="45"/>
  <c r="GH8" i="45" s="1"/>
  <c r="GH12" i="45" s="1"/>
  <c r="GH13" i="45" s="1"/>
  <c r="GZ10" i="10"/>
  <c r="GH7" i="7"/>
  <c r="GI31" i="7" s="1"/>
  <c r="GI33" i="7" s="1"/>
  <c r="GI38" i="7" s="1"/>
  <c r="GI39" i="7" s="1"/>
  <c r="GH7" i="46"/>
  <c r="HA9" i="10"/>
  <c r="GH5" i="27"/>
  <c r="GI8" i="27" s="1"/>
  <c r="GI12" i="27" s="1"/>
  <c r="GI13" i="27" s="1"/>
  <c r="GH5" i="8"/>
  <c r="GI8" i="8" s="1"/>
  <c r="GI12" i="8" s="1"/>
  <c r="GI13" i="8" s="1"/>
  <c r="GF5" i="24"/>
  <c r="GG8" i="24" s="1"/>
  <c r="GG12" i="24" s="1"/>
  <c r="GG13" i="24" s="1"/>
  <c r="GY49" i="10"/>
  <c r="GF7" i="23"/>
  <c r="GG31" i="23" s="1"/>
  <c r="GG33" i="23" s="1"/>
  <c r="GG38" i="23" s="1"/>
  <c r="GG39" i="23" s="1"/>
  <c r="GH7" i="26"/>
  <c r="GI31" i="26" s="1"/>
  <c r="GI33" i="26" s="1"/>
  <c r="GI38" i="26" s="1"/>
  <c r="GI39" i="26" s="1"/>
  <c r="GH5" i="25"/>
  <c r="GI8" i="25" s="1"/>
  <c r="GI12" i="25" s="1"/>
  <c r="GI13" i="25" s="1"/>
  <c r="HA69" i="10"/>
  <c r="GH5" i="34"/>
  <c r="GI8" i="34" s="1"/>
  <c r="GI12" i="34" s="1"/>
  <c r="GI13" i="34" s="1"/>
  <c r="Q44" i="46"/>
  <c r="R43" i="46"/>
  <c r="BX12" i="10" l="1"/>
  <c r="U51" i="13"/>
  <c r="T52" i="13"/>
  <c r="GI7" i="46"/>
  <c r="GI5" i="8"/>
  <c r="GJ8" i="8" s="1"/>
  <c r="GJ12" i="8" s="1"/>
  <c r="GJ13" i="8" s="1"/>
  <c r="GI5" i="27"/>
  <c r="GJ8" i="27" s="1"/>
  <c r="GJ12" i="27" s="1"/>
  <c r="GJ13" i="27" s="1"/>
  <c r="HB9" i="10"/>
  <c r="GI7" i="7"/>
  <c r="GJ31" i="7" s="1"/>
  <c r="GJ33" i="7" s="1"/>
  <c r="GJ38" i="7" s="1"/>
  <c r="GJ39" i="7" s="1"/>
  <c r="GH7" i="13"/>
  <c r="GH5" i="33"/>
  <c r="GI8" i="33" s="1"/>
  <c r="GI12" i="33" s="1"/>
  <c r="GI13" i="33" s="1"/>
  <c r="HA10" i="10"/>
  <c r="GH5" i="45"/>
  <c r="GI8" i="45" s="1"/>
  <c r="GI12" i="45" s="1"/>
  <c r="GI13" i="45" s="1"/>
  <c r="GI7" i="26"/>
  <c r="GJ31" i="26" s="1"/>
  <c r="GJ33" i="26" s="1"/>
  <c r="GJ38" i="26" s="1"/>
  <c r="GJ39" i="26" s="1"/>
  <c r="GI5" i="34"/>
  <c r="GJ8" i="34" s="1"/>
  <c r="GJ12" i="34" s="1"/>
  <c r="GJ13" i="34" s="1"/>
  <c r="HB69" i="10"/>
  <c r="GI5" i="25"/>
  <c r="GJ8" i="25" s="1"/>
  <c r="GJ12" i="25" s="1"/>
  <c r="GJ13" i="25" s="1"/>
  <c r="GG5" i="24"/>
  <c r="GH8" i="24" s="1"/>
  <c r="GH12" i="24" s="1"/>
  <c r="GH13" i="24" s="1"/>
  <c r="GZ49" i="10"/>
  <c r="GG7" i="23"/>
  <c r="GH31" i="23" s="1"/>
  <c r="GH33" i="23" s="1"/>
  <c r="GH38" i="23" s="1"/>
  <c r="GH39" i="23" s="1"/>
  <c r="S43" i="46"/>
  <c r="R44" i="46"/>
  <c r="BY12" i="10" l="1"/>
  <c r="BZ12" i="10" s="1"/>
  <c r="CA12" i="10" s="1"/>
  <c r="CB12" i="10" s="1"/>
  <c r="CC12" i="10" s="1"/>
  <c r="CD12" i="10" s="1"/>
  <c r="CE12" i="10" s="1"/>
  <c r="CF12" i="10" s="1"/>
  <c r="CG12" i="10" s="1"/>
  <c r="CH12" i="10" s="1"/>
  <c r="CI12" i="10" s="1"/>
  <c r="CJ12" i="10" s="1"/>
  <c r="CK12" i="10" s="1"/>
  <c r="CL12" i="10" s="1"/>
  <c r="H19" i="10"/>
  <c r="CM12" i="10"/>
  <c r="U52" i="13"/>
  <c r="V51" i="13"/>
  <c r="GH5" i="24"/>
  <c r="GI8" i="24" s="1"/>
  <c r="GI12" i="24" s="1"/>
  <c r="GI13" i="24" s="1"/>
  <c r="GH7" i="23"/>
  <c r="GI31" i="23" s="1"/>
  <c r="GI33" i="23" s="1"/>
  <c r="GI38" i="23" s="1"/>
  <c r="GI39" i="23" s="1"/>
  <c r="HA49" i="10"/>
  <c r="GJ5" i="25"/>
  <c r="GK8" i="25" s="1"/>
  <c r="GK12" i="25" s="1"/>
  <c r="GK13" i="25" s="1"/>
  <c r="GJ7" i="26"/>
  <c r="GK31" i="26" s="1"/>
  <c r="GK33" i="26" s="1"/>
  <c r="GK38" i="26" s="1"/>
  <c r="GK39" i="26" s="1"/>
  <c r="GJ5" i="34"/>
  <c r="GK8" i="34" s="1"/>
  <c r="GK12" i="34" s="1"/>
  <c r="GK13" i="34" s="1"/>
  <c r="HC69" i="10"/>
  <c r="GI5" i="45"/>
  <c r="GJ8" i="45" s="1"/>
  <c r="GJ12" i="45" s="1"/>
  <c r="GJ13" i="45" s="1"/>
  <c r="HB10" i="10"/>
  <c r="GI5" i="33"/>
  <c r="GJ8" i="33" s="1"/>
  <c r="GJ12" i="33" s="1"/>
  <c r="GJ13" i="33" s="1"/>
  <c r="GI7" i="13"/>
  <c r="GJ5" i="8"/>
  <c r="GK8" i="8" s="1"/>
  <c r="GK12" i="8" s="1"/>
  <c r="GK13" i="8" s="1"/>
  <c r="GJ7" i="7"/>
  <c r="GK31" i="7" s="1"/>
  <c r="GK33" i="7" s="1"/>
  <c r="GK38" i="7" s="1"/>
  <c r="GK39" i="7" s="1"/>
  <c r="GJ7" i="46"/>
  <c r="GJ5" i="27"/>
  <c r="GK8" i="27" s="1"/>
  <c r="GK12" i="27" s="1"/>
  <c r="GK13" i="27" s="1"/>
  <c r="HC9" i="10"/>
  <c r="S44" i="46"/>
  <c r="T43" i="46"/>
  <c r="CN12" i="10" l="1"/>
  <c r="V52" i="13"/>
  <c r="W51" i="13"/>
  <c r="GJ5" i="33"/>
  <c r="GK8" i="33" s="1"/>
  <c r="GK12" i="33" s="1"/>
  <c r="GK13" i="33" s="1"/>
  <c r="GJ5" i="45"/>
  <c r="GK8" i="45" s="1"/>
  <c r="GK12" i="45" s="1"/>
  <c r="GK13" i="45" s="1"/>
  <c r="GJ7" i="13"/>
  <c r="HC10" i="10"/>
  <c r="GK5" i="27"/>
  <c r="GL8" i="27" s="1"/>
  <c r="GL12" i="27" s="1"/>
  <c r="GL13" i="27" s="1"/>
  <c r="GK7" i="46"/>
  <c r="HD9" i="10"/>
  <c r="GK7" i="7"/>
  <c r="GL31" i="7" s="1"/>
  <c r="GL33" i="7" s="1"/>
  <c r="GL38" i="7" s="1"/>
  <c r="GL39" i="7" s="1"/>
  <c r="GK5" i="8"/>
  <c r="GL8" i="8" s="1"/>
  <c r="GL12" i="8" s="1"/>
  <c r="GL13" i="8" s="1"/>
  <c r="GI7" i="23"/>
  <c r="GJ31" i="23" s="1"/>
  <c r="GJ33" i="23" s="1"/>
  <c r="GJ38" i="23" s="1"/>
  <c r="GJ39" i="23" s="1"/>
  <c r="HB49" i="10"/>
  <c r="GI5" i="24"/>
  <c r="GJ8" i="24" s="1"/>
  <c r="GJ12" i="24" s="1"/>
  <c r="GJ13" i="24" s="1"/>
  <c r="GK5" i="34"/>
  <c r="GL8" i="34" s="1"/>
  <c r="GL12" i="34" s="1"/>
  <c r="GL13" i="34" s="1"/>
  <c r="HD69" i="10"/>
  <c r="GK5" i="25"/>
  <c r="GL8" i="25" s="1"/>
  <c r="GL12" i="25" s="1"/>
  <c r="GL13" i="25" s="1"/>
  <c r="GK7" i="26"/>
  <c r="GL31" i="26" s="1"/>
  <c r="GL33" i="26" s="1"/>
  <c r="GL38" i="26" s="1"/>
  <c r="GL39" i="26" s="1"/>
  <c r="U43" i="46"/>
  <c r="T44" i="46"/>
  <c r="CO12" i="10" l="1"/>
  <c r="CP12" i="10" s="1"/>
  <c r="CQ12" i="10" s="1"/>
  <c r="CR12" i="10" s="1"/>
  <c r="CS12" i="10" s="1"/>
  <c r="CT12" i="10" s="1"/>
  <c r="CU12" i="10" s="1"/>
  <c r="CV12" i="10" s="1"/>
  <c r="I19" i="10"/>
  <c r="J19" i="10"/>
  <c r="CW12" i="10"/>
  <c r="CX12" i="10" s="1"/>
  <c r="CY12" i="10" s="1"/>
  <c r="CZ12" i="10" s="1"/>
  <c r="DA12" i="10" s="1"/>
  <c r="DB12" i="10" s="1"/>
  <c r="DC12" i="10" s="1"/>
  <c r="DD12" i="10" s="1"/>
  <c r="DE12" i="10" s="1"/>
  <c r="DF12" i="10" s="1"/>
  <c r="DG12" i="10" s="1"/>
  <c r="DH12" i="10" s="1"/>
  <c r="DI12" i="10" s="1"/>
  <c r="DJ12" i="10" s="1"/>
  <c r="DK12" i="10" s="1"/>
  <c r="DL12" i="10" s="1"/>
  <c r="W52" i="13"/>
  <c r="X51" i="13"/>
  <c r="HE69" i="10"/>
  <c r="GL7" i="26"/>
  <c r="GM31" i="26" s="1"/>
  <c r="GM33" i="26" s="1"/>
  <c r="GM38" i="26" s="1"/>
  <c r="GM39" i="26" s="1"/>
  <c r="GL5" i="34"/>
  <c r="GM8" i="34" s="1"/>
  <c r="GM12" i="34" s="1"/>
  <c r="GM13" i="34" s="1"/>
  <c r="GL5" i="25"/>
  <c r="GM8" i="25" s="1"/>
  <c r="GM12" i="25" s="1"/>
  <c r="GM13" i="25" s="1"/>
  <c r="HC49" i="10"/>
  <c r="GJ5" i="24"/>
  <c r="GK8" i="24" s="1"/>
  <c r="GK12" i="24" s="1"/>
  <c r="GK13" i="24" s="1"/>
  <c r="GJ7" i="23"/>
  <c r="GK31" i="23" s="1"/>
  <c r="GK33" i="23" s="1"/>
  <c r="GK38" i="23" s="1"/>
  <c r="GK39" i="23" s="1"/>
  <c r="GK5" i="33"/>
  <c r="GL8" i="33" s="1"/>
  <c r="GL12" i="33" s="1"/>
  <c r="GL13" i="33" s="1"/>
  <c r="GK7" i="13"/>
  <c r="HD10" i="10"/>
  <c r="GK5" i="45"/>
  <c r="GL8" i="45" s="1"/>
  <c r="GL12" i="45" s="1"/>
  <c r="GL13" i="45" s="1"/>
  <c r="GL5" i="8"/>
  <c r="GM8" i="8" s="1"/>
  <c r="GM12" i="8" s="1"/>
  <c r="GM13" i="8" s="1"/>
  <c r="GL7" i="46"/>
  <c r="GL7" i="7"/>
  <c r="GM31" i="7" s="1"/>
  <c r="GM33" i="7" s="1"/>
  <c r="GM38" i="7" s="1"/>
  <c r="GM39" i="7" s="1"/>
  <c r="HE9" i="10"/>
  <c r="GL5" i="27"/>
  <c r="GM8" i="27" s="1"/>
  <c r="GM12" i="27" s="1"/>
  <c r="GM13" i="27" s="1"/>
  <c r="V43" i="46"/>
  <c r="U44" i="46"/>
  <c r="K19" i="10" l="1"/>
  <c r="DM12" i="10"/>
  <c r="DN12" i="10" s="1"/>
  <c r="DO12" i="10" s="1"/>
  <c r="DP12" i="10" s="1"/>
  <c r="DQ12" i="10" s="1"/>
  <c r="DR12" i="10" s="1"/>
  <c r="DS12" i="10" s="1"/>
  <c r="DT12" i="10" s="1"/>
  <c r="DU12" i="10" s="1"/>
  <c r="Y51" i="13"/>
  <c r="Y52" i="13" s="1"/>
  <c r="X52" i="13"/>
  <c r="HD49" i="10"/>
  <c r="GK7" i="23"/>
  <c r="GL31" i="23" s="1"/>
  <c r="GL33" i="23" s="1"/>
  <c r="GL38" i="23" s="1"/>
  <c r="GL39" i="23" s="1"/>
  <c r="GK5" i="24"/>
  <c r="GL8" i="24" s="1"/>
  <c r="GL12" i="24" s="1"/>
  <c r="GL13" i="24" s="1"/>
  <c r="GM7" i="46"/>
  <c r="GM7" i="7"/>
  <c r="GN31" i="7" s="1"/>
  <c r="GN33" i="7" s="1"/>
  <c r="GN38" i="7" s="1"/>
  <c r="GN39" i="7" s="1"/>
  <c r="GM5" i="8"/>
  <c r="GN8" i="8" s="1"/>
  <c r="GN12" i="8" s="1"/>
  <c r="GN13" i="8" s="1"/>
  <c r="GM5" i="27"/>
  <c r="GN8" i="27" s="1"/>
  <c r="GN12" i="27" s="1"/>
  <c r="GN13" i="27" s="1"/>
  <c r="HF9" i="10"/>
  <c r="GL5" i="45"/>
  <c r="GM8" i="45" s="1"/>
  <c r="GM12" i="45" s="1"/>
  <c r="GM13" i="45" s="1"/>
  <c r="GL5" i="33"/>
  <c r="GM8" i="33" s="1"/>
  <c r="GM12" i="33" s="1"/>
  <c r="GM13" i="33" s="1"/>
  <c r="HE10" i="10"/>
  <c r="GL7" i="13"/>
  <c r="GM5" i="34"/>
  <c r="GN8" i="34" s="1"/>
  <c r="GN12" i="34" s="1"/>
  <c r="GN13" i="34" s="1"/>
  <c r="GM7" i="26"/>
  <c r="GN31" i="26" s="1"/>
  <c r="GN33" i="26" s="1"/>
  <c r="GN38" i="26" s="1"/>
  <c r="GN39" i="26" s="1"/>
  <c r="HF69" i="10"/>
  <c r="GM5" i="25"/>
  <c r="GN8" i="25" s="1"/>
  <c r="GN12" i="25" s="1"/>
  <c r="GN13" i="25" s="1"/>
  <c r="W43" i="46"/>
  <c r="W44" i="46" s="1"/>
  <c r="V44" i="46"/>
  <c r="DV12" i="10" l="1"/>
  <c r="DW12" i="10" s="1"/>
  <c r="DX12" i="10" s="1"/>
  <c r="DY12" i="10" s="1"/>
  <c r="DZ12" i="10" s="1"/>
  <c r="EA12" i="10" s="1"/>
  <c r="EB12" i="10" s="1"/>
  <c r="EC12" i="10" s="1"/>
  <c r="L19" i="10"/>
  <c r="HF10" i="10"/>
  <c r="GM7" i="13"/>
  <c r="GM5" i="33"/>
  <c r="GN8" i="33" s="1"/>
  <c r="GN12" i="33" s="1"/>
  <c r="GN13" i="33" s="1"/>
  <c r="GM5" i="45"/>
  <c r="GN8" i="45" s="1"/>
  <c r="GN12" i="45" s="1"/>
  <c r="GN13" i="45" s="1"/>
  <c r="HG69" i="10"/>
  <c r="GN5" i="25"/>
  <c r="GO8" i="25" s="1"/>
  <c r="GO12" i="25" s="1"/>
  <c r="GO13" i="25" s="1"/>
  <c r="GN5" i="34"/>
  <c r="GO8" i="34" s="1"/>
  <c r="GO12" i="34" s="1"/>
  <c r="GO13" i="34" s="1"/>
  <c r="GN7" i="26"/>
  <c r="GO31" i="26" s="1"/>
  <c r="GO33" i="26" s="1"/>
  <c r="GO38" i="26" s="1"/>
  <c r="GO39" i="26" s="1"/>
  <c r="GN5" i="27"/>
  <c r="GO8" i="27" s="1"/>
  <c r="GO12" i="27" s="1"/>
  <c r="GO13" i="27" s="1"/>
  <c r="GN5" i="8"/>
  <c r="GO8" i="8" s="1"/>
  <c r="GO12" i="8" s="1"/>
  <c r="GO13" i="8" s="1"/>
  <c r="GN7" i="7"/>
  <c r="GO31" i="7" s="1"/>
  <c r="GO33" i="7" s="1"/>
  <c r="GO38" i="7" s="1"/>
  <c r="GO39" i="7" s="1"/>
  <c r="GN7" i="46"/>
  <c r="HG9" i="10"/>
  <c r="GL5" i="24"/>
  <c r="GM8" i="24" s="1"/>
  <c r="GM12" i="24" s="1"/>
  <c r="GM13" i="24" s="1"/>
  <c r="GL7" i="23"/>
  <c r="GM31" i="23" s="1"/>
  <c r="GM33" i="23" s="1"/>
  <c r="GM38" i="23" s="1"/>
  <c r="GM39" i="23" s="1"/>
  <c r="HE49" i="10"/>
  <c r="ED12" i="10" l="1"/>
  <c r="HF49" i="10"/>
  <c r="GM5" i="24"/>
  <c r="GN8" i="24" s="1"/>
  <c r="GN12" i="24" s="1"/>
  <c r="GN13" i="24" s="1"/>
  <c r="GM7" i="23"/>
  <c r="GN31" i="23" s="1"/>
  <c r="GN33" i="23" s="1"/>
  <c r="GN38" i="23" s="1"/>
  <c r="GN39" i="23" s="1"/>
  <c r="GO5" i="8"/>
  <c r="GP8" i="8" s="1"/>
  <c r="GP12" i="8" s="1"/>
  <c r="GP13" i="8" s="1"/>
  <c r="GO7" i="46"/>
  <c r="GO5" i="27"/>
  <c r="GP8" i="27" s="1"/>
  <c r="GP12" i="27" s="1"/>
  <c r="GP13" i="27" s="1"/>
  <c r="HH9" i="10"/>
  <c r="GO7" i="7"/>
  <c r="GP31" i="7" s="1"/>
  <c r="GP33" i="7" s="1"/>
  <c r="GP38" i="7" s="1"/>
  <c r="GP39" i="7" s="1"/>
  <c r="GO7" i="26"/>
  <c r="GP31" i="26" s="1"/>
  <c r="GP33" i="26" s="1"/>
  <c r="GP38" i="26" s="1"/>
  <c r="GP39" i="26" s="1"/>
  <c r="GO5" i="34"/>
  <c r="GP8" i="34" s="1"/>
  <c r="GP12" i="34" s="1"/>
  <c r="GP13" i="34" s="1"/>
  <c r="GO5" i="25"/>
  <c r="GP8" i="25" s="1"/>
  <c r="GP12" i="25" s="1"/>
  <c r="GP13" i="25" s="1"/>
  <c r="HH69" i="10"/>
  <c r="GN7" i="13"/>
  <c r="HG10" i="10"/>
  <c r="GN5" i="33"/>
  <c r="GO8" i="33" s="1"/>
  <c r="GO12" i="33" s="1"/>
  <c r="GO13" i="33" s="1"/>
  <c r="GN5" i="45"/>
  <c r="GO8" i="45" s="1"/>
  <c r="GO12" i="45" s="1"/>
  <c r="GO13" i="45" s="1"/>
  <c r="EE12" i="10" l="1"/>
  <c r="EF12" i="10" s="1"/>
  <c r="EG12" i="10" s="1"/>
  <c r="EH12" i="10" s="1"/>
  <c r="EI12" i="10" s="1"/>
  <c r="EJ12" i="10" s="1"/>
  <c r="EK12" i="10" s="1"/>
  <c r="EL12" i="10" s="1"/>
  <c r="EM12" i="10" s="1"/>
  <c r="EN12" i="10" s="1"/>
  <c r="EO12" i="10" s="1"/>
  <c r="EP12" i="10" s="1"/>
  <c r="EQ12" i="10" s="1"/>
  <c r="ER12" i="10" s="1"/>
  <c r="ES12" i="10" s="1"/>
  <c r="M19" i="10"/>
  <c r="HH10" i="10"/>
  <c r="GO7" i="13"/>
  <c r="GO5" i="45"/>
  <c r="GP8" i="45" s="1"/>
  <c r="GP12" i="45" s="1"/>
  <c r="GP13" i="45" s="1"/>
  <c r="GO5" i="33"/>
  <c r="GP8" i="33" s="1"/>
  <c r="GP12" i="33" s="1"/>
  <c r="GP13" i="33" s="1"/>
  <c r="GP5" i="34"/>
  <c r="GQ8" i="34" s="1"/>
  <c r="GQ12" i="34" s="1"/>
  <c r="GQ13" i="34" s="1"/>
  <c r="GP5" i="25"/>
  <c r="GQ8" i="25" s="1"/>
  <c r="GQ12" i="25" s="1"/>
  <c r="GQ13" i="25" s="1"/>
  <c r="GP7" i="26"/>
  <c r="GQ31" i="26" s="1"/>
  <c r="GQ33" i="26" s="1"/>
  <c r="GQ38" i="26" s="1"/>
  <c r="GQ39" i="26" s="1"/>
  <c r="HI69" i="10"/>
  <c r="HI9" i="10"/>
  <c r="GP7" i="7"/>
  <c r="GQ31" i="7" s="1"/>
  <c r="GQ33" i="7" s="1"/>
  <c r="GQ38" i="7" s="1"/>
  <c r="GQ39" i="7" s="1"/>
  <c r="GP5" i="27"/>
  <c r="GQ8" i="27" s="1"/>
  <c r="GQ12" i="27" s="1"/>
  <c r="GQ13" i="27" s="1"/>
  <c r="GP5" i="8"/>
  <c r="GQ8" i="8" s="1"/>
  <c r="GQ12" i="8" s="1"/>
  <c r="GQ13" i="8" s="1"/>
  <c r="GP7" i="46"/>
  <c r="HG49" i="10"/>
  <c r="GN7" i="23"/>
  <c r="GO31" i="23" s="1"/>
  <c r="GO33" i="23" s="1"/>
  <c r="GO38" i="23" s="1"/>
  <c r="GO39" i="23" s="1"/>
  <c r="GN5" i="24"/>
  <c r="GO8" i="24" s="1"/>
  <c r="GO12" i="24" s="1"/>
  <c r="GO13" i="24" s="1"/>
  <c r="ET12" i="10" l="1"/>
  <c r="GO5" i="24"/>
  <c r="GP8" i="24" s="1"/>
  <c r="GP12" i="24" s="1"/>
  <c r="GP13" i="24" s="1"/>
  <c r="GO7" i="23"/>
  <c r="GP31" i="23" s="1"/>
  <c r="GP33" i="23" s="1"/>
  <c r="GP38" i="23" s="1"/>
  <c r="GP39" i="23" s="1"/>
  <c r="HH49" i="10"/>
  <c r="GQ5" i="8"/>
  <c r="GR8" i="8" s="1"/>
  <c r="GR12" i="8" s="1"/>
  <c r="GR13" i="8" s="1"/>
  <c r="GQ7" i="46"/>
  <c r="GQ5" i="27"/>
  <c r="GR8" i="27" s="1"/>
  <c r="GR12" i="27" s="1"/>
  <c r="GR13" i="27" s="1"/>
  <c r="GQ7" i="7"/>
  <c r="GR31" i="7" s="1"/>
  <c r="GR33" i="7" s="1"/>
  <c r="GR38" i="7" s="1"/>
  <c r="GR39" i="7" s="1"/>
  <c r="HJ9" i="10"/>
  <c r="GQ5" i="25"/>
  <c r="GR8" i="25" s="1"/>
  <c r="GR12" i="25" s="1"/>
  <c r="GR13" i="25" s="1"/>
  <c r="GQ5" i="34"/>
  <c r="GR8" i="34" s="1"/>
  <c r="GR12" i="34" s="1"/>
  <c r="GR13" i="34" s="1"/>
  <c r="GQ7" i="26"/>
  <c r="GR31" i="26" s="1"/>
  <c r="GR33" i="26" s="1"/>
  <c r="GR38" i="26" s="1"/>
  <c r="GR39" i="26" s="1"/>
  <c r="HJ69" i="10"/>
  <c r="GP5" i="45"/>
  <c r="GQ8" i="45" s="1"/>
  <c r="GQ12" i="45" s="1"/>
  <c r="GQ13" i="45" s="1"/>
  <c r="GP5" i="33"/>
  <c r="GQ8" i="33" s="1"/>
  <c r="GQ12" i="33" s="1"/>
  <c r="GQ13" i="33" s="1"/>
  <c r="HI10" i="10"/>
  <c r="GP7" i="13"/>
  <c r="EU12" i="10" l="1"/>
  <c r="EV12" i="10" s="1"/>
  <c r="EW12" i="10" s="1"/>
  <c r="EX12" i="10" s="1"/>
  <c r="EY12" i="10" s="1"/>
  <c r="EZ12" i="10" s="1"/>
  <c r="N19" i="10"/>
  <c r="GQ5" i="33"/>
  <c r="GR8" i="33" s="1"/>
  <c r="GR12" i="33" s="1"/>
  <c r="GR13" i="33" s="1"/>
  <c r="GQ5" i="45"/>
  <c r="GR8" i="45" s="1"/>
  <c r="GR12" i="45" s="1"/>
  <c r="GR13" i="45" s="1"/>
  <c r="HJ10" i="10"/>
  <c r="GQ7" i="13"/>
  <c r="GR5" i="25"/>
  <c r="GS8" i="25" s="1"/>
  <c r="GS12" i="25" s="1"/>
  <c r="GS13" i="25" s="1"/>
  <c r="HK69" i="10"/>
  <c r="GR7" i="26"/>
  <c r="GS31" i="26" s="1"/>
  <c r="GS33" i="26" s="1"/>
  <c r="GS38" i="26" s="1"/>
  <c r="GS39" i="26" s="1"/>
  <c r="GR5" i="34"/>
  <c r="GS8" i="34" s="1"/>
  <c r="GS12" i="34" s="1"/>
  <c r="GS13" i="34" s="1"/>
  <c r="GR7" i="46"/>
  <c r="GR7" i="7"/>
  <c r="GS31" i="7" s="1"/>
  <c r="GS33" i="7" s="1"/>
  <c r="GS38" i="7" s="1"/>
  <c r="GS39" i="7" s="1"/>
  <c r="HK9" i="10"/>
  <c r="GR5" i="27"/>
  <c r="GS8" i="27" s="1"/>
  <c r="GS12" i="27" s="1"/>
  <c r="GS13" i="27" s="1"/>
  <c r="GR5" i="8"/>
  <c r="GS8" i="8" s="1"/>
  <c r="GS12" i="8" s="1"/>
  <c r="GS13" i="8" s="1"/>
  <c r="GP5" i="24"/>
  <c r="GQ8" i="24" s="1"/>
  <c r="GQ12" i="24" s="1"/>
  <c r="GQ13" i="24" s="1"/>
  <c r="HI49" i="10"/>
  <c r="GP7" i="23"/>
  <c r="GQ31" i="23" s="1"/>
  <c r="GQ33" i="23" s="1"/>
  <c r="GQ38" i="23" s="1"/>
  <c r="GQ39" i="23" s="1"/>
  <c r="O19" i="10" l="1"/>
  <c r="FA12" i="10"/>
  <c r="FB12" i="10" s="1"/>
  <c r="FC12" i="10" s="1"/>
  <c r="FD12" i="10" s="1"/>
  <c r="FE12" i="10" s="1"/>
  <c r="FF12" i="10" s="1"/>
  <c r="FG12" i="10" s="1"/>
  <c r="FH12" i="10" s="1"/>
  <c r="FI12" i="10" s="1"/>
  <c r="FJ12" i="10" s="1"/>
  <c r="FK12" i="10" s="1"/>
  <c r="FL12" i="10" s="1"/>
  <c r="GS7" i="46"/>
  <c r="GS5" i="8"/>
  <c r="GT8" i="8" s="1"/>
  <c r="GT12" i="8" s="1"/>
  <c r="GT13" i="8" s="1"/>
  <c r="HL9" i="10"/>
  <c r="GS5" i="27"/>
  <c r="GT8" i="27" s="1"/>
  <c r="GT12" i="27" s="1"/>
  <c r="GT13" i="27" s="1"/>
  <c r="GS7" i="7"/>
  <c r="GT31" i="7" s="1"/>
  <c r="GT33" i="7" s="1"/>
  <c r="GT38" i="7" s="1"/>
  <c r="GT39" i="7" s="1"/>
  <c r="GS5" i="25"/>
  <c r="GT8" i="25" s="1"/>
  <c r="GT12" i="25" s="1"/>
  <c r="GT13" i="25" s="1"/>
  <c r="GS5" i="34"/>
  <c r="GT8" i="34" s="1"/>
  <c r="GT12" i="34" s="1"/>
  <c r="GT13" i="34" s="1"/>
  <c r="GS7" i="26"/>
  <c r="GT31" i="26" s="1"/>
  <c r="GT33" i="26" s="1"/>
  <c r="GT38" i="26" s="1"/>
  <c r="GT39" i="26" s="1"/>
  <c r="HL69" i="10"/>
  <c r="GQ5" i="24"/>
  <c r="GR8" i="24" s="1"/>
  <c r="GR12" i="24" s="1"/>
  <c r="GR13" i="24" s="1"/>
  <c r="GQ7" i="23"/>
  <c r="GR31" i="23" s="1"/>
  <c r="GR33" i="23" s="1"/>
  <c r="GR38" i="23" s="1"/>
  <c r="GR39" i="23" s="1"/>
  <c r="HJ49" i="10"/>
  <c r="GR5" i="33"/>
  <c r="GS8" i="33" s="1"/>
  <c r="GS12" i="33" s="1"/>
  <c r="GS13" i="33" s="1"/>
  <c r="GR7" i="13"/>
  <c r="HK10" i="10"/>
  <c r="GR5" i="45"/>
  <c r="GS8" i="45" s="1"/>
  <c r="GS12" i="45" s="1"/>
  <c r="GS13" i="45" s="1"/>
  <c r="P19" i="10" l="1"/>
  <c r="FM12" i="10"/>
  <c r="FN12" i="10" s="1"/>
  <c r="FO12" i="10" s="1"/>
  <c r="FP12" i="10" s="1"/>
  <c r="FQ12" i="10" s="1"/>
  <c r="FR12" i="10" s="1"/>
  <c r="FS12" i="10" s="1"/>
  <c r="FT12" i="10" s="1"/>
  <c r="FU12" i="10" s="1"/>
  <c r="FV12" i="10" s="1"/>
  <c r="FW12" i="10" s="1"/>
  <c r="FX12" i="10" s="1"/>
  <c r="GT7" i="26"/>
  <c r="GU31" i="26" s="1"/>
  <c r="GU33" i="26" s="1"/>
  <c r="GU38" i="26" s="1"/>
  <c r="GU39" i="26" s="1"/>
  <c r="GT5" i="25"/>
  <c r="GU8" i="25" s="1"/>
  <c r="GU12" i="25" s="1"/>
  <c r="GU13" i="25" s="1"/>
  <c r="HM69" i="10"/>
  <c r="GT5" i="34"/>
  <c r="GU8" i="34" s="1"/>
  <c r="GU12" i="34" s="1"/>
  <c r="GU13" i="34" s="1"/>
  <c r="HL10" i="10"/>
  <c r="GS5" i="33"/>
  <c r="GT8" i="33" s="1"/>
  <c r="GT12" i="33" s="1"/>
  <c r="GT13" i="33" s="1"/>
  <c r="GS7" i="13"/>
  <c r="GS5" i="45"/>
  <c r="GT8" i="45" s="1"/>
  <c r="GT12" i="45" s="1"/>
  <c r="GT13" i="45" s="1"/>
  <c r="GT5" i="27"/>
  <c r="GU8" i="27" s="1"/>
  <c r="GU12" i="27" s="1"/>
  <c r="GU13" i="27" s="1"/>
  <c r="GT5" i="8"/>
  <c r="GU8" i="8" s="1"/>
  <c r="GU12" i="8" s="1"/>
  <c r="GU13" i="8" s="1"/>
  <c r="HM9" i="10"/>
  <c r="GT7" i="7"/>
  <c r="GU31" i="7" s="1"/>
  <c r="GU33" i="7" s="1"/>
  <c r="GU38" i="7" s="1"/>
  <c r="GU39" i="7" s="1"/>
  <c r="GT7" i="46"/>
  <c r="GR7" i="23"/>
  <c r="GS31" i="23" s="1"/>
  <c r="GS33" i="23" s="1"/>
  <c r="GS38" i="23" s="1"/>
  <c r="GS39" i="23" s="1"/>
  <c r="HK49" i="10"/>
  <c r="GR5" i="24"/>
  <c r="GS8" i="24" s="1"/>
  <c r="GS12" i="24" s="1"/>
  <c r="GS13" i="24" s="1"/>
  <c r="FY12" i="10" l="1"/>
  <c r="GU7" i="46"/>
  <c r="GU5" i="27"/>
  <c r="GV8" i="27" s="1"/>
  <c r="GV12" i="27" s="1"/>
  <c r="GV13" i="27" s="1"/>
  <c r="GU7" i="7"/>
  <c r="GV31" i="7" s="1"/>
  <c r="GV33" i="7" s="1"/>
  <c r="GV38" i="7" s="1"/>
  <c r="GV39" i="7" s="1"/>
  <c r="GU5" i="8"/>
  <c r="GV8" i="8" s="1"/>
  <c r="GV12" i="8" s="1"/>
  <c r="GV13" i="8" s="1"/>
  <c r="HN9" i="10"/>
  <c r="GU5" i="34"/>
  <c r="GV8" i="34" s="1"/>
  <c r="GV12" i="34" s="1"/>
  <c r="GV13" i="34" s="1"/>
  <c r="GU5" i="25"/>
  <c r="GV8" i="25" s="1"/>
  <c r="GV12" i="25" s="1"/>
  <c r="GV13" i="25" s="1"/>
  <c r="GU7" i="26"/>
  <c r="GV31" i="26" s="1"/>
  <c r="GV33" i="26" s="1"/>
  <c r="GV38" i="26" s="1"/>
  <c r="GV39" i="26" s="1"/>
  <c r="HN69" i="10"/>
  <c r="HL49" i="10"/>
  <c r="GS5" i="24"/>
  <c r="GT8" i="24" s="1"/>
  <c r="GT12" i="24" s="1"/>
  <c r="GT13" i="24" s="1"/>
  <c r="GS7" i="23"/>
  <c r="GT31" i="23" s="1"/>
  <c r="GT33" i="23" s="1"/>
  <c r="GT38" i="23" s="1"/>
  <c r="GT39" i="23" s="1"/>
  <c r="GT7" i="13"/>
  <c r="HM10" i="10"/>
  <c r="GT5" i="45"/>
  <c r="GU8" i="45" s="1"/>
  <c r="GU12" i="45" s="1"/>
  <c r="GU13" i="45" s="1"/>
  <c r="GT5" i="33"/>
  <c r="GU8" i="33" s="1"/>
  <c r="GU12" i="33" s="1"/>
  <c r="GU13" i="33" s="1"/>
  <c r="E16" i="8"/>
  <c r="F16" i="8"/>
  <c r="F18" i="8" s="1"/>
  <c r="G16" i="8"/>
  <c r="G18" i="8" s="1"/>
  <c r="H16" i="8"/>
  <c r="H18" i="8" s="1"/>
  <c r="I16" i="8"/>
  <c r="I18" i="8" s="1"/>
  <c r="J16" i="8"/>
  <c r="J18" i="8" s="1"/>
  <c r="K16" i="8"/>
  <c r="K18" i="8" s="1"/>
  <c r="L16" i="8"/>
  <c r="L18" i="8" s="1"/>
  <c r="M16" i="8"/>
  <c r="M18" i="8" s="1"/>
  <c r="N16" i="8"/>
  <c r="N18" i="8" s="1"/>
  <c r="O16" i="8"/>
  <c r="O18" i="8" s="1"/>
  <c r="P16" i="8"/>
  <c r="P18" i="8" s="1"/>
  <c r="Q16" i="8"/>
  <c r="Q18" i="8" s="1"/>
  <c r="R16" i="8"/>
  <c r="R18" i="8" s="1"/>
  <c r="S16" i="8"/>
  <c r="S18" i="8" s="1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D16" i="25"/>
  <c r="E16" i="25"/>
  <c r="E18" i="25" s="1"/>
  <c r="F16" i="25"/>
  <c r="F18" i="25" s="1"/>
  <c r="G16" i="25"/>
  <c r="G18" i="25" s="1"/>
  <c r="H16" i="25"/>
  <c r="H18" i="25" s="1"/>
  <c r="I16" i="25"/>
  <c r="I18" i="25" s="1"/>
  <c r="J16" i="25"/>
  <c r="J18" i="25" s="1"/>
  <c r="K16" i="25"/>
  <c r="K18" i="25" s="1"/>
  <c r="L16" i="25"/>
  <c r="L18" i="25" s="1"/>
  <c r="M16" i="25"/>
  <c r="M18" i="25" s="1"/>
  <c r="N16" i="25"/>
  <c r="N18" i="25" s="1"/>
  <c r="O16" i="25"/>
  <c r="O18" i="25" s="1"/>
  <c r="P16" i="25"/>
  <c r="P18" i="25" s="1"/>
  <c r="Q16" i="25"/>
  <c r="Q18" i="25" s="1"/>
  <c r="R16" i="25"/>
  <c r="R18" i="25" s="1"/>
  <c r="S16" i="25"/>
  <c r="S18" i="25" s="1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FZ12" i="10" l="1"/>
  <c r="GT5" i="24"/>
  <c r="GU8" i="24" s="1"/>
  <c r="GU12" i="24" s="1"/>
  <c r="GU13" i="24" s="1"/>
  <c r="GT7" i="23"/>
  <c r="GU31" i="23" s="1"/>
  <c r="GU33" i="23" s="1"/>
  <c r="GU38" i="23" s="1"/>
  <c r="GU39" i="23" s="1"/>
  <c r="HM49" i="10"/>
  <c r="GV7" i="26"/>
  <c r="GW31" i="26" s="1"/>
  <c r="GW33" i="26" s="1"/>
  <c r="GV5" i="25"/>
  <c r="GW8" i="25" s="1"/>
  <c r="GV5" i="34"/>
  <c r="GW8" i="34" s="1"/>
  <c r="GW12" i="34" s="1"/>
  <c r="GW13" i="34" s="1"/>
  <c r="HO69" i="10"/>
  <c r="HO9" i="10"/>
  <c r="GV7" i="7"/>
  <c r="GW31" i="7" s="1"/>
  <c r="GW33" i="7" s="1"/>
  <c r="GV5" i="27"/>
  <c r="GW8" i="27" s="1"/>
  <c r="GW12" i="27" s="1"/>
  <c r="GW13" i="27" s="1"/>
  <c r="GV7" i="46"/>
  <c r="GV5" i="8"/>
  <c r="GW8" i="8" s="1"/>
  <c r="GU5" i="45"/>
  <c r="GV8" i="45" s="1"/>
  <c r="GV12" i="45" s="1"/>
  <c r="GV13" i="45" s="1"/>
  <c r="HN10" i="10"/>
  <c r="GU5" i="33"/>
  <c r="GV8" i="33" s="1"/>
  <c r="GV12" i="33" s="1"/>
  <c r="GV13" i="33" s="1"/>
  <c r="GU7" i="13"/>
  <c r="B56" i="7"/>
  <c r="B57" i="7" s="1"/>
  <c r="B58" i="7" s="1"/>
  <c r="B48" i="7"/>
  <c r="B49" i="7" s="1"/>
  <c r="B51" i="7" s="1"/>
  <c r="C56" i="7"/>
  <c r="C57" i="7" s="1"/>
  <c r="C58" i="7" s="1"/>
  <c r="E18" i="8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B56" i="26"/>
  <c r="B57" i="26" s="1"/>
  <c r="B58" i="26" s="1"/>
  <c r="C48" i="26"/>
  <c r="C49" i="26" s="1"/>
  <c r="C51" i="26" s="1"/>
  <c r="D48" i="26"/>
  <c r="D49" i="26" s="1"/>
  <c r="D51" i="26" s="1"/>
  <c r="C56" i="26"/>
  <c r="C57" i="26" s="1"/>
  <c r="C58" i="26" s="1"/>
  <c r="D56" i="26"/>
  <c r="D57" i="26" s="1"/>
  <c r="D58" i="26" s="1"/>
  <c r="B48" i="26"/>
  <c r="B49" i="26" s="1"/>
  <c r="B51" i="26" s="1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D24" i="25"/>
  <c r="D26" i="25" s="1"/>
  <c r="D29" i="25" s="1"/>
  <c r="D18" i="25"/>
  <c r="D19" i="25" s="1"/>
  <c r="E19" i="25" s="1"/>
  <c r="F19" i="25" s="1"/>
  <c r="G19" i="25" s="1"/>
  <c r="H19" i="25" s="1"/>
  <c r="I19" i="25" s="1"/>
  <c r="J19" i="25" s="1"/>
  <c r="K19" i="25" s="1"/>
  <c r="L19" i="25" s="1"/>
  <c r="M19" i="25" s="1"/>
  <c r="N19" i="25" s="1"/>
  <c r="O19" i="25" s="1"/>
  <c r="P19" i="25" s="1"/>
  <c r="Q19" i="25" s="1"/>
  <c r="R19" i="25" s="1"/>
  <c r="S19" i="25" s="1"/>
  <c r="B24" i="25"/>
  <c r="B26" i="25" s="1"/>
  <c r="B29" i="25" s="1"/>
  <c r="C24" i="25"/>
  <c r="C26" i="25" s="1"/>
  <c r="C29" i="25" s="1"/>
  <c r="GA12" i="10" l="1"/>
  <c r="GB12" i="10" s="1"/>
  <c r="GC12" i="10" s="1"/>
  <c r="GD12" i="10" s="1"/>
  <c r="GE12" i="10" s="1"/>
  <c r="GF12" i="10" s="1"/>
  <c r="GG12" i="10" s="1"/>
  <c r="GH12" i="10" s="1"/>
  <c r="GI12" i="10" s="1"/>
  <c r="GJ12" i="10" s="1"/>
  <c r="Q19" i="10"/>
  <c r="GK12" i="10"/>
  <c r="GW12" i="8"/>
  <c r="GW13" i="8" s="1"/>
  <c r="GW7" i="7"/>
  <c r="GX31" i="7" s="1"/>
  <c r="GX33" i="7" s="1"/>
  <c r="GX38" i="7" s="1"/>
  <c r="GW5" i="8"/>
  <c r="GX8" i="8" s="1"/>
  <c r="GX12" i="8" s="1"/>
  <c r="GX13" i="8" s="1"/>
  <c r="HP9" i="10"/>
  <c r="GW5" i="27"/>
  <c r="GX8" i="27" s="1"/>
  <c r="GX12" i="27" s="1"/>
  <c r="GX13" i="27" s="1"/>
  <c r="GW7" i="46"/>
  <c r="GW38" i="7"/>
  <c r="GW12" i="25"/>
  <c r="GW13" i="25" s="1"/>
  <c r="GW38" i="26"/>
  <c r="HO10" i="10"/>
  <c r="GV7" i="13"/>
  <c r="GV5" i="33"/>
  <c r="GW8" i="33" s="1"/>
  <c r="GW12" i="33" s="1"/>
  <c r="GW13" i="33" s="1"/>
  <c r="GV5" i="45"/>
  <c r="GW8" i="45" s="1"/>
  <c r="GW12" i="45" s="1"/>
  <c r="GW13" i="45" s="1"/>
  <c r="GU5" i="24"/>
  <c r="GV8" i="24" s="1"/>
  <c r="GV12" i="24" s="1"/>
  <c r="GV13" i="24" s="1"/>
  <c r="GU7" i="23"/>
  <c r="GV31" i="23" s="1"/>
  <c r="GV33" i="23" s="1"/>
  <c r="GV38" i="23" s="1"/>
  <c r="GV39" i="23" s="1"/>
  <c r="HN49" i="10"/>
  <c r="GW7" i="26"/>
  <c r="GX31" i="26" s="1"/>
  <c r="GX33" i="26" s="1"/>
  <c r="GX38" i="26" s="1"/>
  <c r="GW5" i="25"/>
  <c r="GX8" i="25" s="1"/>
  <c r="GX12" i="25" s="1"/>
  <c r="GW5" i="34"/>
  <c r="GX8" i="34" s="1"/>
  <c r="GX12" i="34" s="1"/>
  <c r="GX13" i="34" s="1"/>
  <c r="HP69" i="10"/>
  <c r="B50" i="7"/>
  <c r="D43" i="7"/>
  <c r="E43" i="7" s="1"/>
  <c r="F43" i="7" s="1"/>
  <c r="G43" i="7" s="1"/>
  <c r="H43" i="7" s="1"/>
  <c r="I43" i="7" s="1"/>
  <c r="J43" i="7" s="1"/>
  <c r="K43" i="7" s="1"/>
  <c r="L43" i="7" s="1"/>
  <c r="M43" i="7" s="1"/>
  <c r="N43" i="7" s="1"/>
  <c r="O43" i="7" s="1"/>
  <c r="P43" i="7" s="1"/>
  <c r="Q43" i="7" s="1"/>
  <c r="R43" i="7" s="1"/>
  <c r="S43" i="7" s="1"/>
  <c r="D16" i="24"/>
  <c r="E16" i="24"/>
  <c r="E18" i="24" s="1"/>
  <c r="F16" i="24"/>
  <c r="F18" i="24" s="1"/>
  <c r="G16" i="24"/>
  <c r="G18" i="24" s="1"/>
  <c r="H16" i="24"/>
  <c r="H18" i="24" s="1"/>
  <c r="I16" i="24"/>
  <c r="I18" i="24" s="1"/>
  <c r="J16" i="24"/>
  <c r="J18" i="24" s="1"/>
  <c r="K16" i="24"/>
  <c r="K18" i="24" s="1"/>
  <c r="L16" i="24"/>
  <c r="L18" i="24" s="1"/>
  <c r="M16" i="24"/>
  <c r="M18" i="24" s="1"/>
  <c r="N16" i="24"/>
  <c r="N18" i="24" s="1"/>
  <c r="O16" i="24"/>
  <c r="O18" i="24" s="1"/>
  <c r="P16" i="24"/>
  <c r="P18" i="24" s="1"/>
  <c r="Q16" i="24"/>
  <c r="Q18" i="24" s="1"/>
  <c r="R16" i="24"/>
  <c r="R18" i="24" s="1"/>
  <c r="S16" i="24"/>
  <c r="S18" i="24" s="1"/>
  <c r="D36" i="23"/>
  <c r="E36" i="23"/>
  <c r="F36" i="23"/>
  <c r="G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D50" i="26"/>
  <c r="B50" i="26"/>
  <c r="C50" i="26"/>
  <c r="D43" i="26"/>
  <c r="E43" i="26" s="1"/>
  <c r="F43" i="26" s="1"/>
  <c r="G43" i="26" s="1"/>
  <c r="H43" i="26" s="1"/>
  <c r="I43" i="26" s="1"/>
  <c r="J43" i="26" s="1"/>
  <c r="K43" i="26" s="1"/>
  <c r="L43" i="26" s="1"/>
  <c r="M43" i="26" s="1"/>
  <c r="N43" i="26" s="1"/>
  <c r="O43" i="26" s="1"/>
  <c r="P43" i="26" s="1"/>
  <c r="Q43" i="26" s="1"/>
  <c r="R43" i="26" s="1"/>
  <c r="S43" i="26" s="1"/>
  <c r="GL12" i="10" l="1"/>
  <c r="GX5" i="34"/>
  <c r="GY8" i="34" s="1"/>
  <c r="GY12" i="34" s="1"/>
  <c r="GY13" i="34" s="1"/>
  <c r="HQ69" i="10"/>
  <c r="GX5" i="25"/>
  <c r="GY8" i="25" s="1"/>
  <c r="GY12" i="25" s="1"/>
  <c r="GX7" i="26"/>
  <c r="GY31" i="26" s="1"/>
  <c r="GY33" i="26" s="1"/>
  <c r="GW39" i="7"/>
  <c r="GX39" i="7" s="1"/>
  <c r="GW5" i="45"/>
  <c r="GX8" i="45" s="1"/>
  <c r="GX12" i="45" s="1"/>
  <c r="GX13" i="45" s="1"/>
  <c r="GW7" i="13"/>
  <c r="HP10" i="10"/>
  <c r="GW5" i="33"/>
  <c r="GX8" i="33" s="1"/>
  <c r="GX12" i="33" s="1"/>
  <c r="GX13" i="33" s="1"/>
  <c r="HQ9" i="10"/>
  <c r="GX7" i="46"/>
  <c r="GX5" i="27"/>
  <c r="GY8" i="27" s="1"/>
  <c r="GY12" i="27" s="1"/>
  <c r="GY13" i="27" s="1"/>
  <c r="GX5" i="8"/>
  <c r="GY8" i="8" s="1"/>
  <c r="GX7" i="7"/>
  <c r="GY31" i="7" s="1"/>
  <c r="GY33" i="7" s="1"/>
  <c r="GW39" i="26"/>
  <c r="GX39" i="26" s="1"/>
  <c r="GV7" i="23"/>
  <c r="GW31" i="23" s="1"/>
  <c r="GW33" i="23" s="1"/>
  <c r="HO49" i="10"/>
  <c r="GV5" i="24"/>
  <c r="GW8" i="24" s="1"/>
  <c r="GX13" i="25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C24" i="24"/>
  <c r="C26" i="24" s="1"/>
  <c r="C29" i="24" s="1"/>
  <c r="B24" i="24"/>
  <c r="B26" i="24" s="1"/>
  <c r="B29" i="24" s="1"/>
  <c r="D18" i="24"/>
  <c r="D19" i="24" s="1"/>
  <c r="E19" i="24" s="1"/>
  <c r="F19" i="24" s="1"/>
  <c r="G19" i="24" s="1"/>
  <c r="H19" i="24" s="1"/>
  <c r="I19" i="24" s="1"/>
  <c r="J19" i="24" s="1"/>
  <c r="K19" i="24" s="1"/>
  <c r="L19" i="24" s="1"/>
  <c r="M19" i="24" s="1"/>
  <c r="N19" i="24" s="1"/>
  <c r="O19" i="24" s="1"/>
  <c r="P19" i="24" s="1"/>
  <c r="Q19" i="24" s="1"/>
  <c r="R19" i="24" s="1"/>
  <c r="S19" i="24" s="1"/>
  <c r="C48" i="23"/>
  <c r="C49" i="23" s="1"/>
  <c r="C51" i="23" s="1"/>
  <c r="C56" i="23"/>
  <c r="C57" i="23" s="1"/>
  <c r="C58" i="23" s="1"/>
  <c r="B48" i="23"/>
  <c r="B49" i="23" s="1"/>
  <c r="B51" i="23" s="1"/>
  <c r="B56" i="23"/>
  <c r="B57" i="23" s="1"/>
  <c r="B58" i="23" s="1"/>
  <c r="D42" i="23"/>
  <c r="E42" i="23"/>
  <c r="F42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GM12" i="10" l="1"/>
  <c r="GN12" i="10" s="1"/>
  <c r="GO12" i="10" s="1"/>
  <c r="GP12" i="10" s="1"/>
  <c r="GQ12" i="10" s="1"/>
  <c r="GR12" i="10" s="1"/>
  <c r="GS12" i="10" s="1"/>
  <c r="GT12" i="10" s="1"/>
  <c r="GU12" i="10" s="1"/>
  <c r="GV12" i="10" s="1"/>
  <c r="R19" i="10"/>
  <c r="HR9" i="10"/>
  <c r="GY7" i="7"/>
  <c r="GZ31" i="7" s="1"/>
  <c r="GZ33" i="7" s="1"/>
  <c r="GZ38" i="7" s="1"/>
  <c r="GY5" i="8"/>
  <c r="GZ8" i="8" s="1"/>
  <c r="GZ12" i="8" s="1"/>
  <c r="GY7" i="46"/>
  <c r="GY5" i="27"/>
  <c r="GZ8" i="27" s="1"/>
  <c r="GZ12" i="27" s="1"/>
  <c r="GZ13" i="27" s="1"/>
  <c r="HP49" i="10"/>
  <c r="GW7" i="23"/>
  <c r="GX31" i="23" s="1"/>
  <c r="GX33" i="23" s="1"/>
  <c r="GX38" i="23" s="1"/>
  <c r="GW5" i="24"/>
  <c r="GX8" i="24" s="1"/>
  <c r="GX12" i="24" s="1"/>
  <c r="GW38" i="23"/>
  <c r="GY38" i="26"/>
  <c r="GY13" i="25"/>
  <c r="GY5" i="34"/>
  <c r="GZ8" i="34" s="1"/>
  <c r="GZ12" i="34" s="1"/>
  <c r="GZ13" i="34" s="1"/>
  <c r="GY5" i="25"/>
  <c r="GZ8" i="25" s="1"/>
  <c r="GZ12" i="25" s="1"/>
  <c r="HR69" i="10"/>
  <c r="GY7" i="26"/>
  <c r="GZ31" i="26" s="1"/>
  <c r="GZ33" i="26" s="1"/>
  <c r="GZ38" i="26" s="1"/>
  <c r="HQ10" i="10"/>
  <c r="GX7" i="13"/>
  <c r="GX5" i="45"/>
  <c r="GY8" i="45" s="1"/>
  <c r="GY12" i="45" s="1"/>
  <c r="GY13" i="45" s="1"/>
  <c r="GX5" i="33"/>
  <c r="GY8" i="33" s="1"/>
  <c r="GY12" i="33" s="1"/>
  <c r="GY13" i="33" s="1"/>
  <c r="GW12" i="24"/>
  <c r="GW13" i="24" s="1"/>
  <c r="GY38" i="7"/>
  <c r="GY12" i="8"/>
  <c r="GY13" i="8" s="1"/>
  <c r="C50" i="23"/>
  <c r="D43" i="23"/>
  <c r="E43" i="23" s="1"/>
  <c r="F43" i="23" s="1"/>
  <c r="G43" i="23" s="1"/>
  <c r="H43" i="23" s="1"/>
  <c r="I43" i="23" s="1"/>
  <c r="J43" i="23" s="1"/>
  <c r="K43" i="23" s="1"/>
  <c r="L43" i="23" s="1"/>
  <c r="M43" i="23" s="1"/>
  <c r="N43" i="23" s="1"/>
  <c r="O43" i="23" s="1"/>
  <c r="P43" i="23" s="1"/>
  <c r="Q43" i="23" s="1"/>
  <c r="R43" i="23" s="1"/>
  <c r="S43" i="23" s="1"/>
  <c r="B50" i="23"/>
  <c r="GW12" i="10" l="1"/>
  <c r="GX12" i="10" s="1"/>
  <c r="GY12" i="10" s="1"/>
  <c r="GZ12" i="10" s="1"/>
  <c r="HA12" i="10" s="1"/>
  <c r="HB12" i="10" s="1"/>
  <c r="HC12" i="10" s="1"/>
  <c r="HD12" i="10" s="1"/>
  <c r="HE12" i="10" s="1"/>
  <c r="HF12" i="10" s="1"/>
  <c r="HG12" i="10" s="1"/>
  <c r="HH12" i="10" s="1"/>
  <c r="S19" i="10"/>
  <c r="HI12" i="10"/>
  <c r="HJ12" i="10" s="1"/>
  <c r="HK12" i="10" s="1"/>
  <c r="HL12" i="10" s="1"/>
  <c r="HM12" i="10" s="1"/>
  <c r="HN12" i="10" s="1"/>
  <c r="HO12" i="10" s="1"/>
  <c r="HP12" i="10" s="1"/>
  <c r="HQ12" i="10" s="1"/>
  <c r="HR12" i="10" s="1"/>
  <c r="HS12" i="10" s="1"/>
  <c r="HT12" i="10" s="1"/>
  <c r="GX13" i="24"/>
  <c r="GZ13" i="25"/>
  <c r="GY39" i="7"/>
  <c r="GZ39" i="7" s="1"/>
  <c r="GZ5" i="34"/>
  <c r="HA8" i="34" s="1"/>
  <c r="HA12" i="34" s="1"/>
  <c r="HA13" i="34" s="1"/>
  <c r="GZ7" i="26"/>
  <c r="HA31" i="26" s="1"/>
  <c r="HA33" i="26" s="1"/>
  <c r="GZ5" i="25"/>
  <c r="HA8" i="25" s="1"/>
  <c r="HA12" i="25" s="1"/>
  <c r="HS69" i="10"/>
  <c r="GY39" i="26"/>
  <c r="GZ39" i="26" s="1"/>
  <c r="GZ13" i="8"/>
  <c r="GW39" i="23"/>
  <c r="GX39" i="23" s="1"/>
  <c r="GY7" i="13"/>
  <c r="GY5" i="33"/>
  <c r="GZ8" i="33" s="1"/>
  <c r="GZ12" i="33" s="1"/>
  <c r="GZ13" i="33" s="1"/>
  <c r="HR10" i="10"/>
  <c r="GY5" i="45"/>
  <c r="GZ8" i="45" s="1"/>
  <c r="GZ12" i="45" s="1"/>
  <c r="GZ13" i="45" s="1"/>
  <c r="GX5" i="24"/>
  <c r="GY8" i="24" s="1"/>
  <c r="HQ49" i="10"/>
  <c r="GX7" i="23"/>
  <c r="GY31" i="23" s="1"/>
  <c r="GY33" i="23" s="1"/>
  <c r="GZ5" i="27"/>
  <c r="HA8" i="27" s="1"/>
  <c r="HA12" i="27" s="1"/>
  <c r="HA13" i="27" s="1"/>
  <c r="GZ7" i="7"/>
  <c r="HA31" i="7" s="1"/>
  <c r="HA33" i="7" s="1"/>
  <c r="HS9" i="10"/>
  <c r="T17" i="10" s="1"/>
  <c r="R123" i="11" s="1"/>
  <c r="GZ7" i="46"/>
  <c r="GZ5" i="8"/>
  <c r="HA8" i="8" s="1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D17" i="10"/>
  <c r="B123" i="11" s="1"/>
  <c r="E17" i="10"/>
  <c r="C123" i="11" s="1"/>
  <c r="F17" i="10"/>
  <c r="D123" i="11" s="1"/>
  <c r="G17" i="10"/>
  <c r="E123" i="11" s="1"/>
  <c r="H17" i="10"/>
  <c r="F123" i="11" s="1"/>
  <c r="I17" i="10"/>
  <c r="G123" i="11" s="1"/>
  <c r="J17" i="10"/>
  <c r="H123" i="11" s="1"/>
  <c r="K17" i="10"/>
  <c r="I123" i="11" s="1"/>
  <c r="L17" i="10"/>
  <c r="J123" i="11" s="1"/>
  <c r="M17" i="10"/>
  <c r="K123" i="11" s="1"/>
  <c r="N17" i="10"/>
  <c r="L123" i="11" s="1"/>
  <c r="O17" i="10"/>
  <c r="M123" i="11" s="1"/>
  <c r="P17" i="10"/>
  <c r="N123" i="11" s="1"/>
  <c r="Q17" i="10"/>
  <c r="O123" i="11" s="1"/>
  <c r="R17" i="10"/>
  <c r="P123" i="11" s="1"/>
  <c r="S17" i="10"/>
  <c r="Q123" i="11" s="1"/>
  <c r="D16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D76" i="10"/>
  <c r="D21" i="10" s="1"/>
  <c r="B125" i="11" s="1"/>
  <c r="E76" i="10"/>
  <c r="E21" i="10" s="1"/>
  <c r="C125" i="11" s="1"/>
  <c r="F76" i="10"/>
  <c r="F21" i="10" s="1"/>
  <c r="D125" i="11" s="1"/>
  <c r="G76" i="10"/>
  <c r="G21" i="10" s="1"/>
  <c r="E125" i="11" s="1"/>
  <c r="H76" i="10"/>
  <c r="H21" i="10" s="1"/>
  <c r="F125" i="11" s="1"/>
  <c r="I76" i="10"/>
  <c r="I21" i="10" s="1"/>
  <c r="G125" i="11" s="1"/>
  <c r="J76" i="10"/>
  <c r="J21" i="10" s="1"/>
  <c r="H125" i="11" s="1"/>
  <c r="K76" i="10"/>
  <c r="K21" i="10" s="1"/>
  <c r="I125" i="11" s="1"/>
  <c r="L76" i="10"/>
  <c r="L21" i="10" s="1"/>
  <c r="J125" i="11" s="1"/>
  <c r="M76" i="10"/>
  <c r="M21" i="10" s="1"/>
  <c r="K125" i="11" s="1"/>
  <c r="N76" i="10"/>
  <c r="N21" i="10" s="1"/>
  <c r="L125" i="11" s="1"/>
  <c r="O76" i="10"/>
  <c r="O21" i="10" s="1"/>
  <c r="M125" i="11" s="1"/>
  <c r="P76" i="10"/>
  <c r="P21" i="10" s="1"/>
  <c r="N125" i="11" s="1"/>
  <c r="Q76" i="10"/>
  <c r="Q21" i="10" s="1"/>
  <c r="O125" i="11" s="1"/>
  <c r="R76" i="10"/>
  <c r="R21" i="10" s="1"/>
  <c r="P125" i="11" s="1"/>
  <c r="S76" i="10"/>
  <c r="S21" i="10" s="1"/>
  <c r="Q125" i="11" s="1"/>
  <c r="T19" i="10" l="1"/>
  <c r="HA13" i="25"/>
  <c r="HU12" i="10"/>
  <c r="HA12" i="8"/>
  <c r="HA13" i="8" s="1"/>
  <c r="GY38" i="23"/>
  <c r="HA7" i="26"/>
  <c r="HB31" i="26" s="1"/>
  <c r="HB33" i="26" s="1"/>
  <c r="HB38" i="26" s="1"/>
  <c r="HA5" i="25"/>
  <c r="HB8" i="25" s="1"/>
  <c r="HT69" i="10"/>
  <c r="HA5" i="34"/>
  <c r="HB8" i="34" s="1"/>
  <c r="HS10" i="10"/>
  <c r="T20" i="10" s="1"/>
  <c r="R124" i="11" s="1"/>
  <c r="GZ5" i="33"/>
  <c r="HA8" i="33" s="1"/>
  <c r="HA12" i="33" s="1"/>
  <c r="HA13" i="33" s="1"/>
  <c r="GZ5" i="45"/>
  <c r="HA8" i="45" s="1"/>
  <c r="HA12" i="45" s="1"/>
  <c r="HA13" i="45" s="1"/>
  <c r="GZ7" i="13"/>
  <c r="GY5" i="24"/>
  <c r="GZ8" i="24" s="1"/>
  <c r="GZ12" i="24" s="1"/>
  <c r="HR49" i="10"/>
  <c r="GY7" i="23"/>
  <c r="GZ31" i="23" s="1"/>
  <c r="GZ33" i="23" s="1"/>
  <c r="GZ38" i="23" s="1"/>
  <c r="GY12" i="24"/>
  <c r="GY13" i="24" s="1"/>
  <c r="HA38" i="26"/>
  <c r="HA38" i="7"/>
  <c r="HA5" i="8"/>
  <c r="HB8" i="8" s="1"/>
  <c r="HB12" i="8" s="1"/>
  <c r="HA7" i="46"/>
  <c r="HA7" i="7"/>
  <c r="HB31" i="7" s="1"/>
  <c r="HB33" i="7" s="1"/>
  <c r="HB38" i="7" s="1"/>
  <c r="HA5" i="27"/>
  <c r="HB8" i="27" s="1"/>
  <c r="HB12" i="27" s="1"/>
  <c r="HB13" i="27" s="1"/>
  <c r="HT9" i="10"/>
  <c r="M20" i="27"/>
  <c r="M49" i="27"/>
  <c r="M51" i="27" s="1"/>
  <c r="M18" i="27"/>
  <c r="K88" i="11"/>
  <c r="M49" i="34"/>
  <c r="M51" i="34" s="1"/>
  <c r="M55" i="14" s="1"/>
  <c r="M18" i="34"/>
  <c r="L18" i="27"/>
  <c r="L49" i="27"/>
  <c r="L51" i="27" s="1"/>
  <c r="L20" i="27"/>
  <c r="D20" i="10"/>
  <c r="B124" i="11" s="1"/>
  <c r="E20" i="10"/>
  <c r="C124" i="11" s="1"/>
  <c r="F20" i="10"/>
  <c r="D124" i="11" s="1"/>
  <c r="G20" i="10"/>
  <c r="E124" i="11" s="1"/>
  <c r="H20" i="10"/>
  <c r="F124" i="11" s="1"/>
  <c r="I20" i="10"/>
  <c r="G124" i="11" s="1"/>
  <c r="J20" i="10"/>
  <c r="H124" i="11" s="1"/>
  <c r="K20" i="10"/>
  <c r="I124" i="11" s="1"/>
  <c r="L20" i="10"/>
  <c r="J124" i="11" s="1"/>
  <c r="M20" i="10"/>
  <c r="K124" i="11" s="1"/>
  <c r="N20" i="10"/>
  <c r="L124" i="11" s="1"/>
  <c r="O20" i="10"/>
  <c r="M124" i="11" s="1"/>
  <c r="P20" i="10"/>
  <c r="N124" i="11" s="1"/>
  <c r="Q20" i="10"/>
  <c r="O124" i="11" s="1"/>
  <c r="R20" i="10"/>
  <c r="P124" i="11" s="1"/>
  <c r="S20" i="10"/>
  <c r="Q124" i="11" s="1"/>
  <c r="L18" i="34"/>
  <c r="J88" i="11"/>
  <c r="L49" i="34"/>
  <c r="L51" i="34" s="1"/>
  <c r="L55" i="14" s="1"/>
  <c r="K49" i="27"/>
  <c r="K51" i="27" s="1"/>
  <c r="K18" i="27"/>
  <c r="K20" i="27"/>
  <c r="D16" i="45"/>
  <c r="E16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I88" i="11"/>
  <c r="K18" i="34"/>
  <c r="K49" i="34"/>
  <c r="K51" i="34" s="1"/>
  <c r="K55" i="14" s="1"/>
  <c r="J20" i="27"/>
  <c r="J18" i="27"/>
  <c r="J49" i="27"/>
  <c r="J51" i="27" s="1"/>
  <c r="H88" i="11"/>
  <c r="J49" i="34"/>
  <c r="J51" i="34" s="1"/>
  <c r="J55" i="14" s="1"/>
  <c r="J18" i="34"/>
  <c r="I49" i="27"/>
  <c r="I51" i="27" s="1"/>
  <c r="I18" i="27"/>
  <c r="I20" i="27"/>
  <c r="G88" i="11"/>
  <c r="I49" i="34"/>
  <c r="I51" i="34" s="1"/>
  <c r="I55" i="14" s="1"/>
  <c r="I18" i="34"/>
  <c r="H49" i="27"/>
  <c r="H51" i="27" s="1"/>
  <c r="H20" i="27"/>
  <c r="H18" i="27"/>
  <c r="H18" i="34"/>
  <c r="F88" i="11"/>
  <c r="H49" i="34"/>
  <c r="H51" i="34" s="1"/>
  <c r="H55" i="14" s="1"/>
  <c r="S18" i="27"/>
  <c r="S49" i="27"/>
  <c r="S51" i="27" s="1"/>
  <c r="G49" i="27"/>
  <c r="G51" i="27" s="1"/>
  <c r="G20" i="27"/>
  <c r="G18" i="27"/>
  <c r="Q88" i="11"/>
  <c r="S49" i="34"/>
  <c r="S51" i="34" s="1"/>
  <c r="S55" i="14" s="1"/>
  <c r="S18" i="34"/>
  <c r="G18" i="34"/>
  <c r="E88" i="11"/>
  <c r="G49" i="34"/>
  <c r="G51" i="34" s="1"/>
  <c r="G55" i="14" s="1"/>
  <c r="R18" i="27"/>
  <c r="R49" i="27"/>
  <c r="R51" i="27" s="1"/>
  <c r="F18" i="27"/>
  <c r="F20" i="27"/>
  <c r="F49" i="27"/>
  <c r="F51" i="27" s="1"/>
  <c r="R49" i="34"/>
  <c r="R51" i="34" s="1"/>
  <c r="R55" i="14" s="1"/>
  <c r="R18" i="34"/>
  <c r="P88" i="11"/>
  <c r="D88" i="11"/>
  <c r="F49" i="34"/>
  <c r="F51" i="34" s="1"/>
  <c r="F55" i="14" s="1"/>
  <c r="F18" i="34"/>
  <c r="Q18" i="27"/>
  <c r="Q49" i="27"/>
  <c r="Q51" i="27" s="1"/>
  <c r="E18" i="27"/>
  <c r="E20" i="27"/>
  <c r="E49" i="27"/>
  <c r="E51" i="27" s="1"/>
  <c r="O88" i="11"/>
  <c r="Q49" i="34"/>
  <c r="Q51" i="34" s="1"/>
  <c r="Q55" i="14" s="1"/>
  <c r="Q18" i="34"/>
  <c r="E18" i="34"/>
  <c r="E49" i="34"/>
  <c r="E51" i="34" s="1"/>
  <c r="E55" i="14" s="1"/>
  <c r="C88" i="11"/>
  <c r="P18" i="27"/>
  <c r="P49" i="27"/>
  <c r="P51" i="27" s="1"/>
  <c r="D18" i="27"/>
  <c r="B24" i="27"/>
  <c r="B26" i="27" s="1"/>
  <c r="B29" i="27" s="1"/>
  <c r="D49" i="27"/>
  <c r="D51" i="27" s="1"/>
  <c r="C24" i="27"/>
  <c r="C26" i="27" s="1"/>
  <c r="C29" i="27" s="1"/>
  <c r="D20" i="27"/>
  <c r="P18" i="34"/>
  <c r="P49" i="34"/>
  <c r="P51" i="34" s="1"/>
  <c r="P55" i="14" s="1"/>
  <c r="N88" i="11"/>
  <c r="B24" i="34"/>
  <c r="B26" i="34" s="1"/>
  <c r="B29" i="34" s="1"/>
  <c r="D49" i="34"/>
  <c r="D51" i="34" s="1"/>
  <c r="D55" i="14" s="1"/>
  <c r="B88" i="11"/>
  <c r="D18" i="34"/>
  <c r="C24" i="34"/>
  <c r="C26" i="34" s="1"/>
  <c r="C29" i="34" s="1"/>
  <c r="D24" i="34"/>
  <c r="D26" i="34" s="1"/>
  <c r="D29" i="34" s="1"/>
  <c r="M88" i="11"/>
  <c r="O18" i="34"/>
  <c r="O49" i="34"/>
  <c r="O51" i="34" s="1"/>
  <c r="O55" i="14" s="1"/>
  <c r="O18" i="27"/>
  <c r="O49" i="27"/>
  <c r="O51" i="27" s="1"/>
  <c r="N49" i="27"/>
  <c r="N51" i="27" s="1"/>
  <c r="N18" i="27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L88" i="11"/>
  <c r="N49" i="34"/>
  <c r="N51" i="34" s="1"/>
  <c r="N55" i="14" s="1"/>
  <c r="N18" i="34"/>
  <c r="HV12" i="10" l="1"/>
  <c r="HW12" i="10" s="1"/>
  <c r="HX12" i="10" s="1"/>
  <c r="HY12" i="10" s="1"/>
  <c r="HZ12" i="10" s="1"/>
  <c r="IA12" i="10" s="1"/>
  <c r="IB12" i="10" s="1"/>
  <c r="IC12" i="10" s="1"/>
  <c r="ID12" i="10" s="1"/>
  <c r="IE12" i="10" s="1"/>
  <c r="IF12" i="10" s="1"/>
  <c r="U19" i="10"/>
  <c r="HB13" i="8"/>
  <c r="GZ13" i="24"/>
  <c r="HB7" i="7"/>
  <c r="HC31" i="7" s="1"/>
  <c r="HC33" i="7" s="1"/>
  <c r="HB5" i="27"/>
  <c r="HC8" i="27" s="1"/>
  <c r="HB7" i="46"/>
  <c r="HU9" i="10"/>
  <c r="HB5" i="8"/>
  <c r="HC8" i="8" s="1"/>
  <c r="HC12" i="8" s="1"/>
  <c r="GZ7" i="23"/>
  <c r="HA31" i="23" s="1"/>
  <c r="HA33" i="23" s="1"/>
  <c r="HA38" i="23" s="1"/>
  <c r="HS49" i="10"/>
  <c r="GZ5" i="24"/>
  <c r="HA8" i="24" s="1"/>
  <c r="HA12" i="24" s="1"/>
  <c r="HB12" i="34"/>
  <c r="HB13" i="34" s="1"/>
  <c r="HB7" i="26"/>
  <c r="HC31" i="26" s="1"/>
  <c r="HC33" i="26" s="1"/>
  <c r="HU69" i="10"/>
  <c r="T76" i="10" s="1"/>
  <c r="T21" i="10" s="1"/>
  <c r="R125" i="11" s="1"/>
  <c r="HB5" i="34"/>
  <c r="HC8" i="34" s="1"/>
  <c r="HC12" i="34" s="1"/>
  <c r="HB5" i="25"/>
  <c r="HC8" i="25" s="1"/>
  <c r="HC12" i="25" s="1"/>
  <c r="HB12" i="25"/>
  <c r="HB13" i="25" s="1"/>
  <c r="HA39" i="7"/>
  <c r="HB39" i="7" s="1"/>
  <c r="HA39" i="26"/>
  <c r="HB39" i="26" s="1"/>
  <c r="GY39" i="23"/>
  <c r="GZ39" i="23" s="1"/>
  <c r="HT10" i="10"/>
  <c r="HA5" i="45"/>
  <c r="HB8" i="45" s="1"/>
  <c r="HA5" i="33"/>
  <c r="HB8" i="33" s="1"/>
  <c r="HB12" i="33" s="1"/>
  <c r="HB13" i="33" s="1"/>
  <c r="HA7" i="13"/>
  <c r="C52" i="11"/>
  <c r="E18" i="33"/>
  <c r="E49" i="33"/>
  <c r="E51" i="33" s="1"/>
  <c r="E54" i="14" s="1"/>
  <c r="N93" i="11"/>
  <c r="N96" i="11"/>
  <c r="D96" i="11"/>
  <c r="D93" i="11"/>
  <c r="J20" i="45"/>
  <c r="J18" i="45"/>
  <c r="J49" i="45"/>
  <c r="J51" i="45" s="1"/>
  <c r="H6" i="11"/>
  <c r="L93" i="11"/>
  <c r="L96" i="11"/>
  <c r="P18" i="33"/>
  <c r="N52" i="11"/>
  <c r="P49" i="33"/>
  <c r="P51" i="33" s="1"/>
  <c r="P54" i="14" s="1"/>
  <c r="G6" i="11"/>
  <c r="I18" i="45"/>
  <c r="I20" i="45"/>
  <c r="I49" i="45"/>
  <c r="I51" i="45" s="1"/>
  <c r="P93" i="11"/>
  <c r="P96" i="11"/>
  <c r="M52" i="11"/>
  <c r="O49" i="33"/>
  <c r="O51" i="33" s="1"/>
  <c r="O54" i="14" s="1"/>
  <c r="O18" i="33"/>
  <c r="Q96" i="11"/>
  <c r="Q93" i="11"/>
  <c r="J53" i="14"/>
  <c r="H49" i="45"/>
  <c r="H51" i="45" s="1"/>
  <c r="H18" i="45"/>
  <c r="H20" i="45"/>
  <c r="F6" i="11"/>
  <c r="J96" i="11"/>
  <c r="J93" i="11"/>
  <c r="K49" i="33"/>
  <c r="K51" i="33" s="1"/>
  <c r="K54" i="14" s="1"/>
  <c r="I52" i="11"/>
  <c r="K18" i="33"/>
  <c r="N49" i="33"/>
  <c r="N51" i="33" s="1"/>
  <c r="N54" i="14" s="1"/>
  <c r="L52" i="11"/>
  <c r="N18" i="33"/>
  <c r="I53" i="14"/>
  <c r="S49" i="45"/>
  <c r="S51" i="45" s="1"/>
  <c r="Q6" i="11"/>
  <c r="S18" i="45"/>
  <c r="G49" i="45"/>
  <c r="G51" i="45" s="1"/>
  <c r="G18" i="45"/>
  <c r="G20" i="45"/>
  <c r="E6" i="11"/>
  <c r="R53" i="14"/>
  <c r="Q49" i="33"/>
  <c r="Q51" i="33" s="1"/>
  <c r="Q54" i="14" s="1"/>
  <c r="Q18" i="33"/>
  <c r="O52" i="11"/>
  <c r="B24" i="33"/>
  <c r="B26" i="33" s="1"/>
  <c r="B29" i="33" s="1"/>
  <c r="D18" i="33"/>
  <c r="D49" i="33"/>
  <c r="D51" i="33" s="1"/>
  <c r="D54" i="14" s="1"/>
  <c r="B52" i="11"/>
  <c r="C24" i="33"/>
  <c r="C26" i="33" s="1"/>
  <c r="C29" i="33" s="1"/>
  <c r="M18" i="33"/>
  <c r="K52" i="11"/>
  <c r="M49" i="33"/>
  <c r="M51" i="33" s="1"/>
  <c r="M54" i="14" s="1"/>
  <c r="N53" i="14"/>
  <c r="M96" i="11"/>
  <c r="M93" i="11"/>
  <c r="O96" i="11"/>
  <c r="O93" i="11"/>
  <c r="F53" i="14"/>
  <c r="H53" i="14"/>
  <c r="P6" i="11"/>
  <c r="R18" i="45"/>
  <c r="R49" i="45"/>
  <c r="R51" i="45" s="1"/>
  <c r="F18" i="45"/>
  <c r="D6" i="11"/>
  <c r="F20" i="45"/>
  <c r="F49" i="45"/>
  <c r="F51" i="45" s="1"/>
  <c r="L53" i="14"/>
  <c r="E53" i="14"/>
  <c r="G53" i="14"/>
  <c r="Q49" i="45"/>
  <c r="Q51" i="45" s="1"/>
  <c r="Q18" i="45"/>
  <c r="O6" i="11"/>
  <c r="E20" i="45"/>
  <c r="C6" i="11"/>
  <c r="E18" i="45"/>
  <c r="E49" i="45"/>
  <c r="E51" i="45" s="1"/>
  <c r="D52" i="27"/>
  <c r="E52" i="27" s="1"/>
  <c r="F52" i="27" s="1"/>
  <c r="G52" i="27" s="1"/>
  <c r="H52" i="27" s="1"/>
  <c r="I52" i="27" s="1"/>
  <c r="J52" i="27" s="1"/>
  <c r="K52" i="27" s="1"/>
  <c r="L52" i="27" s="1"/>
  <c r="M52" i="27" s="1"/>
  <c r="N52" i="27" s="1"/>
  <c r="O52" i="27" s="1"/>
  <c r="P52" i="27" s="1"/>
  <c r="Q52" i="27" s="1"/>
  <c r="R52" i="27" s="1"/>
  <c r="S52" i="27" s="1"/>
  <c r="D53" i="14"/>
  <c r="S53" i="14"/>
  <c r="P49" i="45"/>
  <c r="P51" i="45" s="1"/>
  <c r="N6" i="11"/>
  <c r="P18" i="45"/>
  <c r="B6" i="11"/>
  <c r="B24" i="45"/>
  <c r="B26" i="45" s="1"/>
  <c r="B29" i="45" s="1"/>
  <c r="D18" i="45"/>
  <c r="D20" i="45"/>
  <c r="C24" i="45"/>
  <c r="C26" i="45" s="1"/>
  <c r="C29" i="45" s="1"/>
  <c r="D49" i="45"/>
  <c r="D51" i="45" s="1"/>
  <c r="D52" i="45" s="1"/>
  <c r="I93" i="11"/>
  <c r="I96" i="11"/>
  <c r="O18" i="45"/>
  <c r="M6" i="11"/>
  <c r="O49" i="45"/>
  <c r="O51" i="45" s="1"/>
  <c r="I18" i="33"/>
  <c r="G52" i="11"/>
  <c r="I49" i="33"/>
  <c r="I51" i="33" s="1"/>
  <c r="I54" i="14" s="1"/>
  <c r="O53" i="14"/>
  <c r="B23" i="34"/>
  <c r="C23" i="34"/>
  <c r="B22" i="34"/>
  <c r="D19" i="34"/>
  <c r="E19" i="34" s="1"/>
  <c r="F19" i="34" s="1"/>
  <c r="G19" i="34" s="1"/>
  <c r="H19" i="34" s="1"/>
  <c r="I19" i="34" s="1"/>
  <c r="J19" i="34" s="1"/>
  <c r="K19" i="34" s="1"/>
  <c r="L19" i="34" s="1"/>
  <c r="M19" i="34" s="1"/>
  <c r="N19" i="34" s="1"/>
  <c r="O19" i="34" s="1"/>
  <c r="P19" i="34" s="1"/>
  <c r="Q19" i="34" s="1"/>
  <c r="R19" i="34" s="1"/>
  <c r="S19" i="34" s="1"/>
  <c r="E22" i="34"/>
  <c r="D22" i="34"/>
  <c r="D23" i="34"/>
  <c r="C22" i="34"/>
  <c r="E23" i="34"/>
  <c r="B23" i="27"/>
  <c r="C23" i="27"/>
  <c r="B22" i="27"/>
  <c r="C22" i="27"/>
  <c r="D19" i="27"/>
  <c r="E19" i="27" s="1"/>
  <c r="F19" i="27" s="1"/>
  <c r="G19" i="27" s="1"/>
  <c r="H19" i="27" s="1"/>
  <c r="I19" i="27" s="1"/>
  <c r="J19" i="27" s="1"/>
  <c r="K19" i="27" s="1"/>
  <c r="L19" i="27" s="1"/>
  <c r="M19" i="27" s="1"/>
  <c r="N19" i="27" s="1"/>
  <c r="O19" i="27" s="1"/>
  <c r="P19" i="27" s="1"/>
  <c r="Q19" i="27" s="1"/>
  <c r="R19" i="27" s="1"/>
  <c r="S19" i="27" s="1"/>
  <c r="Q53" i="14"/>
  <c r="N18" i="45"/>
  <c r="N49" i="45"/>
  <c r="N51" i="45" s="1"/>
  <c r="L6" i="11"/>
  <c r="K93" i="11"/>
  <c r="K96" i="11"/>
  <c r="H49" i="33"/>
  <c r="H51" i="33" s="1"/>
  <c r="H54" i="14" s="1"/>
  <c r="F52" i="11"/>
  <c r="H18" i="33"/>
  <c r="B96" i="11"/>
  <c r="V88" i="11"/>
  <c r="B93" i="11"/>
  <c r="P53" i="14"/>
  <c r="F96" i="11"/>
  <c r="F93" i="11"/>
  <c r="G93" i="11"/>
  <c r="G96" i="11"/>
  <c r="M49" i="45"/>
  <c r="M51" i="45" s="1"/>
  <c r="K6" i="11"/>
  <c r="M20" i="45"/>
  <c r="M18" i="45"/>
  <c r="E93" i="11"/>
  <c r="E96" i="11"/>
  <c r="H96" i="11"/>
  <c r="H93" i="11"/>
  <c r="J6" i="11"/>
  <c r="L49" i="45"/>
  <c r="L51" i="45" s="1"/>
  <c r="L20" i="45"/>
  <c r="L18" i="45"/>
  <c r="K53" i="14"/>
  <c r="M53" i="14"/>
  <c r="L49" i="33"/>
  <c r="L51" i="33" s="1"/>
  <c r="L54" i="14" s="1"/>
  <c r="L18" i="33"/>
  <c r="J52" i="11"/>
  <c r="H52" i="11"/>
  <c r="J18" i="33"/>
  <c r="J49" i="33"/>
  <c r="J51" i="33" s="1"/>
  <c r="J54" i="14" s="1"/>
  <c r="S49" i="33"/>
  <c r="S51" i="33" s="1"/>
  <c r="S54" i="14" s="1"/>
  <c r="S18" i="33"/>
  <c r="Q52" i="11"/>
  <c r="E52" i="11"/>
  <c r="G49" i="33"/>
  <c r="G51" i="33" s="1"/>
  <c r="G54" i="14" s="1"/>
  <c r="G18" i="33"/>
  <c r="R18" i="33"/>
  <c r="R49" i="33"/>
  <c r="R51" i="33" s="1"/>
  <c r="R54" i="14" s="1"/>
  <c r="P52" i="11"/>
  <c r="F18" i="33"/>
  <c r="D52" i="11"/>
  <c r="F49" i="33"/>
  <c r="F51" i="33" s="1"/>
  <c r="F54" i="14" s="1"/>
  <c r="C93" i="11"/>
  <c r="C96" i="11"/>
  <c r="K18" i="45"/>
  <c r="I6" i="11"/>
  <c r="K20" i="45"/>
  <c r="K49" i="45"/>
  <c r="K51" i="45" s="1"/>
  <c r="HA13" i="24" l="1"/>
  <c r="IG12" i="10"/>
  <c r="IH12" i="10" s="1"/>
  <c r="II12" i="10" s="1"/>
  <c r="IJ12" i="10" s="1"/>
  <c r="IK12" i="10" s="1"/>
  <c r="IL12" i="10" s="1"/>
  <c r="IM12" i="10" s="1"/>
  <c r="IN12" i="10" s="1"/>
  <c r="IO12" i="10" s="1"/>
  <c r="IP12" i="10" s="1"/>
  <c r="IQ12" i="10" s="1"/>
  <c r="IR12" i="10" s="1"/>
  <c r="V19" i="10"/>
  <c r="HC13" i="8"/>
  <c r="HC38" i="7"/>
  <c r="T36" i="7"/>
  <c r="HC13" i="34"/>
  <c r="T16" i="8"/>
  <c r="T18" i="8" s="1"/>
  <c r="HC13" i="25"/>
  <c r="T16" i="25"/>
  <c r="T18" i="25" s="1"/>
  <c r="T19" i="25" s="1"/>
  <c r="HB12" i="45"/>
  <c r="HB13" i="45" s="1"/>
  <c r="T16" i="34"/>
  <c r="HA7" i="23"/>
  <c r="HB31" i="23" s="1"/>
  <c r="HB33" i="23" s="1"/>
  <c r="HB38" i="23" s="1"/>
  <c r="HT49" i="10"/>
  <c r="HA5" i="24"/>
  <c r="HB8" i="24" s="1"/>
  <c r="HB12" i="24" s="1"/>
  <c r="HA39" i="23"/>
  <c r="HV69" i="10"/>
  <c r="HC5" i="34"/>
  <c r="HD8" i="34" s="1"/>
  <c r="HD12" i="34" s="1"/>
  <c r="HC5" i="25"/>
  <c r="HD8" i="25" s="1"/>
  <c r="HD12" i="25" s="1"/>
  <c r="HC7" i="26"/>
  <c r="HD31" i="26" s="1"/>
  <c r="HD33" i="26" s="1"/>
  <c r="HD38" i="26" s="1"/>
  <c r="HC38" i="26"/>
  <c r="T36" i="26"/>
  <c r="HC5" i="8"/>
  <c r="HD8" i="8" s="1"/>
  <c r="HD12" i="8" s="1"/>
  <c r="HC5" i="27"/>
  <c r="HD8" i="27" s="1"/>
  <c r="HD12" i="27" s="1"/>
  <c r="HC7" i="7"/>
  <c r="HD31" i="7" s="1"/>
  <c r="HD33" i="7" s="1"/>
  <c r="HD38" i="7" s="1"/>
  <c r="HV9" i="10"/>
  <c r="HC7" i="46"/>
  <c r="HB7" i="13"/>
  <c r="HU10" i="10"/>
  <c r="HB5" i="33"/>
  <c r="HC8" i="33" s="1"/>
  <c r="HB5" i="45"/>
  <c r="HC8" i="45" s="1"/>
  <c r="HC12" i="45" s="1"/>
  <c r="HC12" i="27"/>
  <c r="HC13" i="27" s="1"/>
  <c r="T16" i="27"/>
  <c r="E52" i="45"/>
  <c r="F52" i="45" s="1"/>
  <c r="G52" i="45" s="1"/>
  <c r="H52" i="45" s="1"/>
  <c r="I52" i="45" s="1"/>
  <c r="J52" i="45" s="1"/>
  <c r="K52" i="45" s="1"/>
  <c r="L52" i="45" s="1"/>
  <c r="M52" i="45" s="1"/>
  <c r="N52" i="45" s="1"/>
  <c r="O52" i="45" s="1"/>
  <c r="P52" i="45" s="1"/>
  <c r="Q52" i="45" s="1"/>
  <c r="R52" i="45" s="1"/>
  <c r="S52" i="45" s="1"/>
  <c r="D11" i="11"/>
  <c r="D14" i="11"/>
  <c r="D7" i="44" s="1"/>
  <c r="D8" i="44" s="1"/>
  <c r="D12" i="44" s="1"/>
  <c r="D27" i="11"/>
  <c r="M94" i="11"/>
  <c r="M98" i="11"/>
  <c r="M113" i="11"/>
  <c r="M114" i="11" s="1"/>
  <c r="L98" i="11"/>
  <c r="L94" i="11"/>
  <c r="L113" i="11"/>
  <c r="F57" i="11"/>
  <c r="F60" i="11"/>
  <c r="M14" i="11"/>
  <c r="M7" i="44" s="1"/>
  <c r="M8" i="44" s="1"/>
  <c r="M12" i="44" s="1"/>
  <c r="M27" i="11"/>
  <c r="M11" i="11"/>
  <c r="C23" i="33"/>
  <c r="B22" i="33"/>
  <c r="D19" i="33"/>
  <c r="E19" i="33" s="1"/>
  <c r="F19" i="33" s="1"/>
  <c r="G19" i="33" s="1"/>
  <c r="H19" i="33" s="1"/>
  <c r="I19" i="33" s="1"/>
  <c r="J19" i="33" s="1"/>
  <c r="K19" i="33" s="1"/>
  <c r="L19" i="33" s="1"/>
  <c r="M19" i="33" s="1"/>
  <c r="N19" i="33" s="1"/>
  <c r="O19" i="33" s="1"/>
  <c r="P19" i="33" s="1"/>
  <c r="Q19" i="33" s="1"/>
  <c r="R19" i="33" s="1"/>
  <c r="S19" i="33" s="1"/>
  <c r="D23" i="33"/>
  <c r="B23" i="33"/>
  <c r="D113" i="11"/>
  <c r="D94" i="11"/>
  <c r="D98" i="11"/>
  <c r="Q14" i="11"/>
  <c r="Q7" i="44" s="1"/>
  <c r="Q8" i="44" s="1"/>
  <c r="Q12" i="44" s="1"/>
  <c r="Q11" i="11"/>
  <c r="Q27" i="11"/>
  <c r="J11" i="11"/>
  <c r="J27" i="11"/>
  <c r="J14" i="11"/>
  <c r="J7" i="44" s="1"/>
  <c r="J8" i="44" s="1"/>
  <c r="J12" i="44" s="1"/>
  <c r="K113" i="11"/>
  <c r="K94" i="11"/>
  <c r="K98" i="11"/>
  <c r="I113" i="11"/>
  <c r="I98" i="11"/>
  <c r="I94" i="11"/>
  <c r="B27" i="11"/>
  <c r="X8" i="11"/>
  <c r="B14" i="11"/>
  <c r="V6" i="11"/>
  <c r="B11" i="11"/>
  <c r="X7" i="11"/>
  <c r="P11" i="11"/>
  <c r="P27" i="11"/>
  <c r="P14" i="11"/>
  <c r="P7" i="44" s="1"/>
  <c r="P8" i="44" s="1"/>
  <c r="P12" i="44" s="1"/>
  <c r="I60" i="11"/>
  <c r="I57" i="11"/>
  <c r="N98" i="11"/>
  <c r="N94" i="11"/>
  <c r="N113" i="11"/>
  <c r="N114" i="11" s="1"/>
  <c r="K57" i="11"/>
  <c r="K60" i="11"/>
  <c r="M60" i="11"/>
  <c r="M57" i="11"/>
  <c r="B22" i="45"/>
  <c r="D19" i="45"/>
  <c r="E19" i="45" s="1"/>
  <c r="F19" i="45" s="1"/>
  <c r="G19" i="45" s="1"/>
  <c r="H19" i="45" s="1"/>
  <c r="I19" i="45" s="1"/>
  <c r="J19" i="45" s="1"/>
  <c r="K19" i="45" s="1"/>
  <c r="L19" i="45" s="1"/>
  <c r="M19" i="45" s="1"/>
  <c r="N19" i="45" s="1"/>
  <c r="O19" i="45" s="1"/>
  <c r="P19" i="45" s="1"/>
  <c r="Q19" i="45" s="1"/>
  <c r="R19" i="45" s="1"/>
  <c r="S19" i="45" s="1"/>
  <c r="C22" i="45"/>
  <c r="B23" i="45"/>
  <c r="C23" i="45"/>
  <c r="D22" i="45"/>
  <c r="D23" i="45"/>
  <c r="N11" i="11"/>
  <c r="N27" i="11"/>
  <c r="N14" i="11"/>
  <c r="N7" i="44" s="1"/>
  <c r="N8" i="44" s="1"/>
  <c r="N12" i="44" s="1"/>
  <c r="J94" i="11"/>
  <c r="J113" i="11"/>
  <c r="J98" i="11"/>
  <c r="H60" i="11"/>
  <c r="H57" i="11"/>
  <c r="J57" i="11"/>
  <c r="J60" i="11"/>
  <c r="H94" i="11"/>
  <c r="H113" i="11"/>
  <c r="H98" i="11"/>
  <c r="E60" i="11"/>
  <c r="E57" i="11"/>
  <c r="G60" i="11"/>
  <c r="G57" i="11"/>
  <c r="Q113" i="11"/>
  <c r="Q114" i="11" s="1"/>
  <c r="Q94" i="11"/>
  <c r="Q98" i="11"/>
  <c r="P94" i="11"/>
  <c r="P98" i="11"/>
  <c r="P113" i="11"/>
  <c r="P114" i="11" s="1"/>
  <c r="C60" i="11"/>
  <c r="C57" i="11"/>
  <c r="H14" i="11"/>
  <c r="H7" i="44" s="1"/>
  <c r="H8" i="44" s="1"/>
  <c r="H12" i="44" s="1"/>
  <c r="H27" i="11"/>
  <c r="H11" i="11"/>
  <c r="L27" i="11"/>
  <c r="L11" i="11"/>
  <c r="L14" i="11"/>
  <c r="L7" i="44" s="1"/>
  <c r="L8" i="44" s="1"/>
  <c r="L12" i="44" s="1"/>
  <c r="Q60" i="11"/>
  <c r="Q57" i="11"/>
  <c r="B113" i="11"/>
  <c r="V113" i="11" s="1"/>
  <c r="B94" i="11"/>
  <c r="B98" i="11"/>
  <c r="V93" i="11"/>
  <c r="C27" i="11"/>
  <c r="C11" i="11"/>
  <c r="C14" i="11"/>
  <c r="C7" i="44" s="1"/>
  <c r="C8" i="44" s="1"/>
  <c r="C12" i="44" s="1"/>
  <c r="F11" i="11"/>
  <c r="F27" i="11"/>
  <c r="F14" i="11"/>
  <c r="F7" i="44" s="1"/>
  <c r="F8" i="44" s="1"/>
  <c r="F12" i="44" s="1"/>
  <c r="E11" i="11"/>
  <c r="E14" i="11"/>
  <c r="E7" i="44" s="1"/>
  <c r="E8" i="44" s="1"/>
  <c r="E12" i="44" s="1"/>
  <c r="E27" i="11"/>
  <c r="L60" i="11"/>
  <c r="L57" i="11"/>
  <c r="N60" i="11"/>
  <c r="N57" i="11"/>
  <c r="D57" i="11"/>
  <c r="D60" i="11"/>
  <c r="I27" i="11"/>
  <c r="I11" i="11"/>
  <c r="I14" i="11"/>
  <c r="I7" i="44" s="1"/>
  <c r="I8" i="44" s="1"/>
  <c r="I12" i="44" s="1"/>
  <c r="O57" i="11"/>
  <c r="O60" i="11"/>
  <c r="K11" i="11"/>
  <c r="K14" i="11"/>
  <c r="K7" i="44" s="1"/>
  <c r="K8" i="44" s="1"/>
  <c r="K12" i="44" s="1"/>
  <c r="K27" i="11"/>
  <c r="W90" i="11"/>
  <c r="W92" i="11"/>
  <c r="W91" i="11"/>
  <c r="W89" i="11"/>
  <c r="C98" i="11"/>
  <c r="C113" i="11"/>
  <c r="C94" i="11"/>
  <c r="V96" i="11"/>
  <c r="W96" i="11" s="1"/>
  <c r="O11" i="11"/>
  <c r="O14" i="11"/>
  <c r="O7" i="44" s="1"/>
  <c r="O8" i="44" s="1"/>
  <c r="O12" i="44" s="1"/>
  <c r="O27" i="11"/>
  <c r="O94" i="11"/>
  <c r="O113" i="11"/>
  <c r="O114" i="11" s="1"/>
  <c r="O98" i="11"/>
  <c r="P60" i="11"/>
  <c r="P57" i="11"/>
  <c r="G94" i="11"/>
  <c r="G98" i="11"/>
  <c r="G113" i="11"/>
  <c r="F98" i="11"/>
  <c r="F94" i="11"/>
  <c r="F113" i="11"/>
  <c r="E113" i="11"/>
  <c r="E98" i="11"/>
  <c r="E94" i="11"/>
  <c r="B60" i="11"/>
  <c r="V52" i="11"/>
  <c r="B57" i="11"/>
  <c r="G14" i="11"/>
  <c r="G7" i="44" s="1"/>
  <c r="G8" i="44" s="1"/>
  <c r="G12" i="44" s="1"/>
  <c r="G11" i="11"/>
  <c r="G27" i="11"/>
  <c r="HB13" i="24" l="1"/>
  <c r="IS12" i="10"/>
  <c r="HD13" i="8"/>
  <c r="T42" i="7"/>
  <c r="T43" i="7" s="1"/>
  <c r="HC39" i="7"/>
  <c r="HD39" i="7" s="1"/>
  <c r="HD13" i="34"/>
  <c r="HD13" i="25"/>
  <c r="HC13" i="45"/>
  <c r="HW69" i="10"/>
  <c r="HD5" i="34"/>
  <c r="HE8" i="34" s="1"/>
  <c r="HE12" i="34" s="1"/>
  <c r="HD5" i="25"/>
  <c r="HE8" i="25" s="1"/>
  <c r="HE12" i="25" s="1"/>
  <c r="HE13" i="25" s="1"/>
  <c r="HD7" i="26"/>
  <c r="HE31" i="26" s="1"/>
  <c r="HE33" i="26" s="1"/>
  <c r="HE38" i="26" s="1"/>
  <c r="HC12" i="33"/>
  <c r="HC13" i="33" s="1"/>
  <c r="T16" i="33"/>
  <c r="HB7" i="23"/>
  <c r="HC31" i="23" s="1"/>
  <c r="HC33" i="23" s="1"/>
  <c r="HU49" i="10"/>
  <c r="HB5" i="24"/>
  <c r="HC8" i="24" s="1"/>
  <c r="HB39" i="23"/>
  <c r="HC39" i="26"/>
  <c r="HD39" i="26" s="1"/>
  <c r="T42" i="26"/>
  <c r="T43" i="26" s="1"/>
  <c r="HD5" i="27"/>
  <c r="HE8" i="27" s="1"/>
  <c r="HE12" i="27" s="1"/>
  <c r="HD5" i="8"/>
  <c r="HE8" i="8" s="1"/>
  <c r="HE12" i="8" s="1"/>
  <c r="HD7" i="7"/>
  <c r="HE31" i="7" s="1"/>
  <c r="HE33" i="7" s="1"/>
  <c r="HE38" i="7" s="1"/>
  <c r="HD7" i="46"/>
  <c r="HW9" i="10"/>
  <c r="T49" i="34"/>
  <c r="T51" i="34" s="1"/>
  <c r="T55" i="14" s="1"/>
  <c r="T18" i="34"/>
  <c r="T19" i="34" s="1"/>
  <c r="R88" i="11"/>
  <c r="HC7" i="13"/>
  <c r="HC5" i="45"/>
  <c r="HD8" i="45" s="1"/>
  <c r="HD12" i="45" s="1"/>
  <c r="HV10" i="10"/>
  <c r="HC5" i="33"/>
  <c r="HD8" i="33" s="1"/>
  <c r="HD12" i="33" s="1"/>
  <c r="T16" i="45"/>
  <c r="HD13" i="27"/>
  <c r="T18" i="27"/>
  <c r="T19" i="27" s="1"/>
  <c r="T49" i="27"/>
  <c r="T51" i="27" s="1"/>
  <c r="F102" i="11"/>
  <c r="F105" i="11" s="1"/>
  <c r="F99" i="11"/>
  <c r="G102" i="11"/>
  <c r="G105" i="11" s="1"/>
  <c r="G99" i="11"/>
  <c r="J12" i="11"/>
  <c r="J16" i="11"/>
  <c r="J32" i="11"/>
  <c r="H99" i="11"/>
  <c r="H102" i="11"/>
  <c r="H105" i="11" s="1"/>
  <c r="J102" i="11"/>
  <c r="J105" i="11" s="1"/>
  <c r="J99" i="11"/>
  <c r="V14" i="11"/>
  <c r="W14" i="11" s="1"/>
  <c r="B7" i="44"/>
  <c r="B8" i="44" s="1"/>
  <c r="B12" i="44" s="1"/>
  <c r="M32" i="11"/>
  <c r="M12" i="11"/>
  <c r="M16" i="11"/>
  <c r="D62" i="11"/>
  <c r="D77" i="11"/>
  <c r="D58" i="11"/>
  <c r="Q62" i="11"/>
  <c r="Q77" i="11"/>
  <c r="Q58" i="11"/>
  <c r="F16" i="11"/>
  <c r="F12" i="11"/>
  <c r="F32" i="11"/>
  <c r="G77" i="11"/>
  <c r="G62" i="11"/>
  <c r="G58" i="11"/>
  <c r="M62" i="11"/>
  <c r="M58" i="11"/>
  <c r="M77" i="11"/>
  <c r="V27" i="11"/>
  <c r="O16" i="11"/>
  <c r="O32" i="11"/>
  <c r="O12" i="11"/>
  <c r="K32" i="11"/>
  <c r="K12" i="11"/>
  <c r="K16" i="11"/>
  <c r="N77" i="11"/>
  <c r="N62" i="11"/>
  <c r="N58" i="11"/>
  <c r="I77" i="11"/>
  <c r="I62" i="11"/>
  <c r="I58" i="11"/>
  <c r="P102" i="11"/>
  <c r="P105" i="11" s="1"/>
  <c r="P99" i="11"/>
  <c r="J58" i="11"/>
  <c r="J62" i="11"/>
  <c r="J77" i="11"/>
  <c r="I99" i="11"/>
  <c r="I102" i="11"/>
  <c r="I105" i="11" s="1"/>
  <c r="Q16" i="11"/>
  <c r="Q12" i="11"/>
  <c r="Q32" i="11"/>
  <c r="F77" i="11"/>
  <c r="F62" i="11"/>
  <c r="F58" i="11"/>
  <c r="L62" i="11"/>
  <c r="L77" i="11"/>
  <c r="L58" i="11"/>
  <c r="C12" i="11"/>
  <c r="C32" i="11"/>
  <c r="C16" i="11"/>
  <c r="K62" i="11"/>
  <c r="K77" i="11"/>
  <c r="K58" i="11"/>
  <c r="M99" i="11"/>
  <c r="M102" i="11"/>
  <c r="M105" i="11" s="1"/>
  <c r="P58" i="11"/>
  <c r="P77" i="11"/>
  <c r="P62" i="11"/>
  <c r="C58" i="11"/>
  <c r="C77" i="11"/>
  <c r="C62" i="11"/>
  <c r="G32" i="11"/>
  <c r="G16" i="11"/>
  <c r="G12" i="11"/>
  <c r="E102" i="11"/>
  <c r="E105" i="11" s="1"/>
  <c r="E99" i="11"/>
  <c r="O58" i="11"/>
  <c r="O77" i="11"/>
  <c r="O62" i="11"/>
  <c r="L32" i="11"/>
  <c r="L16" i="11"/>
  <c r="L12" i="11"/>
  <c r="H58" i="11"/>
  <c r="H62" i="11"/>
  <c r="H77" i="11"/>
  <c r="N16" i="11"/>
  <c r="N32" i="11"/>
  <c r="N12" i="11"/>
  <c r="K99" i="11"/>
  <c r="K102" i="11"/>
  <c r="K105" i="11" s="1"/>
  <c r="D99" i="11"/>
  <c r="D102" i="11"/>
  <c r="D105" i="11" s="1"/>
  <c r="E58" i="11"/>
  <c r="E62" i="11"/>
  <c r="E77" i="11"/>
  <c r="D16" i="11"/>
  <c r="D32" i="11"/>
  <c r="D12" i="11"/>
  <c r="B77" i="11"/>
  <c r="B58" i="11"/>
  <c r="V57" i="11"/>
  <c r="B62" i="11"/>
  <c r="C102" i="11"/>
  <c r="C105" i="11" s="1"/>
  <c r="C99" i="11"/>
  <c r="H16" i="11"/>
  <c r="H12" i="11"/>
  <c r="H32" i="11"/>
  <c r="P12" i="11"/>
  <c r="P32" i="11"/>
  <c r="P16" i="11"/>
  <c r="W54" i="11"/>
  <c r="W55" i="11"/>
  <c r="W56" i="11"/>
  <c r="W53" i="11"/>
  <c r="O102" i="11"/>
  <c r="O105" i="11" s="1"/>
  <c r="O99" i="11"/>
  <c r="I32" i="11"/>
  <c r="I16" i="11"/>
  <c r="I12" i="11"/>
  <c r="E32" i="11"/>
  <c r="E16" i="11"/>
  <c r="E12" i="11"/>
  <c r="B99" i="11"/>
  <c r="V98" i="11"/>
  <c r="B102" i="11"/>
  <c r="Q99" i="11"/>
  <c r="Q102" i="11"/>
  <c r="Q105" i="11" s="1"/>
  <c r="V60" i="11"/>
  <c r="W60" i="11" s="1"/>
  <c r="N102" i="11"/>
  <c r="N105" i="11" s="1"/>
  <c r="N99" i="11"/>
  <c r="B16" i="11"/>
  <c r="B12" i="11"/>
  <c r="V11" i="11"/>
  <c r="B32" i="11"/>
  <c r="L102" i="11"/>
  <c r="L105" i="11" s="1"/>
  <c r="L99" i="11"/>
  <c r="IT12" i="10" l="1"/>
  <c r="IU12" i="10" s="1"/>
  <c r="IV12" i="10" s="1"/>
  <c r="IW12" i="10" s="1"/>
  <c r="IX12" i="10" s="1"/>
  <c r="IY12" i="10" s="1"/>
  <c r="IZ12" i="10" s="1"/>
  <c r="JA12" i="10" s="1"/>
  <c r="JB12" i="10" s="1"/>
  <c r="JC12" i="10" s="1"/>
  <c r="JD12" i="10" s="1"/>
  <c r="JE12" i="10" s="1"/>
  <c r="W19" i="10"/>
  <c r="HE13" i="8"/>
  <c r="HE13" i="34"/>
  <c r="HE39" i="7"/>
  <c r="HD13" i="45"/>
  <c r="HE13" i="27"/>
  <c r="HE39" i="26"/>
  <c r="HD13" i="33"/>
  <c r="HC5" i="24"/>
  <c r="HD8" i="24" s="1"/>
  <c r="HD12" i="24" s="1"/>
  <c r="HC7" i="23"/>
  <c r="HD31" i="23" s="1"/>
  <c r="HD33" i="23" s="1"/>
  <c r="HD38" i="23" s="1"/>
  <c r="HV49" i="10"/>
  <c r="HW10" i="10"/>
  <c r="HD5" i="45"/>
  <c r="HE8" i="45" s="1"/>
  <c r="HE12" i="45" s="1"/>
  <c r="HD5" i="33"/>
  <c r="HE8" i="33" s="1"/>
  <c r="HE12" i="33" s="1"/>
  <c r="HD7" i="13"/>
  <c r="HC38" i="23"/>
  <c r="T36" i="23"/>
  <c r="R96" i="11"/>
  <c r="R93" i="11"/>
  <c r="HC12" i="24"/>
  <c r="HC13" i="24" s="1"/>
  <c r="T16" i="24"/>
  <c r="T18" i="24" s="1"/>
  <c r="T19" i="24" s="1"/>
  <c r="HX9" i="10"/>
  <c r="HE7" i="46"/>
  <c r="HE5" i="8"/>
  <c r="HF8" i="8" s="1"/>
  <c r="HF12" i="8" s="1"/>
  <c r="HE5" i="27"/>
  <c r="HF8" i="27" s="1"/>
  <c r="HF12" i="27" s="1"/>
  <c r="HE7" i="7"/>
  <c r="HF31" i="7" s="1"/>
  <c r="HF33" i="7" s="1"/>
  <c r="HF38" i="7" s="1"/>
  <c r="T49" i="33"/>
  <c r="T51" i="33" s="1"/>
  <c r="T54" i="14" s="1"/>
  <c r="T18" i="33"/>
  <c r="T19" i="33" s="1"/>
  <c r="R52" i="11"/>
  <c r="T18" i="45"/>
  <c r="T19" i="45" s="1"/>
  <c r="R6" i="11"/>
  <c r="T49" i="45"/>
  <c r="T51" i="45" s="1"/>
  <c r="T52" i="45" s="1"/>
  <c r="HE5" i="34"/>
  <c r="HF8" i="34" s="1"/>
  <c r="HF12" i="34" s="1"/>
  <c r="HX69" i="10"/>
  <c r="HE7" i="26"/>
  <c r="HF31" i="26" s="1"/>
  <c r="HF33" i="26" s="1"/>
  <c r="HF38" i="26" s="1"/>
  <c r="HE5" i="25"/>
  <c r="HF8" i="25" s="1"/>
  <c r="HF12" i="25" s="1"/>
  <c r="HF13" i="25" s="1"/>
  <c r="T53" i="14"/>
  <c r="T52" i="27"/>
  <c r="V16" i="11"/>
  <c r="B20" i="11"/>
  <c r="B23" i="11" s="1"/>
  <c r="B17" i="11"/>
  <c r="M63" i="11"/>
  <c r="M66" i="11"/>
  <c r="M69" i="11" s="1"/>
  <c r="M17" i="11"/>
  <c r="M20" i="11"/>
  <c r="M23" i="11" s="1"/>
  <c r="J17" i="11"/>
  <c r="J20" i="11"/>
  <c r="J23" i="11" s="1"/>
  <c r="P17" i="11"/>
  <c r="P20" i="11"/>
  <c r="P23" i="11" s="1"/>
  <c r="M107" i="11"/>
  <c r="M108" i="11"/>
  <c r="N108" i="11"/>
  <c r="N107" i="11"/>
  <c r="D17" i="11"/>
  <c r="D20" i="11"/>
  <c r="D23" i="11" s="1"/>
  <c r="L66" i="11"/>
  <c r="L69" i="11" s="1"/>
  <c r="L63" i="11"/>
  <c r="J63" i="11"/>
  <c r="J66" i="11"/>
  <c r="J69" i="11" s="1"/>
  <c r="E17" i="11"/>
  <c r="E20" i="11"/>
  <c r="E23" i="11" s="1"/>
  <c r="E107" i="11"/>
  <c r="E114" i="11" s="1"/>
  <c r="E108" i="11"/>
  <c r="K17" i="11"/>
  <c r="K20" i="11"/>
  <c r="K23" i="11" s="1"/>
  <c r="H66" i="11"/>
  <c r="H69" i="11" s="1"/>
  <c r="H63" i="11"/>
  <c r="G20" i="11"/>
  <c r="G23" i="11" s="1"/>
  <c r="G17" i="11"/>
  <c r="Q63" i="11"/>
  <c r="Q66" i="11"/>
  <c r="Q69" i="11" s="1"/>
  <c r="F66" i="11"/>
  <c r="F69" i="11" s="1"/>
  <c r="F63" i="11"/>
  <c r="F20" i="11"/>
  <c r="F23" i="11" s="1"/>
  <c r="F17" i="11"/>
  <c r="J107" i="11"/>
  <c r="J114" i="11" s="1"/>
  <c r="J108" i="11"/>
  <c r="H107" i="11"/>
  <c r="H114" i="11" s="1"/>
  <c r="H108" i="11"/>
  <c r="E63" i="11"/>
  <c r="E66" i="11"/>
  <c r="E69" i="11" s="1"/>
  <c r="D108" i="11"/>
  <c r="D107" i="11"/>
  <c r="D114" i="11" s="1"/>
  <c r="O20" i="11"/>
  <c r="O23" i="11" s="1"/>
  <c r="O17" i="11"/>
  <c r="D66" i="11"/>
  <c r="D69" i="11" s="1"/>
  <c r="D63" i="11"/>
  <c r="N66" i="11"/>
  <c r="N69" i="11" s="1"/>
  <c r="N63" i="11"/>
  <c r="C66" i="11"/>
  <c r="C69" i="11" s="1"/>
  <c r="C63" i="11"/>
  <c r="C107" i="11"/>
  <c r="C114" i="11" s="1"/>
  <c r="C108" i="11"/>
  <c r="G107" i="11"/>
  <c r="G114" i="11" s="1"/>
  <c r="G108" i="11"/>
  <c r="N20" i="11"/>
  <c r="N23" i="11" s="1"/>
  <c r="N17" i="11"/>
  <c r="Q108" i="11"/>
  <c r="Q107" i="11"/>
  <c r="L108" i="11"/>
  <c r="L107" i="11"/>
  <c r="L114" i="11" s="1"/>
  <c r="I63" i="11"/>
  <c r="I66" i="11"/>
  <c r="I69" i="11" s="1"/>
  <c r="G66" i="11"/>
  <c r="G69" i="11" s="1"/>
  <c r="G63" i="11"/>
  <c r="I20" i="11"/>
  <c r="I23" i="11" s="1"/>
  <c r="I17" i="11"/>
  <c r="H20" i="11"/>
  <c r="H23" i="11" s="1"/>
  <c r="H17" i="11"/>
  <c r="K66" i="11"/>
  <c r="K69" i="11" s="1"/>
  <c r="K63" i="11"/>
  <c r="P108" i="11"/>
  <c r="P107" i="11"/>
  <c r="O107" i="11"/>
  <c r="O108" i="11"/>
  <c r="L20" i="11"/>
  <c r="L23" i="11" s="1"/>
  <c r="L17" i="11"/>
  <c r="V62" i="11"/>
  <c r="B63" i="11"/>
  <c r="B66" i="11"/>
  <c r="K108" i="11"/>
  <c r="K107" i="11"/>
  <c r="K114" i="11" s="1"/>
  <c r="P63" i="11"/>
  <c r="P66" i="11"/>
  <c r="P69" i="11" s="1"/>
  <c r="Q17" i="11"/>
  <c r="Q20" i="11"/>
  <c r="Q23" i="11" s="1"/>
  <c r="B105" i="11"/>
  <c r="V102" i="11"/>
  <c r="O63" i="11"/>
  <c r="O66" i="11"/>
  <c r="O69" i="11" s="1"/>
  <c r="C17" i="11"/>
  <c r="C20" i="11"/>
  <c r="C23" i="11" s="1"/>
  <c r="I107" i="11"/>
  <c r="I114" i="11" s="1"/>
  <c r="I108" i="11"/>
  <c r="F107" i="11"/>
  <c r="F114" i="11" s="1"/>
  <c r="F108" i="11"/>
  <c r="HE13" i="45" l="1"/>
  <c r="HF13" i="8"/>
  <c r="HF13" i="34"/>
  <c r="HF39" i="7"/>
  <c r="HF39" i="26"/>
  <c r="HF13" i="27"/>
  <c r="HE13" i="33"/>
  <c r="HF7" i="26"/>
  <c r="HG31" i="26" s="1"/>
  <c r="HG33" i="26" s="1"/>
  <c r="HG38" i="26" s="1"/>
  <c r="HG39" i="26" s="1"/>
  <c r="HF5" i="34"/>
  <c r="HG8" i="34" s="1"/>
  <c r="HG12" i="34" s="1"/>
  <c r="HG13" i="34" s="1"/>
  <c r="HF5" i="25"/>
  <c r="HG8" i="25" s="1"/>
  <c r="HG12" i="25" s="1"/>
  <c r="HG13" i="25" s="1"/>
  <c r="HY69" i="10"/>
  <c r="HC39" i="23"/>
  <c r="HD39" i="23" s="1"/>
  <c r="T42" i="23"/>
  <c r="T43" i="23" s="1"/>
  <c r="R113" i="11"/>
  <c r="R114" i="11" s="1"/>
  <c r="R94" i="11"/>
  <c r="R98" i="11"/>
  <c r="R11" i="11"/>
  <c r="R27" i="11"/>
  <c r="R14" i="11"/>
  <c r="R7" i="44" s="1"/>
  <c r="R8" i="44" s="1"/>
  <c r="R12" i="44" s="1"/>
  <c r="HE5" i="45"/>
  <c r="HF8" i="45" s="1"/>
  <c r="HF12" i="45" s="1"/>
  <c r="HE5" i="33"/>
  <c r="HF8" i="33" s="1"/>
  <c r="HF12" i="33" s="1"/>
  <c r="HX10" i="10"/>
  <c r="HE7" i="13"/>
  <c r="HY9" i="10"/>
  <c r="HF5" i="8"/>
  <c r="HG8" i="8" s="1"/>
  <c r="HG12" i="8" s="1"/>
  <c r="HF5" i="27"/>
  <c r="HG8" i="27" s="1"/>
  <c r="HG12" i="27" s="1"/>
  <c r="HF7" i="46"/>
  <c r="HF7" i="7"/>
  <c r="HG31" i="7" s="1"/>
  <c r="HG33" i="7" s="1"/>
  <c r="HG38" i="7" s="1"/>
  <c r="R60" i="11"/>
  <c r="R57" i="11"/>
  <c r="HD7" i="23"/>
  <c r="HE31" i="23" s="1"/>
  <c r="HE33" i="23" s="1"/>
  <c r="HE38" i="23" s="1"/>
  <c r="HW49" i="10"/>
  <c r="HD5" i="24"/>
  <c r="HE8" i="24" s="1"/>
  <c r="HE12" i="24" s="1"/>
  <c r="HD13" i="24"/>
  <c r="D16" i="8"/>
  <c r="L109" i="11"/>
  <c r="L110" i="11" s="1"/>
  <c r="E109" i="11"/>
  <c r="E110" i="11" s="1"/>
  <c r="K109" i="11"/>
  <c r="K110" i="11" s="1"/>
  <c r="D109" i="11"/>
  <c r="D110" i="11" s="1"/>
  <c r="F109" i="11"/>
  <c r="F110" i="11" s="1"/>
  <c r="J109" i="11"/>
  <c r="J110" i="11" s="1"/>
  <c r="P109" i="11"/>
  <c r="P110" i="11" s="1"/>
  <c r="O109" i="11"/>
  <c r="O110" i="11" s="1"/>
  <c r="Q109" i="11"/>
  <c r="Q110" i="11" s="1"/>
  <c r="M109" i="11"/>
  <c r="M110" i="11" s="1"/>
  <c r="I109" i="11"/>
  <c r="I110" i="11" s="1"/>
  <c r="N109" i="11"/>
  <c r="N110" i="11" s="1"/>
  <c r="E71" i="11"/>
  <c r="E78" i="11" s="1"/>
  <c r="E72" i="11"/>
  <c r="F26" i="11"/>
  <c r="F25" i="11"/>
  <c r="H71" i="11"/>
  <c r="H78" i="11" s="1"/>
  <c r="D26" i="11"/>
  <c r="D25" i="11"/>
  <c r="P25" i="11"/>
  <c r="P33" i="11" s="1"/>
  <c r="G71" i="11"/>
  <c r="G78" i="11" s="1"/>
  <c r="J25" i="11"/>
  <c r="J33" i="11" s="1"/>
  <c r="I71" i="11"/>
  <c r="I78" i="11" s="1"/>
  <c r="N25" i="11"/>
  <c r="N33" i="11" s="1"/>
  <c r="N71" i="11"/>
  <c r="N78" i="11" s="1"/>
  <c r="F71" i="11"/>
  <c r="F78" i="11" s="1"/>
  <c r="F72" i="11"/>
  <c r="V105" i="11"/>
  <c r="B108" i="11"/>
  <c r="B107" i="11"/>
  <c r="B69" i="11"/>
  <c r="V66" i="11"/>
  <c r="G109" i="11"/>
  <c r="G110" i="11" s="1"/>
  <c r="H109" i="11"/>
  <c r="H110" i="11" s="1"/>
  <c r="M25" i="11"/>
  <c r="M33" i="11" s="1"/>
  <c r="D72" i="11"/>
  <c r="D71" i="11"/>
  <c r="D78" i="11" s="1"/>
  <c r="E26" i="11"/>
  <c r="E25" i="11"/>
  <c r="Q71" i="11"/>
  <c r="Q78" i="11" s="1"/>
  <c r="M71" i="11"/>
  <c r="M78" i="11" s="1"/>
  <c r="P71" i="11"/>
  <c r="P78" i="11" s="1"/>
  <c r="C72" i="11"/>
  <c r="C71" i="11"/>
  <c r="C78" i="11" s="1"/>
  <c r="J71" i="11"/>
  <c r="J78" i="11" s="1"/>
  <c r="K25" i="11"/>
  <c r="K33" i="11" s="1"/>
  <c r="L25" i="11"/>
  <c r="L33" i="11" s="1"/>
  <c r="C25" i="11"/>
  <c r="C26" i="11"/>
  <c r="O25" i="11"/>
  <c r="O33" i="11" s="1"/>
  <c r="B25" i="11"/>
  <c r="B26" i="11"/>
  <c r="O71" i="11"/>
  <c r="O78" i="11" s="1"/>
  <c r="K71" i="11"/>
  <c r="K78" i="11" s="1"/>
  <c r="Q25" i="11"/>
  <c r="Q33" i="11" s="1"/>
  <c r="H25" i="11"/>
  <c r="H33" i="11" s="1"/>
  <c r="C109" i="11"/>
  <c r="C110" i="11" s="1"/>
  <c r="G25" i="11"/>
  <c r="G33" i="11" s="1"/>
  <c r="I25" i="11"/>
  <c r="I33" i="11" s="1"/>
  <c r="L71" i="11"/>
  <c r="L78" i="11" s="1"/>
  <c r="HF13" i="45" l="1"/>
  <c r="HG13" i="8"/>
  <c r="HG39" i="7"/>
  <c r="HG13" i="27"/>
  <c r="HF13" i="33"/>
  <c r="HE13" i="24"/>
  <c r="R102" i="11"/>
  <c r="R105" i="11" s="1"/>
  <c r="R99" i="11"/>
  <c r="R12" i="11"/>
  <c r="R16" i="11"/>
  <c r="R32" i="11"/>
  <c r="R58" i="11"/>
  <c r="R62" i="11"/>
  <c r="R77" i="11"/>
  <c r="HE39" i="23"/>
  <c r="HG7" i="26"/>
  <c r="HH31" i="26" s="1"/>
  <c r="HH33" i="26" s="1"/>
  <c r="HH38" i="26" s="1"/>
  <c r="HH39" i="26" s="1"/>
  <c r="HG5" i="25"/>
  <c r="HH8" i="25" s="1"/>
  <c r="HH12" i="25" s="1"/>
  <c r="HH13" i="25" s="1"/>
  <c r="HG5" i="34"/>
  <c r="HH8" i="34" s="1"/>
  <c r="HH12" i="34" s="1"/>
  <c r="HH13" i="34" s="1"/>
  <c r="HZ69" i="10"/>
  <c r="HG5" i="8"/>
  <c r="HH8" i="8" s="1"/>
  <c r="HH12" i="8" s="1"/>
  <c r="HG7" i="7"/>
  <c r="HH31" i="7" s="1"/>
  <c r="HH33" i="7" s="1"/>
  <c r="HH38" i="7" s="1"/>
  <c r="HG7" i="46"/>
  <c r="HZ9" i="10"/>
  <c r="HG5" i="27"/>
  <c r="HH8" i="27" s="1"/>
  <c r="HH12" i="27" s="1"/>
  <c r="HE5" i="24"/>
  <c r="HF8" i="24" s="1"/>
  <c r="HF12" i="24" s="1"/>
  <c r="HE7" i="23"/>
  <c r="HF31" i="23" s="1"/>
  <c r="HF33" i="23" s="1"/>
  <c r="HF38" i="23" s="1"/>
  <c r="HX49" i="10"/>
  <c r="HY10" i="10"/>
  <c r="HF5" i="45"/>
  <c r="HG8" i="45" s="1"/>
  <c r="HG12" i="45" s="1"/>
  <c r="HF7" i="13"/>
  <c r="HF5" i="33"/>
  <c r="HG8" i="33" s="1"/>
  <c r="HG12" i="33" s="1"/>
  <c r="D18" i="8"/>
  <c r="D19" i="8" s="1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B24" i="8"/>
  <c r="B26" i="8" s="1"/>
  <c r="B29" i="8" s="1"/>
  <c r="P28" i="11"/>
  <c r="P29" i="11" s="1"/>
  <c r="I73" i="11"/>
  <c r="I74" i="11" s="1"/>
  <c r="J28" i="11"/>
  <c r="J29" i="11" s="1"/>
  <c r="O73" i="11"/>
  <c r="O74" i="11" s="1"/>
  <c r="G28" i="11"/>
  <c r="G29" i="11" s="1"/>
  <c r="L73" i="11"/>
  <c r="L74" i="11" s="1"/>
  <c r="D73" i="11"/>
  <c r="D74" i="11" s="1"/>
  <c r="P73" i="11"/>
  <c r="P74" i="11" s="1"/>
  <c r="N28" i="11"/>
  <c r="N29" i="11" s="1"/>
  <c r="D28" i="11"/>
  <c r="D29" i="11" s="1"/>
  <c r="B28" i="11"/>
  <c r="V28" i="11" s="1"/>
  <c r="E28" i="11"/>
  <c r="E29" i="11" s="1"/>
  <c r="Q28" i="11"/>
  <c r="Q29" i="11" s="1"/>
  <c r="L28" i="11"/>
  <c r="L29" i="11" s="1"/>
  <c r="K73" i="11"/>
  <c r="K74" i="11" s="1"/>
  <c r="I28" i="11"/>
  <c r="I29" i="11" s="1"/>
  <c r="B114" i="11"/>
  <c r="V107" i="11"/>
  <c r="V108" i="11"/>
  <c r="B118" i="11"/>
  <c r="B119" i="11" s="1"/>
  <c r="H73" i="11"/>
  <c r="H74" i="11" s="1"/>
  <c r="Q73" i="11"/>
  <c r="Q74" i="11" s="1"/>
  <c r="F44" i="11"/>
  <c r="F33" i="11"/>
  <c r="M28" i="11"/>
  <c r="M29" i="11" s="1"/>
  <c r="B39" i="11"/>
  <c r="B40" i="11" s="1"/>
  <c r="V26" i="11"/>
  <c r="K28" i="11"/>
  <c r="K29" i="11" s="1"/>
  <c r="E33" i="11"/>
  <c r="E44" i="11"/>
  <c r="F73" i="11"/>
  <c r="F74" i="11" s="1"/>
  <c r="G73" i="11"/>
  <c r="G74" i="11" s="1"/>
  <c r="F28" i="11"/>
  <c r="F29" i="11" s="1"/>
  <c r="V25" i="11"/>
  <c r="B33" i="11"/>
  <c r="B44" i="11"/>
  <c r="J73" i="11"/>
  <c r="J74" i="11" s="1"/>
  <c r="C44" i="11"/>
  <c r="C33" i="11"/>
  <c r="M73" i="11"/>
  <c r="M74" i="11" s="1"/>
  <c r="H28" i="11"/>
  <c r="H29" i="11" s="1"/>
  <c r="O28" i="11"/>
  <c r="O29" i="11" s="1"/>
  <c r="N73" i="11"/>
  <c r="N74" i="11" s="1"/>
  <c r="E73" i="11"/>
  <c r="E74" i="11" s="1"/>
  <c r="D44" i="11"/>
  <c r="D33" i="11"/>
  <c r="C28" i="11"/>
  <c r="C29" i="11" s="1"/>
  <c r="B71" i="11"/>
  <c r="B78" i="11" s="1"/>
  <c r="B72" i="11"/>
  <c r="B82" i="11" s="1"/>
  <c r="B83" i="11" s="1"/>
  <c r="C73" i="11"/>
  <c r="C74" i="11" s="1"/>
  <c r="B109" i="11"/>
  <c r="HG13" i="45" l="1"/>
  <c r="HH13" i="8"/>
  <c r="HH39" i="7"/>
  <c r="HH13" i="27"/>
  <c r="HF13" i="24"/>
  <c r="HF39" i="23"/>
  <c r="HG13" i="33"/>
  <c r="HG5" i="45"/>
  <c r="HH8" i="45" s="1"/>
  <c r="HH12" i="45" s="1"/>
  <c r="HG7" i="13"/>
  <c r="HG5" i="33"/>
  <c r="HH8" i="33" s="1"/>
  <c r="HH12" i="33" s="1"/>
  <c r="HZ10" i="10"/>
  <c r="HH7" i="26"/>
  <c r="HI31" i="26" s="1"/>
  <c r="HI33" i="26" s="1"/>
  <c r="HI38" i="26" s="1"/>
  <c r="HI39" i="26" s="1"/>
  <c r="IA69" i="10"/>
  <c r="HH5" i="34"/>
  <c r="HI8" i="34" s="1"/>
  <c r="HI12" i="34" s="1"/>
  <c r="HI13" i="34" s="1"/>
  <c r="HH5" i="25"/>
  <c r="HI8" i="25" s="1"/>
  <c r="HI12" i="25" s="1"/>
  <c r="HI13" i="25" s="1"/>
  <c r="HH5" i="8"/>
  <c r="HI8" i="8" s="1"/>
  <c r="HI12" i="8" s="1"/>
  <c r="HH7" i="7"/>
  <c r="HI31" i="7" s="1"/>
  <c r="HI33" i="7" s="1"/>
  <c r="HI38" i="7" s="1"/>
  <c r="HH5" i="27"/>
  <c r="HI8" i="27" s="1"/>
  <c r="HH7" i="46"/>
  <c r="IA9" i="10"/>
  <c r="R107" i="11"/>
  <c r="R108" i="11" s="1"/>
  <c r="R109" i="11" s="1"/>
  <c r="R110" i="11" s="1"/>
  <c r="R63" i="11"/>
  <c r="R66" i="11"/>
  <c r="R69" i="11" s="1"/>
  <c r="HY49" i="10"/>
  <c r="HF7" i="23"/>
  <c r="HG31" i="23" s="1"/>
  <c r="HG33" i="23" s="1"/>
  <c r="HG38" i="23" s="1"/>
  <c r="HF5" i="24"/>
  <c r="HG8" i="24" s="1"/>
  <c r="HG12" i="24" s="1"/>
  <c r="R20" i="11"/>
  <c r="R23" i="11" s="1"/>
  <c r="R17" i="11"/>
  <c r="B29" i="11"/>
  <c r="B110" i="11"/>
  <c r="V109" i="11"/>
  <c r="B73" i="11"/>
  <c r="B74" i="11" s="1"/>
  <c r="HH13" i="45" l="1"/>
  <c r="HI13" i="8"/>
  <c r="HI39" i="7"/>
  <c r="HH13" i="33"/>
  <c r="HG13" i="24"/>
  <c r="HG39" i="23"/>
  <c r="R71" i="11"/>
  <c r="R78" i="11" s="1"/>
  <c r="IB69" i="10"/>
  <c r="HI5" i="25"/>
  <c r="HJ8" i="25" s="1"/>
  <c r="HJ12" i="25" s="1"/>
  <c r="HJ13" i="25" s="1"/>
  <c r="HI7" i="26"/>
  <c r="HJ31" i="26" s="1"/>
  <c r="HJ33" i="26" s="1"/>
  <c r="HJ38" i="26" s="1"/>
  <c r="HJ39" i="26" s="1"/>
  <c r="HI5" i="34"/>
  <c r="HJ8" i="34" s="1"/>
  <c r="HJ12" i="34" s="1"/>
  <c r="HJ13" i="34" s="1"/>
  <c r="HH5" i="45"/>
  <c r="HI8" i="45" s="1"/>
  <c r="HI12" i="45" s="1"/>
  <c r="HH7" i="13"/>
  <c r="HH5" i="33"/>
  <c r="HI8" i="33" s="1"/>
  <c r="HI12" i="33" s="1"/>
  <c r="IA10" i="10"/>
  <c r="HI5" i="27"/>
  <c r="HJ8" i="27" s="1"/>
  <c r="HJ12" i="27" s="1"/>
  <c r="IB9" i="10"/>
  <c r="HI7" i="46"/>
  <c r="HI5" i="8"/>
  <c r="HJ8" i="8" s="1"/>
  <c r="HJ12" i="8" s="1"/>
  <c r="HI7" i="7"/>
  <c r="HJ31" i="7" s="1"/>
  <c r="HJ33" i="7" s="1"/>
  <c r="HJ38" i="7" s="1"/>
  <c r="HI12" i="27"/>
  <c r="HI13" i="27" s="1"/>
  <c r="R25" i="11"/>
  <c r="R33" i="11" s="1"/>
  <c r="HG5" i="24"/>
  <c r="HH8" i="24" s="1"/>
  <c r="HH12" i="24" s="1"/>
  <c r="HZ49" i="10"/>
  <c r="HG7" i="23"/>
  <c r="HH31" i="23" s="1"/>
  <c r="HH33" i="23" s="1"/>
  <c r="HH38" i="23" s="1"/>
  <c r="HI13" i="45" l="1"/>
  <c r="HJ13" i="8"/>
  <c r="HJ39" i="7"/>
  <c r="HI13" i="33"/>
  <c r="HH39" i="23"/>
  <c r="HH13" i="24"/>
  <c r="R28" i="11"/>
  <c r="R29" i="11" s="1"/>
  <c r="R73" i="11"/>
  <c r="R74" i="11" s="1"/>
  <c r="IA49" i="10"/>
  <c r="HH5" i="24"/>
  <c r="HI8" i="24" s="1"/>
  <c r="HI12" i="24" s="1"/>
  <c r="HH7" i="23"/>
  <c r="HI31" i="23" s="1"/>
  <c r="HI33" i="23" s="1"/>
  <c r="HI38" i="23" s="1"/>
  <c r="HJ5" i="34"/>
  <c r="HK8" i="34" s="1"/>
  <c r="HK12" i="34" s="1"/>
  <c r="HK13" i="34" s="1"/>
  <c r="HJ7" i="26"/>
  <c r="HK31" i="26" s="1"/>
  <c r="HK33" i="26" s="1"/>
  <c r="HK38" i="26" s="1"/>
  <c r="HK39" i="26" s="1"/>
  <c r="IC69" i="10"/>
  <c r="HJ5" i="25"/>
  <c r="HK8" i="25" s="1"/>
  <c r="HK12" i="25" s="1"/>
  <c r="HK13" i="25" s="1"/>
  <c r="IC9" i="10"/>
  <c r="HJ5" i="27"/>
  <c r="HK8" i="27" s="1"/>
  <c r="HK12" i="27" s="1"/>
  <c r="HJ5" i="8"/>
  <c r="HK8" i="8" s="1"/>
  <c r="HK12" i="8" s="1"/>
  <c r="HJ7" i="7"/>
  <c r="HK31" i="7" s="1"/>
  <c r="HK33" i="7" s="1"/>
  <c r="HK38" i="7" s="1"/>
  <c r="HJ7" i="46"/>
  <c r="HJ13" i="27"/>
  <c r="HI5" i="45"/>
  <c r="HJ8" i="45" s="1"/>
  <c r="HJ12" i="45" s="1"/>
  <c r="IB10" i="10"/>
  <c r="HI5" i="33"/>
  <c r="HJ8" i="33" s="1"/>
  <c r="HI7" i="13"/>
  <c r="HJ13" i="45" l="1"/>
  <c r="HK13" i="8"/>
  <c r="HK39" i="7"/>
  <c r="HI39" i="23"/>
  <c r="HI13" i="24"/>
  <c r="HK13" i="27"/>
  <c r="HK5" i="25"/>
  <c r="HL8" i="25" s="1"/>
  <c r="HL12" i="25" s="1"/>
  <c r="HL13" i="25" s="1"/>
  <c r="HK5" i="34"/>
  <c r="HL8" i="34" s="1"/>
  <c r="HL12" i="34" s="1"/>
  <c r="HL13" i="34" s="1"/>
  <c r="ID69" i="10"/>
  <c r="HK7" i="26"/>
  <c r="HL31" i="26" s="1"/>
  <c r="HL33" i="26" s="1"/>
  <c r="HL38" i="26" s="1"/>
  <c r="HL39" i="26" s="1"/>
  <c r="IB49" i="10"/>
  <c r="HI7" i="23"/>
  <c r="HJ31" i="23" s="1"/>
  <c r="HJ33" i="23" s="1"/>
  <c r="HJ38" i="23" s="1"/>
  <c r="HI5" i="24"/>
  <c r="HJ8" i="24" s="1"/>
  <c r="HJ12" i="24" s="1"/>
  <c r="HK5" i="8"/>
  <c r="HL8" i="8" s="1"/>
  <c r="HL12" i="8" s="1"/>
  <c r="HK5" i="27"/>
  <c r="HL8" i="27" s="1"/>
  <c r="HL12" i="27" s="1"/>
  <c r="HK7" i="46"/>
  <c r="ID9" i="10"/>
  <c r="HK7" i="7"/>
  <c r="HL31" i="7" s="1"/>
  <c r="HL33" i="7" s="1"/>
  <c r="HL38" i="7" s="1"/>
  <c r="HJ12" i="33"/>
  <c r="HJ13" i="33" s="1"/>
  <c r="IC10" i="10"/>
  <c r="HJ5" i="33"/>
  <c r="HK8" i="33" s="1"/>
  <c r="HK12" i="33" s="1"/>
  <c r="HJ7" i="13"/>
  <c r="HJ5" i="45"/>
  <c r="HK8" i="45" s="1"/>
  <c r="HL13" i="8" l="1"/>
  <c r="HL39" i="7"/>
  <c r="HJ39" i="23"/>
  <c r="HJ13" i="24"/>
  <c r="HL13" i="27"/>
  <c r="HK13" i="33"/>
  <c r="IC49" i="10"/>
  <c r="HJ5" i="24"/>
  <c r="HK8" i="24" s="1"/>
  <c r="HK12" i="24" s="1"/>
  <c r="HJ7" i="23"/>
  <c r="HK31" i="23" s="1"/>
  <c r="HK33" i="23" s="1"/>
  <c r="HK38" i="23" s="1"/>
  <c r="HK12" i="45"/>
  <c r="HK13" i="45" s="1"/>
  <c r="HL7" i="26"/>
  <c r="HM31" i="26" s="1"/>
  <c r="HM33" i="26" s="1"/>
  <c r="HM38" i="26" s="1"/>
  <c r="HM39" i="26" s="1"/>
  <c r="HL5" i="34"/>
  <c r="HM8" i="34" s="1"/>
  <c r="HM12" i="34" s="1"/>
  <c r="HM13" i="34" s="1"/>
  <c r="IE69" i="10"/>
  <c r="HL5" i="25"/>
  <c r="HM8" i="25" s="1"/>
  <c r="HM12" i="25" s="1"/>
  <c r="HM13" i="25" s="1"/>
  <c r="HK7" i="13"/>
  <c r="HK5" i="45"/>
  <c r="HL8" i="45" s="1"/>
  <c r="HL12" i="45" s="1"/>
  <c r="HK5" i="33"/>
  <c r="HL8" i="33" s="1"/>
  <c r="ID10" i="10"/>
  <c r="HL5" i="27"/>
  <c r="HM8" i="27" s="1"/>
  <c r="HM12" i="27" s="1"/>
  <c r="HL7" i="7"/>
  <c r="HM31" i="7" s="1"/>
  <c r="HM33" i="7" s="1"/>
  <c r="HM38" i="7" s="1"/>
  <c r="HL5" i="8"/>
  <c r="HM8" i="8" s="1"/>
  <c r="HM12" i="8" s="1"/>
  <c r="IE9" i="10"/>
  <c r="HL7" i="46"/>
  <c r="HM39" i="7" l="1"/>
  <c r="HM13" i="8"/>
  <c r="HK39" i="23"/>
  <c r="HK13" i="24"/>
  <c r="HL13" i="45"/>
  <c r="HM13" i="27"/>
  <c r="HM5" i="25"/>
  <c r="HN8" i="25" s="1"/>
  <c r="HN12" i="25" s="1"/>
  <c r="HN13" i="25" s="1"/>
  <c r="HM7" i="26"/>
  <c r="HN31" i="26" s="1"/>
  <c r="HN33" i="26" s="1"/>
  <c r="HN38" i="26" s="1"/>
  <c r="HN39" i="26" s="1"/>
  <c r="IF69" i="10"/>
  <c r="HM5" i="34"/>
  <c r="HN8" i="34" s="1"/>
  <c r="HN12" i="34" s="1"/>
  <c r="HN13" i="34" s="1"/>
  <c r="HM5" i="8"/>
  <c r="HN8" i="8" s="1"/>
  <c r="HN12" i="8" s="1"/>
  <c r="IF9" i="10"/>
  <c r="HM5" i="27"/>
  <c r="HN8" i="27" s="1"/>
  <c r="HM7" i="46"/>
  <c r="HM7" i="7"/>
  <c r="HN31" i="7" s="1"/>
  <c r="HN33" i="7" s="1"/>
  <c r="HN38" i="7" s="1"/>
  <c r="U17" i="10"/>
  <c r="S123" i="11" s="1"/>
  <c r="HK5" i="24"/>
  <c r="HL8" i="24" s="1"/>
  <c r="HL12" i="24" s="1"/>
  <c r="HK7" i="23"/>
  <c r="HL31" i="23" s="1"/>
  <c r="HL33" i="23" s="1"/>
  <c r="HL38" i="23" s="1"/>
  <c r="ID49" i="10"/>
  <c r="IE10" i="10"/>
  <c r="HL5" i="33"/>
  <c r="HM8" i="33" s="1"/>
  <c r="HM12" i="33" s="1"/>
  <c r="HL5" i="45"/>
  <c r="HM8" i="45" s="1"/>
  <c r="HM12" i="45" s="1"/>
  <c r="HL7" i="13"/>
  <c r="HL12" i="33"/>
  <c r="HL13" i="33" s="1"/>
  <c r="HN13" i="8" l="1"/>
  <c r="HN39" i="7"/>
  <c r="HL39" i="23"/>
  <c r="HL13" i="24"/>
  <c r="HM13" i="45"/>
  <c r="HN12" i="27"/>
  <c r="HN13" i="27" s="1"/>
  <c r="IG69" i="10"/>
  <c r="U76" i="10" s="1"/>
  <c r="U21" i="10" s="1"/>
  <c r="S125" i="11" s="1"/>
  <c r="HN7" i="26"/>
  <c r="HO31" i="26" s="1"/>
  <c r="HO33" i="26" s="1"/>
  <c r="HO38" i="26" s="1"/>
  <c r="HO39" i="26" s="1"/>
  <c r="HN5" i="34"/>
  <c r="HO8" i="34" s="1"/>
  <c r="HO12" i="34" s="1"/>
  <c r="HO13" i="34" s="1"/>
  <c r="HN5" i="25"/>
  <c r="HO8" i="25" s="1"/>
  <c r="HO12" i="25" s="1"/>
  <c r="HO13" i="25" s="1"/>
  <c r="HN7" i="7"/>
  <c r="HO31" i="7" s="1"/>
  <c r="HO33" i="7" s="1"/>
  <c r="HO38" i="7" s="1"/>
  <c r="HN5" i="8"/>
  <c r="HO8" i="8" s="1"/>
  <c r="HO12" i="8" s="1"/>
  <c r="HN5" i="27"/>
  <c r="HO8" i="27" s="1"/>
  <c r="HO12" i="27" s="1"/>
  <c r="IG9" i="10"/>
  <c r="HN7" i="46"/>
  <c r="HM13" i="33"/>
  <c r="HM5" i="33"/>
  <c r="HN8" i="33" s="1"/>
  <c r="IF10" i="10"/>
  <c r="HM5" i="45"/>
  <c r="HN8" i="45" s="1"/>
  <c r="HN12" i="45" s="1"/>
  <c r="HM7" i="13"/>
  <c r="U20" i="10"/>
  <c r="S124" i="11" s="1"/>
  <c r="IE49" i="10"/>
  <c r="HL5" i="24"/>
  <c r="HM8" i="24" s="1"/>
  <c r="HM12" i="24" s="1"/>
  <c r="HL7" i="23"/>
  <c r="HM31" i="23" s="1"/>
  <c r="HM33" i="23" s="1"/>
  <c r="HM38" i="23" s="1"/>
  <c r="HO39" i="7" l="1"/>
  <c r="HO13" i="8"/>
  <c r="HM39" i="23"/>
  <c r="HM13" i="24"/>
  <c r="HN13" i="45"/>
  <c r="HO13" i="27"/>
  <c r="HO7" i="26"/>
  <c r="HP31" i="26" s="1"/>
  <c r="HP33" i="26" s="1"/>
  <c r="HP38" i="26" s="1"/>
  <c r="HP39" i="26" s="1"/>
  <c r="HO5" i="25"/>
  <c r="HP8" i="25" s="1"/>
  <c r="HP12" i="25" s="1"/>
  <c r="HP13" i="25" s="1"/>
  <c r="HO5" i="34"/>
  <c r="HP8" i="34" s="1"/>
  <c r="HP12" i="34" s="1"/>
  <c r="HP13" i="34" s="1"/>
  <c r="IH69" i="10"/>
  <c r="HN7" i="13"/>
  <c r="HN5" i="33"/>
  <c r="HO8" i="33" s="1"/>
  <c r="HN5" i="45"/>
  <c r="HO8" i="45" s="1"/>
  <c r="IG10" i="10"/>
  <c r="HO5" i="8"/>
  <c r="HP8" i="8" s="1"/>
  <c r="HP12" i="8" s="1"/>
  <c r="IH9" i="10"/>
  <c r="HO7" i="7"/>
  <c r="HP31" i="7" s="1"/>
  <c r="HP33" i="7" s="1"/>
  <c r="HP38" i="7" s="1"/>
  <c r="HO7" i="46"/>
  <c r="HO5" i="27"/>
  <c r="HP8" i="27" s="1"/>
  <c r="HP12" i="27" s="1"/>
  <c r="HN12" i="33"/>
  <c r="HN13" i="33" s="1"/>
  <c r="HM5" i="24"/>
  <c r="HN8" i="24" s="1"/>
  <c r="HN12" i="24" s="1"/>
  <c r="IF49" i="10"/>
  <c r="HM7" i="23"/>
  <c r="HN31" i="23" s="1"/>
  <c r="HN33" i="23" s="1"/>
  <c r="HN38" i="23" s="1"/>
  <c r="HP39" i="7" l="1"/>
  <c r="HP13" i="8"/>
  <c r="HN39" i="23"/>
  <c r="HP13" i="27"/>
  <c r="HN13" i="24"/>
  <c r="HO12" i="33"/>
  <c r="HO13" i="33" s="1"/>
  <c r="U16" i="33"/>
  <c r="HO12" i="45"/>
  <c r="HO13" i="45" s="1"/>
  <c r="U16" i="45"/>
  <c r="HO5" i="33"/>
  <c r="HP8" i="33" s="1"/>
  <c r="HP12" i="33" s="1"/>
  <c r="IH10" i="10"/>
  <c r="HO7" i="13"/>
  <c r="HO5" i="45"/>
  <c r="HP8" i="45" s="1"/>
  <c r="HP12" i="45" s="1"/>
  <c r="HP5" i="27"/>
  <c r="HQ8" i="27" s="1"/>
  <c r="HQ12" i="27" s="1"/>
  <c r="HP7" i="7"/>
  <c r="HQ31" i="7" s="1"/>
  <c r="HQ33" i="7" s="1"/>
  <c r="HQ38" i="7" s="1"/>
  <c r="HP7" i="46"/>
  <c r="HP5" i="8"/>
  <c r="HQ8" i="8" s="1"/>
  <c r="HQ12" i="8" s="1"/>
  <c r="II9" i="10"/>
  <c r="HP5" i="34"/>
  <c r="HQ8" i="34" s="1"/>
  <c r="HQ12" i="34" s="1"/>
  <c r="HQ13" i="34" s="1"/>
  <c r="II69" i="10"/>
  <c r="HP7" i="26"/>
  <c r="HQ31" i="26" s="1"/>
  <c r="HQ33" i="26" s="1"/>
  <c r="HQ38" i="26" s="1"/>
  <c r="HQ39" i="26" s="1"/>
  <c r="HP5" i="25"/>
  <c r="HQ8" i="25" s="1"/>
  <c r="HQ12" i="25" s="1"/>
  <c r="HQ13" i="25" s="1"/>
  <c r="HN5" i="24"/>
  <c r="HO8" i="24" s="1"/>
  <c r="HO12" i="24" s="1"/>
  <c r="IG49" i="10"/>
  <c r="HN7" i="23"/>
  <c r="HO31" i="23" s="1"/>
  <c r="HO33" i="23" s="1"/>
  <c r="HO38" i="23" s="1"/>
  <c r="HQ39" i="7" l="1"/>
  <c r="HQ13" i="8"/>
  <c r="HO39" i="23"/>
  <c r="HP13" i="45"/>
  <c r="HQ13" i="27"/>
  <c r="HO13" i="24"/>
  <c r="U18" i="33"/>
  <c r="U19" i="33" s="1"/>
  <c r="S52" i="11"/>
  <c r="U49" i="33"/>
  <c r="U51" i="33" s="1"/>
  <c r="U54" i="14" s="1"/>
  <c r="HP13" i="33"/>
  <c r="IH49" i="10"/>
  <c r="HO5" i="24"/>
  <c r="HP8" i="24" s="1"/>
  <c r="HP12" i="24" s="1"/>
  <c r="HO7" i="23"/>
  <c r="HP31" i="23" s="1"/>
  <c r="HP33" i="23" s="1"/>
  <c r="HP38" i="23" s="1"/>
  <c r="U18" i="45"/>
  <c r="U19" i="45" s="1"/>
  <c r="S6" i="11"/>
  <c r="U49" i="45"/>
  <c r="U51" i="45" s="1"/>
  <c r="U52" i="45" s="1"/>
  <c r="HP7" i="13"/>
  <c r="HP5" i="45"/>
  <c r="HQ8" i="45" s="1"/>
  <c r="HQ12" i="45" s="1"/>
  <c r="HP5" i="33"/>
  <c r="HQ8" i="33" s="1"/>
  <c r="HQ12" i="33" s="1"/>
  <c r="II10" i="10"/>
  <c r="HQ7" i="26"/>
  <c r="HR31" i="26" s="1"/>
  <c r="HR33" i="26" s="1"/>
  <c r="HR38" i="26" s="1"/>
  <c r="HR39" i="26" s="1"/>
  <c r="HQ5" i="34"/>
  <c r="HR8" i="34" s="1"/>
  <c r="HR12" i="34" s="1"/>
  <c r="HR13" i="34" s="1"/>
  <c r="HQ5" i="25"/>
  <c r="HR8" i="25" s="1"/>
  <c r="HR12" i="25" s="1"/>
  <c r="HR13" i="25" s="1"/>
  <c r="IJ69" i="10"/>
  <c r="HQ7" i="7"/>
  <c r="HR31" i="7" s="1"/>
  <c r="HR33" i="7" s="1"/>
  <c r="HR38" i="7" s="1"/>
  <c r="HQ7" i="46"/>
  <c r="HQ5" i="27"/>
  <c r="HR8" i="27" s="1"/>
  <c r="HR12" i="27" s="1"/>
  <c r="HQ5" i="8"/>
  <c r="HR8" i="8" s="1"/>
  <c r="HR12" i="8" s="1"/>
  <c r="IJ9" i="10"/>
  <c r="HR39" i="7" l="1"/>
  <c r="HR13" i="8"/>
  <c r="HP39" i="23"/>
  <c r="HP13" i="24"/>
  <c r="HQ13" i="45"/>
  <c r="HR13" i="27"/>
  <c r="S60" i="11"/>
  <c r="S57" i="11"/>
  <c r="HR7" i="7"/>
  <c r="HS31" i="7" s="1"/>
  <c r="HS33" i="7" s="1"/>
  <c r="HS38" i="7" s="1"/>
  <c r="HR7" i="46"/>
  <c r="IK9" i="10"/>
  <c r="HR5" i="27"/>
  <c r="HS8" i="27" s="1"/>
  <c r="HS12" i="27" s="1"/>
  <c r="HR5" i="8"/>
  <c r="HS8" i="8" s="1"/>
  <c r="HS12" i="8" s="1"/>
  <c r="S11" i="11"/>
  <c r="S27" i="11"/>
  <c r="S14" i="11"/>
  <c r="S7" i="44" s="1"/>
  <c r="S8" i="44" s="1"/>
  <c r="S12" i="44" s="1"/>
  <c r="HP7" i="23"/>
  <c r="HQ31" i="23" s="1"/>
  <c r="HQ33" i="23" s="1"/>
  <c r="HQ38" i="23" s="1"/>
  <c r="HP5" i="24"/>
  <c r="HQ8" i="24" s="1"/>
  <c r="HQ12" i="24" s="1"/>
  <c r="II49" i="10"/>
  <c r="HQ5" i="45"/>
  <c r="HR8" i="45" s="1"/>
  <c r="HR12" i="45" s="1"/>
  <c r="HQ7" i="13"/>
  <c r="HQ5" i="33"/>
  <c r="HR8" i="33" s="1"/>
  <c r="HR12" i="33" s="1"/>
  <c r="IJ10" i="10"/>
  <c r="HR7" i="26"/>
  <c r="HS31" i="26" s="1"/>
  <c r="HS33" i="26" s="1"/>
  <c r="HS38" i="26" s="1"/>
  <c r="HS39" i="26" s="1"/>
  <c r="HR5" i="34"/>
  <c r="HS8" i="34" s="1"/>
  <c r="HS12" i="34" s="1"/>
  <c r="HS13" i="34" s="1"/>
  <c r="IK69" i="10"/>
  <c r="HR5" i="25"/>
  <c r="HS8" i="25" s="1"/>
  <c r="HS12" i="25" s="1"/>
  <c r="HS13" i="25" s="1"/>
  <c r="HQ13" i="33"/>
  <c r="HS39" i="7" l="1"/>
  <c r="HS13" i="8"/>
  <c r="HQ13" i="24"/>
  <c r="HQ39" i="23"/>
  <c r="HS13" i="27"/>
  <c r="HR13" i="45"/>
  <c r="S77" i="11"/>
  <c r="S62" i="11"/>
  <c r="S58" i="11"/>
  <c r="HS5" i="27"/>
  <c r="HT8" i="27" s="1"/>
  <c r="HT12" i="27" s="1"/>
  <c r="HS7" i="46"/>
  <c r="HS7" i="7"/>
  <c r="HT31" i="7" s="1"/>
  <c r="HT33" i="7" s="1"/>
  <c r="HT38" i="7" s="1"/>
  <c r="HS5" i="8"/>
  <c r="HT8" i="8" s="1"/>
  <c r="HT12" i="8" s="1"/>
  <c r="IL9" i="10"/>
  <c r="IJ49" i="10"/>
  <c r="HQ7" i="23"/>
  <c r="HR31" i="23" s="1"/>
  <c r="HR33" i="23" s="1"/>
  <c r="HR38" i="23" s="1"/>
  <c r="HQ5" i="24"/>
  <c r="HR8" i="24" s="1"/>
  <c r="HR12" i="24" s="1"/>
  <c r="S32" i="11"/>
  <c r="S16" i="11"/>
  <c r="S12" i="11"/>
  <c r="HS5" i="25"/>
  <c r="HT8" i="25" s="1"/>
  <c r="HT12" i="25" s="1"/>
  <c r="HT13" i="25" s="1"/>
  <c r="HS5" i="34"/>
  <c r="HT8" i="34" s="1"/>
  <c r="HT12" i="34" s="1"/>
  <c r="HT13" i="34" s="1"/>
  <c r="IL69" i="10"/>
  <c r="HS7" i="26"/>
  <c r="HT31" i="26" s="1"/>
  <c r="HT33" i="26" s="1"/>
  <c r="HT38" i="26" s="1"/>
  <c r="HT39" i="26" s="1"/>
  <c r="HR7" i="13"/>
  <c r="IK10" i="10"/>
  <c r="HR5" i="45"/>
  <c r="HS8" i="45" s="1"/>
  <c r="HS12" i="45" s="1"/>
  <c r="HR5" i="33"/>
  <c r="HS8" i="33" s="1"/>
  <c r="HS12" i="33" s="1"/>
  <c r="HR13" i="33"/>
  <c r="HT39" i="7" l="1"/>
  <c r="HT13" i="8"/>
  <c r="HT13" i="27"/>
  <c r="HR39" i="23"/>
  <c r="HR13" i="24"/>
  <c r="HS13" i="45"/>
  <c r="S66" i="11"/>
  <c r="S69" i="11" s="1"/>
  <c r="S71" i="11" s="1"/>
  <c r="S78" i="11" s="1"/>
  <c r="S63" i="11"/>
  <c r="HS13" i="33"/>
  <c r="S17" i="11"/>
  <c r="S20" i="11"/>
  <c r="S23" i="11" s="1"/>
  <c r="HR5" i="24"/>
  <c r="HS8" i="24" s="1"/>
  <c r="HS12" i="24" s="1"/>
  <c r="IK49" i="10"/>
  <c r="HR7" i="23"/>
  <c r="HS31" i="23" s="1"/>
  <c r="HS33" i="23" s="1"/>
  <c r="HS38" i="23" s="1"/>
  <c r="IM9" i="10"/>
  <c r="HT7" i="7"/>
  <c r="HU31" i="7" s="1"/>
  <c r="HU33" i="7" s="1"/>
  <c r="HU38" i="7" s="1"/>
  <c r="HT5" i="8"/>
  <c r="HU8" i="8" s="1"/>
  <c r="HU12" i="8" s="1"/>
  <c r="HT5" i="27"/>
  <c r="HU8" i="27" s="1"/>
  <c r="HU12" i="27" s="1"/>
  <c r="HT7" i="46"/>
  <c r="HS7" i="13"/>
  <c r="HS5" i="45"/>
  <c r="HT8" i="45" s="1"/>
  <c r="HT12" i="45" s="1"/>
  <c r="IL10" i="10"/>
  <c r="HS5" i="33"/>
  <c r="HT8" i="33" s="1"/>
  <c r="HT12" i="33" s="1"/>
  <c r="HT7" i="26"/>
  <c r="HU31" i="26" s="1"/>
  <c r="HU33" i="26" s="1"/>
  <c r="HU38" i="26" s="1"/>
  <c r="HU39" i="26" s="1"/>
  <c r="HT5" i="25"/>
  <c r="HU8" i="25" s="1"/>
  <c r="HU12" i="25" s="1"/>
  <c r="HU13" i="25" s="1"/>
  <c r="HT5" i="34"/>
  <c r="HU8" i="34" s="1"/>
  <c r="HU12" i="34" s="1"/>
  <c r="HU13" i="34" s="1"/>
  <c r="IM69" i="10"/>
  <c r="HU39" i="7" l="1"/>
  <c r="HU13" i="8"/>
  <c r="HS39" i="23"/>
  <c r="HU13" i="27"/>
  <c r="HS13" i="24"/>
  <c r="HT13" i="45"/>
  <c r="HT13" i="33"/>
  <c r="HT5" i="33"/>
  <c r="HU8" i="33" s="1"/>
  <c r="HU12" i="33" s="1"/>
  <c r="IM10" i="10"/>
  <c r="HT7" i="13"/>
  <c r="HT5" i="45"/>
  <c r="HU8" i="45" s="1"/>
  <c r="HU12" i="45" s="1"/>
  <c r="HU5" i="25"/>
  <c r="HV8" i="25" s="1"/>
  <c r="HV12" i="25" s="1"/>
  <c r="HV13" i="25" s="1"/>
  <c r="HU5" i="34"/>
  <c r="HV8" i="34" s="1"/>
  <c r="HV12" i="34" s="1"/>
  <c r="HV13" i="34" s="1"/>
  <c r="IN69" i="10"/>
  <c r="HU7" i="26"/>
  <c r="HV31" i="26" s="1"/>
  <c r="HV33" i="26" s="1"/>
  <c r="HV38" i="26" s="1"/>
  <c r="HV39" i="26" s="1"/>
  <c r="S73" i="11"/>
  <c r="S74" i="11" s="1"/>
  <c r="HU5" i="27"/>
  <c r="HV8" i="27" s="1"/>
  <c r="HV12" i="27" s="1"/>
  <c r="HU7" i="46"/>
  <c r="HU7" i="7"/>
  <c r="HV31" i="7" s="1"/>
  <c r="HV33" i="7" s="1"/>
  <c r="HV38" i="7" s="1"/>
  <c r="IN9" i="10"/>
  <c r="HU5" i="8"/>
  <c r="HV8" i="8" s="1"/>
  <c r="HV12" i="8" s="1"/>
  <c r="IL49" i="10"/>
  <c r="HS5" i="24"/>
  <c r="HT8" i="24" s="1"/>
  <c r="HT12" i="24" s="1"/>
  <c r="HS7" i="23"/>
  <c r="HT31" i="23" s="1"/>
  <c r="HT33" i="23" s="1"/>
  <c r="HT38" i="23" s="1"/>
  <c r="S25" i="11"/>
  <c r="S33" i="11" s="1"/>
  <c r="HV39" i="7" l="1"/>
  <c r="HV13" i="8"/>
  <c r="HU13" i="45"/>
  <c r="HV13" i="27"/>
  <c r="HT39" i="23"/>
  <c r="HU13" i="33"/>
  <c r="HT13" i="24"/>
  <c r="HV5" i="27"/>
  <c r="HW8" i="27" s="1"/>
  <c r="HW12" i="27" s="1"/>
  <c r="HV5" i="8"/>
  <c r="HW8" i="8" s="1"/>
  <c r="HW12" i="8" s="1"/>
  <c r="HV7" i="46"/>
  <c r="HV7" i="7"/>
  <c r="HW31" i="7" s="1"/>
  <c r="HW33" i="7" s="1"/>
  <c r="HW38" i="7" s="1"/>
  <c r="HW39" i="7" s="1"/>
  <c r="IO9" i="10"/>
  <c r="HV7" i="26"/>
  <c r="HW31" i="26" s="1"/>
  <c r="HW33" i="26" s="1"/>
  <c r="HW38" i="26" s="1"/>
  <c r="HW39" i="26" s="1"/>
  <c r="HV5" i="34"/>
  <c r="HW8" i="34" s="1"/>
  <c r="HW12" i="34" s="1"/>
  <c r="HW13" i="34" s="1"/>
  <c r="IO69" i="10"/>
  <c r="HV5" i="25"/>
  <c r="HW8" i="25" s="1"/>
  <c r="HW12" i="25" s="1"/>
  <c r="HW13" i="25" s="1"/>
  <c r="HU5" i="33"/>
  <c r="HV8" i="33" s="1"/>
  <c r="HV12" i="33" s="1"/>
  <c r="HU5" i="45"/>
  <c r="HV8" i="45" s="1"/>
  <c r="HV12" i="45" s="1"/>
  <c r="HU7" i="13"/>
  <c r="IN10" i="10"/>
  <c r="S28" i="11"/>
  <c r="S29" i="11" s="1"/>
  <c r="IM49" i="10"/>
  <c r="HT5" i="24"/>
  <c r="HU8" i="24" s="1"/>
  <c r="HU12" i="24" s="1"/>
  <c r="HT7" i="23"/>
  <c r="HU31" i="23" s="1"/>
  <c r="HU33" i="23" s="1"/>
  <c r="HU38" i="23" s="1"/>
  <c r="HW13" i="8" l="1"/>
  <c r="HW13" i="27"/>
  <c r="HV13" i="45"/>
  <c r="HU39" i="23"/>
  <c r="HV13" i="33"/>
  <c r="HU13" i="24"/>
  <c r="IO10" i="10"/>
  <c r="HV5" i="33"/>
  <c r="HW8" i="33" s="1"/>
  <c r="HW12" i="33" s="1"/>
  <c r="HV7" i="13"/>
  <c r="HV5" i="45"/>
  <c r="HW8" i="45" s="1"/>
  <c r="HW12" i="45" s="1"/>
  <c r="HW7" i="26"/>
  <c r="HX31" i="26" s="1"/>
  <c r="HX33" i="26" s="1"/>
  <c r="HX38" i="26" s="1"/>
  <c r="HX39" i="26" s="1"/>
  <c r="IP69" i="10"/>
  <c r="HW5" i="34"/>
  <c r="HX8" i="34" s="1"/>
  <c r="HX12" i="34" s="1"/>
  <c r="HX13" i="34" s="1"/>
  <c r="HW5" i="25"/>
  <c r="HX8" i="25" s="1"/>
  <c r="HX12" i="25" s="1"/>
  <c r="HX13" i="25" s="1"/>
  <c r="HW7" i="7"/>
  <c r="HX31" i="7" s="1"/>
  <c r="HX33" i="7" s="1"/>
  <c r="HX38" i="7" s="1"/>
  <c r="HX39" i="7" s="1"/>
  <c r="IP9" i="10"/>
  <c r="HW5" i="27"/>
  <c r="HX8" i="27" s="1"/>
  <c r="HX12" i="27" s="1"/>
  <c r="HW7" i="46"/>
  <c r="HW5" i="8"/>
  <c r="HX8" i="8" s="1"/>
  <c r="HX12" i="8" s="1"/>
  <c r="HX13" i="8" s="1"/>
  <c r="HU7" i="23"/>
  <c r="HV31" i="23" s="1"/>
  <c r="HV33" i="23" s="1"/>
  <c r="HV38" i="23" s="1"/>
  <c r="IN49" i="10"/>
  <c r="HU5" i="24"/>
  <c r="HV8" i="24" s="1"/>
  <c r="HV12" i="24" s="1"/>
  <c r="HW13" i="45" l="1"/>
  <c r="HX13" i="27"/>
  <c r="HV39" i="23"/>
  <c r="HW13" i="33"/>
  <c r="HV13" i="24"/>
  <c r="HX7" i="7"/>
  <c r="HY31" i="7" s="1"/>
  <c r="HY33" i="7" s="1"/>
  <c r="HY38" i="7" s="1"/>
  <c r="HY39" i="7" s="1"/>
  <c r="HX7" i="46"/>
  <c r="IQ9" i="10"/>
  <c r="HX5" i="27"/>
  <c r="HY8" i="27" s="1"/>
  <c r="HY12" i="27" s="1"/>
  <c r="HX5" i="8"/>
  <c r="HY8" i="8" s="1"/>
  <c r="HY12" i="8" s="1"/>
  <c r="HY13" i="8" s="1"/>
  <c r="IQ69" i="10"/>
  <c r="HX5" i="25"/>
  <c r="HY8" i="25" s="1"/>
  <c r="HY12" i="25" s="1"/>
  <c r="HY13" i="25" s="1"/>
  <c r="HX5" i="34"/>
  <c r="HY8" i="34" s="1"/>
  <c r="HY12" i="34" s="1"/>
  <c r="HY13" i="34" s="1"/>
  <c r="HX7" i="26"/>
  <c r="HY31" i="26" s="1"/>
  <c r="HY33" i="26" s="1"/>
  <c r="HY38" i="26" s="1"/>
  <c r="HY39" i="26" s="1"/>
  <c r="HW5" i="45"/>
  <c r="HX8" i="45" s="1"/>
  <c r="HX12" i="45" s="1"/>
  <c r="IP10" i="10"/>
  <c r="HW5" i="33"/>
  <c r="HX8" i="33" s="1"/>
  <c r="HX12" i="33" s="1"/>
  <c r="HW7" i="13"/>
  <c r="HV7" i="23"/>
  <c r="HW31" i="23" s="1"/>
  <c r="HW33" i="23" s="1"/>
  <c r="HW38" i="23" s="1"/>
  <c r="IO49" i="10"/>
  <c r="HV5" i="24"/>
  <c r="HW8" i="24" s="1"/>
  <c r="HW12" i="24" s="1"/>
  <c r="HY13" i="27" l="1"/>
  <c r="HX13" i="45"/>
  <c r="HW39" i="23"/>
  <c r="HX13" i="33"/>
  <c r="HW13" i="24"/>
  <c r="HY5" i="25"/>
  <c r="HZ8" i="25" s="1"/>
  <c r="HZ12" i="25" s="1"/>
  <c r="HZ13" i="25" s="1"/>
  <c r="HY5" i="34"/>
  <c r="HZ8" i="34" s="1"/>
  <c r="HZ12" i="34" s="1"/>
  <c r="HZ13" i="34" s="1"/>
  <c r="HY7" i="26"/>
  <c r="HZ31" i="26" s="1"/>
  <c r="HZ33" i="26" s="1"/>
  <c r="HZ38" i="26" s="1"/>
  <c r="HZ39" i="26" s="1"/>
  <c r="IR69" i="10"/>
  <c r="HX5" i="45"/>
  <c r="HY8" i="45" s="1"/>
  <c r="HY12" i="45" s="1"/>
  <c r="HX5" i="33"/>
  <c r="HY8" i="33" s="1"/>
  <c r="HY12" i="33" s="1"/>
  <c r="HX7" i="13"/>
  <c r="IQ10" i="10"/>
  <c r="HW5" i="24"/>
  <c r="HX8" i="24" s="1"/>
  <c r="HX12" i="24" s="1"/>
  <c r="IP49" i="10"/>
  <c r="HW7" i="23"/>
  <c r="HX31" i="23" s="1"/>
  <c r="HX33" i="23" s="1"/>
  <c r="HX38" i="23" s="1"/>
  <c r="HY7" i="7"/>
  <c r="HZ31" i="7" s="1"/>
  <c r="HZ33" i="7" s="1"/>
  <c r="HZ38" i="7" s="1"/>
  <c r="HZ39" i="7" s="1"/>
  <c r="HY7" i="46"/>
  <c r="HY5" i="8"/>
  <c r="HZ8" i="8" s="1"/>
  <c r="HZ12" i="8" s="1"/>
  <c r="HZ13" i="8" s="1"/>
  <c r="HY5" i="27"/>
  <c r="HZ8" i="27" s="1"/>
  <c r="HZ12" i="27" s="1"/>
  <c r="IR9" i="10"/>
  <c r="HZ13" i="27" l="1"/>
  <c r="HY13" i="45"/>
  <c r="HX39" i="23"/>
  <c r="HY13" i="33"/>
  <c r="HX13" i="24"/>
  <c r="HX7" i="23"/>
  <c r="HY31" i="23" s="1"/>
  <c r="HY33" i="23" s="1"/>
  <c r="HY38" i="23" s="1"/>
  <c r="IQ49" i="10"/>
  <c r="HX5" i="24"/>
  <c r="HY8" i="24" s="1"/>
  <c r="HY12" i="24" s="1"/>
  <c r="HZ5" i="27"/>
  <c r="IA8" i="27" s="1"/>
  <c r="IA12" i="27" s="1"/>
  <c r="IS9" i="10"/>
  <c r="HZ7" i="46"/>
  <c r="HZ5" i="8"/>
  <c r="IA8" i="8" s="1"/>
  <c r="IA12" i="8" s="1"/>
  <c r="IA13" i="8" s="1"/>
  <c r="HZ7" i="7"/>
  <c r="IA31" i="7" s="1"/>
  <c r="IA33" i="7" s="1"/>
  <c r="IA38" i="7" s="1"/>
  <c r="V42" i="7" s="1"/>
  <c r="HY5" i="33"/>
  <c r="HZ8" i="33" s="1"/>
  <c r="HZ12" i="33" s="1"/>
  <c r="HY7" i="13"/>
  <c r="IR10" i="10"/>
  <c r="HY5" i="45"/>
  <c r="HZ8" i="45" s="1"/>
  <c r="HZ12" i="45" s="1"/>
  <c r="IS69" i="10"/>
  <c r="HZ5" i="34"/>
  <c r="IA8" i="34" s="1"/>
  <c r="IA12" i="34" s="1"/>
  <c r="IA13" i="34" s="1"/>
  <c r="HZ7" i="26"/>
  <c r="IA31" i="26" s="1"/>
  <c r="IA33" i="26" s="1"/>
  <c r="IA38" i="26" s="1"/>
  <c r="V42" i="26" s="1"/>
  <c r="HZ5" i="25"/>
  <c r="IA8" i="25" s="1"/>
  <c r="IA12" i="25" s="1"/>
  <c r="IA13" i="25" s="1"/>
  <c r="HY39" i="23" l="1"/>
  <c r="IA13" i="27"/>
  <c r="HZ13" i="45"/>
  <c r="HY13" i="24"/>
  <c r="HZ13" i="33"/>
  <c r="IA39" i="26"/>
  <c r="IT9" i="10"/>
  <c r="IA7" i="46"/>
  <c r="IA7" i="7"/>
  <c r="IB31" i="7" s="1"/>
  <c r="IB33" i="7" s="1"/>
  <c r="IB38" i="7" s="1"/>
  <c r="IA5" i="8"/>
  <c r="IB8" i="8" s="1"/>
  <c r="IB12" i="8" s="1"/>
  <c r="IB13" i="8" s="1"/>
  <c r="IA5" i="27"/>
  <c r="IB8" i="27" s="1"/>
  <c r="IB12" i="27" s="1"/>
  <c r="IR49" i="10"/>
  <c r="HY7" i="23"/>
  <c r="HZ31" i="23" s="1"/>
  <c r="HZ33" i="23" s="1"/>
  <c r="HZ38" i="23" s="1"/>
  <c r="HY5" i="24"/>
  <c r="HZ8" i="24" s="1"/>
  <c r="HZ12" i="24" s="1"/>
  <c r="HZ5" i="33"/>
  <c r="IA8" i="33" s="1"/>
  <c r="IA12" i="33" s="1"/>
  <c r="IS10" i="10"/>
  <c r="HZ7" i="13"/>
  <c r="HZ5" i="45"/>
  <c r="IA8" i="45" s="1"/>
  <c r="IA12" i="45" s="1"/>
  <c r="IA39" i="7"/>
  <c r="IT69" i="10"/>
  <c r="IA5" i="25"/>
  <c r="IB8" i="25" s="1"/>
  <c r="IB12" i="25" s="1"/>
  <c r="IB13" i="25" s="1"/>
  <c r="IA5" i="34"/>
  <c r="IB8" i="34" s="1"/>
  <c r="IB12" i="34" s="1"/>
  <c r="IB13" i="34" s="1"/>
  <c r="IA7" i="26"/>
  <c r="IB31" i="26" s="1"/>
  <c r="IB33" i="26" s="1"/>
  <c r="IB38" i="26" s="1"/>
  <c r="U16" i="8"/>
  <c r="U18" i="8" s="1"/>
  <c r="U19" i="8" s="1"/>
  <c r="V16" i="8"/>
  <c r="V18" i="8" s="1"/>
  <c r="U16" i="25"/>
  <c r="U18" i="25" s="1"/>
  <c r="U19" i="25" s="1"/>
  <c r="V16" i="25"/>
  <c r="V18" i="25" s="1"/>
  <c r="U36" i="7"/>
  <c r="V36" i="7"/>
  <c r="U36" i="26"/>
  <c r="V36" i="26"/>
  <c r="HZ39" i="23" l="1"/>
  <c r="IA13" i="45"/>
  <c r="IB13" i="27"/>
  <c r="HZ13" i="24"/>
  <c r="IA13" i="33"/>
  <c r="IB39" i="26"/>
  <c r="IB39" i="7"/>
  <c r="V19" i="25"/>
  <c r="IB5" i="25"/>
  <c r="IC8" i="25" s="1"/>
  <c r="IU69" i="10"/>
  <c r="IB7" i="26"/>
  <c r="IC31" i="26" s="1"/>
  <c r="IC33" i="26" s="1"/>
  <c r="IB5" i="34"/>
  <c r="IC8" i="34" s="1"/>
  <c r="IC12" i="34" s="1"/>
  <c r="IC13" i="34" s="1"/>
  <c r="IA7" i="13"/>
  <c r="IT10" i="10"/>
  <c r="IA5" i="33"/>
  <c r="IB8" i="33" s="1"/>
  <c r="IB12" i="33" s="1"/>
  <c r="IA5" i="45"/>
  <c r="IB8" i="45" s="1"/>
  <c r="IB12" i="45" s="1"/>
  <c r="IU9" i="10"/>
  <c r="IB7" i="7"/>
  <c r="IC31" i="7" s="1"/>
  <c r="IC33" i="7" s="1"/>
  <c r="IB5" i="8"/>
  <c r="IC8" i="8" s="1"/>
  <c r="IB5" i="27"/>
  <c r="IC8" i="27" s="1"/>
  <c r="IC12" i="27" s="1"/>
  <c r="IB7" i="46"/>
  <c r="HZ5" i="24"/>
  <c r="IA8" i="24" s="1"/>
  <c r="IA12" i="24" s="1"/>
  <c r="IS49" i="10"/>
  <c r="HZ7" i="23"/>
  <c r="IA31" i="23" s="1"/>
  <c r="IA33" i="23" s="1"/>
  <c r="IA38" i="23" s="1"/>
  <c r="U42" i="7"/>
  <c r="U43" i="7" s="1"/>
  <c r="V43" i="7" s="1"/>
  <c r="V19" i="8"/>
  <c r="U42" i="26"/>
  <c r="U43" i="26" s="1"/>
  <c r="V43" i="26" s="1"/>
  <c r="IB13" i="45" l="1"/>
  <c r="IC13" i="27"/>
  <c r="IA39" i="23"/>
  <c r="IB13" i="33"/>
  <c r="IA13" i="24"/>
  <c r="IC12" i="8"/>
  <c r="IC13" i="8" s="1"/>
  <c r="IC38" i="7"/>
  <c r="IC7" i="46"/>
  <c r="IV9" i="10"/>
  <c r="IC7" i="7"/>
  <c r="ID31" i="7" s="1"/>
  <c r="ID33" i="7" s="1"/>
  <c r="ID38" i="7" s="1"/>
  <c r="IC5" i="27"/>
  <c r="ID8" i="27" s="1"/>
  <c r="ID12" i="27" s="1"/>
  <c r="IC5" i="8"/>
  <c r="ID8" i="8" s="1"/>
  <c r="ID12" i="8" s="1"/>
  <c r="IB5" i="45"/>
  <c r="IC8" i="45" s="1"/>
  <c r="IC12" i="45" s="1"/>
  <c r="IB7" i="13"/>
  <c r="IB5" i="33"/>
  <c r="IC8" i="33" s="1"/>
  <c r="IC12" i="33" s="1"/>
  <c r="IU10" i="10"/>
  <c r="IC38" i="26"/>
  <c r="IC5" i="25"/>
  <c r="ID8" i="25" s="1"/>
  <c r="ID12" i="25" s="1"/>
  <c r="IC7" i="26"/>
  <c r="ID31" i="26" s="1"/>
  <c r="ID33" i="26" s="1"/>
  <c r="ID38" i="26" s="1"/>
  <c r="IV69" i="10"/>
  <c r="IC5" i="34"/>
  <c r="ID8" i="34" s="1"/>
  <c r="ID12" i="34" s="1"/>
  <c r="ID13" i="34" s="1"/>
  <c r="IC12" i="25"/>
  <c r="IC13" i="25" s="1"/>
  <c r="IA7" i="23"/>
  <c r="IB31" i="23" s="1"/>
  <c r="IB33" i="23" s="1"/>
  <c r="IB38" i="23" s="1"/>
  <c r="IT49" i="10"/>
  <c r="IA5" i="24"/>
  <c r="IB8" i="24" s="1"/>
  <c r="IB12" i="24" s="1"/>
  <c r="U36" i="23"/>
  <c r="V36" i="23"/>
  <c r="U16" i="24"/>
  <c r="U18" i="24" s="1"/>
  <c r="U19" i="24" s="1"/>
  <c r="V16" i="24"/>
  <c r="V18" i="24" s="1"/>
  <c r="ID13" i="27" l="1"/>
  <c r="IC13" i="45"/>
  <c r="IB39" i="23"/>
  <c r="IC13" i="33"/>
  <c r="IB13" i="24"/>
  <c r="V19" i="24"/>
  <c r="IC7" i="13"/>
  <c r="IC5" i="33"/>
  <c r="ID8" i="33" s="1"/>
  <c r="ID12" i="33" s="1"/>
  <c r="IC5" i="45"/>
  <c r="ID8" i="45" s="1"/>
  <c r="ID12" i="45" s="1"/>
  <c r="IV10" i="10"/>
  <c r="IU49" i="10"/>
  <c r="IB5" i="24"/>
  <c r="IC8" i="24" s="1"/>
  <c r="IB7" i="23"/>
  <c r="IC31" i="23" s="1"/>
  <c r="IC33" i="23" s="1"/>
  <c r="IC38" i="23" s="1"/>
  <c r="IW9" i="10"/>
  <c r="ID7" i="46"/>
  <c r="ID5" i="27"/>
  <c r="IE8" i="27" s="1"/>
  <c r="IE12" i="27" s="1"/>
  <c r="ID5" i="8"/>
  <c r="IE8" i="8" s="1"/>
  <c r="IE12" i="8" s="1"/>
  <c r="ID7" i="7"/>
  <c r="IE31" i="7" s="1"/>
  <c r="IE33" i="7" s="1"/>
  <c r="IE38" i="7" s="1"/>
  <c r="IC39" i="7"/>
  <c r="ID39" i="7" s="1"/>
  <c r="ID5" i="25"/>
  <c r="IE8" i="25" s="1"/>
  <c r="ID5" i="34"/>
  <c r="IE8" i="34" s="1"/>
  <c r="IE12" i="34" s="1"/>
  <c r="IE13" i="34" s="1"/>
  <c r="ID7" i="26"/>
  <c r="IE31" i="26" s="1"/>
  <c r="IE33" i="26" s="1"/>
  <c r="IW69" i="10"/>
  <c r="IC39" i="26"/>
  <c r="ID39" i="26" s="1"/>
  <c r="ID13" i="25"/>
  <c r="ID13" i="8"/>
  <c r="U42" i="23"/>
  <c r="U43" i="23" s="1"/>
  <c r="V42" i="23"/>
  <c r="ID13" i="33" l="1"/>
  <c r="IC39" i="23"/>
  <c r="ID13" i="45"/>
  <c r="IE13" i="27"/>
  <c r="V43" i="23"/>
  <c r="IE39" i="7"/>
  <c r="IE38" i="26"/>
  <c r="IC7" i="23"/>
  <c r="ID31" i="23" s="1"/>
  <c r="ID33" i="23" s="1"/>
  <c r="IC5" i="24"/>
  <c r="ID8" i="24" s="1"/>
  <c r="ID12" i="24" s="1"/>
  <c r="IV49" i="10"/>
  <c r="ID5" i="45"/>
  <c r="IE8" i="45" s="1"/>
  <c r="IE12" i="45" s="1"/>
  <c r="IW10" i="10"/>
  <c r="ID5" i="33"/>
  <c r="IE8" i="33" s="1"/>
  <c r="IE12" i="33" s="1"/>
  <c r="ID7" i="13"/>
  <c r="IE7" i="46"/>
  <c r="IX9" i="10"/>
  <c r="IE7" i="7"/>
  <c r="IF31" i="7" s="1"/>
  <c r="IF33" i="7" s="1"/>
  <c r="IE5" i="8"/>
  <c r="IF8" i="8" s="1"/>
  <c r="IF12" i="8" s="1"/>
  <c r="IE5" i="27"/>
  <c r="IF8" i="27" s="1"/>
  <c r="IF12" i="27" s="1"/>
  <c r="IE5" i="34"/>
  <c r="IF8" i="34" s="1"/>
  <c r="IF12" i="34" s="1"/>
  <c r="IF13" i="34" s="1"/>
  <c r="IE7" i="26"/>
  <c r="IF31" i="26" s="1"/>
  <c r="IF33" i="26" s="1"/>
  <c r="IF38" i="26" s="1"/>
  <c r="IE5" i="25"/>
  <c r="IF8" i="25" s="1"/>
  <c r="IF12" i="25" s="1"/>
  <c r="IX69" i="10"/>
  <c r="IC12" i="24"/>
  <c r="IC13" i="24" s="1"/>
  <c r="IE12" i="25"/>
  <c r="IE13" i="25" s="1"/>
  <c r="IE13" i="8"/>
  <c r="IE13" i="33" l="1"/>
  <c r="IE13" i="45"/>
  <c r="IF13" i="27"/>
  <c r="ID13" i="24"/>
  <c r="IF38" i="7"/>
  <c r="IF5" i="25"/>
  <c r="IG8" i="25" s="1"/>
  <c r="IF7" i="26"/>
  <c r="IG31" i="26" s="1"/>
  <c r="IG33" i="26" s="1"/>
  <c r="IY69" i="10"/>
  <c r="IF5" i="34"/>
  <c r="IG8" i="34" s="1"/>
  <c r="IG12" i="34" s="1"/>
  <c r="IG13" i="34" s="1"/>
  <c r="ID38" i="23"/>
  <c r="IF5" i="8"/>
  <c r="IG8" i="8" s="1"/>
  <c r="IG12" i="8" s="1"/>
  <c r="IF7" i="7"/>
  <c r="IG31" i="7" s="1"/>
  <c r="IG33" i="7" s="1"/>
  <c r="IG38" i="7" s="1"/>
  <c r="IF7" i="46"/>
  <c r="IY9" i="10"/>
  <c r="IF5" i="27"/>
  <c r="IG8" i="27" s="1"/>
  <c r="IG12" i="27" s="1"/>
  <c r="IF13" i="8"/>
  <c r="IE7" i="13"/>
  <c r="IE5" i="33"/>
  <c r="IF8" i="33" s="1"/>
  <c r="IF12" i="33" s="1"/>
  <c r="IX10" i="10"/>
  <c r="IE5" i="45"/>
  <c r="IF8" i="45" s="1"/>
  <c r="IF12" i="45" s="1"/>
  <c r="IW49" i="10"/>
  <c r="ID7" i="23"/>
  <c r="IE31" i="23" s="1"/>
  <c r="IE33" i="23" s="1"/>
  <c r="IE38" i="23" s="1"/>
  <c r="ID5" i="24"/>
  <c r="IE8" i="24" s="1"/>
  <c r="IF13" i="25"/>
  <c r="IE39" i="26"/>
  <c r="IF39" i="26" s="1"/>
  <c r="U16" i="34"/>
  <c r="V16" i="34"/>
  <c r="V16" i="27"/>
  <c r="V17" i="10"/>
  <c r="T123" i="11" s="1"/>
  <c r="V76" i="10"/>
  <c r="V21" i="10" s="1"/>
  <c r="T125" i="11" s="1"/>
  <c r="IF13" i="33" l="1"/>
  <c r="IG13" i="27"/>
  <c r="IF13" i="45"/>
  <c r="IG13" i="8"/>
  <c r="IZ9" i="10"/>
  <c r="IG5" i="8"/>
  <c r="IH8" i="8" s="1"/>
  <c r="IG7" i="7"/>
  <c r="IH31" i="7" s="1"/>
  <c r="IH33" i="7" s="1"/>
  <c r="IG5" i="27"/>
  <c r="IH8" i="27" s="1"/>
  <c r="IG7" i="46"/>
  <c r="ID39" i="23"/>
  <c r="IE39" i="23" s="1"/>
  <c r="IX49" i="10"/>
  <c r="IE5" i="24"/>
  <c r="IF8" i="24" s="1"/>
  <c r="IF12" i="24" s="1"/>
  <c r="IE7" i="23"/>
  <c r="IF31" i="23" s="1"/>
  <c r="IF33" i="23" s="1"/>
  <c r="IG38" i="26"/>
  <c r="IG12" i="25"/>
  <c r="IG13" i="25" s="1"/>
  <c r="IE12" i="24"/>
  <c r="IE13" i="24" s="1"/>
  <c r="IG7" i="26"/>
  <c r="IH31" i="26" s="1"/>
  <c r="IH33" i="26" s="1"/>
  <c r="IG5" i="25"/>
  <c r="IH8" i="25" s="1"/>
  <c r="IH12" i="25" s="1"/>
  <c r="IZ69" i="10"/>
  <c r="IG5" i="34"/>
  <c r="IH8" i="34" s="1"/>
  <c r="IF7" i="13"/>
  <c r="IY10" i="10"/>
  <c r="IF5" i="45"/>
  <c r="IG8" i="45" s="1"/>
  <c r="IG12" i="45" s="1"/>
  <c r="IF5" i="33"/>
  <c r="IG8" i="33" s="1"/>
  <c r="IG12" i="33" s="1"/>
  <c r="IF39" i="7"/>
  <c r="IG39" i="7" s="1"/>
  <c r="V20" i="10"/>
  <c r="T124" i="11" s="1"/>
  <c r="V18" i="34"/>
  <c r="V49" i="34"/>
  <c r="V51" i="34" s="1"/>
  <c r="V55" i="14" s="1"/>
  <c r="T88" i="11"/>
  <c r="V49" i="27"/>
  <c r="V51" i="27" s="1"/>
  <c r="V18" i="27"/>
  <c r="V16" i="33"/>
  <c r="V16" i="45"/>
  <c r="S88" i="11"/>
  <c r="U18" i="34"/>
  <c r="U19" i="34" s="1"/>
  <c r="U49" i="34"/>
  <c r="U51" i="34" s="1"/>
  <c r="U55" i="14" s="1"/>
  <c r="IG13" i="33" l="1"/>
  <c r="IG13" i="45"/>
  <c r="IH38" i="26"/>
  <c r="W36" i="26"/>
  <c r="V19" i="34"/>
  <c r="IH12" i="8"/>
  <c r="IH13" i="8" s="1"/>
  <c r="B27" i="8" s="1"/>
  <c r="W16" i="8"/>
  <c r="W18" i="8" s="1"/>
  <c r="W19" i="8" s="1"/>
  <c r="W42" i="26"/>
  <c r="W43" i="26" s="1"/>
  <c r="IH13" i="25"/>
  <c r="B27" i="25" s="1"/>
  <c r="IF13" i="24"/>
  <c r="IF38" i="23"/>
  <c r="IZ10" i="10"/>
  <c r="IG5" i="33"/>
  <c r="IH8" i="33" s="1"/>
  <c r="IH12" i="33" s="1"/>
  <c r="IG7" i="13"/>
  <c r="IG5" i="45"/>
  <c r="IH8" i="45" s="1"/>
  <c r="IF5" i="24"/>
  <c r="IG8" i="24" s="1"/>
  <c r="IG12" i="24" s="1"/>
  <c r="IF7" i="23"/>
  <c r="IG31" i="23" s="1"/>
  <c r="IG33" i="23" s="1"/>
  <c r="IG38" i="23" s="1"/>
  <c r="IY49" i="10"/>
  <c r="IH5" i="34"/>
  <c r="II8" i="34" s="1"/>
  <c r="II12" i="34" s="1"/>
  <c r="JA69" i="10"/>
  <c r="IH5" i="25"/>
  <c r="IH7" i="26"/>
  <c r="IH12" i="34"/>
  <c r="IH13" i="34" s="1"/>
  <c r="IH38" i="7"/>
  <c r="W42" i="7" s="1"/>
  <c r="W43" i="7" s="1"/>
  <c r="W36" i="7"/>
  <c r="IH5" i="27"/>
  <c r="II8" i="27" s="1"/>
  <c r="II12" i="27" s="1"/>
  <c r="JA9" i="10"/>
  <c r="IH7" i="7"/>
  <c r="IH7" i="46"/>
  <c r="IH5" i="8"/>
  <c r="IH12" i="27"/>
  <c r="IH13" i="27" s="1"/>
  <c r="IG39" i="26"/>
  <c r="W16" i="25"/>
  <c r="W18" i="25" s="1"/>
  <c r="W19" i="25" s="1"/>
  <c r="S96" i="11"/>
  <c r="S93" i="11"/>
  <c r="T6" i="11"/>
  <c r="V18" i="45"/>
  <c r="V19" i="45" s="1"/>
  <c r="V49" i="45"/>
  <c r="V51" i="45" s="1"/>
  <c r="V52" i="45" s="1"/>
  <c r="T52" i="11"/>
  <c r="V18" i="33"/>
  <c r="V19" i="33" s="1"/>
  <c r="V49" i="33"/>
  <c r="V51" i="33" s="1"/>
  <c r="V54" i="14" s="1"/>
  <c r="V53" i="14"/>
  <c r="T93" i="11"/>
  <c r="T96" i="11"/>
  <c r="IH13" i="33" l="1"/>
  <c r="IH39" i="26"/>
  <c r="IG13" i="24"/>
  <c r="IH39" i="7"/>
  <c r="JB69" i="10"/>
  <c r="II5" i="34"/>
  <c r="IJ8" i="34" s="1"/>
  <c r="IJ12" i="34" s="1"/>
  <c r="IH5" i="45"/>
  <c r="II8" i="45" s="1"/>
  <c r="II12" i="45" s="1"/>
  <c r="IH7" i="13"/>
  <c r="JA10" i="10"/>
  <c r="IH5" i="33"/>
  <c r="II8" i="33" s="1"/>
  <c r="II13" i="34"/>
  <c r="IG5" i="24"/>
  <c r="IH8" i="24" s="1"/>
  <c r="IG7" i="23"/>
  <c r="IH31" i="23" s="1"/>
  <c r="IH33" i="23" s="1"/>
  <c r="IH38" i="23" s="1"/>
  <c r="W42" i="23" s="1"/>
  <c r="W43" i="23" s="1"/>
  <c r="IZ49" i="10"/>
  <c r="IH12" i="45"/>
  <c r="IH13" i="45" s="1"/>
  <c r="II13" i="27"/>
  <c r="II5" i="27"/>
  <c r="IJ8" i="27" s="1"/>
  <c r="II7" i="46"/>
  <c r="JB9" i="10"/>
  <c r="IF39" i="23"/>
  <c r="IG39" i="23" s="1"/>
  <c r="T57" i="11"/>
  <c r="T60" i="11"/>
  <c r="T11" i="11"/>
  <c r="T27" i="11"/>
  <c r="T14" i="11"/>
  <c r="T7" i="44" s="1"/>
  <c r="T8" i="44" s="1"/>
  <c r="T12" i="44" s="1"/>
  <c r="S98" i="11"/>
  <c r="S94" i="11"/>
  <c r="S113" i="11"/>
  <c r="S114" i="11" s="1"/>
  <c r="T98" i="11"/>
  <c r="T113" i="11"/>
  <c r="T114" i="11" s="1"/>
  <c r="T94" i="11"/>
  <c r="II13" i="45" l="1"/>
  <c r="JC9" i="10"/>
  <c r="IJ7" i="46"/>
  <c r="IJ5" i="27"/>
  <c r="IK8" i="27" s="1"/>
  <c r="IK12" i="27" s="1"/>
  <c r="IH12" i="24"/>
  <c r="IH13" i="24" s="1"/>
  <c r="B27" i="24" s="1"/>
  <c r="W16" i="24"/>
  <c r="W18" i="24" s="1"/>
  <c r="W19" i="24" s="1"/>
  <c r="IJ12" i="27"/>
  <c r="IJ13" i="27" s="1"/>
  <c r="IH39" i="23"/>
  <c r="II12" i="33"/>
  <c r="II13" i="33" s="1"/>
  <c r="JB10" i="10"/>
  <c r="II5" i="33"/>
  <c r="IJ8" i="33" s="1"/>
  <c r="IJ12" i="33" s="1"/>
  <c r="II7" i="13"/>
  <c r="II5" i="45"/>
  <c r="IJ8" i="45" s="1"/>
  <c r="IJ12" i="45" s="1"/>
  <c r="IJ13" i="34"/>
  <c r="W36" i="23"/>
  <c r="IH5" i="24"/>
  <c r="IH7" i="23"/>
  <c r="JA49" i="10"/>
  <c r="JB49" i="10" s="1"/>
  <c r="JC49" i="10" s="1"/>
  <c r="JD49" i="10" s="1"/>
  <c r="JE49" i="10" s="1"/>
  <c r="IJ5" i="34"/>
  <c r="IK8" i="34" s="1"/>
  <c r="JC69" i="10"/>
  <c r="T16" i="11"/>
  <c r="T32" i="11"/>
  <c r="T12" i="11"/>
  <c r="T99" i="11"/>
  <c r="T102" i="11"/>
  <c r="T105" i="11" s="1"/>
  <c r="T107" i="11" s="1"/>
  <c r="T108" i="11" s="1"/>
  <c r="T109" i="11" s="1"/>
  <c r="T110" i="11" s="1"/>
  <c r="T58" i="11"/>
  <c r="T77" i="11"/>
  <c r="T62" i="11"/>
  <c r="S102" i="11"/>
  <c r="S105" i="11" s="1"/>
  <c r="S99" i="11"/>
  <c r="IJ13" i="45" l="1"/>
  <c r="IJ13" i="33"/>
  <c r="JD69" i="10"/>
  <c r="IK5" i="34"/>
  <c r="IL8" i="34" s="1"/>
  <c r="IL12" i="34" s="1"/>
  <c r="IK13" i="27"/>
  <c r="IJ5" i="33"/>
  <c r="IK8" i="33" s="1"/>
  <c r="IJ7" i="13"/>
  <c r="IJ5" i="45"/>
  <c r="IK8" i="45" s="1"/>
  <c r="JC10" i="10"/>
  <c r="IK12" i="34"/>
  <c r="IK13" i="34" s="1"/>
  <c r="IK5" i="27"/>
  <c r="IL8" i="27" s="1"/>
  <c r="IK7" i="46"/>
  <c r="JD9" i="10"/>
  <c r="W17" i="10"/>
  <c r="U123" i="11" s="1"/>
  <c r="S107" i="11"/>
  <c r="S108" i="11" s="1"/>
  <c r="T66" i="11"/>
  <c r="T69" i="11" s="1"/>
  <c r="T63" i="11"/>
  <c r="T20" i="11"/>
  <c r="T23" i="11" s="1"/>
  <c r="T17" i="11"/>
  <c r="IK12" i="45" l="1"/>
  <c r="IK13" i="45" s="1"/>
  <c r="IK12" i="33"/>
  <c r="IK13" i="33" s="1"/>
  <c r="IL13" i="34"/>
  <c r="IL12" i="27"/>
  <c r="IL13" i="27" s="1"/>
  <c r="JE69" i="10"/>
  <c r="IL5" i="34"/>
  <c r="IM8" i="34" s="1"/>
  <c r="IK5" i="45"/>
  <c r="IL8" i="45" s="1"/>
  <c r="IL12" i="45" s="1"/>
  <c r="IK7" i="13"/>
  <c r="JD10" i="10"/>
  <c r="IK5" i="33"/>
  <c r="IL8" i="33" s="1"/>
  <c r="IL12" i="33" s="1"/>
  <c r="S109" i="11"/>
  <c r="S110" i="11" s="1"/>
  <c r="JE9" i="10"/>
  <c r="IL5" i="27"/>
  <c r="IM8" i="27" s="1"/>
  <c r="W16" i="27" s="1"/>
  <c r="IL7" i="46"/>
  <c r="W20" i="10"/>
  <c r="U124" i="11" s="1"/>
  <c r="T25" i="11"/>
  <c r="T33" i="11" s="1"/>
  <c r="T71" i="11"/>
  <c r="T78" i="11" s="1"/>
  <c r="IM5" i="34" l="1"/>
  <c r="W76" i="10"/>
  <c r="W21" i="10" s="1"/>
  <c r="U125" i="11" s="1"/>
  <c r="IL13" i="45"/>
  <c r="T28" i="11"/>
  <c r="T29" i="11" s="1"/>
  <c r="T73" i="11"/>
  <c r="T74" i="11" s="1"/>
  <c r="U16" i="27"/>
  <c r="IM12" i="27"/>
  <c r="IM13" i="27" s="1"/>
  <c r="W49" i="27"/>
  <c r="W51" i="27" s="1"/>
  <c r="W53" i="14" s="1"/>
  <c r="W18" i="27"/>
  <c r="JE10" i="10"/>
  <c r="IL7" i="13"/>
  <c r="IL5" i="33"/>
  <c r="IM8" i="33" s="1"/>
  <c r="IL5" i="45"/>
  <c r="IM8" i="45" s="1"/>
  <c r="IM12" i="45" s="1"/>
  <c r="IM12" i="34"/>
  <c r="IM13" i="34" s="1"/>
  <c r="W16" i="34"/>
  <c r="IM5" i="27"/>
  <c r="IM7" i="46"/>
  <c r="IL13" i="33"/>
  <c r="C27" i="27" l="1"/>
  <c r="D27" i="27"/>
  <c r="B27" i="27"/>
  <c r="IM13" i="45"/>
  <c r="B27" i="45" s="1"/>
  <c r="W16" i="45"/>
  <c r="U6" i="11" s="1"/>
  <c r="E27" i="34"/>
  <c r="C27" i="34"/>
  <c r="D27" i="34"/>
  <c r="B27" i="34"/>
  <c r="IM12" i="33"/>
  <c r="IM13" i="33" s="1"/>
  <c r="W16" i="33"/>
  <c r="IM5" i="33"/>
  <c r="IM5" i="45"/>
  <c r="IM7" i="13"/>
  <c r="U88" i="11"/>
  <c r="E24" i="34"/>
  <c r="E26" i="34" s="1"/>
  <c r="E29" i="34" s="1"/>
  <c r="W18" i="34"/>
  <c r="W19" i="34" s="1"/>
  <c r="W49" i="34"/>
  <c r="W51" i="34" s="1"/>
  <c r="W55" i="14" s="1"/>
  <c r="U49" i="27"/>
  <c r="U51" i="27" s="1"/>
  <c r="U18" i="27"/>
  <c r="D24" i="27"/>
  <c r="D26" i="27" s="1"/>
  <c r="D29" i="27" s="1"/>
  <c r="D27" i="45" l="1"/>
  <c r="C27" i="45"/>
  <c r="W18" i="45"/>
  <c r="W19" i="45" s="1"/>
  <c r="W49" i="45"/>
  <c r="W51" i="45" s="1"/>
  <c r="W52" i="45" s="1"/>
  <c r="D24" i="45"/>
  <c r="D26" i="45" s="1"/>
  <c r="D29" i="45" s="1"/>
  <c r="U93" i="11"/>
  <c r="U96" i="11"/>
  <c r="D24" i="33"/>
  <c r="D26" i="33" s="1"/>
  <c r="D29" i="33" s="1"/>
  <c r="W49" i="33"/>
  <c r="W51" i="33" s="1"/>
  <c r="W54" i="14" s="1"/>
  <c r="U52" i="11"/>
  <c r="W18" i="33"/>
  <c r="W19" i="33" s="1"/>
  <c r="C27" i="33"/>
  <c r="B27" i="33"/>
  <c r="D27" i="33"/>
  <c r="U19" i="27"/>
  <c r="V19" i="27" s="1"/>
  <c r="W19" i="27" s="1"/>
  <c r="D23" i="27"/>
  <c r="D22" i="27"/>
  <c r="U11" i="11"/>
  <c r="U14" i="11"/>
  <c r="U7" i="44" s="1"/>
  <c r="U8" i="44" s="1"/>
  <c r="U12" i="44" s="1"/>
  <c r="U27" i="11"/>
  <c r="U52" i="27"/>
  <c r="V52" i="27" s="1"/>
  <c r="W52" i="27" s="1"/>
  <c r="U53" i="14"/>
  <c r="U32" i="11" l="1"/>
  <c r="U12" i="11"/>
  <c r="U16" i="11"/>
  <c r="U60" i="11"/>
  <c r="U57" i="11"/>
  <c r="U94" i="11"/>
  <c r="U113" i="11"/>
  <c r="U114" i="11" s="1"/>
  <c r="U98" i="11"/>
  <c r="U99" i="11" l="1"/>
  <c r="U102" i="11"/>
  <c r="U105" i="11" s="1"/>
  <c r="U107" i="11" s="1"/>
  <c r="U108" i="11" s="1"/>
  <c r="U109" i="11" s="1"/>
  <c r="U110" i="11" s="1"/>
  <c r="U77" i="11"/>
  <c r="U58" i="11"/>
  <c r="U62" i="11"/>
  <c r="U20" i="11"/>
  <c r="U23" i="11" s="1"/>
  <c r="U17" i="11"/>
  <c r="U25" i="11" l="1"/>
  <c r="U33" i="11" s="1"/>
  <c r="U63" i="11"/>
  <c r="U66" i="11"/>
  <c r="U69" i="11" s="1"/>
  <c r="U71" i="11" l="1"/>
  <c r="U78" i="11" s="1"/>
  <c r="U28" i="11"/>
  <c r="U29" i="11" s="1"/>
  <c r="U73" i="11" l="1"/>
  <c r="U7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tc={7F55FCA1-5218-4D81-BDF8-12E934F3552E}</author>
    <author>tc={ED4A8E0C-30B5-4027-8BB8-844C70424FA6}</author>
  </authors>
  <commentList>
    <comment ref="D56" authorId="0" shapeId="0" xr:uid="{7F55FCA1-5218-4D81-BDF8-12E934F355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considera que el edificio tiene 15 pisos de 3.5 metros cada uno</t>
      </text>
    </comment>
    <comment ref="E56" authorId="1" shapeId="0" xr:uid="{ED4A8E0C-30B5-4027-8BB8-844C70424F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considera que el edificio tiene 15 pisos de 3.5 metros cada uno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<sst xmlns="http://schemas.openxmlformats.org/spreadsheetml/2006/main" count="2666" uniqueCount="1076">
  <si>
    <t>Cantidad</t>
  </si>
  <si>
    <t>Descripción</t>
  </si>
  <si>
    <t>BTU</t>
  </si>
  <si>
    <t>Watt</t>
  </si>
  <si>
    <t>No. Horas día</t>
  </si>
  <si>
    <t>Energía diaria Wh/d</t>
  </si>
  <si>
    <t>Factor carga</t>
  </si>
  <si>
    <t>No. Dias</t>
  </si>
  <si>
    <t>Energía mensual kWh/mes</t>
  </si>
  <si>
    <t>Cargas críticas</t>
  </si>
  <si>
    <t>Wh</t>
  </si>
  <si>
    <t>Total</t>
  </si>
  <si>
    <t>AC principal</t>
  </si>
  <si>
    <t>AC cuarto ppal</t>
  </si>
  <si>
    <t>AC closet principal</t>
  </si>
  <si>
    <t>TV</t>
  </si>
  <si>
    <t xml:space="preserve">Luces </t>
  </si>
  <si>
    <t>Nevera</t>
  </si>
  <si>
    <t>NEVECON</t>
  </si>
  <si>
    <t>Lavadora</t>
  </si>
  <si>
    <t>Secadora</t>
  </si>
  <si>
    <t>Máquina de hielo</t>
  </si>
  <si>
    <t>Impresora</t>
  </si>
  <si>
    <t>Monitor</t>
  </si>
  <si>
    <t>Luces piscina</t>
  </si>
  <si>
    <t>Cargador volvo</t>
  </si>
  <si>
    <t>Cargador carro golf</t>
  </si>
  <si>
    <t>Sistema sonido sala</t>
  </si>
  <si>
    <t>Nevera de vinos 12 botellas</t>
  </si>
  <si>
    <t>Adicional</t>
  </si>
  <si>
    <t>Energía diaria final</t>
  </si>
  <si>
    <t>kWh-dia</t>
  </si>
  <si>
    <t>Energía mensual final</t>
  </si>
  <si>
    <t>kWh-mes</t>
  </si>
  <si>
    <t>Área m2</t>
  </si>
  <si>
    <t>Largo m</t>
  </si>
  <si>
    <t>Pp=</t>
  </si>
  <si>
    <t>Wp</t>
  </si>
  <si>
    <t>Ficha Técnica Panel</t>
  </si>
  <si>
    <t>Ancho m</t>
  </si>
  <si>
    <t>Np=</t>
  </si>
  <si>
    <t>I =</t>
  </si>
  <si>
    <t>Ah</t>
  </si>
  <si>
    <t>Pm=</t>
  </si>
  <si>
    <t>W</t>
  </si>
  <si>
    <t>Área del Panel</t>
  </si>
  <si>
    <t>Ed</t>
  </si>
  <si>
    <t>kWhd</t>
  </si>
  <si>
    <t>Vmp=</t>
  </si>
  <si>
    <t>V</t>
  </si>
  <si>
    <t>HSP</t>
  </si>
  <si>
    <t>horas</t>
  </si>
  <si>
    <t>Imp=</t>
  </si>
  <si>
    <t>A</t>
  </si>
  <si>
    <t>PR</t>
  </si>
  <si>
    <t>Voc=</t>
  </si>
  <si>
    <t>V=</t>
  </si>
  <si>
    <t>Isc=</t>
  </si>
  <si>
    <t>No paneles</t>
  </si>
  <si>
    <t>Potencia de los paneles</t>
  </si>
  <si>
    <t>Dimensiones</t>
  </si>
  <si>
    <t>Potencia Panel</t>
  </si>
  <si>
    <t>Potencia en DC inversores</t>
  </si>
  <si>
    <t>Largo</t>
  </si>
  <si>
    <t>m</t>
  </si>
  <si>
    <t>Pp</t>
  </si>
  <si>
    <t>Potencia en AC inversores</t>
  </si>
  <si>
    <t xml:space="preserve">w  </t>
  </si>
  <si>
    <t>Espesor</t>
  </si>
  <si>
    <t>mm</t>
  </si>
  <si>
    <t>Ancho</t>
  </si>
  <si>
    <t>Área</t>
  </si>
  <si>
    <t>m2</t>
  </si>
  <si>
    <t>1. Calcular el promedio de consumo eléctrico mensual</t>
  </si>
  <si>
    <t>NIC</t>
  </si>
  <si>
    <t>Mes kWh-mes</t>
  </si>
  <si>
    <t>Promedio mes</t>
  </si>
  <si>
    <t>Promedio dia</t>
  </si>
  <si>
    <t>12hrs</t>
  </si>
  <si>
    <t>Consumo Actual</t>
  </si>
  <si>
    <t>Consumo actual</t>
  </si>
  <si>
    <t>Costo energía</t>
  </si>
  <si>
    <t>Consumo a cubrir con energía solar</t>
  </si>
  <si>
    <t>% consumo cubierto con energía solar</t>
  </si>
  <si>
    <t>Promedio mensual (kWh-mes)</t>
  </si>
  <si>
    <t>Promedio diario (kWh-dia)</t>
  </si>
  <si>
    <t>Límite de producción</t>
  </si>
  <si>
    <t>I</t>
  </si>
  <si>
    <t>Inversor kW</t>
  </si>
  <si>
    <t>Imax</t>
  </si>
  <si>
    <t>Rtamb=</t>
  </si>
  <si>
    <t>R20°C=</t>
  </si>
  <si>
    <t>Calibre</t>
  </si>
  <si>
    <t>Local</t>
  </si>
  <si>
    <t>Cap instalada AC</t>
  </si>
  <si>
    <t>PP instalada</t>
  </si>
  <si>
    <t>2. Escoger el nivel de voltaje del módulo fotovoltáico</t>
  </si>
  <si>
    <t>Pot exportación</t>
  </si>
  <si>
    <t>Potencia demandada (W)</t>
  </si>
  <si>
    <t>Tension (V)</t>
  </si>
  <si>
    <t>Nivel de voltaje seleccionado</t>
  </si>
  <si>
    <t>Menor de 1500 W</t>
  </si>
  <si>
    <t>12, 24 o 48</t>
  </si>
  <si>
    <t>1500 - 5000 W</t>
  </si>
  <si>
    <t>24 o 48</t>
  </si>
  <si>
    <t>Mayor de 5000 W</t>
  </si>
  <si>
    <t>120 o 300</t>
  </si>
  <si>
    <t>3. Ubicación del sistema solar fotovoltáico</t>
  </si>
  <si>
    <t>Latitud</t>
  </si>
  <si>
    <t>Longitud</t>
  </si>
  <si>
    <t>4. Horas Sol Pico</t>
  </si>
  <si>
    <t>Promedio</t>
  </si>
  <si>
    <t>Máx</t>
  </si>
  <si>
    <t>Mín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</si>
  <si>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</si>
  <si>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</si>
  <si>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</si>
  <si>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</si>
  <si>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</si>
  <si>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</si>
  <si>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</si>
  <si>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</si>
  <si>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</si>
  <si>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</si>
  <si>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</si>
  <si>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</si>
  <si>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1. </t>
  </si>
  <si>
    <t>Hallar potencia Paneles Solares</t>
  </si>
  <si>
    <t>Ficha Técnica Batería</t>
  </si>
  <si>
    <t>Pdmaxe</t>
  </si>
  <si>
    <t>Pdmaxd</t>
  </si>
  <si>
    <t>FCT (Factor de corrección de Temperatura)</t>
  </si>
  <si>
    <t>Potencia de los paneles Wp</t>
  </si>
  <si>
    <t>Potencia en DC inversores Wp</t>
  </si>
  <si>
    <t>Potencia en AC inversores W</t>
  </si>
  <si>
    <t>Pp= Potencia del Panel</t>
  </si>
  <si>
    <t>Pdmaxe= Profundidad de descarga max estacionaria (FT)</t>
  </si>
  <si>
    <t>Valor constante</t>
  </si>
  <si>
    <t>Ed, max= Energia diaria + 15%</t>
  </si>
  <si>
    <t>Pdmaxd= Profundidad de descarga max diaria (FT)</t>
  </si>
  <si>
    <t>HSP= Horas de sol pico, tomados del software de la NASA</t>
  </si>
  <si>
    <t>PR = performance Ratio</t>
  </si>
  <si>
    <t>Pm= Potencia del modulo solar (Tomado de la FT)</t>
  </si>
  <si>
    <t>Corrección por temperatura</t>
  </si>
  <si>
    <t>Np= No de paneles requerido</t>
  </si>
  <si>
    <t>Temp max amb</t>
  </si>
  <si>
    <t>Temp STC</t>
  </si>
  <si>
    <t>Delta Temp</t>
  </si>
  <si>
    <t>Potencia</t>
  </si>
  <si>
    <t>2.</t>
  </si>
  <si>
    <t>Calcular el inversor</t>
  </si>
  <si>
    <t>% Sobredimensionamiento</t>
  </si>
  <si>
    <t>Coef  Pmax</t>
  </si>
  <si>
    <t>Inversor 1</t>
  </si>
  <si>
    <t>Pmax=</t>
  </si>
  <si>
    <t>Delta Pot</t>
  </si>
  <si>
    <t>Pnom=</t>
  </si>
  <si>
    <t>Pmc=</t>
  </si>
  <si>
    <t>Imax DC=</t>
  </si>
  <si>
    <t>Voc</t>
  </si>
  <si>
    <t>No Paneles aproximados por MPPT</t>
  </si>
  <si>
    <t>IscDC=</t>
  </si>
  <si>
    <t>Coef Voc</t>
  </si>
  <si>
    <t>VnomDC=</t>
  </si>
  <si>
    <t>Delta Voc</t>
  </si>
  <si>
    <t>Inom AC=</t>
  </si>
  <si>
    <t>I max AC=</t>
  </si>
  <si>
    <t>Vac=</t>
  </si>
  <si>
    <t>Isc</t>
  </si>
  <si>
    <t>MPPT</t>
  </si>
  <si>
    <t>Coef Isc</t>
  </si>
  <si>
    <t>String</t>
  </si>
  <si>
    <t>Delta Isc</t>
  </si>
  <si>
    <t>Amp</t>
  </si>
  <si>
    <t>Inversor 2</t>
  </si>
  <si>
    <t>3.</t>
  </si>
  <si>
    <t>Área requerida para el montaje</t>
  </si>
  <si>
    <t>Atotal=</t>
  </si>
  <si>
    <t>4.</t>
  </si>
  <si>
    <t>Arreglo de módulos</t>
  </si>
  <si>
    <t>String 1, 2 y 15- Inversor 1</t>
  </si>
  <si>
    <t>No Paneles Serie</t>
  </si>
  <si>
    <t>String 4 y 5 - Inversor 2</t>
  </si>
  <si>
    <t>Voltaje</t>
  </si>
  <si>
    <t>Corriente</t>
  </si>
  <si>
    <t>Arreglo Final - Inversor 1</t>
  </si>
  <si>
    <t>No String Paralelo</t>
  </si>
  <si>
    <t>Arreglo Final - Inversor 2</t>
  </si>
  <si>
    <t>5.</t>
  </si>
  <si>
    <t>Cálculo de Protecciones</t>
  </si>
  <si>
    <t>DC</t>
  </si>
  <si>
    <t>Fusibles</t>
  </si>
  <si>
    <t>Dos por cada string</t>
  </si>
  <si>
    <t>VFGV= 1,2*Nms*VModOCSTC</t>
  </si>
  <si>
    <t>VFGV=</t>
  </si>
  <si>
    <t>Buscar ref comercial por encima</t>
  </si>
  <si>
    <t>In= 1,56*IModscSTC</t>
  </si>
  <si>
    <t>In=</t>
  </si>
  <si>
    <t>Certificado de conformidad y RETIE</t>
  </si>
  <si>
    <t>DPS</t>
  </si>
  <si>
    <t>Bipolar-verificar datasheet para validar conexión</t>
  </si>
  <si>
    <t>Uno por cada string</t>
  </si>
  <si>
    <t>VDPS= 1,1*Nms*Vmod,oc,stc</t>
  </si>
  <si>
    <t>VDps=</t>
  </si>
  <si>
    <t>Interruptor principal DC</t>
  </si>
  <si>
    <t xml:space="preserve">Bipolar  </t>
  </si>
  <si>
    <t>Vint=1,2*Nms*Vmod,oc,stc</t>
  </si>
  <si>
    <t>Vint=</t>
  </si>
  <si>
    <t>Se escoge fusible o interruptor DC</t>
  </si>
  <si>
    <t>Imax= 1,25*Isc*Nmp</t>
  </si>
  <si>
    <t>Imax=</t>
  </si>
  <si>
    <t>In=1,25*Imax</t>
  </si>
  <si>
    <t>AC</t>
  </si>
  <si>
    <t>Breaker termomagnético</t>
  </si>
  <si>
    <t>Protección de tensión y de corriente</t>
  </si>
  <si>
    <t>Vint= 1,2 VAC</t>
  </si>
  <si>
    <t>Imax= 1,25*Imax</t>
  </si>
  <si>
    <t>Debe ser inferior a la corriente deI cable, ya que 1ro dispara breaker antes que se queme el cable</t>
  </si>
  <si>
    <t>DPS - Falla de puesta de tierra</t>
  </si>
  <si>
    <t>VDPS= 1,1*Vinv</t>
  </si>
  <si>
    <t>Pararrayos depende de la estructura</t>
  </si>
  <si>
    <t>Medidor Bidireccional</t>
  </si>
  <si>
    <t>Cableado DC</t>
  </si>
  <si>
    <t>Por panel</t>
  </si>
  <si>
    <t>Tipo PV</t>
  </si>
  <si>
    <t>Cable positivo (No 12 AWG)</t>
  </si>
  <si>
    <t>Cable negativo (No 12 AWG)</t>
  </si>
  <si>
    <t>Por String a inversor</t>
  </si>
  <si>
    <t>Cable Tierra No 10 o 12</t>
  </si>
  <si>
    <t>Inom= 1,25*(1,25*Isc)</t>
  </si>
  <si>
    <t>RTamb= Delta V/(2*L*Isc)</t>
  </si>
  <si>
    <t>R20°C= Rtamb/(1+p(delta T))</t>
  </si>
  <si>
    <t>Tamb= Temperatura max ambiente=</t>
  </si>
  <si>
    <t>°C</t>
  </si>
  <si>
    <t>Caida tensión requerida</t>
  </si>
  <si>
    <t>Delta V=</t>
  </si>
  <si>
    <t>L=</t>
  </si>
  <si>
    <t>Km</t>
  </si>
  <si>
    <t>Inom=</t>
  </si>
  <si>
    <t>ohm/Km</t>
  </si>
  <si>
    <t>pCu=</t>
  </si>
  <si>
    <t>Detla T=</t>
  </si>
  <si>
    <t>Calibre conductor</t>
  </si>
  <si>
    <t>Conectores MC4</t>
  </si>
  <si>
    <t>Del Inversor al tablero de protecciones</t>
  </si>
  <si>
    <t>Cable AC</t>
  </si>
  <si>
    <t>Inom= 1,25*Imax</t>
  </si>
  <si>
    <t>Del tablero de protecciones al tablero general 1</t>
  </si>
  <si>
    <t>4/0</t>
  </si>
  <si>
    <t>Fases</t>
  </si>
  <si>
    <t xml:space="preserve">No 8 </t>
  </si>
  <si>
    <t>tierra</t>
  </si>
  <si>
    <t>No String por Inversor 1</t>
  </si>
  <si>
    <t>Total String Inversor 1</t>
  </si>
  <si>
    <t>No String por Inversor 2</t>
  </si>
  <si>
    <t>Total String Inversor 2</t>
  </si>
  <si>
    <t>Total String x cliente</t>
  </si>
  <si>
    <t>No clientes</t>
  </si>
  <si>
    <t>Tableros DC</t>
  </si>
  <si>
    <t>Total posiciones</t>
  </si>
  <si>
    <t>No posiciones del tablero</t>
  </si>
  <si>
    <t>Total tableros</t>
  </si>
  <si>
    <t>Precio de venta antes IVA</t>
  </si>
  <si>
    <t>Precio de Venta Iva Incluido</t>
  </si>
  <si>
    <t>Suministro de equipos de energía renovable</t>
  </si>
  <si>
    <t>Grupo generador</t>
  </si>
  <si>
    <t>Suministro de equipos de almacenamiento</t>
  </si>
  <si>
    <t>Suministro de materiales y equipos</t>
  </si>
  <si>
    <t>Servicio de instalación</t>
  </si>
  <si>
    <t>Suministro de estructura</t>
  </si>
  <si>
    <t>Suministro de medidor bidireccional</t>
  </si>
  <si>
    <t>Trámites ante entidades</t>
  </si>
  <si>
    <t>Certificación Retie</t>
  </si>
  <si>
    <t>Servicio de diseño</t>
  </si>
  <si>
    <t>Total general</t>
  </si>
  <si>
    <t xml:space="preserve">Servicio de instalación </t>
  </si>
  <si>
    <t>Costo Directo</t>
  </si>
  <si>
    <t xml:space="preserve">Administración </t>
  </si>
  <si>
    <t>Flujo de caja</t>
  </si>
  <si>
    <t>Porcentaje</t>
  </si>
  <si>
    <t>Valor antes de IVA</t>
  </si>
  <si>
    <t>Valor con IVA</t>
  </si>
  <si>
    <t>Imprevistos</t>
  </si>
  <si>
    <t>Anticipo</t>
  </si>
  <si>
    <t>Utilidad</t>
  </si>
  <si>
    <t xml:space="preserve">Con llegada de paneles </t>
  </si>
  <si>
    <t>Iva</t>
  </si>
  <si>
    <t>Con llegada de inversor</t>
  </si>
  <si>
    <t xml:space="preserve">Instalacion aprobada </t>
  </si>
  <si>
    <t xml:space="preserve">Margen </t>
  </si>
  <si>
    <t>Factor</t>
  </si>
  <si>
    <t>Tiempo reposición</t>
  </si>
  <si>
    <t>meses</t>
  </si>
  <si>
    <t>Equipos renovable</t>
  </si>
  <si>
    <t>Planta eléctrica</t>
  </si>
  <si>
    <t>Instalación</t>
  </si>
  <si>
    <t>Diseños y trámites</t>
  </si>
  <si>
    <t>Obra civil</t>
  </si>
  <si>
    <t>Item</t>
  </si>
  <si>
    <t>Un</t>
  </si>
  <si>
    <t>Inv 1</t>
  </si>
  <si>
    <t>Inv 2</t>
  </si>
  <si>
    <t>Cant total</t>
  </si>
  <si>
    <t>IVA</t>
  </si>
  <si>
    <t>CU</t>
  </si>
  <si>
    <t>CT antes IVA</t>
  </si>
  <si>
    <t>CT Iva Incluido</t>
  </si>
  <si>
    <t>PV</t>
  </si>
  <si>
    <t>PV antes IVA</t>
  </si>
  <si>
    <t>PV Iva Incluido</t>
  </si>
  <si>
    <t>Categoría Sigo</t>
  </si>
  <si>
    <t>Pareto</t>
  </si>
  <si>
    <t>Costo/Winstalado</t>
  </si>
  <si>
    <t>Precio/Winstalado</t>
  </si>
  <si>
    <t>Tiempo de reposición</t>
  </si>
  <si>
    <t>Reposición Empresa</t>
  </si>
  <si>
    <t>Reposición Cliente</t>
  </si>
  <si>
    <t>Equipos principales</t>
  </si>
  <si>
    <t>V.U. Antes IVA</t>
  </si>
  <si>
    <t>V.U</t>
  </si>
  <si>
    <t>Cantidad/panel</t>
  </si>
  <si>
    <t>V.T. antes IVA</t>
  </si>
  <si>
    <t>V.T./panel</t>
  </si>
  <si>
    <t>1.1</t>
  </si>
  <si>
    <t>Riel AS-DR-01A-5100</t>
  </si>
  <si>
    <t>1.2</t>
  </si>
  <si>
    <t>Middle clamp AS-DMC / 30 mm</t>
  </si>
  <si>
    <t>1.3</t>
  </si>
  <si>
    <t>Smart Meter</t>
  </si>
  <si>
    <t>1.4</t>
  </si>
  <si>
    <t>[GW14.3-BAT-LV-G10] Batería LFP(LiFePO4) 51.2 Vdc 280 Ah [with aerosol]
Goodwe</t>
  </si>
  <si>
    <t>Enclamp AS-DEC / 30 mm</t>
  </si>
  <si>
    <t>1.5</t>
  </si>
  <si>
    <t>HV418100 12S Gabinete</t>
  </si>
  <si>
    <t>Clip tierra</t>
  </si>
  <si>
    <t>1.6</t>
  </si>
  <si>
    <t>EQUIPOS DE MEDIDA TC´S</t>
  </si>
  <si>
    <t>Estructura Metálica</t>
  </si>
  <si>
    <t>Ground Clamp</t>
  </si>
  <si>
    <t>2.1</t>
  </si>
  <si>
    <t>Riel de soporte aluminio anodizado 4,7</t>
  </si>
  <si>
    <t>Autoperforante</t>
  </si>
  <si>
    <t>2.2</t>
  </si>
  <si>
    <t>Union de riel</t>
  </si>
  <si>
    <t>Unión de Riel</t>
  </si>
  <si>
    <t>2.3</t>
  </si>
  <si>
    <t>Mid Clamp</t>
  </si>
  <si>
    <t>Inclinación paneles</t>
  </si>
  <si>
    <t>2.4</t>
  </si>
  <si>
    <t>End Clamp</t>
  </si>
  <si>
    <t>Dado</t>
  </si>
  <si>
    <t>CT ANTES IVA</t>
  </si>
  <si>
    <t>2.5</t>
  </si>
  <si>
    <t>Chapa de tierra (Mid clamp)</t>
  </si>
  <si>
    <t>CT IVA INCLUIDO</t>
  </si>
  <si>
    <t>2.6</t>
  </si>
  <si>
    <t>Ground Lug</t>
  </si>
  <si>
    <t>Imprevisto</t>
  </si>
  <si>
    <t>2.7</t>
  </si>
  <si>
    <t>L Foot  85 mm</t>
  </si>
  <si>
    <t>2.8</t>
  </si>
  <si>
    <t>Dados</t>
  </si>
  <si>
    <t>2.9</t>
  </si>
  <si>
    <t>Protecciones en DC</t>
  </si>
  <si>
    <t>3.1</t>
  </si>
  <si>
    <t>TABLERO BIFÁSICO TIPO RIEL DIN 18 PUESTOS SOBREPONER</t>
  </si>
  <si>
    <t>3.2</t>
  </si>
  <si>
    <t>DPS SOLAR 1000V TIPO RIEL DIN</t>
  </si>
  <si>
    <t>3.3</t>
  </si>
  <si>
    <t>MINIBREAKERS 32A</t>
  </si>
  <si>
    <t>Protecciones en AC</t>
  </si>
  <si>
    <t>4.1</t>
  </si>
  <si>
    <t>4.2</t>
  </si>
  <si>
    <t xml:space="preserve">FUSIBLE Y PORTA FUSIBLE  DE BATERIAS </t>
  </si>
  <si>
    <t>4.3</t>
  </si>
  <si>
    <t>MINIBREAKER AC 2X32A TIPO RIEL DIN</t>
  </si>
  <si>
    <t>4.4</t>
  </si>
  <si>
    <t>4.5</t>
  </si>
  <si>
    <t>MINIBREAKER AC 3x200A TIPO RIEL DIN</t>
  </si>
  <si>
    <t>4.6</t>
  </si>
  <si>
    <t>DPS CLASE 2 TIPO RIEL DIN AC</t>
  </si>
  <si>
    <t>4.7</t>
  </si>
  <si>
    <t>PROTECCIÓN ENCHUFABLE 2X32A</t>
  </si>
  <si>
    <t>4.8</t>
  </si>
  <si>
    <t>4.9</t>
  </si>
  <si>
    <t>TABLERO GENERAL BAJA TENSION 24 CTOS TIPO ENCHUFABLE (Incluye 4 breaker 2x20 + 8 1x16 + 2 1x20)</t>
  </si>
  <si>
    <t>4.10</t>
  </si>
  <si>
    <t>MINIBREAKER DE 1X2A TIPO RIEL DIN</t>
  </si>
  <si>
    <t xml:space="preserve">Canalizaciones - registros </t>
  </si>
  <si>
    <t>5.1</t>
  </si>
  <si>
    <t>CAJA DE PASO PLASTICA 30*30*15</t>
  </si>
  <si>
    <t>5.2</t>
  </si>
  <si>
    <t>CAJA DE PASO PLASTICA 20*15</t>
  </si>
  <si>
    <t>mt</t>
  </si>
  <si>
    <t>5.3</t>
  </si>
  <si>
    <t>CAJA RAWELT 4X4 DE 1"</t>
  </si>
  <si>
    <t>5.4</t>
  </si>
  <si>
    <t>PRENSA ESTOPA DE 1/2"</t>
  </si>
  <si>
    <t>5.5</t>
  </si>
  <si>
    <t>PRENSA ESTOPA DE 3/4"</t>
  </si>
  <si>
    <t>Sistema de puesta a tierra</t>
  </si>
  <si>
    <t>6.1</t>
  </si>
  <si>
    <t>Varilla Coperweld de tierra</t>
  </si>
  <si>
    <t>6.2</t>
  </si>
  <si>
    <t>Perno varilla - cable</t>
  </si>
  <si>
    <t>6.3</t>
  </si>
  <si>
    <t>Cable No. 8 desnudo</t>
  </si>
  <si>
    <t>ml</t>
  </si>
  <si>
    <t>6.4</t>
  </si>
  <si>
    <t>registro de tierra de 30 x 30</t>
  </si>
  <si>
    <t>6.5</t>
  </si>
  <si>
    <t>Suelo artificial (5 kilos)</t>
  </si>
  <si>
    <t>Kg</t>
  </si>
  <si>
    <t>6.6</t>
  </si>
  <si>
    <t>Tuberia SCH 40 1/2" 3 metros</t>
  </si>
  <si>
    <t>Cable AC - DC</t>
  </si>
  <si>
    <t>Suministro cable fotovoltaico 4 mm2 color rojo</t>
  </si>
  <si>
    <t>Suministro cable fotovoltaico 4 mm2 color negro</t>
  </si>
  <si>
    <t xml:space="preserve">JUEGO TERMINALES MC4 4 mm2 </t>
  </si>
  <si>
    <t xml:space="preserve"> Cable Cu # 14 AWG  THHN/THWN-2</t>
  </si>
  <si>
    <t xml:space="preserve"> Cable Cu # 12 AWG  THHN/THWN-2</t>
  </si>
  <si>
    <t xml:space="preserve"> Cable Cu # 10 AWG  THHN/THWN-2</t>
  </si>
  <si>
    <t>6.7</t>
  </si>
  <si>
    <t xml:space="preserve"> Cable Cu # 8 AWG  THHN/THWN-2</t>
  </si>
  <si>
    <t>6.8</t>
  </si>
  <si>
    <t xml:space="preserve"> Cable Cu # 6 AWG  THHN/THWN-2</t>
  </si>
  <si>
    <t>6.9</t>
  </si>
  <si>
    <t xml:space="preserve"> Cable Cu # 4 AWG  THHN/THWN-2 Tierra</t>
  </si>
  <si>
    <t>6.10</t>
  </si>
  <si>
    <t xml:space="preserve"> Cable Cu # 2 AWG  THHN/THWN-2</t>
  </si>
  <si>
    <t>Simulación Davivienda</t>
  </si>
  <si>
    <t>6.11</t>
  </si>
  <si>
    <t xml:space="preserve"> Cable Cu # 1/0 AWG  THHN/THWN-2</t>
  </si>
  <si>
    <t>6.12</t>
  </si>
  <si>
    <t xml:space="preserve"> Cable Cu # 2/0 AWG  THHN/THWN-2</t>
  </si>
  <si>
    <t>6.13</t>
  </si>
  <si>
    <t xml:space="preserve"> Cable Cu # 250 AWG  THHN/THWN-2</t>
  </si>
  <si>
    <t>6.14</t>
  </si>
  <si>
    <t xml:space="preserve"> Cable Cu # 10 AWG  THHN/THWN-2 Tierra</t>
  </si>
  <si>
    <t>6.15</t>
  </si>
  <si>
    <t xml:space="preserve"> Cable utp Cap 5</t>
  </si>
  <si>
    <t>6.16</t>
  </si>
  <si>
    <t>CABLE SOLDADOR No. 2</t>
  </si>
  <si>
    <t>6.17</t>
  </si>
  <si>
    <t>Cable 2x 22  apantallado</t>
  </si>
  <si>
    <t>6.18</t>
  </si>
  <si>
    <t>Cable No. 18 negro</t>
  </si>
  <si>
    <t>6.19</t>
  </si>
  <si>
    <t>BORNAS CU 14 AWG</t>
  </si>
  <si>
    <t>6.20</t>
  </si>
  <si>
    <t>BORNAS CU 12 AWG</t>
  </si>
  <si>
    <t>6.21</t>
  </si>
  <si>
    <t>BORNAS CU 10 AWG</t>
  </si>
  <si>
    <t>6.22</t>
  </si>
  <si>
    <t>BORNAS CU 8 AWG</t>
  </si>
  <si>
    <t>6.23</t>
  </si>
  <si>
    <t>BORNAS CU 6 AWG</t>
  </si>
  <si>
    <t>6.24</t>
  </si>
  <si>
    <t>BORNAS CU 4 AWG</t>
  </si>
  <si>
    <t>6.25</t>
  </si>
  <si>
    <t>BORNAS CU 2 AWG</t>
  </si>
  <si>
    <t>6.26</t>
  </si>
  <si>
    <t>BORNAS CU 1/0 AWG</t>
  </si>
  <si>
    <t>6.27</t>
  </si>
  <si>
    <t>BORNAS CU 2/0 AWG</t>
  </si>
  <si>
    <t>6.28</t>
  </si>
  <si>
    <t>BORNAS CU 4/0 AWG</t>
  </si>
  <si>
    <t>Tuberia - Ductos y Accesorios</t>
  </si>
  <si>
    <t>7.1</t>
  </si>
  <si>
    <t>CORAZA METÁLICA 1"</t>
  </si>
  <si>
    <t>7.2</t>
  </si>
  <si>
    <t>CONECTORES RECTOS PARA CORAZA 1"</t>
  </si>
  <si>
    <t>7.3</t>
  </si>
  <si>
    <t>CORAZA METÁLICA 1" 1/2</t>
  </si>
  <si>
    <t>7.4</t>
  </si>
  <si>
    <t>CONECTORES RECTOS PARA CORAZA 1" 1/2</t>
  </si>
  <si>
    <t>7.5</t>
  </si>
  <si>
    <t>CORAZA METÁLICA 2"</t>
  </si>
  <si>
    <t>7.6</t>
  </si>
  <si>
    <t>CONECTORES RECTOS PARA CORAZA 2"</t>
  </si>
  <si>
    <t>7.7</t>
  </si>
  <si>
    <t>TUBERÍA IMC 1" x 3metros</t>
  </si>
  <si>
    <t>7.8</t>
  </si>
  <si>
    <t>CURVA IMC 1"</t>
  </si>
  <si>
    <t>7.9</t>
  </si>
  <si>
    <t>UNIONES IMC 1"</t>
  </si>
  <si>
    <t>7.10</t>
  </si>
  <si>
    <t>TUBERÍA IMC 1" 1/2 x 3metros</t>
  </si>
  <si>
    <t>7.11</t>
  </si>
  <si>
    <t>CURVA IMC 1" 1/2</t>
  </si>
  <si>
    <t>7.12</t>
  </si>
  <si>
    <t>UNIONES IMC 1" 1/2</t>
  </si>
  <si>
    <t>7.13</t>
  </si>
  <si>
    <t>TUBERÍA IMC 2" x 3metros</t>
  </si>
  <si>
    <t>7.14</t>
  </si>
  <si>
    <t>CURVA IMC 2" 1/2</t>
  </si>
  <si>
    <t>7.15</t>
  </si>
  <si>
    <t>UNIONES IMC 2" 1/2</t>
  </si>
  <si>
    <t>7.16</t>
  </si>
  <si>
    <t>TUBERÍA EMT 1" x 3metros</t>
  </si>
  <si>
    <t>7.17</t>
  </si>
  <si>
    <t>CURVA EMT 1"</t>
  </si>
  <si>
    <t>7.18</t>
  </si>
  <si>
    <t>UNIONES EMT 1"</t>
  </si>
  <si>
    <t>7.19</t>
  </si>
  <si>
    <t>TUBERÍA EMT 1" 1/2 x 3metros</t>
  </si>
  <si>
    <t>7.20</t>
  </si>
  <si>
    <t>CURVA EMT 1" 1/2</t>
  </si>
  <si>
    <t>7.21</t>
  </si>
  <si>
    <t>UNIONES EMT 1" 1/2</t>
  </si>
  <si>
    <t>7.22</t>
  </si>
  <si>
    <t>TUBERÍA EMT 2" x 3metros</t>
  </si>
  <si>
    <t>7.23</t>
  </si>
  <si>
    <t>CURVA EMT 2"</t>
  </si>
  <si>
    <t>7.24</t>
  </si>
  <si>
    <t>UNIONES EMT 2"</t>
  </si>
  <si>
    <t>7.25</t>
  </si>
  <si>
    <t>TUBERÍA PVC SCH40 1" x 3metros</t>
  </si>
  <si>
    <t>7.26</t>
  </si>
  <si>
    <t>CURVA PVC SCH40 1"</t>
  </si>
  <si>
    <t>7.27</t>
  </si>
  <si>
    <t>TERMINAL ADAPTADOR PVC SCH 1"</t>
  </si>
  <si>
    <t>7.28</t>
  </si>
  <si>
    <t>TUBERÍA PVC SCH40 1 1/2" x 3metros</t>
  </si>
  <si>
    <t>7.29</t>
  </si>
  <si>
    <t>CURVA PVC SCH40 1 1/2"</t>
  </si>
  <si>
    <t>7.30</t>
  </si>
  <si>
    <t>TERMINAL ADAPTADOR PVC SCH 1 1/2"</t>
  </si>
  <si>
    <t>7.31</t>
  </si>
  <si>
    <t>TUBERÍA PVC SCH40 2" x 3metros</t>
  </si>
  <si>
    <t>7.32</t>
  </si>
  <si>
    <t>CURVA PVC SCH40 2"</t>
  </si>
  <si>
    <t>7.33</t>
  </si>
  <si>
    <t>TERMINAL ADAPTADOR PVC SCH 2"</t>
  </si>
  <si>
    <t>7.34</t>
  </si>
  <si>
    <t>CANALETA PLÁSTICA DEXON 60 X 40 MM X 2 METROS</t>
  </si>
  <si>
    <t>7.35</t>
  </si>
  <si>
    <t>ANGULO PLANO PARA CANALETA DE 60 X 40</t>
  </si>
  <si>
    <t>7.36</t>
  </si>
  <si>
    <t>ANGULO INTERNO PARA CANALETA DE 60X40</t>
  </si>
  <si>
    <t>7.37</t>
  </si>
  <si>
    <t>T PARA CANALETA DE 60 X 40</t>
  </si>
  <si>
    <t>7.38</t>
  </si>
  <si>
    <t>TAPA FINAL</t>
  </si>
  <si>
    <t>7.40</t>
  </si>
  <si>
    <t>SOPORTE METÁLICO DOBLE OJO 1"</t>
  </si>
  <si>
    <t>7.41</t>
  </si>
  <si>
    <t>SOPORTE METÁLICO DOBLE OJO 1 1/2"</t>
  </si>
  <si>
    <t>7.42</t>
  </si>
  <si>
    <t>SOPORTE METÁLICO DOBLE OJO 2"</t>
  </si>
  <si>
    <t>7.43</t>
  </si>
  <si>
    <t>CINTA AISLANTE NEGRA</t>
  </si>
  <si>
    <t>7.44</t>
  </si>
  <si>
    <t>CINTA AISLANTE ROJA</t>
  </si>
  <si>
    <t>7.45</t>
  </si>
  <si>
    <t>CINTA AISLANTE BLANCA</t>
  </si>
  <si>
    <t>7.46</t>
  </si>
  <si>
    <t>CINTA AISLANTE VERDE</t>
  </si>
  <si>
    <t>7.47</t>
  </si>
  <si>
    <t>CHAZO Y TORNILLO 1/4</t>
  </si>
  <si>
    <t>Dto 50% Inv</t>
  </si>
  <si>
    <t>7.48</t>
  </si>
  <si>
    <t>PEGANTE SELLADOR POLIURETANO</t>
  </si>
  <si>
    <t>7.49</t>
  </si>
  <si>
    <t>ESPUMA EXPANSIVA</t>
  </si>
  <si>
    <t>7.50</t>
  </si>
  <si>
    <t>AMARRES PLASTICOS DE 25 CM</t>
  </si>
  <si>
    <t>7.51</t>
  </si>
  <si>
    <t>Materiales menores</t>
  </si>
  <si>
    <t>%</t>
  </si>
  <si>
    <t>Marcación</t>
  </si>
  <si>
    <t>S.E.I de marcación  este deberá ser tipo exterior para identificar cableado fotovoltaico tanto al inicio de las String partiendo de los grupos de paneles como al ingreso del inversor.</t>
  </si>
  <si>
    <t>Gb</t>
  </si>
  <si>
    <t>Gestión y Trámites</t>
  </si>
  <si>
    <t>8.1</t>
  </si>
  <si>
    <t>Diseño eléctrico y estructural</t>
  </si>
  <si>
    <t>8.2</t>
  </si>
  <si>
    <t>Estudio de conexión</t>
  </si>
  <si>
    <t>8.3</t>
  </si>
  <si>
    <t>Trámites ante OR</t>
  </si>
  <si>
    <t>GB</t>
  </si>
  <si>
    <t>8.4</t>
  </si>
  <si>
    <t>Trámites UPME</t>
  </si>
  <si>
    <t>9.1</t>
  </si>
  <si>
    <t>Mano de Obra de Instalación Eléctrica y Puesta en Servicio sistema</t>
  </si>
  <si>
    <t>9.2</t>
  </si>
  <si>
    <t>Punto de datos</t>
  </si>
  <si>
    <t>9.3</t>
  </si>
  <si>
    <t>Izaje de carga</t>
  </si>
  <si>
    <t>RETIE y Medición</t>
  </si>
  <si>
    <t>Certificación RETIE</t>
  </si>
  <si>
    <t>9.4</t>
  </si>
  <si>
    <t>Suministro, gestión y cambio de medidor bidireccional med-3f-
208/120vac-5(120)</t>
  </si>
  <si>
    <t>Subtotal</t>
  </si>
  <si>
    <t>Estructuración y Gerencia del proyecto</t>
  </si>
  <si>
    <t>Comisión</t>
  </si>
  <si>
    <t>Planta eléctrica a gas</t>
  </si>
  <si>
    <t>Materiales</t>
  </si>
  <si>
    <t>Grupo generador Generac a Gas modelo 7077
con motor y generador Generac, tablero de
control , cabina insonora, cargador de
baterias, baterias y cables y interruptor del</t>
  </si>
  <si>
    <t>Respaldo</t>
  </si>
  <si>
    <t>Transferencia automatica Generac de 200Amp
para grupo generador 7077 de 20kw a 208V</t>
  </si>
  <si>
    <t>Devolución IVA</t>
  </si>
  <si>
    <t>Declaración renta</t>
  </si>
  <si>
    <t>Micro</t>
  </si>
  <si>
    <t>Dep acelerada</t>
  </si>
  <si>
    <t>end camp</t>
  </si>
  <si>
    <t>Año 1</t>
  </si>
  <si>
    <t>Tasa</t>
  </si>
  <si>
    <t>Cable troncal</t>
  </si>
  <si>
    <t>Año 2</t>
  </si>
  <si>
    <t>Equity</t>
  </si>
  <si>
    <t>DTU PRO S</t>
  </si>
  <si>
    <t>Año 3</t>
  </si>
  <si>
    <t>Meses</t>
  </si>
  <si>
    <t>Financiación</t>
  </si>
  <si>
    <t>Herramientas</t>
  </si>
  <si>
    <t>Año 4</t>
  </si>
  <si>
    <t>Total con Micro</t>
  </si>
  <si>
    <t>Año 5</t>
  </si>
  <si>
    <t>Tablero DC</t>
  </si>
  <si>
    <t>Diferencia</t>
  </si>
  <si>
    <t>Costo Actual</t>
  </si>
  <si>
    <t>Sobrecosto</t>
  </si>
  <si>
    <t>Indicadores</t>
  </si>
  <si>
    <t>Valor prestamo</t>
  </si>
  <si>
    <t>USD/W</t>
  </si>
  <si>
    <t>Instalación, Diseño y Trámites</t>
  </si>
  <si>
    <t>Cuota</t>
  </si>
  <si>
    <t>Instalación solamente</t>
  </si>
  <si>
    <t>A todo costo</t>
  </si>
  <si>
    <t>P</t>
  </si>
  <si>
    <t xml:space="preserve">Instalación </t>
  </si>
  <si>
    <t>Diseño y Trámites</t>
  </si>
  <si>
    <t>Amortización</t>
  </si>
  <si>
    <t>Empresa</t>
  </si>
  <si>
    <t>Cliente</t>
  </si>
  <si>
    <t>N</t>
  </si>
  <si>
    <t>años</t>
  </si>
  <si>
    <t>Anualidad</t>
  </si>
  <si>
    <t>Mesualidad</t>
  </si>
  <si>
    <t>Capital</t>
  </si>
  <si>
    <t>Mensualidad Capital</t>
  </si>
  <si>
    <t>Intereses</t>
  </si>
  <si>
    <t>Mantenimiento</t>
  </si>
  <si>
    <t>Operación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</si>
  <si>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</si>
  <si>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</si>
  <si>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</si>
  <si>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</si>
  <si>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</si>
  <si>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</si>
  <si>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</si>
  <si>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</si>
  <si>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</si>
  <si>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</si>
  <si>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</si>
  <si>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</si>
  <si>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</si>
  <si>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Orden de compra</t>
  </si>
  <si>
    <t>Diseño</t>
  </si>
  <si>
    <t>Compra de estructuras y materiales</t>
  </si>
  <si>
    <t>Instalación de estructura y materiales</t>
  </si>
  <si>
    <t>Compra de paneles e inversores</t>
  </si>
  <si>
    <t>Instalación de paneles e inversores</t>
  </si>
  <si>
    <t>Compra e instalación de bateria 1</t>
  </si>
  <si>
    <t>Compra e instalación de bateria 2</t>
  </si>
  <si>
    <t>Compra e instalación de bateria 3</t>
  </si>
  <si>
    <t>Adquisición estructura</t>
  </si>
  <si>
    <t>Adquisición materiales</t>
  </si>
  <si>
    <t>Adquisición paneles</t>
  </si>
  <si>
    <t>Adquisición inversores</t>
  </si>
  <si>
    <t>Adquisición baterías</t>
  </si>
  <si>
    <t>Instalación estructura</t>
  </si>
  <si>
    <t>Instalación materiales</t>
  </si>
  <si>
    <t>Instalación de paneles</t>
  </si>
  <si>
    <t>Instalación de inversores</t>
  </si>
  <si>
    <t>Puesta en servicio sistema sin baterias</t>
  </si>
  <si>
    <t>Instalación de baterías</t>
  </si>
  <si>
    <t>Puesta en servicio sistema con baterías</t>
  </si>
  <si>
    <t>Rendimiento</t>
  </si>
  <si>
    <t>No Paneles CCPP</t>
  </si>
  <si>
    <t>Horas Requeridas</t>
  </si>
  <si>
    <t>No Personas</t>
  </si>
  <si>
    <t>Horas Disponibles diarias</t>
  </si>
  <si>
    <t>No Días</t>
  </si>
  <si>
    <t>Horas por panel incluye cableado</t>
  </si>
  <si>
    <t>No horas semanales</t>
  </si>
  <si>
    <t>Sistema Eléctrico</t>
  </si>
  <si>
    <t>Sistema AC  CCPP</t>
  </si>
  <si>
    <t>Puesta en servicio CCPP</t>
  </si>
  <si>
    <t>Total Horas</t>
  </si>
  <si>
    <t>Sueldo</t>
  </si>
  <si>
    <t>k</t>
  </si>
  <si>
    <t>Salario</t>
  </si>
  <si>
    <t>Salario horario/Diario</t>
  </si>
  <si>
    <t>No horas/No Días</t>
  </si>
  <si>
    <t>Técnicos fijos</t>
  </si>
  <si>
    <t>Técnicos por obra labor</t>
  </si>
  <si>
    <t>Ayudante</t>
  </si>
  <si>
    <t>Supervisor</t>
  </si>
  <si>
    <t xml:space="preserve">Alimentacion </t>
  </si>
  <si>
    <t>Peajes</t>
  </si>
  <si>
    <t>Apartamento</t>
  </si>
  <si>
    <t>Transporte</t>
  </si>
  <si>
    <t>Hidratación</t>
  </si>
  <si>
    <t>Dotación</t>
  </si>
  <si>
    <t>Andamios</t>
  </si>
  <si>
    <t>Moto</t>
  </si>
  <si>
    <t>Elementos para trabajo en altura</t>
  </si>
  <si>
    <t>Calculadora de préstamos simple</t>
  </si>
  <si>
    <t>Valores del préstamo</t>
  </si>
  <si>
    <t>Resumen del préstamo</t>
  </si>
  <si>
    <t>Importe del préstamo</t>
  </si>
  <si>
    <t>Pago mensual</t>
  </si>
  <si>
    <t>Tasa de interés anual</t>
  </si>
  <si>
    <t>Número de pagos</t>
  </si>
  <si>
    <t>Saldo Capital</t>
  </si>
  <si>
    <t>Periodo del préstamo en años</t>
  </si>
  <si>
    <t>Importe total de los intereses</t>
  </si>
  <si>
    <t>Seguros</t>
  </si>
  <si>
    <t>Fecha de inicio del préstamo</t>
  </si>
  <si>
    <t>Coste total del préstamo</t>
  </si>
  <si>
    <t>N.° de pago</t>
  </si>
  <si>
    <t>Fecha de pago</t>
  </si>
  <si>
    <t>Saldo inicial</t>
  </si>
  <si>
    <t>Pago</t>
  </si>
  <si>
    <t>Saldo final</t>
  </si>
  <si>
    <t>Corto Plazo</t>
  </si>
  <si>
    <t>Con Seguro</t>
  </si>
  <si>
    <t>Sin Seguro</t>
  </si>
  <si>
    <t>Tasa EA</t>
  </si>
  <si>
    <t>Tasa MV</t>
  </si>
  <si>
    <t>Plazo años</t>
  </si>
  <si>
    <t>Plazo meses</t>
  </si>
  <si>
    <t>Seguro por millon</t>
  </si>
  <si>
    <t>Mes</t>
  </si>
  <si>
    <t>Pago a intereses</t>
  </si>
  <si>
    <t>Pago a capital</t>
  </si>
  <si>
    <t>Cuota Total sin seguros</t>
  </si>
  <si>
    <t>Cuota total con seguros</t>
  </si>
  <si>
    <t>Corto Plazo Cliente</t>
  </si>
  <si>
    <t>Mediano Plazo</t>
  </si>
  <si>
    <t>Mediano Plazo Cliente</t>
  </si>
  <si>
    <t>Largo Plazo</t>
  </si>
  <si>
    <t>Francisco Alcala</t>
  </si>
  <si>
    <t xml:space="preserve">MarjorieCosto </t>
  </si>
  <si>
    <t>Marjorie Venta</t>
  </si>
  <si>
    <t>Celsia Habitat</t>
  </si>
  <si>
    <t>Equipos</t>
  </si>
  <si>
    <t>Diseños</t>
  </si>
  <si>
    <t>Certificación</t>
  </si>
  <si>
    <t>Solo MO</t>
  </si>
  <si>
    <t>Materiales y MO</t>
  </si>
  <si>
    <t>Decradación anual</t>
  </si>
  <si>
    <t>Año</t>
  </si>
  <si>
    <t>Con degradación de acuerdo a gráfico</t>
  </si>
  <si>
    <t>Con degradación anual del 0,45%</t>
  </si>
  <si>
    <t>Total año</t>
  </si>
  <si>
    <t>SALVA kWh-mes</t>
  </si>
  <si>
    <t>PV System kWh-mes</t>
  </si>
  <si>
    <t>Diferencia kWh-mes</t>
  </si>
  <si>
    <t>Potencia Sistema</t>
  </si>
  <si>
    <t>Producción</t>
  </si>
  <si>
    <t>Eficiencia</t>
  </si>
  <si>
    <t xml:space="preserve">PR  </t>
  </si>
  <si>
    <t>Energia Producida (kWh-mes)</t>
  </si>
  <si>
    <t>Energía Consumida (kWh-mes)</t>
  </si>
  <si>
    <t>Autoconsumo</t>
  </si>
  <si>
    <t>Importación</t>
  </si>
  <si>
    <t>Total Excedentes</t>
  </si>
  <si>
    <t>Excedentes T1 con crédito</t>
  </si>
  <si>
    <t>Importación sin crédito</t>
  </si>
  <si>
    <t>Excedentes tipo 2</t>
  </si>
  <si>
    <t>IPC</t>
  </si>
  <si>
    <t>Costos para el cliente CP</t>
  </si>
  <si>
    <t>Capital Propio</t>
  </si>
  <si>
    <t xml:space="preserve">Interéses </t>
  </si>
  <si>
    <t>Reposición</t>
  </si>
  <si>
    <t>Energia 20 años</t>
  </si>
  <si>
    <t>Tarifa ($/kWH)</t>
  </si>
  <si>
    <t>Arriendo</t>
  </si>
  <si>
    <t>Energia anual</t>
  </si>
  <si>
    <t>Costos Total</t>
  </si>
  <si>
    <t>Tarifa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</si>
  <si>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</si>
  <si>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</si>
  <si>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</si>
  <si>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</si>
  <si>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</si>
  <si>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</si>
  <si>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</si>
  <si>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</si>
  <si>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</si>
  <si>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</si>
  <si>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</si>
  <si>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</si>
  <si>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</si>
  <si>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</si>
  <si>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</si>
  <si>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</si>
  <si>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</si>
  <si>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</si>
  <si>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</si>
  <si>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</si>
  <si>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Tarifa promedio</t>
  </si>
  <si>
    <t>Arriendo promedio</t>
  </si>
  <si>
    <t>Costo Cliente MP</t>
  </si>
  <si>
    <t>Interéses</t>
  </si>
  <si>
    <t>Costo Cliente LP</t>
  </si>
  <si>
    <t>Costos para la empresa CP</t>
  </si>
  <si>
    <t>Amortización Capital</t>
  </si>
  <si>
    <t>Amortización Intereses</t>
  </si>
  <si>
    <t>Margen</t>
  </si>
  <si>
    <t>Costos</t>
  </si>
  <si>
    <t>Costos para la empresa MP</t>
  </si>
  <si>
    <t>Energía</t>
  </si>
  <si>
    <t>Costos para la empresa LP</t>
  </si>
  <si>
    <t>Costos para el inversionista</t>
  </si>
  <si>
    <t>Inversión</t>
  </si>
  <si>
    <t>Info para EEFF</t>
  </si>
  <si>
    <t>Costos para la empresa</t>
  </si>
  <si>
    <t>Gastos Administrativos</t>
  </si>
  <si>
    <t>Administración</t>
  </si>
  <si>
    <t>FLR</t>
  </si>
  <si>
    <t>Ejemplo</t>
  </si>
  <si>
    <t>Curva de consumo</t>
  </si>
  <si>
    <t>Producción Mensual</t>
  </si>
  <si>
    <t>Carga Residencia</t>
  </si>
  <si>
    <t>Consumo Mensual</t>
  </si>
  <si>
    <t>Hora</t>
  </si>
  <si>
    <t>Consumo PU</t>
  </si>
  <si>
    <t>Producción Solar PU</t>
  </si>
  <si>
    <t>Consumo horario</t>
  </si>
  <si>
    <t>Producción Horaria</t>
  </si>
  <si>
    <t>Excedentes</t>
  </si>
  <si>
    <t>Acumulacion energia</t>
  </si>
  <si>
    <t>C-P</t>
  </si>
  <si>
    <t>Case Base</t>
  </si>
  <si>
    <t xml:space="preserve">Excedentes </t>
  </si>
  <si>
    <t>Caso 1</t>
  </si>
  <si>
    <t>Caso 2</t>
  </si>
  <si>
    <t>Caso 3</t>
  </si>
  <si>
    <t>Tipo 1</t>
  </si>
  <si>
    <t>Con crédito</t>
  </si>
  <si>
    <t>C</t>
  </si>
  <si>
    <t>Consumo</t>
  </si>
  <si>
    <t>Tipo 2</t>
  </si>
  <si>
    <t>Precio Bolsa</t>
  </si>
  <si>
    <t>Producido</t>
  </si>
  <si>
    <t>Auto consumo</t>
  </si>
  <si>
    <t>Sin Crédito</t>
  </si>
  <si>
    <t>CUt</t>
  </si>
  <si>
    <t>Inyección a red</t>
  </si>
  <si>
    <t>Liquidación Horaria</t>
  </si>
  <si>
    <t>Ahorro</t>
  </si>
  <si>
    <t xml:space="preserve">Agosto 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</si>
  <si>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</si>
  <si>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</si>
  <si>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</si>
  <si>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</si>
  <si>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</si>
  <si>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</si>
  <si>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</si>
  <si>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</si>
  <si>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</si>
  <si>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</si>
  <si>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</si>
  <si>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</si>
  <si>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Liquidación</t>
  </si>
  <si>
    <t>Suplencia total</t>
  </si>
  <si>
    <t>Consumo Cargas Críticas</t>
  </si>
  <si>
    <t>Producción diaria</t>
  </si>
  <si>
    <t>Baterías</t>
  </si>
  <si>
    <t>Exportación</t>
  </si>
  <si>
    <t>Autonomia (h)</t>
  </si>
  <si>
    <t>Energía total a suplir Wh-dia</t>
  </si>
  <si>
    <t>Energía bateria Wh-dia</t>
  </si>
  <si>
    <t>No Baterias</t>
  </si>
  <si>
    <t>Energía final con baterias</t>
  </si>
  <si>
    <t>Energía parcial a suplir</t>
  </si>
  <si>
    <t>No baterias</t>
  </si>
  <si>
    <t>De 3 a 4 hr</t>
  </si>
  <si>
    <t>C Enerbit</t>
  </si>
  <si>
    <t>OT</t>
  </si>
  <si>
    <t>Tarifa Cu</t>
  </si>
  <si>
    <t>Tarifa comercialización</t>
  </si>
  <si>
    <t>Tarifa paneles financiamiento CP</t>
  </si>
  <si>
    <t>Tarifa paneles capital propio</t>
  </si>
  <si>
    <t>Tarifa CU</t>
  </si>
  <si>
    <t>Tarifa ESFV CP</t>
  </si>
  <si>
    <t>Tarifa ESFV MP</t>
  </si>
  <si>
    <t>Tarifa ESFV LP</t>
  </si>
  <si>
    <t>Proyección Precio Bolsa</t>
  </si>
  <si>
    <t>Niña</t>
  </si>
  <si>
    <t>Niño</t>
  </si>
  <si>
    <t>Normal</t>
  </si>
  <si>
    <t>Tiempo contrato años</t>
  </si>
  <si>
    <t>Condiciones</t>
  </si>
  <si>
    <t xml:space="preserve">Al finalizar </t>
  </si>
  <si>
    <t>Indexada por IPC</t>
  </si>
  <si>
    <t>Paga el 50% del valor total de la planta y pasa a ser propiedad del cliente</t>
  </si>
  <si>
    <t>Capital propio</t>
  </si>
  <si>
    <t>Paga el 35% del valor total de la planta y pasa a ser propiedad del cliente</t>
  </si>
  <si>
    <t>Paga el 20% del valor total de la planta y pasa a ser propiedad del cliente</t>
  </si>
  <si>
    <t>Tarifa paneles</t>
  </si>
  <si>
    <t>Contribución</t>
  </si>
  <si>
    <t>PPA</t>
  </si>
  <si>
    <t>Tarifa Paneles</t>
  </si>
  <si>
    <t xml:space="preserve">Energia Producida </t>
  </si>
  <si>
    <t>Consumo Real</t>
  </si>
  <si>
    <t>Costo Actual Energía</t>
  </si>
  <si>
    <t>Costo Actual Contribución</t>
  </si>
  <si>
    <t>Costo Actual Total</t>
  </si>
  <si>
    <t>Costo Actual energia</t>
  </si>
  <si>
    <t>Con Paneles</t>
  </si>
  <si>
    <t>Excedentes Tipo 1</t>
  </si>
  <si>
    <t>Contribución por excedentes Tipo 1</t>
  </si>
  <si>
    <t>Contribución Importación sin crédito</t>
  </si>
  <si>
    <t>Excedentes Tipo 2</t>
  </si>
  <si>
    <t>Contribución por excedentes Tipo 2</t>
  </si>
  <si>
    <t>Total Costo del SFV</t>
  </si>
  <si>
    <t>Costo de energía con SFV</t>
  </si>
  <si>
    <t>Flujo de caja neto</t>
  </si>
  <si>
    <t>Flujo de caja acumulado</t>
  </si>
  <si>
    <t>Flujo caja neto</t>
  </si>
  <si>
    <t>Flujo acumulado</t>
  </si>
  <si>
    <t>Costo Energía</t>
  </si>
  <si>
    <t>VPN 5 años</t>
  </si>
  <si>
    <t>VPN 10 años</t>
  </si>
  <si>
    <t>Situación Actual</t>
  </si>
  <si>
    <t>ESFV</t>
  </si>
  <si>
    <t>Ahorro costos energía</t>
  </si>
  <si>
    <t>VPN</t>
  </si>
  <si>
    <t>TIR</t>
  </si>
  <si>
    <t>Tiempo de retorno</t>
  </si>
  <si>
    <t>Valores Corrientes</t>
  </si>
  <si>
    <t>10  años</t>
  </si>
  <si>
    <t>Costo ESF</t>
  </si>
  <si>
    <t>% ahorro</t>
  </si>
  <si>
    <t>KWh-mes</t>
  </si>
  <si>
    <t>Costo Generación Paneles</t>
  </si>
  <si>
    <t>ESFV PPA</t>
  </si>
  <si>
    <t>% de Ahorro</t>
  </si>
  <si>
    <t>Cuota Banco</t>
  </si>
  <si>
    <t>O&amp;M</t>
  </si>
  <si>
    <t>VPN 15 años</t>
  </si>
  <si>
    <t>Energía Producida</t>
  </si>
  <si>
    <t>Ingreso</t>
  </si>
  <si>
    <t>Costo</t>
  </si>
  <si>
    <t>10 Años</t>
  </si>
  <si>
    <t xml:space="preserve">Ingreso promedio mensual </t>
  </si>
  <si>
    <t>Costo promedio mensual</t>
  </si>
  <si>
    <t>Flujo de caja libre</t>
  </si>
  <si>
    <t>Ingresos corrientes</t>
  </si>
  <si>
    <t>Costos Corrientes</t>
  </si>
  <si>
    <t>Utilidad operativa</t>
  </si>
  <si>
    <t>Retorno inversión</t>
  </si>
  <si>
    <t>Margen Operacional</t>
  </si>
  <si>
    <t>Tarifa Base</t>
  </si>
  <si>
    <t>EPC</t>
  </si>
  <si>
    <t>Esperado</t>
  </si>
  <si>
    <t>Energia Producida</t>
  </si>
  <si>
    <t>One Time</t>
  </si>
  <si>
    <t xml:space="preserve">Ingreso </t>
  </si>
  <si>
    <t>Banco</t>
  </si>
  <si>
    <t xml:space="preserve">Reposición </t>
  </si>
  <si>
    <t>Capex</t>
  </si>
  <si>
    <t>MCOP</t>
  </si>
  <si>
    <t>Estructura Costos</t>
  </si>
  <si>
    <t>Intereses y seguros</t>
  </si>
  <si>
    <t>Operación y Mtto</t>
  </si>
  <si>
    <t>Utilidad corriente</t>
  </si>
  <si>
    <t>Impuesto Renta</t>
  </si>
  <si>
    <t>Gastos administrativos</t>
  </si>
  <si>
    <t>Total 5 años</t>
  </si>
  <si>
    <t>Ingresos</t>
  </si>
  <si>
    <t xml:space="preserve">Costos </t>
  </si>
  <si>
    <t>Utilidad Operacional</t>
  </si>
  <si>
    <t>Ebitda corto plazo</t>
  </si>
  <si>
    <t>Margen Ebitda</t>
  </si>
  <si>
    <t>Depreciación</t>
  </si>
  <si>
    <t>EBIT</t>
  </si>
  <si>
    <t>Gastos Financieros</t>
  </si>
  <si>
    <t>Utilidad antes de impuestos</t>
  </si>
  <si>
    <t>Provisión impuesto renta</t>
  </si>
  <si>
    <t>Dto Beneficios tributatiros</t>
  </si>
  <si>
    <t>ICA</t>
  </si>
  <si>
    <t>Utilidad Neta</t>
  </si>
  <si>
    <t>Margen Neto</t>
  </si>
  <si>
    <t>FCO Corto Plazo</t>
  </si>
  <si>
    <t>Flujo de caja Operativo DI</t>
  </si>
  <si>
    <t>Cuota del banco</t>
  </si>
  <si>
    <t>Deduccción impuesto renta</t>
  </si>
  <si>
    <t>50% de la inversión</t>
  </si>
  <si>
    <t>en un periodo 5 años</t>
  </si>
  <si>
    <t>Posible descontar en el proyecto</t>
  </si>
  <si>
    <t>Saldo por descontar</t>
  </si>
  <si>
    <t>Período 5 años</t>
  </si>
  <si>
    <t>Anualmente max 50%</t>
  </si>
  <si>
    <t>50% Impuesto Renta</t>
  </si>
  <si>
    <t>Con Beneficios Tributarios</t>
  </si>
  <si>
    <t>Total 10 años</t>
  </si>
  <si>
    <t>Ebitda Mediano Plazo</t>
  </si>
  <si>
    <t>FCO Mediano Plazo</t>
  </si>
  <si>
    <t>Ebitda Largo plazo</t>
  </si>
  <si>
    <t>FCO Largo Plazo</t>
  </si>
  <si>
    <t>Comparativo Tarifas</t>
  </si>
  <si>
    <t>Total AO&amp;M</t>
  </si>
  <si>
    <t>% O&amp;M</t>
  </si>
  <si>
    <t>% AO&amp;M</t>
  </si>
  <si>
    <t>VPN 12 años</t>
  </si>
  <si>
    <t>VPN 20 años</t>
  </si>
  <si>
    <t>Factura</t>
  </si>
  <si>
    <t>Factura Actual Aire</t>
  </si>
  <si>
    <t>Factura Futura Aire</t>
  </si>
  <si>
    <t>O&amp;M ESFV</t>
  </si>
  <si>
    <t>Total con ESFV</t>
  </si>
  <si>
    <t>Disminución</t>
  </si>
  <si>
    <t>Tarifa actual</t>
  </si>
  <si>
    <t>Tarifa con SSFV PPA</t>
  </si>
  <si>
    <t>Tarifa con SSFV capital propio</t>
  </si>
  <si>
    <t>Tarifa con SSFV financiamiento</t>
  </si>
  <si>
    <t>Con financiamiento</t>
  </si>
  <si>
    <t>Préstamo</t>
  </si>
  <si>
    <t>Costo ESFV</t>
  </si>
  <si>
    <t>Con Capital propio</t>
  </si>
  <si>
    <t xml:space="preserve">Costo ESFV </t>
  </si>
  <si>
    <t>Total ESFV</t>
  </si>
  <si>
    <t>Cant</t>
  </si>
  <si>
    <t>P. U</t>
  </si>
  <si>
    <t>P.T Antes IVA</t>
  </si>
  <si>
    <t>P. T Iva incluido</t>
  </si>
  <si>
    <t>Tablero de protecciones DC</t>
  </si>
  <si>
    <t>Fusibles 22 Amp - 720V</t>
  </si>
  <si>
    <t>DPS 260 V</t>
  </si>
  <si>
    <t>Tablero de protecciones AC</t>
  </si>
  <si>
    <t>Breaker Termomagnetico 3 Amp 264 V</t>
  </si>
  <si>
    <t>DPS 242 V</t>
  </si>
  <si>
    <t>Canalizaciones y registros</t>
  </si>
  <si>
    <t>Suministro e instalación de cajas termoplásticas 200x200x200 mm.</t>
  </si>
  <si>
    <t>Suministro e instalación de cable fotovoltaico  (14 AWG)</t>
  </si>
  <si>
    <t xml:space="preserve">Suministro e instalación de cable cu # 12 awg </t>
  </si>
  <si>
    <t xml:space="preserve">Suministro e instalación de cable utp cap 5, </t>
  </si>
  <si>
    <t xml:space="preserve">Tuberia de flexiconduit 3/4" </t>
  </si>
  <si>
    <t xml:space="preserve">Tuberia flexiconduit 1" </t>
  </si>
  <si>
    <t>Tuberia PVC 3/4" SCH 40</t>
  </si>
  <si>
    <t>Tuberia PVC 1" SCH 40</t>
  </si>
  <si>
    <t xml:space="preserve">Tuberia IMC  1" </t>
  </si>
  <si>
    <t xml:space="preserve">Tuberia IMC  3/4" </t>
  </si>
  <si>
    <t xml:space="preserve">Tuberia EMT  1" </t>
  </si>
  <si>
    <t xml:space="preserve">Tuberia EMT 3/4" </t>
  </si>
  <si>
    <t>1.</t>
  </si>
  <si>
    <t>Calcular el sistema basandose en el área disponible</t>
  </si>
  <si>
    <t>Área disponible</t>
  </si>
  <si>
    <t>Ángulo de inclinación</t>
  </si>
  <si>
    <t>°</t>
  </si>
  <si>
    <t>PR=</t>
  </si>
  <si>
    <t>paneles</t>
  </si>
  <si>
    <t>Ancho=</t>
  </si>
  <si>
    <t>kWp</t>
  </si>
  <si>
    <t>Largo=</t>
  </si>
  <si>
    <t>Área=</t>
  </si>
  <si>
    <t>%ocupación accesorios</t>
  </si>
  <si>
    <t>revisar dato</t>
  </si>
  <si>
    <t>Espacio O&amp;M</t>
  </si>
  <si>
    <t>Áreanew=</t>
  </si>
  <si>
    <t>Ed  (kWh-dia)</t>
  </si>
  <si>
    <t>No dias</t>
  </si>
  <si>
    <t>Ed  (kWh-mes)</t>
  </si>
  <si>
    <t>MINIBREAKER AC3X50A TIPO RIEL DIN</t>
  </si>
  <si>
    <t>PROTECCIÓN ENCHUFABLE 3X50A</t>
  </si>
  <si>
    <t>PANEL SOLAR 725 W</t>
  </si>
  <si>
    <t xml:space="preserve">[GW12KLV-MT] Inversor trifásico 12kw 208-240Vac 3 MPPT con DC switch y Wifi GoodWe </t>
  </si>
  <si>
    <t>Detallw Servicio llave en mano</t>
  </si>
  <si>
    <t>PV antes de Iva</t>
  </si>
  <si>
    <t>PV Iva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</si>
</sst>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#,##0.000000"/>
    <numFmt numFmtId="166" formatCode="0.0"/>
    <numFmt numFmtId="167" formatCode="_-* #,##0_-;\-* #,##0_-;_-* &quot;-&quot;??_-;_-@_-"/>
    <numFmt numFmtId="168" formatCode="0.0%"/>
    <numFmt numFmtId="169" formatCode="_-&quot;$&quot;\ * #,##0_-;\-&quot;$&quot;\ * #,##0_-;_-&quot;$&quot;\ * &quot;-&quot;??_-;_-@_-"/>
    <numFmt numFmtId="170" formatCode="_-&quot;$&quot;\ * #,##0.0_-;\-&quot;$&quot;\ * #,##0.0_-;_-&quot;$&quot;\ * &quot;-&quot;??_-;_-@_-"/>
    <numFmt numFmtId="171" formatCode="_-* #,##0.0_-;\-* #,##0.0_-;_-* &quot;-&quot;?_-;_-@_-"/>
    <numFmt numFmtId="172" formatCode="0.000%"/>
    <numFmt numFmtId="173" formatCode="0.000"/>
    <numFmt numFmtId="174" formatCode="_-[$USD]\ * #,##0_-;\-[$USD]\ * #,##0_-;_-[$USD]\ * &quot;-&quot;??_-;_-@_-"/>
    <numFmt numFmtId="175" formatCode="&quot;$&quot;\ #,##0"/>
    <numFmt numFmtId="176" formatCode="_-* #,##0.000_-;\-* #,##0.000_-;_-* &quot;-&quot;??_-;_-@_-"/>
    <numFmt numFmtId="177" formatCode="_-[$$-240A]\ * #,##0.00_-;\-[$$-240A]\ * #,##0.00_-;_-[$$-240A]\ * &quot;-&quot;??_-;_-@_-"/>
    <numFmt numFmtId="178" formatCode="#,##0.00\ &quot;€&quot;"/>
    <numFmt numFmtId="179" formatCode="_-[$$-240A]\ * #,##0_-;\-[$$-240A]\ * #,##0_-;_-[$$-240A]\ * &quot;-&quot;??_-;_-@_-"/>
    <numFmt numFmtId="180" formatCode="_-* #,##0.0_-;\-* #,##0.0_-;_-* &quot;-&quot;??_-;_-@_-"/>
    <numFmt numFmtId="181" formatCode="&quot;$&quot;#,##0.00"/>
    <numFmt numFmtId="182" formatCode="_([$$-409]* #,##0_);_([$$-409]* \(#,##0\);_([$$-409]* &quot;-&quot;??_);_(@_)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 tint="0.24994659260841701"/>
      <name val="Aptos Display"/>
      <family val="2"/>
      <scheme val="major"/>
    </font>
    <font>
      <sz val="26"/>
      <color theme="5" tint="-0.499984740745262"/>
      <name val="Aptos Display"/>
      <family val="1"/>
      <scheme val="major"/>
    </font>
    <font>
      <sz val="11"/>
      <color theme="1" tint="0.24994659260841701"/>
      <name val="Aptos Narrow"/>
      <family val="2"/>
      <scheme val="minor"/>
    </font>
    <font>
      <b/>
      <sz val="16"/>
      <color theme="5" tint="-0.499984740745262"/>
      <name val="Aptos Display"/>
      <family val="2"/>
      <scheme val="major"/>
    </font>
    <font>
      <b/>
      <sz val="11"/>
      <color theme="1" tint="0.2499465926084170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i/>
      <sz val="11"/>
      <color theme="1" tint="0.34998626667073579"/>
      <name val="Aptos Narrow"/>
      <family val="2"/>
      <scheme val="minor"/>
    </font>
    <font>
      <sz val="10"/>
      <name val="Aptos Narrow"/>
      <family val="2"/>
      <charset val="238"/>
      <scheme val="minor"/>
    </font>
    <font>
      <sz val="11"/>
      <name val="Arial"/>
      <family val="2"/>
    </font>
    <font>
      <sz val="10"/>
      <name val="Aptos Narrow"/>
      <family val="2"/>
      <scheme val="minor"/>
    </font>
    <font>
      <sz val="10"/>
      <color theme="1" tint="0.24994659260841701"/>
      <name val="Aptos Display"/>
      <family val="1"/>
      <scheme val="major"/>
    </font>
    <font>
      <sz val="9"/>
      <name val="Aptos Narrow"/>
      <family val="2"/>
      <scheme val="minor"/>
    </font>
    <font>
      <sz val="10"/>
      <name val="Tahoma"/>
      <family val="2"/>
    </font>
    <font>
      <b/>
      <sz val="11"/>
      <color rgb="FFEEDC62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Times New Roman"/>
      <family val="1"/>
    </font>
    <font>
      <b/>
      <sz val="11"/>
      <color rgb="FFFFFFFF"/>
      <name val="Aptos Narrow"/>
      <family val="2"/>
      <scheme val="minor"/>
    </font>
    <font>
      <sz val="11"/>
      <color rgb="FFE6FEAC"/>
      <name val="Aptos Narrow"/>
      <family val="2"/>
      <scheme val="minor"/>
    </font>
    <font>
      <b/>
      <sz val="11"/>
      <color rgb="FFE6FEAC"/>
      <name val="Aptos Narrow"/>
      <family val="2"/>
      <scheme val="minor"/>
    </font>
    <font>
      <b/>
      <sz val="14"/>
      <color rgb="FFE6FEAC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56C9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06549"/>
        <bgColor indexed="64"/>
      </patternFill>
    </fill>
    <fill>
      <patternFill patternType="solid">
        <fgColor rgb="FF30654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theme="0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3" applyNumberFormat="0" applyFill="0" applyProtection="0">
      <alignment vertical="center"/>
    </xf>
    <xf numFmtId="0" fontId="6" fillId="0" borderId="0">
      <alignment vertical="center"/>
    </xf>
    <xf numFmtId="0" fontId="8" fillId="0" borderId="4" applyNumberFormat="0" applyFill="0" applyProtection="0"/>
    <xf numFmtId="0" fontId="10" fillId="0" borderId="6" applyNumberFormat="0" applyProtection="0">
      <alignment vertical="center"/>
    </xf>
    <xf numFmtId="178" fontId="12" fillId="0" borderId="0" applyFont="0" applyFill="0" applyBorder="0" applyProtection="0">
      <alignment horizontal="right"/>
    </xf>
    <xf numFmtId="10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4" fontId="6" fillId="0" borderId="0" applyFont="0" applyFill="0" applyBorder="0" applyAlignment="0">
      <alignment vertical="center"/>
    </xf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165" fontId="0" fillId="0" borderId="0" xfId="0" applyNumberFormat="1"/>
    <xf numFmtId="2" fontId="0" fillId="3" borderId="0" xfId="0" applyNumberFormat="1" applyFill="1"/>
    <xf numFmtId="0" fontId="2" fillId="0" borderId="0" xfId="0" applyFont="1"/>
    <xf numFmtId="166" fontId="2" fillId="0" borderId="0" xfId="0" applyNumberFormat="1" applyFont="1"/>
    <xf numFmtId="1" fontId="2" fillId="0" borderId="0" xfId="0" applyNumberFormat="1" applyFont="1"/>
    <xf numFmtId="9" fontId="0" fillId="0" borderId="0" xfId="0" applyNumberFormat="1"/>
    <xf numFmtId="167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9" fontId="0" fillId="4" borderId="0" xfId="0" applyNumberFormat="1" applyFill="1"/>
    <xf numFmtId="17" fontId="0" fillId="0" borderId="0" xfId="0" applyNumberFormat="1"/>
    <xf numFmtId="168" fontId="0" fillId="0" borderId="0" xfId="0" applyNumberFormat="1"/>
    <xf numFmtId="10" fontId="0" fillId="0" borderId="0" xfId="0" applyNumberFormat="1"/>
    <xf numFmtId="43" fontId="0" fillId="0" borderId="0" xfId="1" applyFont="1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9" fontId="2" fillId="0" borderId="1" xfId="0" applyNumberFormat="1" applyFont="1" applyBorder="1"/>
    <xf numFmtId="0" fontId="0" fillId="0" borderId="1" xfId="0" applyBorder="1" applyAlignment="1">
      <alignment horizontal="right"/>
    </xf>
    <xf numFmtId="169" fontId="0" fillId="0" borderId="1" xfId="2" applyNumberFormat="1" applyFont="1" applyBorder="1"/>
    <xf numFmtId="169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44" fontId="0" fillId="0" borderId="0" xfId="2" applyFont="1"/>
    <xf numFmtId="170" fontId="0" fillId="0" borderId="0" xfId="2" applyNumberFormat="1" applyFont="1"/>
    <xf numFmtId="169" fontId="0" fillId="0" borderId="0" xfId="2" applyNumberFormat="1" applyFont="1"/>
    <xf numFmtId="167" fontId="0" fillId="0" borderId="0" xfId="0" applyNumberFormat="1"/>
    <xf numFmtId="8" fontId="0" fillId="0" borderId="0" xfId="0" applyNumberFormat="1"/>
    <xf numFmtId="169" fontId="0" fillId="0" borderId="0" xfId="0" applyNumberFormat="1"/>
    <xf numFmtId="170" fontId="0" fillId="0" borderId="0" xfId="0" applyNumberFormat="1"/>
    <xf numFmtId="6" fontId="0" fillId="0" borderId="0" xfId="0" applyNumberFormat="1"/>
    <xf numFmtId="168" fontId="0" fillId="0" borderId="0" xfId="3" applyNumberFormat="1" applyFont="1"/>
    <xf numFmtId="0" fontId="2" fillId="0" borderId="0" xfId="0" applyFont="1" applyAlignment="1">
      <alignment wrapText="1"/>
    </xf>
    <xf numFmtId="9" fontId="0" fillId="0" borderId="0" xfId="3" applyFont="1"/>
    <xf numFmtId="17" fontId="2" fillId="0" borderId="0" xfId="0" applyNumberFormat="1" applyFont="1"/>
    <xf numFmtId="10" fontId="0" fillId="0" borderId="0" xfId="3" applyNumberFormat="1" applyFont="1"/>
    <xf numFmtId="44" fontId="0" fillId="0" borderId="0" xfId="0" applyNumberFormat="1"/>
    <xf numFmtId="171" fontId="0" fillId="0" borderId="0" xfId="0" applyNumberFormat="1"/>
    <xf numFmtId="6" fontId="2" fillId="0" borderId="0" xfId="0" applyNumberFormat="1" applyFont="1"/>
    <xf numFmtId="0" fontId="2" fillId="0" borderId="0" xfId="0" applyFont="1" applyAlignment="1">
      <alignment horizontal="center"/>
    </xf>
    <xf numFmtId="172" fontId="0" fillId="0" borderId="0" xfId="0" applyNumberFormat="1"/>
    <xf numFmtId="173" fontId="0" fillId="0" borderId="0" xfId="0" applyNumberFormat="1"/>
    <xf numFmtId="43" fontId="0" fillId="0" borderId="0" xfId="0" applyNumberFormat="1"/>
    <xf numFmtId="9" fontId="0" fillId="0" borderId="0" xfId="3" applyFont="1" applyFill="1"/>
    <xf numFmtId="173" fontId="0" fillId="6" borderId="0" xfId="0" applyNumberFormat="1" applyFill="1"/>
    <xf numFmtId="173" fontId="0" fillId="0" borderId="0" xfId="0" applyNumberFormat="1" applyAlignment="1">
      <alignment horizontal="center"/>
    </xf>
    <xf numFmtId="9" fontId="0" fillId="0" borderId="1" xfId="3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vertical="center" wrapText="1"/>
    </xf>
    <xf numFmtId="1" fontId="0" fillId="0" borderId="0" xfId="0" applyNumberFormat="1" applyAlignment="1">
      <alignment horizontal="center"/>
    </xf>
    <xf numFmtId="169" fontId="2" fillId="0" borderId="1" xfId="2" applyNumberFormat="1" applyFont="1" applyBorder="1"/>
    <xf numFmtId="0" fontId="0" fillId="0" borderId="0" xfId="0" applyAlignment="1">
      <alignment wrapText="1"/>
    </xf>
    <xf numFmtId="169" fontId="0" fillId="0" borderId="0" xfId="2" applyNumberFormat="1" applyFont="1" applyBorder="1"/>
    <xf numFmtId="169" fontId="1" fillId="0" borderId="0" xfId="2" applyNumberFormat="1" applyFont="1" applyBorder="1"/>
    <xf numFmtId="169" fontId="2" fillId="0" borderId="0" xfId="0" applyNumberFormat="1" applyFont="1"/>
    <xf numFmtId="174" fontId="0" fillId="0" borderId="0" xfId="0" applyNumberFormat="1"/>
    <xf numFmtId="0" fontId="0" fillId="0" borderId="1" xfId="0" applyBorder="1" applyAlignment="1">
      <alignment vertical="center"/>
    </xf>
    <xf numFmtId="169" fontId="0" fillId="0" borderId="1" xfId="2" applyNumberFormat="1" applyFont="1" applyBorder="1" applyAlignment="1">
      <alignment vertical="center"/>
    </xf>
    <xf numFmtId="169" fontId="0" fillId="0" borderId="1" xfId="0" applyNumberFormat="1" applyBorder="1" applyAlignment="1">
      <alignment vertical="center"/>
    </xf>
    <xf numFmtId="169" fontId="0" fillId="0" borderId="1" xfId="2" applyNumberFormat="1" applyFont="1" applyFill="1" applyBorder="1"/>
    <xf numFmtId="9" fontId="0" fillId="0" borderId="1" xfId="3" applyFont="1" applyFill="1" applyBorder="1"/>
    <xf numFmtId="9" fontId="2" fillId="0" borderId="2" xfId="3" applyFont="1" applyFill="1" applyBorder="1"/>
    <xf numFmtId="0" fontId="2" fillId="5" borderId="2" xfId="0" applyFont="1" applyFill="1" applyBorder="1" applyAlignment="1">
      <alignment horizontal="center"/>
    </xf>
    <xf numFmtId="175" fontId="0" fillId="0" borderId="0" xfId="0" applyNumberFormat="1"/>
    <xf numFmtId="169" fontId="0" fillId="0" borderId="0" xfId="2" applyNumberFormat="1" applyFont="1" applyFill="1"/>
    <xf numFmtId="167" fontId="0" fillId="0" borderId="0" xfId="1" applyNumberFormat="1" applyFont="1" applyFill="1"/>
    <xf numFmtId="0" fontId="2" fillId="5" borderId="0" xfId="0" applyFont="1" applyFill="1" applyAlignment="1">
      <alignment horizontal="center"/>
    </xf>
    <xf numFmtId="166" fontId="0" fillId="6" borderId="0" xfId="0" applyNumberFormat="1" applyFill="1"/>
    <xf numFmtId="169" fontId="0" fillId="0" borderId="0" xfId="3" applyNumberFormat="1" applyFont="1"/>
    <xf numFmtId="176" fontId="0" fillId="0" borderId="0" xfId="0" applyNumberFormat="1"/>
    <xf numFmtId="0" fontId="0" fillId="0" borderId="0" xfId="0" applyAlignment="1">
      <alignment horizontal="center" vertical="center"/>
    </xf>
    <xf numFmtId="1" fontId="0" fillId="0" borderId="1" xfId="0" applyNumberFormat="1" applyBorder="1"/>
    <xf numFmtId="9" fontId="0" fillId="0" borderId="0" xfId="1" applyNumberFormat="1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9" fontId="0" fillId="0" borderId="0" xfId="2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9" fontId="0" fillId="0" borderId="1" xfId="0" applyNumberFormat="1" applyBorder="1" applyAlignment="1">
      <alignment vertical="center"/>
    </xf>
    <xf numFmtId="1" fontId="0" fillId="2" borderId="0" xfId="0" applyNumberFormat="1" applyFill="1"/>
    <xf numFmtId="9" fontId="0" fillId="0" borderId="0" xfId="0" applyNumberFormat="1" applyAlignment="1">
      <alignment horizontal="right"/>
    </xf>
    <xf numFmtId="43" fontId="0" fillId="0" borderId="0" xfId="1" applyFont="1" applyAlignment="1">
      <alignment horizontal="right"/>
    </xf>
    <xf numFmtId="9" fontId="0" fillId="0" borderId="0" xfId="3" applyFont="1" applyAlignment="1">
      <alignment horizontal="right"/>
    </xf>
    <xf numFmtId="0" fontId="0" fillId="0" borderId="0" xfId="0" applyAlignment="1">
      <alignment horizontal="right"/>
    </xf>
    <xf numFmtId="177" fontId="6" fillId="0" borderId="0" xfId="5" applyNumberFormat="1">
      <alignment vertical="center"/>
    </xf>
    <xf numFmtId="177" fontId="7" fillId="0" borderId="0" xfId="4" applyNumberFormat="1" applyFont="1" applyBorder="1">
      <alignment vertical="center"/>
    </xf>
    <xf numFmtId="177" fontId="11" fillId="10" borderId="7" xfId="8" applyNumberFormat="1" applyFont="1" applyFill="1" applyBorder="1" applyAlignment="1">
      <alignment horizontal="left" vertical="center" indent="1"/>
    </xf>
    <xf numFmtId="177" fontId="13" fillId="10" borderId="8" xfId="8" applyNumberFormat="1" applyFont="1" applyFill="1" applyBorder="1" applyAlignment="1">
      <alignment horizontal="left" vertical="center" indent="1"/>
    </xf>
    <xf numFmtId="177" fontId="13" fillId="10" borderId="0" xfId="10" applyNumberFormat="1" applyFont="1" applyFill="1" applyAlignment="1">
      <alignment horizontal="left" vertical="center" indent="1"/>
    </xf>
    <xf numFmtId="177" fontId="13" fillId="10" borderId="0" xfId="8" applyNumberFormat="1" applyFont="1" applyFill="1" applyAlignment="1">
      <alignment horizontal="left" vertical="center" indent="1"/>
    </xf>
    <xf numFmtId="177" fontId="14" fillId="0" borderId="0" xfId="5" applyNumberFormat="1" applyFont="1" applyAlignment="1">
      <alignment horizontal="left" vertical="center" wrapText="1"/>
    </xf>
    <xf numFmtId="177" fontId="14" fillId="0" borderId="0" xfId="5" applyNumberFormat="1" applyFont="1" applyAlignment="1">
      <alignment horizontal="right" vertical="center" wrapText="1"/>
    </xf>
    <xf numFmtId="177" fontId="15" fillId="0" borderId="0" xfId="11" applyNumberFormat="1" applyFont="1" applyAlignment="1">
      <alignment horizontal="left" vertical="center"/>
    </xf>
    <xf numFmtId="177" fontId="15" fillId="0" borderId="0" xfId="8" applyNumberFormat="1" applyFont="1" applyAlignment="1">
      <alignment horizontal="right" vertical="center"/>
    </xf>
    <xf numFmtId="177" fontId="16" fillId="0" borderId="0" xfId="5" applyNumberFormat="1" applyFont="1" applyAlignment="1">
      <alignment horizontal="center"/>
    </xf>
    <xf numFmtId="9" fontId="11" fillId="10" borderId="0" xfId="3" applyFont="1" applyFill="1" applyAlignment="1">
      <alignment horizontal="left" vertical="center" indent="1"/>
    </xf>
    <xf numFmtId="43" fontId="11" fillId="10" borderId="0" xfId="1" applyFont="1" applyFill="1" applyAlignment="1">
      <alignment horizontal="left" vertical="center" indent="1"/>
    </xf>
    <xf numFmtId="14" fontId="11" fillId="10" borderId="0" xfId="11" applyFont="1" applyFill="1" applyAlignment="1">
      <alignment horizontal="left" vertical="center" indent="1"/>
    </xf>
    <xf numFmtId="167" fontId="7" fillId="0" borderId="0" xfId="1" applyNumberFormat="1" applyFont="1" applyBorder="1" applyAlignment="1">
      <alignment vertical="center"/>
    </xf>
    <xf numFmtId="167" fontId="6" fillId="0" borderId="0" xfId="1" applyNumberFormat="1" applyFont="1" applyAlignment="1">
      <alignment vertical="center"/>
    </xf>
    <xf numFmtId="167" fontId="14" fillId="0" borderId="0" xfId="1" applyNumberFormat="1" applyFont="1" applyAlignment="1">
      <alignment horizontal="left" vertical="center" wrapText="1"/>
    </xf>
    <xf numFmtId="167" fontId="15" fillId="0" borderId="0" xfId="1" applyNumberFormat="1" applyFont="1" applyAlignment="1">
      <alignment horizontal="left" vertical="center"/>
    </xf>
    <xf numFmtId="167" fontId="16" fillId="0" borderId="0" xfId="1" applyNumberFormat="1" applyFont="1" applyAlignment="1">
      <alignment horizontal="center"/>
    </xf>
    <xf numFmtId="179" fontId="6" fillId="0" borderId="0" xfId="5" applyNumberFormat="1">
      <alignment vertical="center"/>
    </xf>
    <xf numFmtId="1" fontId="0" fillId="6" borderId="0" xfId="0" applyNumberFormat="1" applyFill="1"/>
    <xf numFmtId="9" fontId="2" fillId="0" borderId="0" xfId="3" applyFont="1" applyFill="1" applyBorder="1"/>
    <xf numFmtId="169" fontId="2" fillId="0" borderId="1" xfId="2" applyNumberFormat="1" applyFont="1" applyBorder="1" applyAlignment="1">
      <alignment vertical="center"/>
    </xf>
    <xf numFmtId="9" fontId="2" fillId="0" borderId="0" xfId="3" applyFont="1"/>
    <xf numFmtId="169" fontId="2" fillId="0" borderId="0" xfId="2" applyNumberFormat="1" applyFont="1"/>
    <xf numFmtId="169" fontId="1" fillId="0" borderId="0" xfId="2" applyNumberFormat="1" applyFont="1"/>
    <xf numFmtId="9" fontId="1" fillId="0" borderId="0" xfId="3" applyFont="1"/>
    <xf numFmtId="169" fontId="2" fillId="0" borderId="0" xfId="3" applyNumberFormat="1" applyFont="1"/>
    <xf numFmtId="0" fontId="19" fillId="11" borderId="0" xfId="0" applyFont="1" applyFill="1"/>
    <xf numFmtId="43" fontId="1" fillId="0" borderId="0" xfId="1" applyFont="1"/>
    <xf numFmtId="0" fontId="20" fillId="0" borderId="0" xfId="0" applyFont="1"/>
    <xf numFmtId="0" fontId="2" fillId="11" borderId="1" xfId="0" applyFont="1" applyFill="1" applyBorder="1" applyAlignment="1">
      <alignment horizontal="center"/>
    </xf>
    <xf numFmtId="169" fontId="2" fillId="11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9" fontId="2" fillId="0" borderId="1" xfId="2" applyNumberFormat="1" applyFont="1" applyFill="1" applyBorder="1"/>
    <xf numFmtId="9" fontId="0" fillId="0" borderId="1" xfId="12" applyFont="1" applyFill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right"/>
    </xf>
    <xf numFmtId="169" fontId="0" fillId="0" borderId="1" xfId="2" applyNumberFormat="1" applyFont="1" applyFill="1" applyBorder="1" applyAlignment="1">
      <alignment horizontal="center"/>
    </xf>
    <xf numFmtId="0" fontId="18" fillId="0" borderId="1" xfId="0" applyFont="1" applyBorder="1" applyAlignment="1">
      <alignment vertical="center"/>
    </xf>
    <xf numFmtId="6" fontId="21" fillId="0" borderId="1" xfId="0" applyNumberFormat="1" applyFont="1" applyBorder="1"/>
    <xf numFmtId="169" fontId="18" fillId="0" borderId="1" xfId="2" applyNumberFormat="1" applyFont="1" applyFill="1" applyBorder="1" applyAlignment="1">
      <alignment vertical="center"/>
    </xf>
    <xf numFmtId="1" fontId="2" fillId="0" borderId="1" xfId="0" applyNumberFormat="1" applyFont="1" applyBorder="1"/>
    <xf numFmtId="0" fontId="22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2" fillId="0" borderId="1" xfId="0" applyFont="1" applyBorder="1"/>
    <xf numFmtId="1" fontId="22" fillId="0" borderId="1" xfId="0" applyNumberFormat="1" applyFont="1" applyBorder="1"/>
    <xf numFmtId="9" fontId="22" fillId="0" borderId="1" xfId="12" applyFont="1" applyFill="1" applyBorder="1" applyAlignment="1">
      <alignment horizontal="center"/>
    </xf>
    <xf numFmtId="169" fontId="22" fillId="0" borderId="1" xfId="2" applyNumberFormat="1" applyFont="1" applyFill="1" applyBorder="1"/>
    <xf numFmtId="0" fontId="20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/>
    </xf>
    <xf numFmtId="9" fontId="20" fillId="0" borderId="1" xfId="12" applyFont="1" applyFill="1" applyBorder="1" applyAlignment="1">
      <alignment horizontal="center" vertical="center"/>
    </xf>
    <xf numFmtId="9" fontId="20" fillId="0" borderId="1" xfId="12" applyFont="1" applyFill="1" applyBorder="1" applyAlignment="1">
      <alignment vertical="center"/>
    </xf>
    <xf numFmtId="169" fontId="20" fillId="0" borderId="1" xfId="2" applyNumberFormat="1" applyFont="1" applyFill="1" applyBorder="1"/>
    <xf numFmtId="169" fontId="20" fillId="0" borderId="1" xfId="2" applyNumberFormat="1" applyFont="1" applyBorder="1" applyAlignment="1">
      <alignment vertical="center"/>
    </xf>
    <xf numFmtId="9" fontId="0" fillId="0" borderId="1" xfId="12" applyFont="1" applyFill="1" applyBorder="1" applyAlignment="1">
      <alignment horizontal="center" vertical="center"/>
    </xf>
    <xf numFmtId="169" fontId="0" fillId="0" borderId="1" xfId="2" applyNumberFormat="1" applyFont="1" applyFill="1" applyBorder="1" applyAlignment="1">
      <alignment vertical="center"/>
    </xf>
    <xf numFmtId="6" fontId="21" fillId="0" borderId="1" xfId="0" applyNumberFormat="1" applyFont="1" applyBorder="1" applyAlignment="1">
      <alignment vertical="center"/>
    </xf>
    <xf numFmtId="169" fontId="2" fillId="0" borderId="1" xfId="2" applyNumberFormat="1" applyFont="1" applyFill="1" applyBorder="1" applyAlignment="1">
      <alignment vertical="center"/>
    </xf>
    <xf numFmtId="9" fontId="0" fillId="0" borderId="1" xfId="12" applyFont="1" applyFill="1" applyBorder="1" applyAlignment="1">
      <alignment vertical="center"/>
    </xf>
    <xf numFmtId="169" fontId="22" fillId="0" borderId="1" xfId="0" applyNumberFormat="1" applyFont="1" applyBorder="1"/>
    <xf numFmtId="9" fontId="20" fillId="0" borderId="1" xfId="0" applyNumberFormat="1" applyFont="1" applyBorder="1" applyAlignment="1">
      <alignment vertical="center"/>
    </xf>
    <xf numFmtId="169" fontId="20" fillId="0" borderId="1" xfId="2" applyNumberFormat="1" applyFont="1" applyFill="1" applyBorder="1" applyAlignment="1">
      <alignment vertical="center"/>
    </xf>
    <xf numFmtId="9" fontId="21" fillId="0" borderId="0" xfId="0" applyNumberFormat="1" applyFont="1"/>
    <xf numFmtId="0" fontId="24" fillId="0" borderId="0" xfId="0" applyFont="1"/>
    <xf numFmtId="0" fontId="25" fillId="0" borderId="0" xfId="0" applyFont="1"/>
    <xf numFmtId="44" fontId="2" fillId="0" borderId="0" xfId="2" applyFont="1" applyFill="1" applyBorder="1"/>
    <xf numFmtId="6" fontId="21" fillId="0" borderId="0" xfId="0" applyNumberFormat="1" applyFont="1"/>
    <xf numFmtId="0" fontId="0" fillId="12" borderId="0" xfId="0" applyFill="1"/>
    <xf numFmtId="169" fontId="0" fillId="12" borderId="0" xfId="2" applyNumberFormat="1" applyFont="1" applyFill="1"/>
    <xf numFmtId="0" fontId="21" fillId="0" borderId="1" xfId="0" applyFont="1" applyBorder="1"/>
    <xf numFmtId="9" fontId="0" fillId="0" borderId="1" xfId="3" applyFont="1" applyBorder="1" applyAlignment="1"/>
    <xf numFmtId="0" fontId="17" fillId="13" borderId="0" xfId="0" applyFont="1" applyFill="1" applyAlignment="1">
      <alignment horizontal="center"/>
    </xf>
    <xf numFmtId="166" fontId="0" fillId="13" borderId="0" xfId="0" applyNumberFormat="1" applyFill="1"/>
    <xf numFmtId="0" fontId="17" fillId="13" borderId="0" xfId="0" applyFont="1" applyFill="1"/>
    <xf numFmtId="166" fontId="17" fillId="13" borderId="0" xfId="0" applyNumberFormat="1" applyFont="1" applyFill="1"/>
    <xf numFmtId="17" fontId="27" fillId="13" borderId="0" xfId="0" applyNumberFormat="1" applyFont="1" applyFill="1"/>
    <xf numFmtId="0" fontId="0" fillId="0" borderId="0" xfId="0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9" fontId="21" fillId="0" borderId="1" xfId="0" applyNumberFormat="1" applyFont="1" applyBorder="1" applyAlignment="1">
      <alignment horizontal="center"/>
    </xf>
    <xf numFmtId="6" fontId="2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right" vertical="center"/>
    </xf>
    <xf numFmtId="44" fontId="28" fillId="13" borderId="9" xfId="0" applyNumberFormat="1" applyFont="1" applyFill="1" applyBorder="1" applyAlignment="1">
      <alignment horizontal="center"/>
    </xf>
    <xf numFmtId="169" fontId="0" fillId="0" borderId="0" xfId="2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" fillId="11" borderId="0" xfId="0" applyFont="1" applyFill="1"/>
    <xf numFmtId="2" fontId="2" fillId="11" borderId="0" xfId="0" applyNumberFormat="1" applyFont="1" applyFill="1"/>
    <xf numFmtId="0" fontId="0" fillId="13" borderId="0" xfId="0" applyFill="1"/>
    <xf numFmtId="180" fontId="0" fillId="0" borderId="0" xfId="0" applyNumberFormat="1"/>
    <xf numFmtId="0" fontId="19" fillId="13" borderId="0" xfId="0" applyFont="1" applyFill="1"/>
    <xf numFmtId="0" fontId="0" fillId="13" borderId="1" xfId="0" applyFill="1" applyBorder="1"/>
    <xf numFmtId="0" fontId="2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169" fontId="2" fillId="0" borderId="0" xfId="2" applyNumberFormat="1" applyFont="1" applyFill="1"/>
    <xf numFmtId="0" fontId="2" fillId="15" borderId="1" xfId="0" applyFont="1" applyFill="1" applyBorder="1" applyAlignment="1">
      <alignment horizontal="center"/>
    </xf>
    <xf numFmtId="169" fontId="0" fillId="0" borderId="1" xfId="2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16" fontId="0" fillId="0" borderId="0" xfId="0" applyNumberFormat="1"/>
    <xf numFmtId="0" fontId="28" fillId="13" borderId="1" xfId="0" applyFont="1" applyFill="1" applyBorder="1"/>
    <xf numFmtId="181" fontId="0" fillId="2" borderId="0" xfId="0" applyNumberFormat="1" applyFill="1"/>
    <xf numFmtId="169" fontId="0" fillId="15" borderId="0" xfId="0" applyNumberFormat="1" applyFill="1"/>
    <xf numFmtId="44" fontId="0" fillId="16" borderId="0" xfId="0" applyNumberFormat="1" applyFill="1"/>
    <xf numFmtId="169" fontId="0" fillId="16" borderId="0" xfId="2" applyNumberFormat="1" applyFont="1" applyFill="1"/>
    <xf numFmtId="182" fontId="0" fillId="15" borderId="0" xfId="0" applyNumberFormat="1" applyFill="1"/>
    <xf numFmtId="164" fontId="0" fillId="0" borderId="0" xfId="0" applyNumberFormat="1"/>
    <xf numFmtId="0" fontId="0" fillId="0" borderId="11" xfId="0" applyBorder="1"/>
    <xf numFmtId="0" fontId="0" fillId="0" borderId="12" xfId="0" applyBorder="1"/>
    <xf numFmtId="0" fontId="0" fillId="13" borderId="12" xfId="0" applyFill="1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169" fontId="28" fillId="16" borderId="0" xfId="2" applyNumberFormat="1" applyFont="1" applyFill="1"/>
    <xf numFmtId="44" fontId="29" fillId="13" borderId="0" xfId="0" applyNumberFormat="1" applyFont="1" applyFill="1" applyAlignment="1">
      <alignment horizontal="center"/>
    </xf>
    <xf numFmtId="44" fontId="30" fillId="13" borderId="0" xfId="0" applyNumberFormat="1" applyFont="1" applyFill="1" applyAlignment="1">
      <alignment horizontal="center"/>
    </xf>
    <xf numFmtId="44" fontId="29" fillId="13" borderId="9" xfId="0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69" fontId="31" fillId="15" borderId="0" xfId="0" applyNumberFormat="1" applyFont="1" applyFill="1" applyAlignment="1">
      <alignment horizontal="center"/>
    </xf>
    <xf numFmtId="169" fontId="31" fillId="0" borderId="0" xfId="0" applyNumberFormat="1" applyFont="1" applyAlignment="1">
      <alignment horizontal="center"/>
    </xf>
    <xf numFmtId="169" fontId="31" fillId="0" borderId="0" xfId="2" applyNumberFormat="1" applyFont="1" applyAlignment="1">
      <alignment horizontal="center"/>
    </xf>
    <xf numFmtId="169" fontId="32" fillId="0" borderId="0" xfId="0" applyNumberFormat="1" applyFont="1" applyAlignment="1">
      <alignment horizontal="center"/>
    </xf>
    <xf numFmtId="169" fontId="31" fillId="16" borderId="0" xfId="2" applyNumberFormat="1" applyFont="1" applyFill="1" applyAlignment="1">
      <alignment horizontal="center"/>
    </xf>
    <xf numFmtId="169" fontId="30" fillId="13" borderId="0" xfId="0" applyNumberFormat="1" applyFont="1" applyFill="1" applyAlignment="1">
      <alignment horizontal="center"/>
    </xf>
    <xf numFmtId="169" fontId="29" fillId="13" borderId="0" xfId="2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177" fontId="11" fillId="9" borderId="0" xfId="7" applyNumberFormat="1" applyFont="1" applyFill="1" applyBorder="1" applyAlignment="1">
      <alignment horizontal="right" vertical="center" indent="1"/>
    </xf>
    <xf numFmtId="177" fontId="5" fillId="7" borderId="0" xfId="4" applyNumberFormat="1" applyFont="1" applyFill="1" applyBorder="1" applyAlignment="1">
      <alignment horizontal="center" vertical="center"/>
    </xf>
    <xf numFmtId="177" fontId="9" fillId="8" borderId="5" xfId="6" applyNumberFormat="1" applyFont="1" applyFill="1" applyBorder="1" applyAlignment="1">
      <alignment horizontal="center" vertical="center"/>
    </xf>
    <xf numFmtId="177" fontId="11" fillId="9" borderId="7" xfId="7" applyNumberFormat="1" applyFont="1" applyFill="1" applyBorder="1" applyAlignment="1">
      <alignment horizontal="right" vertical="center" indent="1"/>
    </xf>
    <xf numFmtId="0" fontId="0" fillId="0" borderId="0" xfId="0" applyAlignment="1">
      <alignment horizontal="center"/>
    </xf>
  </cellXfs>
  <cellStyles count="13">
    <cellStyle name="Encabezado 1 2" xfId="6" xr:uid="{8C732F8E-AAB9-46DF-A96D-70EC1907E41B}"/>
    <cellStyle name="Fecha" xfId="11" xr:uid="{1E32E67D-3A64-444C-A8BA-F5C24DC03571}"/>
    <cellStyle name="Millares" xfId="1" builtinId="3"/>
    <cellStyle name="Millares 2" xfId="10" xr:uid="{121D00DB-1AE2-4756-B3D6-3A7147EB8C22}"/>
    <cellStyle name="Moneda" xfId="2" builtinId="4"/>
    <cellStyle name="Moneda 2" xfId="8" xr:uid="{D165147A-A174-46DA-9AE5-D36FF437DCCD}"/>
    <cellStyle name="Normal" xfId="0" builtinId="0"/>
    <cellStyle name="Normal 2" xfId="5" xr:uid="{A13573E0-C4B1-4D5B-B1C9-0F24235E6778}"/>
    <cellStyle name="Porcentaje" xfId="3" builtinId="5"/>
    <cellStyle name="Porcentaje 2" xfId="9" xr:uid="{7A34CE58-C74D-48FE-8F15-9314F71639F2}"/>
    <cellStyle name="Porcentaje 3" xfId="12" xr:uid="{1CA2F5CE-E0F6-4579-8FB3-AECC300D09F3}"/>
    <cellStyle name="Texto explicativo 2" xfId="7" xr:uid="{2840FC4F-AC59-4E2B-AE7F-FA213DD2B4DF}"/>
    <cellStyle name="Título 4" xfId="4" xr:uid="{07BF8F5C-43D6-4A15-9104-0923E4BAF22B}"/>
  </cellStyles>
  <dxfs count="119"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177" formatCode="_-[$$-240A]\ * #,##0.00_-;\-[$$-240A]\ * #,##0.00_-;_-[$$-240A]\ * &quot;-&quot;??_-;_-@_-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177" formatCode="_-[$$-240A]\ * #,##0.00_-;\-[$$-240A]\ * #,##0.00_-;_-[$$-240A]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4659260841701"/>
        <name val="Aptos Display"/>
        <family val="1"/>
        <scheme val="major"/>
      </font>
      <numFmt numFmtId="177" formatCode="_-[$$-240A]\ * #,##0.00_-;\-[$$-240A]\ * #,##0.00_-;_-[$$-240A]\ * &quot;-&quot;??_-;_-@_-"/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177" formatCode="_-[$$-240A]\ * #,##0.00_-;\-[$$-240A]\ * #,##0.00_-;_-[$$-240A]\ * &quot;-&quot;??_-;_-@_-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177" formatCode="_-[$$-240A]\ * #,##0.00_-;\-[$$-240A]\ * #,##0.00_-;_-[$$-240A]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4659260841701"/>
        <name val="Aptos Display"/>
        <family val="1"/>
        <scheme val="major"/>
      </font>
      <numFmt numFmtId="177" formatCode="_-[$$-240A]\ * #,##0.00_-;\-[$$-240A]\ * #,##0.00_-;_-[$$-240A]\ * &quot;-&quot;??_-;_-@_-"/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177" formatCode="_-[$$-240A]\ * #,##0.00_-;\-[$$-240A]\ * #,##0.00_-;_-[$$-240A]\ * &quot;-&quot;??_-;_-@_-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7" formatCode="_-[$$-240A]\ * #,##0.00_-;\-[$$-240A]\ * #,##0.00_-;_-[$$-240A]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4659260841701"/>
        <name val="Aptos Display"/>
        <family val="1"/>
        <scheme val="major"/>
      </font>
      <numFmt numFmtId="177" formatCode="_-[$$-240A]\ * #,##0.00_-;\-[$$-240A]\ * #,##0.00_-;_-[$$-240A]\ * &quot;-&quot;??_-;_-@_-"/>
      <alignment horizontal="left" vertical="center" textRotation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/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/>
        <color rgb="FFE6FEAC"/>
      </font>
      <numFmt numFmtId="34" formatCode="_-&quot;$&quot;\ * #,##0.00_-;\-&quot;$&quot;\ * #,##0.00_-;_-&quot;$&quot;\ * &quot;-&quot;??_-;_-@_-"/>
      <alignment horizontal="general" vertical="bottom" textRotation="0" wrapText="0" indent="0" justifyLastLine="0" shrinkToFit="0" readingOrder="0"/>
    </dxf>
    <dxf>
      <font>
        <b/>
        <color rgb="FFE6FEAC"/>
      </font>
      <numFmt numFmtId="34" formatCode="_-&quot;$&quot;\ * #,##0.00_-;\-&quot;$&quot;\ * #,##0.00_-;_-&quot;$&quot;\ * &quot;-&quot;??_-;_-@_-"/>
    </dxf>
    <dxf>
      <numFmt numFmtId="169" formatCode="_-&quot;$&quot;\ * #,##0_-;\-&quot;$&quot;\ * #,##0_-;_-&quot;$&quot;\ * &quot;-&quot;??_-;_-@_-"/>
    </dxf>
    <dxf>
      <numFmt numFmtId="169" formatCode="_-&quot;$&quot;\ * #,##0_-;\-&quot;$&quot;\ * #,##0_-;_-&quot;$&quot;\ * &quot;-&quot;??_-;_-@_-"/>
    </dxf>
    <dxf>
      <fill>
        <patternFill>
          <bgColor rgb="FF306549"/>
        </patternFill>
      </fill>
    </dxf>
    <dxf>
      <fill>
        <patternFill>
          <bgColor rgb="FF30654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306549"/>
        </patternFill>
      </fill>
    </dxf>
    <dxf>
      <fill>
        <patternFill>
          <bgColor rgb="FF306549"/>
        </patternFill>
      </fill>
    </dxf>
    <dxf>
      <fill>
        <patternFill patternType="solid">
          <bgColor rgb="FF56C9B6"/>
        </patternFill>
      </fill>
    </dxf>
    <dxf>
      <fill>
        <patternFill patternType="solid">
          <bgColor rgb="FF56C9B6"/>
        </patternFill>
      </fill>
    </dxf>
    <dxf>
      <fill>
        <patternFill patternType="solid">
          <bgColor rgb="FF56C9B6"/>
        </patternFill>
      </fill>
    </dxf>
    <dxf>
      <fill>
        <patternFill patternType="solid">
          <bgColor rgb="FF56C9B6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  <fill>
        <patternFill patternType="solid">
          <fgColor theme="4" tint="0.79995117038483843"/>
          <bgColor rgb="FFDDDDDD"/>
        </patternFill>
      </fill>
    </dxf>
    <dxf>
      <font>
        <b/>
        <i val="0"/>
        <color theme="1" tint="0.24994659260841701"/>
      </font>
    </dxf>
    <dxf>
      <font>
        <b/>
        <i val="0"/>
        <color theme="1" tint="0.24994659260841701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 tint="0.24994659260841701"/>
      </font>
      <border diagonalUp="0" diagonalDown="0">
        <left/>
        <right/>
        <top/>
        <bottom style="thick">
          <color theme="4"/>
        </bottom>
        <vertical/>
        <horizontal/>
      </border>
    </dxf>
  </dxfs>
  <tableStyles count="1" defaultTableStyle="TableStyleMedium2" defaultPivotStyle="PivotStyleLight16">
    <tableStyle name="Calculadora de préstamos" pivot="0" count="7" xr9:uid="{0CDAE432-89B7-465B-AD1E-25EFA044A72E}">
      <tableStyleElement type="wholeTable" dxfId="118"/>
      <tableStyleElement type="headerRow" dxfId="117"/>
      <tableStyleElement type="totalRow" dxfId="116"/>
      <tableStyleElement type="firstColumn" dxfId="115"/>
      <tableStyleElement type="lastColumn" dxfId="114"/>
      <tableStyleElement type="firstRowStripe" dxfId="113"/>
      <tableStyleElement type="firstColumnStripe" dxfId="112"/>
    </tableStyle>
  </tableStyles>
  <colors>
    <mruColors>
      <color rgb="FF306549"/>
      <color rgb="FFE6FEAC"/>
      <color rgb="FF0C142E"/>
      <color rgb="FFEEDC62"/>
      <color rgb="FF146647"/>
      <color rgb="FF56C9B6"/>
      <color rgb="FF15C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1.xml"/><Relationship Id="rId26" Type="http://schemas.openxmlformats.org/officeDocument/2006/relationships/worksheet" Target="worksheets/sheet25.xml"/><Relationship Id="rId39" Type="http://schemas.openxmlformats.org/officeDocument/2006/relationships/styles" Target="styles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pivotCacheDefinition" Target="pivotCache/pivotCacheDefinition1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19.xml"/><Relationship Id="rId41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 de la energia en miles de pesos</a:t>
            </a:r>
          </a:p>
        </c:rich>
      </c:tx>
      <c:layout>
        <c:manualLayout>
          <c:xMode val="edge"/>
          <c:yMode val="edge"/>
          <c:x val="0.41073479690346754"/>
          <c:y val="3.524638891032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Datos2!$M$7</c:f>
              <c:strCache>
                <c:ptCount val="1"/>
                <c:pt idx="0">
                  <c:v> Costo energía </c:v>
                </c:pt>
              </c:strCache>
            </c:strRef>
          </c:tx>
          <c:spPr>
            <a:solidFill>
              <a:srgbClr val="E6FEA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Datos2!$N$5:$R$5</c:f>
              <c:numCache>
                <c:formatCode>mmm\-yy</c:formatCode>
                <c:ptCount val="5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</c:numCache>
            </c:numRef>
          </c:cat>
          <c:val>
            <c:numRef>
              <c:f>Datos2!$N$7:$Z$7</c:f>
              <c:numCache>
                <c:formatCode>_-"$"\ * #,##0_-;\-"$"\ * #,##0_-;_-"$"\ * "-"??_-;_-@_-</c:formatCode>
                <c:ptCount val="13"/>
                <c:pt idx="0">
                  <c:v>2331.9182879999998</c:v>
                </c:pt>
                <c:pt idx="1">
                  <c:v>2335.6295759999998</c:v>
                </c:pt>
                <c:pt idx="2">
                  <c:v>2186.2781999999997</c:v>
                </c:pt>
                <c:pt idx="3">
                  <c:v>1629.1667279999999</c:v>
                </c:pt>
                <c:pt idx="4">
                  <c:v>1616.7130560000001</c:v>
                </c:pt>
                <c:pt idx="5">
                  <c:v>1758.4871039999998</c:v>
                </c:pt>
                <c:pt idx="6">
                  <c:v>1308.3708119999999</c:v>
                </c:pt>
                <c:pt idx="7">
                  <c:v>1446.5252399999999</c:v>
                </c:pt>
                <c:pt idx="8">
                  <c:v>1633.2479999999998</c:v>
                </c:pt>
                <c:pt idx="9">
                  <c:v>1493.01</c:v>
                </c:pt>
                <c:pt idx="10">
                  <c:v>2046.8135879999998</c:v>
                </c:pt>
                <c:pt idx="11">
                  <c:v>2035.3521959999998</c:v>
                </c:pt>
                <c:pt idx="12">
                  <c:v>2300.874444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A4-4EB6-BACE-28CF6BA3A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76939488"/>
        <c:axId val="876930848"/>
      </c:barChart>
      <c:lineChart>
        <c:grouping val="standard"/>
        <c:varyColors val="0"/>
        <c:ser>
          <c:idx val="0"/>
          <c:order val="1"/>
          <c:tx>
            <c:strRef>
              <c:f>Datos2!$M$6</c:f>
              <c:strCache>
                <c:ptCount val="1"/>
                <c:pt idx="0">
                  <c:v>Consumo actual</c:v>
                </c:pt>
              </c:strCache>
            </c:strRef>
          </c:tx>
          <c:spPr>
            <a:ln w="28575" cap="rnd">
              <a:solidFill>
                <a:srgbClr val="306549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30654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97-46B5-9CAC-51355113058C}"/>
              </c:ext>
            </c:extLst>
          </c:dPt>
          <c:cat>
            <c:numRef>
              <c:f>Datos2!$N$5:$Z$5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Datos2!$N$6:$Z$6</c:f>
              <c:numCache>
                <c:formatCode>0</c:formatCode>
                <c:ptCount val="13"/>
                <c:pt idx="0">
                  <c:v>2142</c:v>
                </c:pt>
                <c:pt idx="1">
                  <c:v>2063</c:v>
                </c:pt>
                <c:pt idx="2">
                  <c:v>1931</c:v>
                </c:pt>
                <c:pt idx="3">
                  <c:v>1439</c:v>
                </c:pt>
                <c:pt idx="4">
                  <c:v>1428</c:v>
                </c:pt>
                <c:pt idx="5">
                  <c:v>1562</c:v>
                </c:pt>
                <c:pt idx="6">
                  <c:v>1231</c:v>
                </c:pt>
                <c:pt idx="7">
                  <c:v>1361</c:v>
                </c:pt>
                <c:pt idx="8">
                  <c:v>1712</c:v>
                </c:pt>
                <c:pt idx="9">
                  <c:v>1565</c:v>
                </c:pt>
                <c:pt idx="10">
                  <c:v>2143</c:v>
                </c:pt>
                <c:pt idx="11">
                  <c:v>2131</c:v>
                </c:pt>
                <c:pt idx="12">
                  <c:v>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A4-4EB6-BACE-28CF6BA3A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39488"/>
        <c:axId val="876930848"/>
      </c:lineChart>
      <c:dateAx>
        <c:axId val="8769394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930848"/>
        <c:crosses val="autoZero"/>
        <c:auto val="1"/>
        <c:lblOffset val="100"/>
        <c:baseTimeUnit val="months"/>
      </c:dateAx>
      <c:valAx>
        <c:axId val="876930848"/>
        <c:scaling>
          <c:orientation val="minMax"/>
          <c:max val="4000"/>
          <c:min val="0"/>
        </c:scaling>
        <c:delete val="0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939488"/>
        <c:crosses val="autoZero"/>
        <c:crossBetween val="between"/>
        <c:majorUnit val="500"/>
      </c:valAx>
      <c:spPr>
        <a:noFill/>
        <a:ln w="25400">
          <a:solidFill>
            <a:srgbClr val="306549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vs</a:t>
            </a:r>
            <a:r>
              <a:rPr lang="es-CO" baseline="0"/>
              <a:t> Producción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Liquidación!$D$5</c:f>
              <c:strCache>
                <c:ptCount val="1"/>
                <c:pt idx="0">
                  <c:v>Consumo horario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Liquidación!$D$6:$D$29</c:f>
              <c:numCache>
                <c:formatCode>0.0</c:formatCode>
                <c:ptCount val="24"/>
                <c:pt idx="0">
                  <c:v>64.4248688569851</c:v>
                </c:pt>
                <c:pt idx="1">
                  <c:v>49.94737023743788</c:v>
                </c:pt>
                <c:pt idx="2">
                  <c:v>44.277016611448559</c:v>
                </c:pt>
                <c:pt idx="3">
                  <c:v>43.070558393152957</c:v>
                </c:pt>
                <c:pt idx="4">
                  <c:v>42.587975105834715</c:v>
                </c:pt>
                <c:pt idx="5">
                  <c:v>45.121537364255474</c:v>
                </c:pt>
                <c:pt idx="6">
                  <c:v>66.958431115405858</c:v>
                </c:pt>
                <c:pt idx="7">
                  <c:v>42.105391818516473</c:v>
                </c:pt>
                <c:pt idx="8">
                  <c:v>20.509789711025221</c:v>
                </c:pt>
                <c:pt idx="9">
                  <c:v>25.576914227866741</c:v>
                </c:pt>
                <c:pt idx="10">
                  <c:v>17.372998343456654</c:v>
                </c:pt>
                <c:pt idx="11">
                  <c:v>15.683956837842814</c:v>
                </c:pt>
                <c:pt idx="12">
                  <c:v>17.011060877967974</c:v>
                </c:pt>
                <c:pt idx="13">
                  <c:v>31.005976210196945</c:v>
                </c:pt>
                <c:pt idx="14">
                  <c:v>124.26519648444692</c:v>
                </c:pt>
                <c:pt idx="15">
                  <c:v>162.87185946990616</c:v>
                </c:pt>
                <c:pt idx="16">
                  <c:v>150.80727728695015</c:v>
                </c:pt>
                <c:pt idx="17">
                  <c:v>138.74269510399409</c:v>
                </c:pt>
                <c:pt idx="18">
                  <c:v>132.71040401251614</c:v>
                </c:pt>
                <c:pt idx="19">
                  <c:v>132.71040401251614</c:v>
                </c:pt>
                <c:pt idx="20">
                  <c:v>154.42665194183692</c:v>
                </c:pt>
                <c:pt idx="21">
                  <c:v>94.103741027056884</c:v>
                </c:pt>
                <c:pt idx="22">
                  <c:v>74.438472068838578</c:v>
                </c:pt>
                <c:pt idx="23">
                  <c:v>57.186119547211483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3-4A04-B8B3-E0A7EC8D4539}"/>
            </c:ext>
          </c:extLst>
        </c:ser>
        <c:ser>
          <c:idx val="1"/>
          <c:order val="1"/>
          <c:tx>
            <c:strRef>
              <c:f>Liquidación!$E$5</c:f>
              <c:strCache>
                <c:ptCount val="1"/>
                <c:pt idx="0">
                  <c:v>Producción Horaria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Liquidación!$E$6:$E$29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3.6297682459864156</c:v>
                </c:pt>
                <c:pt idx="6">
                  <c:v>15.833720138584439</c:v>
                </c:pt>
                <c:pt idx="7">
                  <c:v>52.718062620278886</c:v>
                </c:pt>
                <c:pt idx="8">
                  <c:v>175.18461310461049</c:v>
                </c:pt>
                <c:pt idx="9">
                  <c:v>178.70253975198108</c:v>
                </c:pt>
                <c:pt idx="10">
                  <c:v>210.97392466167543</c:v>
                </c:pt>
                <c:pt idx="11">
                  <c:v>293.33001091514876</c:v>
                </c:pt>
                <c:pt idx="12">
                  <c:v>305.02254167953078</c:v>
                </c:pt>
                <c:pt idx="13">
                  <c:v>254.18545139960895</c:v>
                </c:pt>
                <c:pt idx="14">
                  <c:v>254.18545139960895</c:v>
                </c:pt>
                <c:pt idx="15">
                  <c:v>203.34836111968715</c:v>
                </c:pt>
                <c:pt idx="16">
                  <c:v>58.462653821910052</c:v>
                </c:pt>
                <c:pt idx="17">
                  <c:v>49.311977571524132</c:v>
                </c:pt>
                <c:pt idx="18">
                  <c:v>9.9640696948646692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3-4A04-B8B3-E0A7EC8D4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575600"/>
        <c:axId val="1489594800"/>
      </c:lineChart>
      <c:catAx>
        <c:axId val="1489575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9594800"/>
        <c:crosses val="autoZero"/>
        <c:auto val="1"/>
        <c:lblAlgn val="ctr"/>
        <c:lblOffset val="100"/>
        <c:noMultiLvlLbl val="0"/>
      </c:catAx>
      <c:valAx>
        <c:axId val="148959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957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vs Producción 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Liquidación!$X$44</c:f>
              <c:strCache>
                <c:ptCount val="1"/>
                <c:pt idx="0">
                  <c:v>Consumo horario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Liquidación!$A$45:$A$68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Liquidación!$X$45:$X$68</c:f>
              <c:numCache>
                <c:formatCode>0.0</c:formatCode>
                <c:ptCount val="24"/>
                <c:pt idx="0">
                  <c:v>48.727605471007514</c:v>
                </c:pt>
                <c:pt idx="1">
                  <c:v>46.407243305721444</c:v>
                </c:pt>
                <c:pt idx="2">
                  <c:v>48.727605471007514</c:v>
                </c:pt>
                <c:pt idx="3">
                  <c:v>46.407243305721444</c:v>
                </c:pt>
                <c:pt idx="4">
                  <c:v>48.727605471007514</c:v>
                </c:pt>
                <c:pt idx="5">
                  <c:v>49.191677904064726</c:v>
                </c:pt>
                <c:pt idx="6">
                  <c:v>51.047967636293585</c:v>
                </c:pt>
                <c:pt idx="7">
                  <c:v>74.251589289154296</c:v>
                </c:pt>
                <c:pt idx="8">
                  <c:v>97.455210942015029</c:v>
                </c:pt>
                <c:pt idx="9">
                  <c:v>139.22172991716431</c:v>
                </c:pt>
                <c:pt idx="10">
                  <c:v>150.82354074359469</c:v>
                </c:pt>
                <c:pt idx="11">
                  <c:v>162.42535157002504</c:v>
                </c:pt>
                <c:pt idx="12">
                  <c:v>157.7846272394529</c:v>
                </c:pt>
                <c:pt idx="13">
                  <c:v>150.82354074359469</c:v>
                </c:pt>
                <c:pt idx="14">
                  <c:v>139.22172991716431</c:v>
                </c:pt>
                <c:pt idx="15">
                  <c:v>141.54209208245038</c:v>
                </c:pt>
                <c:pt idx="16">
                  <c:v>141.54209208245038</c:v>
                </c:pt>
                <c:pt idx="17">
                  <c:v>139.22172991716431</c:v>
                </c:pt>
                <c:pt idx="18">
                  <c:v>134.58100558659217</c:v>
                </c:pt>
                <c:pt idx="19">
                  <c:v>132.26064342130613</c:v>
                </c:pt>
                <c:pt idx="20">
                  <c:v>97.455210942015029</c:v>
                </c:pt>
                <c:pt idx="21">
                  <c:v>92.814486611442888</c:v>
                </c:pt>
                <c:pt idx="22">
                  <c:v>69.610864958582155</c:v>
                </c:pt>
                <c:pt idx="23">
                  <c:v>48.727605471007514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E-4738-9270-79420E38D420}"/>
            </c:ext>
          </c:extLst>
        </c:ser>
        <c:ser>
          <c:idx val="1"/>
          <c:order val="1"/>
          <c:tx>
            <c:strRef>
              <c:f>Liquidación!$Y$44</c:f>
              <c:strCache>
                <c:ptCount val="1"/>
                <c:pt idx="0">
                  <c:v>Producción Horaria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Liquidación!$A$45:$A$68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Liquidación!$Y$45:$Y$68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3.7804635341967154</c:v>
                </c:pt>
                <c:pt idx="6">
                  <c:v>16.491080845390883</c:v>
                </c:pt>
                <c:pt idx="7">
                  <c:v>54.906732282380865</c:v>
                </c:pt>
                <c:pt idx="8">
                  <c:v>182.4576658101104</c:v>
                </c:pt>
                <c:pt idx="9">
                  <c:v>186.12164447350554</c:v>
                </c:pt>
                <c:pt idx="10">
                  <c:v>219.73282446661582</c:v>
                </c:pt>
                <c:pt idx="11">
                  <c:v>305.50804751141527</c:v>
                </c:pt>
                <c:pt idx="12">
                  <c:v>317.68601127703494</c:v>
                </c:pt>
                <c:pt idx="13">
                  <c:v>264.73834273086243</c:v>
                </c:pt>
                <c:pt idx="14">
                  <c:v>264.73834273086243</c:v>
                </c:pt>
                <c:pt idx="15">
                  <c:v>211.79067418468995</c:v>
                </c:pt>
                <c:pt idx="16">
                  <c:v>60.889818828098363</c:v>
                </c:pt>
                <c:pt idx="17">
                  <c:v>51.359238489787309</c:v>
                </c:pt>
                <c:pt idx="18">
                  <c:v>10.377743035049807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E-4738-9270-79420E38D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367904"/>
        <c:axId val="2141367424"/>
      </c:lineChart>
      <c:catAx>
        <c:axId val="21413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1367424"/>
        <c:crosses val="autoZero"/>
        <c:auto val="1"/>
        <c:lblAlgn val="ctr"/>
        <c:lblOffset val="100"/>
        <c:noMultiLvlLbl val="0"/>
      </c:catAx>
      <c:valAx>
        <c:axId val="21413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1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vs Producción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Liquidación!$L$44</c:f>
              <c:strCache>
                <c:ptCount val="1"/>
                <c:pt idx="0">
                  <c:v>Consumo horario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Liquidación!$A$45:$A$68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Liquidación!$L$45:$L$68</c:f>
              <c:numCache>
                <c:formatCode>0.0</c:formatCode>
                <c:ptCount val="24"/>
                <c:pt idx="0">
                  <c:v>31.655750337121944</c:v>
                </c:pt>
                <c:pt idx="1">
                  <c:v>30.148333654401849</c:v>
                </c:pt>
                <c:pt idx="2">
                  <c:v>31.655750337121944</c:v>
                </c:pt>
                <c:pt idx="3">
                  <c:v>30.148333654401849</c:v>
                </c:pt>
                <c:pt idx="4">
                  <c:v>31.655750337121944</c:v>
                </c:pt>
                <c:pt idx="5">
                  <c:v>31.957233673665961</c:v>
                </c:pt>
                <c:pt idx="6">
                  <c:v>33.163167019842035</c:v>
                </c:pt>
                <c:pt idx="7">
                  <c:v>48.237333847042954</c:v>
                </c:pt>
                <c:pt idx="8">
                  <c:v>63.311500674243888</c:v>
                </c:pt>
                <c:pt idx="9">
                  <c:v>90.445000963205544</c:v>
                </c:pt>
                <c:pt idx="10">
                  <c:v>97.982084376806014</c:v>
                </c:pt>
                <c:pt idx="11">
                  <c:v>105.51916779040647</c:v>
                </c:pt>
                <c:pt idx="12">
                  <c:v>102.50433442496629</c:v>
                </c:pt>
                <c:pt idx="13">
                  <c:v>97.982084376806014</c:v>
                </c:pt>
                <c:pt idx="14">
                  <c:v>90.445000963205544</c:v>
                </c:pt>
                <c:pt idx="15">
                  <c:v>91.952417645925635</c:v>
                </c:pt>
                <c:pt idx="16">
                  <c:v>91.952417645925635</c:v>
                </c:pt>
                <c:pt idx="17">
                  <c:v>90.445000963205544</c:v>
                </c:pt>
                <c:pt idx="18">
                  <c:v>87.430167597765362</c:v>
                </c:pt>
                <c:pt idx="19">
                  <c:v>85.92275091504527</c:v>
                </c:pt>
                <c:pt idx="20">
                  <c:v>63.311500674243888</c:v>
                </c:pt>
                <c:pt idx="21">
                  <c:v>60.296667308803698</c:v>
                </c:pt>
                <c:pt idx="22">
                  <c:v>45.222500481602772</c:v>
                </c:pt>
                <c:pt idx="23">
                  <c:v>31.655750337121944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3-4F53-B5A5-2795BFBB0232}"/>
            </c:ext>
          </c:extLst>
        </c:ser>
        <c:ser>
          <c:idx val="1"/>
          <c:order val="1"/>
          <c:tx>
            <c:strRef>
              <c:f>Liquidación!$M$44</c:f>
              <c:strCache>
                <c:ptCount val="1"/>
                <c:pt idx="0">
                  <c:v>Producción Horaria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Liquidación!$A$45:$A$68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Liquidación!$M$45:$M$68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3.2569465930680357</c:v>
                </c:pt>
                <c:pt idx="6">
                  <c:v>14.207403163543004</c:v>
                </c:pt>
                <c:pt idx="7">
                  <c:v>47.303271946940519</c:v>
                </c:pt>
                <c:pt idx="8">
                  <c:v>157.19100783910997</c:v>
                </c:pt>
                <c:pt idx="9">
                  <c:v>160.34760033547283</c:v>
                </c:pt>
                <c:pt idx="10">
                  <c:v>189.30431878476682</c:v>
                </c:pt>
                <c:pt idx="11">
                  <c:v>263.2014263585794</c:v>
                </c:pt>
                <c:pt idx="12">
                  <c:v>273.69299101412071</c:v>
                </c:pt>
                <c:pt idx="13">
                  <c:v>228.07749251176725</c:v>
                </c:pt>
                <c:pt idx="14">
                  <c:v>228.07749251176725</c:v>
                </c:pt>
                <c:pt idx="15">
                  <c:v>182.46199400941379</c:v>
                </c:pt>
                <c:pt idx="16">
                  <c:v>52.45782327770646</c:v>
                </c:pt>
                <c:pt idx="17">
                  <c:v>44.24703354728284</c:v>
                </c:pt>
                <c:pt idx="18">
                  <c:v>8.9406377064612759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3-4F53-B5A5-2795BFBB0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367904"/>
        <c:axId val="2141367424"/>
      </c:lineChart>
      <c:catAx>
        <c:axId val="21413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1367424"/>
        <c:crosses val="autoZero"/>
        <c:auto val="1"/>
        <c:lblAlgn val="ctr"/>
        <c:lblOffset val="100"/>
        <c:noMultiLvlLbl val="0"/>
      </c:catAx>
      <c:valAx>
        <c:axId val="21413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1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vs Producción 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Liquidación!$T$44</c:f>
              <c:strCache>
                <c:ptCount val="1"/>
                <c:pt idx="0">
                  <c:v>Consumo horario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Liquidación!$A$45:$A$68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Liquidación!$T$45:$T$68</c:f>
              <c:numCache>
                <c:formatCode>0.0</c:formatCode>
                <c:ptCount val="24"/>
                <c:pt idx="0">
                  <c:v>43.104411481410132</c:v>
                </c:pt>
                <c:pt idx="1">
                  <c:v>41.051820458485842</c:v>
                </c:pt>
                <c:pt idx="2">
                  <c:v>43.104411481410132</c:v>
                </c:pt>
                <c:pt idx="3">
                  <c:v>41.051820458485842</c:v>
                </c:pt>
                <c:pt idx="4">
                  <c:v>43.104411481410132</c:v>
                </c:pt>
                <c:pt idx="5">
                  <c:v>43.514929685994993</c:v>
                </c:pt>
                <c:pt idx="6">
                  <c:v>45.157002504334429</c:v>
                </c:pt>
                <c:pt idx="7">
                  <c:v>65.682912733577339</c:v>
                </c:pt>
                <c:pt idx="8">
                  <c:v>86.208822962820264</c:v>
                </c:pt>
                <c:pt idx="9">
                  <c:v>123.15546137545752</c:v>
                </c:pt>
                <c:pt idx="10">
                  <c:v>133.41841649007898</c:v>
                </c:pt>
                <c:pt idx="11">
                  <c:v>143.68137160470044</c:v>
                </c:pt>
                <c:pt idx="12">
                  <c:v>139.57618955885187</c:v>
                </c:pt>
                <c:pt idx="13">
                  <c:v>133.41841649007898</c:v>
                </c:pt>
                <c:pt idx="14">
                  <c:v>123.15546137545752</c:v>
                </c:pt>
                <c:pt idx="15">
                  <c:v>125.20805239838181</c:v>
                </c:pt>
                <c:pt idx="16">
                  <c:v>125.20805239838181</c:v>
                </c:pt>
                <c:pt idx="17">
                  <c:v>123.15546137545752</c:v>
                </c:pt>
                <c:pt idx="18">
                  <c:v>119.05027932960893</c:v>
                </c:pt>
                <c:pt idx="19">
                  <c:v>116.99768830668465</c:v>
                </c:pt>
                <c:pt idx="20">
                  <c:v>86.208822962820264</c:v>
                </c:pt>
                <c:pt idx="21">
                  <c:v>82.103640916971685</c:v>
                </c:pt>
                <c:pt idx="22">
                  <c:v>61.57773068772876</c:v>
                </c:pt>
                <c:pt idx="23">
                  <c:v>43.104411481410132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2-4BFE-A92B-96B1BAD5DF64}"/>
            </c:ext>
          </c:extLst>
        </c:ser>
        <c:ser>
          <c:idx val="1"/>
          <c:order val="1"/>
          <c:tx>
            <c:strRef>
              <c:f>Liquidación!$U$44</c:f>
              <c:strCache>
                <c:ptCount val="1"/>
                <c:pt idx="0">
                  <c:v>Producción Horaria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Liquidación!$A$45:$A$68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Liquidación!$U$45:$U$68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3.2903371952356966</c:v>
                </c:pt>
                <c:pt idx="6">
                  <c:v>14.353059143250841</c:v>
                </c:pt>
                <c:pt idx="7">
                  <c:v>47.788230692708922</c:v>
                </c:pt>
                <c:pt idx="8">
                  <c:v>158.80254866641752</c:v>
                </c:pt>
                <c:pt idx="9">
                  <c:v>161.99150292286444</c:v>
                </c:pt>
                <c:pt idx="10">
                  <c:v>191.24508907882552</c:v>
                </c:pt>
                <c:pt idx="11">
                  <c:v>265.89979855055981</c:v>
                </c:pt>
                <c:pt idx="12">
                  <c:v>276.49892396938628</c:v>
                </c:pt>
                <c:pt idx="13">
                  <c:v>230.41576997448857</c:v>
                </c:pt>
                <c:pt idx="14">
                  <c:v>230.41576997448857</c:v>
                </c:pt>
                <c:pt idx="15">
                  <c:v>184.33261597959086</c:v>
                </c:pt>
                <c:pt idx="16">
                  <c:v>52.995627094132367</c:v>
                </c:pt>
                <c:pt idx="17">
                  <c:v>44.700659375050776</c:v>
                </c:pt>
                <c:pt idx="18">
                  <c:v>9.032298182999952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22-4BFE-A92B-96B1BAD5D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367904"/>
        <c:axId val="2141367424"/>
      </c:lineChart>
      <c:catAx>
        <c:axId val="21413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1367424"/>
        <c:crosses val="autoZero"/>
        <c:auto val="1"/>
        <c:lblAlgn val="ctr"/>
        <c:lblOffset val="100"/>
        <c:noMultiLvlLbl val="0"/>
      </c:catAx>
      <c:valAx>
        <c:axId val="21413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1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Funcionamiento Sistema Solar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Liquidación!$D$5</c:f>
              <c:strCache>
                <c:ptCount val="1"/>
                <c:pt idx="0">
                  <c:v>Consumo horario</c:v>
                </c:pt>
              </c:strCache>
            </c:strRef>
          </c:tx>
          <c:spPr>
            <a:solidFill>
              <a:srgbClr val="0C142E"/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Liquidación!$D$6:$D$29</c:f>
              <c:numCache>
                <c:formatCode>0.0</c:formatCode>
                <c:ptCount val="24"/>
                <c:pt idx="0">
                  <c:v>64.4248688569851</c:v>
                </c:pt>
                <c:pt idx="1">
                  <c:v>49.94737023743788</c:v>
                </c:pt>
                <c:pt idx="2">
                  <c:v>44.277016611448559</c:v>
                </c:pt>
                <c:pt idx="3">
                  <c:v>43.070558393152957</c:v>
                </c:pt>
                <c:pt idx="4">
                  <c:v>42.587975105834715</c:v>
                </c:pt>
                <c:pt idx="5">
                  <c:v>45.121537364255474</c:v>
                </c:pt>
                <c:pt idx="6">
                  <c:v>66.958431115405858</c:v>
                </c:pt>
                <c:pt idx="7">
                  <c:v>42.105391818516473</c:v>
                </c:pt>
                <c:pt idx="8">
                  <c:v>20.509789711025221</c:v>
                </c:pt>
                <c:pt idx="9">
                  <c:v>25.576914227866741</c:v>
                </c:pt>
                <c:pt idx="10">
                  <c:v>17.372998343456654</c:v>
                </c:pt>
                <c:pt idx="11">
                  <c:v>15.683956837842814</c:v>
                </c:pt>
                <c:pt idx="12">
                  <c:v>17.011060877967974</c:v>
                </c:pt>
                <c:pt idx="13">
                  <c:v>31.005976210196945</c:v>
                </c:pt>
                <c:pt idx="14">
                  <c:v>124.26519648444692</c:v>
                </c:pt>
                <c:pt idx="15">
                  <c:v>162.87185946990616</c:v>
                </c:pt>
                <c:pt idx="16">
                  <c:v>150.80727728695015</c:v>
                </c:pt>
                <c:pt idx="17">
                  <c:v>138.74269510399409</c:v>
                </c:pt>
                <c:pt idx="18">
                  <c:v>132.71040401251614</c:v>
                </c:pt>
                <c:pt idx="19">
                  <c:v>132.71040401251614</c:v>
                </c:pt>
                <c:pt idx="20">
                  <c:v>154.42665194183692</c:v>
                </c:pt>
                <c:pt idx="21">
                  <c:v>94.103741027056884</c:v>
                </c:pt>
                <c:pt idx="22">
                  <c:v>74.438472068838578</c:v>
                </c:pt>
                <c:pt idx="23">
                  <c:v>57.186119547211483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E-4C06-A0CC-075D7C057093}"/>
            </c:ext>
          </c:extLst>
        </c:ser>
        <c:ser>
          <c:idx val="1"/>
          <c:order val="1"/>
          <c:tx>
            <c:strRef>
              <c:f>Liquidación!$E$5</c:f>
              <c:strCache>
                <c:ptCount val="1"/>
                <c:pt idx="0">
                  <c:v>Producción Horaria</c:v>
                </c:pt>
              </c:strCache>
            </c:strRef>
          </c:tx>
          <c:spPr>
            <a:solidFill>
              <a:srgbClr val="E6FEAC">
                <a:alpha val="80000"/>
              </a:srgbClr>
            </a:solidFill>
            <a:ln>
              <a:solidFill>
                <a:srgbClr val="306549">
                  <a:alpha val="82000"/>
                </a:srgbClr>
              </a:solidFill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Liquidación!$E$6:$E$29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3.6297682459864156</c:v>
                </c:pt>
                <c:pt idx="6">
                  <c:v>15.833720138584439</c:v>
                </c:pt>
                <c:pt idx="7">
                  <c:v>52.718062620278886</c:v>
                </c:pt>
                <c:pt idx="8">
                  <c:v>175.18461310461049</c:v>
                </c:pt>
                <c:pt idx="9">
                  <c:v>178.70253975198108</c:v>
                </c:pt>
                <c:pt idx="10">
                  <c:v>210.97392466167543</c:v>
                </c:pt>
                <c:pt idx="11">
                  <c:v>293.33001091514876</c:v>
                </c:pt>
                <c:pt idx="12">
                  <c:v>305.02254167953078</c:v>
                </c:pt>
                <c:pt idx="13">
                  <c:v>254.18545139960895</c:v>
                </c:pt>
                <c:pt idx="14">
                  <c:v>254.18545139960895</c:v>
                </c:pt>
                <c:pt idx="15">
                  <c:v>203.34836111968715</c:v>
                </c:pt>
                <c:pt idx="16">
                  <c:v>58.462653821910052</c:v>
                </c:pt>
                <c:pt idx="17">
                  <c:v>49.311977571524132</c:v>
                </c:pt>
                <c:pt idx="18">
                  <c:v>9.9640696948646692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E-4C06-A0CC-075D7C057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14912"/>
        <c:axId val="893615392"/>
      </c:areaChart>
      <c:catAx>
        <c:axId val="89361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3615392"/>
        <c:crosses val="autoZero"/>
        <c:auto val="1"/>
        <c:lblAlgn val="ctr"/>
        <c:lblOffset val="100"/>
        <c:noMultiLvlLbl val="0"/>
      </c:catAx>
      <c:valAx>
        <c:axId val="893615392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361491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</a:t>
            </a:r>
            <a:r>
              <a:rPr lang="es-CO" baseline="0"/>
              <a:t> de las baterías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'Curva diaria'!$I$2:$I$25</c:f>
              <c:numCache>
                <c:formatCode>_-* #,##0_-;\-* #,##0_-;_-* "-"??_-;_-@_-</c:formatCode>
                <c:ptCount val="24"/>
                <c:pt idx="0">
                  <c:v>19382.488680287133</c:v>
                </c:pt>
                <c:pt idx="1">
                  <c:v>18506.024848150191</c:v>
                </c:pt>
                <c:pt idx="2">
                  <c:v>17729.062948647155</c:v>
                </c:pt>
                <c:pt idx="3">
                  <c:v>16973.271673108778</c:v>
                </c:pt>
                <c:pt idx="4">
                  <c:v>16225.948647156267</c:v>
                </c:pt>
                <c:pt idx="5">
                  <c:v>15555.159585744181</c:v>
                </c:pt>
                <c:pt idx="6">
                  <c:v>14907.980626991675</c:v>
                </c:pt>
                <c:pt idx="7">
                  <c:v>15926.394604634323</c:v>
                </c:pt>
                <c:pt idx="8">
                  <c:v>21405.981100722114</c:v>
                </c:pt>
                <c:pt idx="9">
                  <c:v>26913.915197737348</c:v>
                </c:pt>
                <c:pt idx="10">
                  <c:v>33641.522368035417</c:v>
                </c:pt>
                <c:pt idx="11">
                  <c:v>33641.522368035417</c:v>
                </c:pt>
                <c:pt idx="12">
                  <c:v>33641.522368035417</c:v>
                </c:pt>
                <c:pt idx="13">
                  <c:v>33641.522368035417</c:v>
                </c:pt>
                <c:pt idx="14">
                  <c:v>33641.522368035417</c:v>
                </c:pt>
                <c:pt idx="15">
                  <c:v>33641.522368035417</c:v>
                </c:pt>
                <c:pt idx="16">
                  <c:v>32943.94949984987</c:v>
                </c:pt>
                <c:pt idx="17">
                  <c:v>32153.060329631393</c:v>
                </c:pt>
                <c:pt idx="18">
                  <c:v>30156.427350014237</c:v>
                </c:pt>
                <c:pt idx="19">
                  <c:v>27827.65871390159</c:v>
                </c:pt>
                <c:pt idx="20">
                  <c:v>25117.818846425056</c:v>
                </c:pt>
                <c:pt idx="21">
                  <c:v>23466.510177181543</c:v>
                </c:pt>
                <c:pt idx="22">
                  <c:v>22160.282678561995</c:v>
                </c:pt>
                <c:pt idx="23">
                  <c:v>21156.79510263709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6-49B7-A8B0-B54906A32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278047"/>
        <c:axId val="412274207"/>
      </c:lineChart>
      <c:catAx>
        <c:axId val="412278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2274207"/>
        <c:crosses val="autoZero"/>
        <c:auto val="1"/>
        <c:lblAlgn val="ctr"/>
        <c:lblOffset val="100"/>
        <c:noMultiLvlLbl val="0"/>
      </c:catAx>
      <c:valAx>
        <c:axId val="412274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227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Producción vs 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9832713170266193E-2"/>
          <c:y val="8.3194567577740589E-2"/>
          <c:w val="0.92695568669805706"/>
          <c:h val="0.83178178737520447"/>
        </c:manualLayout>
      </c:layout>
      <c:lineChart>
        <c:grouping val="standard"/>
        <c:varyColors val="0"/>
        <c:ser>
          <c:idx val="0"/>
          <c:order val="0"/>
          <c:tx>
            <c:strRef>
              <c:f>Producción!$A$8</c:f>
              <c:strCache>
                <c:ptCount val="1"/>
                <c:pt idx="0">
                  <c:v>Energia Producida (kWh-mes)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563311189936356E-2"/>
                  <c:y val="-2.2271604851670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92-4826-BC75-703EC5789791}"/>
                </c:ext>
              </c:extLst>
            </c:dLbl>
            <c:dLbl>
              <c:idx val="1"/>
              <c:layout>
                <c:manualLayout>
                  <c:x val="-2.8819666628445907E-2"/>
                  <c:y val="-6.074074050455627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92-4826-BC75-703EC5789791}"/>
                </c:ext>
              </c:extLst>
            </c:dLbl>
            <c:dLbl>
              <c:idx val="2"/>
              <c:layout>
                <c:manualLayout>
                  <c:x val="-2.8819666628445883E-2"/>
                  <c:y val="-3.6444444302733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92-4826-BC75-703EC5789791}"/>
                </c:ext>
              </c:extLst>
            </c:dLbl>
            <c:dLbl>
              <c:idx val="3"/>
              <c:layout>
                <c:manualLayout>
                  <c:x val="-2.8819666628445935E-2"/>
                  <c:y val="-2.2271604851670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92-4826-BC75-703EC5789791}"/>
                </c:ext>
              </c:extLst>
            </c:dLbl>
            <c:dLbl>
              <c:idx val="4"/>
              <c:layout>
                <c:manualLayout>
                  <c:x val="-2.8819666628445935E-2"/>
                  <c:y val="2.02469135015187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92-4826-BC75-703EC5789791}"/>
                </c:ext>
              </c:extLst>
            </c:dLbl>
            <c:dLbl>
              <c:idx val="5"/>
              <c:layout>
                <c:manualLayout>
                  <c:x val="-2.8819666628445883E-2"/>
                  <c:y val="-2.2271604851670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92-4826-BC75-703EC5789791}"/>
                </c:ext>
              </c:extLst>
            </c:dLbl>
            <c:dLbl>
              <c:idx val="6"/>
              <c:layout>
                <c:manualLayout>
                  <c:x val="-2.8819666628445883E-2"/>
                  <c:y val="2.6320987551974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92-4826-BC75-703EC5789791}"/>
                </c:ext>
              </c:extLst>
            </c:dLbl>
            <c:dLbl>
              <c:idx val="7"/>
              <c:layout>
                <c:manualLayout>
                  <c:x val="-3.0287622198632191E-2"/>
                  <c:y val="-3.8469135652885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92-4826-BC75-703EC5789791}"/>
                </c:ext>
              </c:extLst>
            </c:dLbl>
            <c:dLbl>
              <c:idx val="8"/>
              <c:layout>
                <c:manualLayout>
                  <c:x val="-2.8819666628445883E-2"/>
                  <c:y val="-2.6320987551974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92-4826-BC75-703EC5789791}"/>
                </c:ext>
              </c:extLst>
            </c:dLbl>
            <c:dLbl>
              <c:idx val="9"/>
              <c:layout>
                <c:manualLayout>
                  <c:x val="-2.881966662844599E-2"/>
                  <c:y val="3.4419752952581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92-4826-BC75-703EC5789791}"/>
                </c:ext>
              </c:extLst>
            </c:dLbl>
            <c:dLbl>
              <c:idx val="10"/>
              <c:layout>
                <c:manualLayout>
                  <c:x val="-2.8819666628446098E-2"/>
                  <c:y val="2.6320987551974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92-4826-BC75-703EC5789791}"/>
                </c:ext>
              </c:extLst>
            </c:dLbl>
            <c:dLbl>
              <c:idx val="11"/>
              <c:layout>
                <c:manualLayout>
                  <c:x val="-2.8819666628445772E-2"/>
                  <c:y val="1.6197530801215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92-4826-BC75-703EC5789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Producción!$E$3:$P$3</c:f>
              <c:numCache>
                <c:formatCode>mmm\-yy</c:formatCode>
                <c:ptCount val="12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</c:numCache>
            </c:numRef>
          </c:cat>
          <c:val>
            <c:numRef>
              <c:f>Producción!$E$8:$P$8</c:f>
              <c:numCache>
                <c:formatCode>_-* #,##0_-;\-* #,##0_-;_-* "-"??_-;_-@_-</c:formatCode>
                <c:ptCount val="12"/>
                <c:pt idx="0">
                  <c:v>2195.9335397999998</c:v>
                </c:pt>
                <c:pt idx="1">
                  <c:v>2055.0388319999997</c:v>
                </c:pt>
                <c:pt idx="2">
                  <c:v>1852.7674396</c:v>
                </c:pt>
                <c:pt idx="3">
                  <c:v>1770.6796800000002</c:v>
                </c:pt>
                <c:pt idx="4">
                  <c:v>1871.7622308</c:v>
                </c:pt>
                <c:pt idx="5">
                  <c:v>2150.5786302000006</c:v>
                </c:pt>
                <c:pt idx="6">
                  <c:v>1982.6360400000001</c:v>
                </c:pt>
                <c:pt idx="7">
                  <c:v>2360.8296480999998</c:v>
                </c:pt>
                <c:pt idx="8">
                  <c:v>2144.5575689999996</c:v>
                </c:pt>
                <c:pt idx="9">
                  <c:v>2079.2997071</c:v>
                </c:pt>
                <c:pt idx="10">
                  <c:v>2090.0679030000001</c:v>
                </c:pt>
                <c:pt idx="11">
                  <c:v>2224.0865339000002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1-4DA2-9713-EEAB3F17E24E}"/>
            </c:ext>
          </c:extLst>
        </c:ser>
        <c:ser>
          <c:idx val="1"/>
          <c:order val="1"/>
          <c:tx>
            <c:strRef>
              <c:f>Producción!$A$9</c:f>
              <c:strCache>
                <c:ptCount val="1"/>
                <c:pt idx="0">
                  <c:v>Energía Consumida (kWh-mes)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2.8819666628445883E-2"/>
                  <c:y val="-2.0246913501518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92-4826-BC75-703EC5789791}"/>
                </c:ext>
              </c:extLst>
            </c:dLbl>
            <c:dLbl>
              <c:idx val="7"/>
              <c:layout>
                <c:manualLayout>
                  <c:x val="-2.8819666628445883E-2"/>
                  <c:y val="3.2395061602430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92-4826-BC75-703EC5789791}"/>
                </c:ext>
              </c:extLst>
            </c:dLbl>
            <c:dLbl>
              <c:idx val="8"/>
              <c:layout>
                <c:manualLayout>
                  <c:x val="-2.8819666628445883E-2"/>
                  <c:y val="-3.4419752952581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92-4826-BC75-703EC5789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Producción!$E$3:$P$3</c:f>
              <c:numCache>
                <c:formatCode>mmm\-yy</c:formatCode>
                <c:ptCount val="12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</c:numCache>
            </c:numRef>
          </c:cat>
          <c:val>
            <c:numRef>
              <c:f>Producción!$E$9:$P$9</c:f>
              <c:numCache>
                <c:formatCode>_-* #,##0_-;\-* #,##0_-;_-* "-"??_-;_-@_-</c:formatCode>
                <c:ptCount val="12"/>
                <c:pt idx="0">
                  <c:v>1361</c:v>
                </c:pt>
                <c:pt idx="1">
                  <c:v>1712</c:v>
                </c:pt>
                <c:pt idx="2">
                  <c:v>1565</c:v>
                </c:pt>
                <c:pt idx="3">
                  <c:v>2143</c:v>
                </c:pt>
                <c:pt idx="4">
                  <c:v>2131</c:v>
                </c:pt>
                <c:pt idx="5">
                  <c:v>2409</c:v>
                </c:pt>
                <c:pt idx="6">
                  <c:v>2063</c:v>
                </c:pt>
                <c:pt idx="7">
                  <c:v>1931</c:v>
                </c:pt>
                <c:pt idx="8">
                  <c:v>1439</c:v>
                </c:pt>
                <c:pt idx="9">
                  <c:v>1428</c:v>
                </c:pt>
                <c:pt idx="10">
                  <c:v>1562</c:v>
                </c:pt>
                <c:pt idx="11">
                  <c:v>1231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1-4DA2-9713-EEAB3F17E2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69003663"/>
        <c:axId val="569003183"/>
      </c:lineChart>
      <c:dateAx>
        <c:axId val="56900366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9003183"/>
        <c:crosses val="autoZero"/>
        <c:auto val="1"/>
        <c:lblOffset val="100"/>
        <c:baseTimeUnit val="months"/>
      </c:dateAx>
      <c:valAx>
        <c:axId val="56900318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900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9591673997153628E-2"/>
          <c:y val="0.18921180096873624"/>
          <c:w val="0.90407771746515342"/>
          <c:h val="0.7667547335975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'Capital propio'!$C$52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306549"/>
            </a:solid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dLbl>
              <c:idx val="0"/>
              <c:layout>
                <c:manualLayout>
                  <c:x val="-2.1400133353374879E-3"/>
                  <c:y val="0.176741780903760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4A-42DB-8991-045434C1841C}"/>
                </c:ext>
              </c:extLst>
            </c:dLbl>
            <c:dLbl>
              <c:idx val="1"/>
              <c:layout>
                <c:manualLayout>
                  <c:x val="6.149286405278411E-4"/>
                  <c:y val="0.155009744661038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4A-42DB-8991-045434C1841C}"/>
                </c:ext>
              </c:extLst>
            </c:dLbl>
            <c:dLbl>
              <c:idx val="2"/>
              <c:layout>
                <c:manualLayout>
                  <c:x val="4.4623814593456965E-3"/>
                  <c:y val="0.150531478840735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589556827484916E-2"/>
                      <c:h val="0.11318914860051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F4A-42DB-8991-045434C1841C}"/>
                </c:ext>
              </c:extLst>
            </c:dLbl>
            <c:dLbl>
              <c:idx val="3"/>
              <c:layout>
                <c:manualLayout>
                  <c:x val="0"/>
                  <c:y val="5.2328623757194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EF-49E5-9CE2-CD683F2AF7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'Capital propio'!$G$49:$Z$49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</c:numCache>
            </c:numRef>
          </c:cat>
          <c:val>
            <c:numRef>
              <c:f>'Capital propio'!$G$52:$Z$52</c:f>
              <c:numCache>
                <c:formatCode>0</c:formatCode>
                <c:ptCount val="20"/>
                <c:pt idx="0">
                  <c:v>-46.098346409258035</c:v>
                </c:pt>
                <c:pt idx="1">
                  <c:v>-24.838011105030024</c:v>
                </c:pt>
                <c:pt idx="2">
                  <c:v>-2.9194291652129518</c:v>
                </c:pt>
                <c:pt idx="3">
                  <c:v>19.684701576753682</c:v>
                </c:pt>
                <c:pt idx="4">
                  <c:v>42.574912192995164</c:v>
                </c:pt>
                <c:pt idx="5">
                  <c:v>65.58988798487313</c:v>
                </c:pt>
                <c:pt idx="6">
                  <c:v>89.34190273889088</c:v>
                </c:pt>
                <c:pt idx="7">
                  <c:v>113.86243689757667</c:v>
                </c:pt>
                <c:pt idx="8">
                  <c:v>139.1765810958766</c:v>
                </c:pt>
                <c:pt idx="9">
                  <c:v>165.31028044042549</c:v>
                </c:pt>
                <c:pt idx="10">
                  <c:v>192.29036523132947</c:v>
                </c:pt>
                <c:pt idx="11">
                  <c:v>219.59905842142709</c:v>
                </c:pt>
                <c:pt idx="12">
                  <c:v>247.68071703505717</c:v>
                </c:pt>
                <c:pt idx="13">
                  <c:v>276.55853003492564</c:v>
                </c:pt>
                <c:pt idx="14">
                  <c:v>306.2563820526197</c:v>
                </c:pt>
                <c:pt idx="15">
                  <c:v>336.798874258674</c:v>
                </c:pt>
                <c:pt idx="16">
                  <c:v>368.21134585873949</c:v>
                </c:pt>
                <c:pt idx="17">
                  <c:v>400.51989623463641</c:v>
                </c:pt>
                <c:pt idx="18">
                  <c:v>433.73976310750089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9-4845-A0DC-322722178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37514560"/>
        <c:axId val="337504480"/>
      </c:barChart>
      <c:catAx>
        <c:axId val="33751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504480"/>
        <c:crosses val="autoZero"/>
        <c:auto val="1"/>
        <c:lblAlgn val="ctr"/>
        <c:lblOffset val="100"/>
        <c:noMultiLvlLbl val="0"/>
      </c:catAx>
      <c:valAx>
        <c:axId val="3375044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751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Actuales vs Costos</a:t>
            </a:r>
            <a:r>
              <a:rPr lang="es-CO" baseline="0"/>
              <a:t> ESF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cliente final CP'!$A$22</c:f>
              <c:strCache>
                <c:ptCount val="1"/>
                <c:pt idx="0">
                  <c:v>Costo Actual energia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CP'!$C$35:$V$35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CP'!$C$22:$V$22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12598843.939999999</c:v>
                </c:pt>
                <c:pt idx="2">
                  <c:v>18232335.0482</c:v>
                </c:pt>
                <c:pt idx="3">
                  <c:v>18779305.099646006</c:v>
                </c:pt>
                <c:pt idx="4">
                  <c:v>19342684.252635382</c:v>
                </c:pt>
                <c:pt idx="5">
                  <c:v>19922964.780214448</c:v>
                </c:pt>
                <c:pt idx="6">
                  <c:v>20520653.723620877</c:v>
                </c:pt>
                <c:pt idx="7">
                  <c:v>21136273.335329503</c:v>
                </c:pt>
                <c:pt idx="8">
                  <c:v>21770361.535389386</c:v>
                </c:pt>
                <c:pt idx="9">
                  <c:v>22423472.381451074</c:v>
                </c:pt>
                <c:pt idx="10">
                  <c:v>23096176.552894607</c:v>
                </c:pt>
                <c:pt idx="11">
                  <c:v>23789061.849481445</c:v>
                </c:pt>
                <c:pt idx="12">
                  <c:v>24502733.704965889</c:v>
                </c:pt>
                <c:pt idx="13">
                  <c:v>25237815.716114867</c:v>
                </c:pt>
                <c:pt idx="14">
                  <c:v>25994950.18759831</c:v>
                </c:pt>
                <c:pt idx="15">
                  <c:v>26774798.693226259</c:v>
                </c:pt>
                <c:pt idx="16">
                  <c:v>27578042.654023048</c:v>
                </c:pt>
                <c:pt idx="17">
                  <c:v>28405383.93364374</c:v>
                </c:pt>
                <c:pt idx="18">
                  <c:v>29257545.451653056</c:v>
                </c:pt>
                <c:pt idx="19">
                  <c:v>30135271.81520265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B-4BE8-96E0-1AD661C75103}"/>
            </c:ext>
          </c:extLst>
        </c:ser>
        <c:ser>
          <c:idx val="1"/>
          <c:order val="1"/>
          <c:tx>
            <c:strRef>
              <c:f>'Análisis cliente final CP'!$A$36</c:f>
              <c:strCache>
                <c:ptCount val="1"/>
                <c:pt idx="0">
                  <c:v>Costo de energía con SFV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CP'!$C$35:$V$35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CP'!$C$36:$V$36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1172806.3834408075</c:v>
                </c:pt>
                <c:pt idx="2">
                  <c:v>2793021.4632120766</c:v>
                </c:pt>
                <c:pt idx="3">
                  <c:v>2873072.9061022154</c:v>
                </c:pt>
                <c:pt idx="4">
                  <c:v>2963196.7748576286</c:v>
                </c:pt>
                <c:pt idx="5">
                  <c:v>3031870.4138839375</c:v>
                </c:pt>
                <c:pt idx="6">
                  <c:v>3089996.4928078684</c:v>
                </c:pt>
                <c:pt idx="7">
                  <c:v>3433516.8540494912</c:v>
                </c:pt>
                <c:pt idx="8">
                  <c:v>3506429.2006583931</c:v>
                </c:pt>
                <c:pt idx="9">
                  <c:v>3551217.6336278003</c:v>
                </c:pt>
                <c:pt idx="10">
                  <c:v>3617719.5768899294</c:v>
                </c:pt>
                <c:pt idx="11">
                  <c:v>3650706.7314173393</c:v>
                </c:pt>
                <c:pt idx="12">
                  <c:v>3692189.657697753</c:v>
                </c:pt>
                <c:pt idx="13">
                  <c:v>4254609.316936234</c:v>
                </c:pt>
                <c:pt idx="14">
                  <c:v>4409407.8866511025</c:v>
                </c:pt>
                <c:pt idx="15">
                  <c:v>4567534.7609985061</c:v>
                </c:pt>
                <c:pt idx="16">
                  <c:v>4740848.6677242955</c:v>
                </c:pt>
                <c:pt idx="17">
                  <c:v>4894015.5691514956</c:v>
                </c:pt>
                <c:pt idx="18">
                  <c:v>5062492.1272831028</c:v>
                </c:pt>
                <c:pt idx="19">
                  <c:v>5234542.203725256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B-4BE8-96E0-1AD661C7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20464"/>
        <c:axId val="938621424"/>
      </c:lineChart>
      <c:catAx>
        <c:axId val="938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1424"/>
        <c:crosses val="autoZero"/>
        <c:auto val="1"/>
        <c:lblAlgn val="ctr"/>
        <c:lblOffset val="100"/>
        <c:noMultiLvlLbl val="0"/>
      </c:catAx>
      <c:valAx>
        <c:axId val="9386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Ahorro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Ahorro Acumulado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CP'!$C$35:$V$35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CP'!$C$43:$V$43</c:f>
              <c:numCache>
                <c:formatCode>_-"$"\ * #,##0_-;\-"$"\ * #,##0_-;_-"$"\ * "-"??_-;_-@_-</c:formatCode>
                <c:ptCount val="20"/>
                <c:pt idx="0">
                  <c:v>0</c:v>
                </c:pt>
                <c:pt idx="1">
                  <c:v>11426037.556559194</c:v>
                </c:pt>
                <c:pt idx="2">
                  <c:v>26865351.141547117</c:v>
                </c:pt>
                <c:pt idx="3">
                  <c:v>42771583.335090905</c:v>
                </c:pt>
                <c:pt idx="4">
                  <c:v>59151070.812868655</c:v>
                </c:pt>
                <c:pt idx="5">
                  <c:v>76042165.179199159</c:v>
                </c:pt>
                <c:pt idx="6">
                  <c:v>93472822.410012171</c:v>
                </c:pt>
                <c:pt idx="7">
                  <c:v>111175578.89129218</c:v>
                </c:pt>
                <c:pt idx="8">
                  <c:v>129439511.22602318</c:v>
                </c:pt>
                <c:pt idx="9">
                  <c:v>148311765.97384647</c:v>
                </c:pt>
                <c:pt idx="10">
                  <c:v>167790222.94985116</c:v>
                </c:pt>
                <c:pt idx="11">
                  <c:v>187928578.06791526</c:v>
                </c:pt>
                <c:pt idx="12">
                  <c:v>208739122.11518338</c:v>
                </c:pt>
                <c:pt idx="13">
                  <c:v>229722328.51436201</c:v>
                </c:pt>
                <c:pt idx="14">
                  <c:v>251307870.81530923</c:v>
                </c:pt>
                <c:pt idx="15">
                  <c:v>273515134.74753696</c:v>
                </c:pt>
                <c:pt idx="16">
                  <c:v>296352328.7338357</c:v>
                </c:pt>
                <c:pt idx="17">
                  <c:v>319863697.09832793</c:v>
                </c:pt>
                <c:pt idx="18">
                  <c:v>344058750.4226979</c:v>
                </c:pt>
                <c:pt idx="19">
                  <c:v>368959480.03417528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E-471F-837D-EFD70F607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20464"/>
        <c:axId val="938621424"/>
      </c:lineChart>
      <c:catAx>
        <c:axId val="938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1424"/>
        <c:crosses val="autoZero"/>
        <c:auto val="1"/>
        <c:lblAlgn val="ctr"/>
        <c:lblOffset val="100"/>
        <c:noMultiLvlLbl val="0"/>
      </c:catAx>
      <c:valAx>
        <c:axId val="9386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cliente financiamiento'!$A$44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306549"/>
            </a:solidFill>
            <a:ln>
              <a:solidFill>
                <a:srgbClr val="306549"/>
              </a:solidFill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dLbl>
              <c:idx val="0"/>
              <c:layout>
                <c:manualLayout>
                  <c:x val="-2.8321354345474748E-3"/>
                  <c:y val="8.37632983975498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87-4C8E-B81D-3DF1D3249C91}"/>
                </c:ext>
              </c:extLst>
            </c:dLbl>
            <c:dLbl>
              <c:idx val="1"/>
              <c:layout>
                <c:manualLayout>
                  <c:x val="1.42677313015198E-3"/>
                  <c:y val="4.89352305653995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7-4C8E-B81D-3DF1D3249C91}"/>
                </c:ext>
              </c:extLst>
            </c:dLbl>
            <c:dLbl>
              <c:idx val="2"/>
              <c:layout>
                <c:manualLayout>
                  <c:x val="-2.39948909339919E-5"/>
                  <c:y val="1.0954684016071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87-4C8E-B81D-3DF1D3249C91}"/>
                </c:ext>
              </c:extLst>
            </c:dLbl>
            <c:dLbl>
              <c:idx val="3"/>
              <c:layout>
                <c:manualLayout>
                  <c:x val="0"/>
                  <c:y val="1.4826344381370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7-4C8E-B81D-3DF1D3249C91}"/>
                </c:ext>
              </c:extLst>
            </c:dLbl>
            <c:dLbl>
              <c:idx val="4"/>
              <c:layout>
                <c:manualLayout>
                  <c:x val="-4.297496846589027E-17"/>
                  <c:y val="1.3679890560875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51-4AE7-9F50-8A762DFC6D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'Análisis cliente financiamiento'!$E$41:$X$41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</c:numCache>
            </c:numRef>
          </c:cat>
          <c:val>
            <c:numRef>
              <c:f>'Análisis cliente financiamiento'!$E$44:$X$44</c:f>
              <c:numCache>
                <c:formatCode>0</c:formatCode>
                <c:ptCount val="20"/>
                <c:pt idx="0">
                  <c:v>0.30191775015265354</c:v>
                </c:pt>
                <c:pt idx="1">
                  <c:v>3.5252581694228002</c:v>
                </c:pt>
                <c:pt idx="2">
                  <c:v>7.5010777135360778</c:v>
                </c:pt>
                <c:pt idx="3">
                  <c:v>12.283132582825894</c:v>
                </c:pt>
                <c:pt idx="4">
                  <c:v>17.505834365377165</c:v>
                </c:pt>
                <c:pt idx="5">
                  <c:v>25.946918891418534</c:v>
                </c:pt>
                <c:pt idx="6">
                  <c:v>49.698933645436298</c:v>
                </c:pt>
                <c:pt idx="7">
                  <c:v>74.21946780412209</c:v>
                </c:pt>
                <c:pt idx="8">
                  <c:v>99.533612002422018</c:v>
                </c:pt>
                <c:pt idx="9">
                  <c:v>125.66731134697089</c:v>
                </c:pt>
                <c:pt idx="10">
                  <c:v>152.64739613787486</c:v>
                </c:pt>
                <c:pt idx="11">
                  <c:v>179.95608932797251</c:v>
                </c:pt>
                <c:pt idx="12">
                  <c:v>208.03774794160256</c:v>
                </c:pt>
                <c:pt idx="13">
                  <c:v>236.91556094147103</c:v>
                </c:pt>
                <c:pt idx="14">
                  <c:v>266.61341295916509</c:v>
                </c:pt>
                <c:pt idx="15">
                  <c:v>297.15590516521945</c:v>
                </c:pt>
                <c:pt idx="16">
                  <c:v>328.56837676528488</c:v>
                </c:pt>
                <c:pt idx="17">
                  <c:v>360.87692714118185</c:v>
                </c:pt>
                <c:pt idx="18">
                  <c:v>394.09679401404634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7-4C8E-B81D-3DF1D3249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22031663"/>
        <c:axId val="2022030223"/>
      </c:barChart>
      <c:catAx>
        <c:axId val="202203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2030223"/>
        <c:crosses val="autoZero"/>
        <c:auto val="1"/>
        <c:lblAlgn val="ctr"/>
        <c:lblOffset val="100"/>
        <c:noMultiLvlLbl val="0"/>
      </c:catAx>
      <c:valAx>
        <c:axId val="202203022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20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Actuales vs Costos</a:t>
            </a:r>
            <a:r>
              <a:rPr lang="es-CO" baseline="0"/>
              <a:t> ESF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cliente final MP'!$A$22</c:f>
              <c:strCache>
                <c:ptCount val="1"/>
                <c:pt idx="0">
                  <c:v>Costo Actual energia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MP'!$C$35:$V$35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MP'!$C$22:$V$22</c:f>
              <c:numCache>
                <c:formatCode>_-* #,##0_-;\-* #,##0_-;_-* "-"??_-;_-@_-</c:formatCode>
                <c:ptCount val="20"/>
                <c:pt idx="0">
                  <c:v>7013466.0600000005</c:v>
                </c:pt>
                <c:pt idx="1">
                  <c:v>22396725.719999999</c:v>
                </c:pt>
                <c:pt idx="2">
                  <c:v>21878802.057840005</c:v>
                </c:pt>
                <c:pt idx="3">
                  <c:v>22535166.119575199</c:v>
                </c:pt>
                <c:pt idx="4">
                  <c:v>23211221.10316246</c:v>
                </c:pt>
                <c:pt idx="5">
                  <c:v>23907557.736257333</c:v>
                </c:pt>
                <c:pt idx="6">
                  <c:v>24624784.468345046</c:v>
                </c:pt>
                <c:pt idx="7">
                  <c:v>25363528.002395403</c:v>
                </c:pt>
                <c:pt idx="8">
                  <c:v>26124433.842467271</c:v>
                </c:pt>
                <c:pt idx="9">
                  <c:v>26908166.857741289</c:v>
                </c:pt>
                <c:pt idx="10">
                  <c:v>27715411.863473527</c:v>
                </c:pt>
                <c:pt idx="11">
                  <c:v>28546874.219377734</c:v>
                </c:pt>
                <c:pt idx="12">
                  <c:v>29403280.445959069</c:v>
                </c:pt>
                <c:pt idx="13">
                  <c:v>30285378.859337837</c:v>
                </c:pt>
                <c:pt idx="14">
                  <c:v>31193940.22511797</c:v>
                </c:pt>
                <c:pt idx="15">
                  <c:v>32129758.431871511</c:v>
                </c:pt>
                <c:pt idx="16">
                  <c:v>33093651.184827656</c:v>
                </c:pt>
                <c:pt idx="17">
                  <c:v>34086460.720372491</c:v>
                </c:pt>
                <c:pt idx="18">
                  <c:v>35109054.541983664</c:v>
                </c:pt>
                <c:pt idx="19">
                  <c:v>36162326.178243183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C-45FA-ABA6-B2CAC6F61B05}"/>
            </c:ext>
          </c:extLst>
        </c:ser>
        <c:ser>
          <c:idx val="1"/>
          <c:order val="1"/>
          <c:tx>
            <c:strRef>
              <c:f>'Análisis cliente final MP'!$A$36</c:f>
              <c:strCache>
                <c:ptCount val="1"/>
                <c:pt idx="0">
                  <c:v>Costo de energía con SFV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MP'!$C$35:$V$35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MP'!$C$36:$V$36</c:f>
              <c:numCache>
                <c:formatCode>_-* #,##0_-;\-* #,##0_-;_-* "-"??_-;_-@_-</c:formatCode>
                <c:ptCount val="20"/>
                <c:pt idx="0">
                  <c:v>-240667.35749575897</c:v>
                </c:pt>
                <c:pt idx="1">
                  <c:v>2961471.0723292525</c:v>
                </c:pt>
                <c:pt idx="2">
                  <c:v>3239601.8525437359</c:v>
                </c:pt>
                <c:pt idx="3">
                  <c:v>3393844.6632237718</c:v>
                </c:pt>
                <c:pt idx="4">
                  <c:v>3504435.0171902585</c:v>
                </c:pt>
                <c:pt idx="5">
                  <c:v>3649526.8789317133</c:v>
                </c:pt>
                <c:pt idx="6">
                  <c:v>3730140.5669412049</c:v>
                </c:pt>
                <c:pt idx="7">
                  <c:v>4156940.3706035698</c:v>
                </c:pt>
                <c:pt idx="8">
                  <c:v>4324469.9369506314</c:v>
                </c:pt>
                <c:pt idx="9">
                  <c:v>4467483.6339191385</c:v>
                </c:pt>
                <c:pt idx="10">
                  <c:v>4640959.0920277955</c:v>
                </c:pt>
                <c:pt idx="11">
                  <c:v>3563376.2029690994</c:v>
                </c:pt>
                <c:pt idx="12">
                  <c:v>3571159.5607848065</c:v>
                </c:pt>
                <c:pt idx="13">
                  <c:v>4202025.4884714726</c:v>
                </c:pt>
                <c:pt idx="14">
                  <c:v>4427367.5699388506</c:v>
                </c:pt>
                <c:pt idx="15">
                  <c:v>4660125.6538484097</c:v>
                </c:pt>
                <c:pt idx="16">
                  <c:v>4911121.7763779918</c:v>
                </c:pt>
                <c:pt idx="17">
                  <c:v>5148763.7590801371</c:v>
                </c:pt>
                <c:pt idx="18">
                  <c:v>5405091.6076265071</c:v>
                </c:pt>
                <c:pt idx="19">
                  <c:v>5669730.9542568065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C-45FA-ABA6-B2CAC6F6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20464"/>
        <c:axId val="938621424"/>
      </c:lineChart>
      <c:catAx>
        <c:axId val="938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1424"/>
        <c:crosses val="autoZero"/>
        <c:auto val="1"/>
        <c:lblAlgn val="ctr"/>
        <c:lblOffset val="100"/>
        <c:noMultiLvlLbl val="0"/>
      </c:catAx>
      <c:valAx>
        <c:axId val="9386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Ahorro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Ahorro Acumulado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MP'!$C$35:$V$35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MP'!$C$43:$V$43</c:f>
              <c:numCache>
                <c:formatCode>_-"$"\ * #,##0_-;\-"$"\ * #,##0_-;_-"$"\ * "-"??_-;_-@_-</c:formatCode>
                <c:ptCount val="20"/>
                <c:pt idx="0">
                  <c:v>7254133.4174957592</c:v>
                </c:pt>
                <c:pt idx="1">
                  <c:v>26689388.065166511</c:v>
                </c:pt>
                <c:pt idx="2">
                  <c:v>45328588.270462766</c:v>
                </c:pt>
                <c:pt idx="3">
                  <c:v>64469909.726814196</c:v>
                </c:pt>
                <c:pt idx="4">
                  <c:v>84176695.8127864</c:v>
                </c:pt>
                <c:pt idx="5">
                  <c:v>104434726.67011201</c:v>
                </c:pt>
                <c:pt idx="6">
                  <c:v>125329370.57151586</c:v>
                </c:pt>
                <c:pt idx="7">
                  <c:v>146535958.20330769</c:v>
                </c:pt>
                <c:pt idx="8">
                  <c:v>168335922.10882431</c:v>
                </c:pt>
                <c:pt idx="9">
                  <c:v>190776605.33264646</c:v>
                </c:pt>
                <c:pt idx="10">
                  <c:v>213851058.10409218</c:v>
                </c:pt>
                <c:pt idx="11">
                  <c:v>238834556.1205008</c:v>
                </c:pt>
                <c:pt idx="12">
                  <c:v>264666677.00567508</c:v>
                </c:pt>
                <c:pt idx="13">
                  <c:v>290750030.37654144</c:v>
                </c:pt>
                <c:pt idx="14">
                  <c:v>317516603.03172058</c:v>
                </c:pt>
                <c:pt idx="15">
                  <c:v>344986235.8097437</c:v>
                </c:pt>
                <c:pt idx="16">
                  <c:v>373168765.21819335</c:v>
                </c:pt>
                <c:pt idx="17">
                  <c:v>402106462.17948568</c:v>
                </c:pt>
                <c:pt idx="18">
                  <c:v>431810425.11384284</c:v>
                </c:pt>
                <c:pt idx="19">
                  <c:v>462303020.33782923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C-4AE1-928B-AABCF7725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20464"/>
        <c:axId val="938621424"/>
      </c:lineChart>
      <c:catAx>
        <c:axId val="938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1424"/>
        <c:crosses val="autoZero"/>
        <c:auto val="1"/>
        <c:lblAlgn val="ctr"/>
        <c:lblOffset val="100"/>
        <c:noMultiLvlLbl val="0"/>
      </c:catAx>
      <c:valAx>
        <c:axId val="9386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Actuales vs Costos</a:t>
            </a:r>
            <a:r>
              <a:rPr lang="es-CO" baseline="0"/>
              <a:t> ESF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cliente final LP'!$A$22</c:f>
              <c:strCache>
                <c:ptCount val="1"/>
                <c:pt idx="0">
                  <c:v>Costo Actual energia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LP'!$C$35:$V$35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LP'!$C$22:$V$22</c:f>
              <c:numCache>
                <c:formatCode>_-* #,##0_-;\-* #,##0_-;_-* "-"??_-;_-@_-</c:formatCode>
                <c:ptCount val="20"/>
                <c:pt idx="0">
                  <c:v>7013466.0600000005</c:v>
                </c:pt>
                <c:pt idx="1">
                  <c:v>22396725.719999999</c:v>
                </c:pt>
                <c:pt idx="2">
                  <c:v>21878802.057840005</c:v>
                </c:pt>
                <c:pt idx="3">
                  <c:v>22535166.119575199</c:v>
                </c:pt>
                <c:pt idx="4">
                  <c:v>23211221.10316246</c:v>
                </c:pt>
                <c:pt idx="5">
                  <c:v>23907557.736257333</c:v>
                </c:pt>
                <c:pt idx="6">
                  <c:v>24624784.468345046</c:v>
                </c:pt>
                <c:pt idx="7">
                  <c:v>25363528.002395403</c:v>
                </c:pt>
                <c:pt idx="8">
                  <c:v>26124433.842467271</c:v>
                </c:pt>
                <c:pt idx="9">
                  <c:v>26908166.857741289</c:v>
                </c:pt>
                <c:pt idx="10">
                  <c:v>27715411.863473527</c:v>
                </c:pt>
                <c:pt idx="11">
                  <c:v>28546874.219377734</c:v>
                </c:pt>
                <c:pt idx="12">
                  <c:v>29403280.445959069</c:v>
                </c:pt>
                <c:pt idx="13">
                  <c:v>30285378.859337837</c:v>
                </c:pt>
                <c:pt idx="14">
                  <c:v>31193940.22511797</c:v>
                </c:pt>
                <c:pt idx="15">
                  <c:v>32129758.431871511</c:v>
                </c:pt>
                <c:pt idx="16">
                  <c:v>33093651.184827656</c:v>
                </c:pt>
                <c:pt idx="17">
                  <c:v>34086460.720372491</c:v>
                </c:pt>
                <c:pt idx="18">
                  <c:v>35109054.541983664</c:v>
                </c:pt>
                <c:pt idx="19">
                  <c:v>36162326.178243183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C-428D-A8DC-DDA6226B2E30}"/>
            </c:ext>
          </c:extLst>
        </c:ser>
        <c:ser>
          <c:idx val="1"/>
          <c:order val="1"/>
          <c:tx>
            <c:strRef>
              <c:f>'Análisis cliente final LP'!$A$36</c:f>
              <c:strCache>
                <c:ptCount val="1"/>
                <c:pt idx="0">
                  <c:v>Costo de energía con SFV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LP'!$C$35:$V$35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LP'!$C$36:$V$36</c:f>
              <c:numCache>
                <c:formatCode>_-* #,##0_-;\-* #,##0_-;_-* "-"??_-;_-@_-</c:formatCode>
                <c:ptCount val="20"/>
                <c:pt idx="0">
                  <c:v>-240667.35749575897</c:v>
                </c:pt>
                <c:pt idx="1">
                  <c:v>2531310.2741637002</c:v>
                </c:pt>
                <c:pt idx="2">
                  <c:v>2753594.1644211002</c:v>
                </c:pt>
                <c:pt idx="3">
                  <c:v>2884058.5483098263</c:v>
                </c:pt>
                <c:pt idx="4">
                  <c:v>2977652.4054461299</c:v>
                </c:pt>
                <c:pt idx="5">
                  <c:v>3100042.3598170485</c:v>
                </c:pt>
                <c:pt idx="6">
                  <c:v>3166287.9584913794</c:v>
                </c:pt>
                <c:pt idx="7">
                  <c:v>3568777.8999711145</c:v>
                </c:pt>
                <c:pt idx="8">
                  <c:v>3708339.5533248801</c:v>
                </c:pt>
                <c:pt idx="9">
                  <c:v>3825765.3131078901</c:v>
                </c:pt>
                <c:pt idx="10">
                  <c:v>3968384.1741542332</c:v>
                </c:pt>
                <c:pt idx="11">
                  <c:v>4083585.1610172754</c:v>
                </c:pt>
                <c:pt idx="12">
                  <c:v>4211736.2986771194</c:v>
                </c:pt>
                <c:pt idx="13">
                  <c:v>4865474.00192839</c:v>
                </c:pt>
                <c:pt idx="14">
                  <c:v>5116389.9106730949</c:v>
                </c:pt>
                <c:pt idx="15">
                  <c:v>5375620.5833040699</c:v>
                </c:pt>
                <c:pt idx="16">
                  <c:v>5656141.3735625492</c:v>
                </c:pt>
                <c:pt idx="17">
                  <c:v>5920004.2638697764</c:v>
                </c:pt>
                <c:pt idx="18">
                  <c:v>6205657.9938146323</c:v>
                </c:pt>
                <c:pt idx="19">
                  <c:v>6500627.708721295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C-428D-A8DC-DDA6226B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20464"/>
        <c:axId val="938621424"/>
      </c:lineChart>
      <c:catAx>
        <c:axId val="938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1424"/>
        <c:crosses val="autoZero"/>
        <c:auto val="1"/>
        <c:lblAlgn val="ctr"/>
        <c:lblOffset val="100"/>
        <c:noMultiLvlLbl val="0"/>
      </c:catAx>
      <c:valAx>
        <c:axId val="9386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Ahorro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Ahorro Acumulado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'Análisis cliente final LP'!$C$35:$V$35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cat>
          <c:val>
            <c:numRef>
              <c:f>'Análisis cliente final LP'!$C$43:$V$43</c:f>
              <c:numCache>
                <c:formatCode>_-"$"\ * #,##0_-;\-"$"\ * #,##0_-;_-"$"\ * "-"??_-;_-@_-</c:formatCode>
                <c:ptCount val="20"/>
                <c:pt idx="0">
                  <c:v>7254133.4174957592</c:v>
                </c:pt>
                <c:pt idx="1">
                  <c:v>27119548.863332056</c:v>
                </c:pt>
                <c:pt idx="2">
                  <c:v>46244756.756750956</c:v>
                </c:pt>
                <c:pt idx="3">
                  <c:v>65895864.328016333</c:v>
                </c:pt>
                <c:pt idx="4">
                  <c:v>86129433.025732666</c:v>
                </c:pt>
                <c:pt idx="5">
                  <c:v>106936948.40217295</c:v>
                </c:pt>
                <c:pt idx="6">
                  <c:v>128395444.91202663</c:v>
                </c:pt>
                <c:pt idx="7">
                  <c:v>150190195.01445091</c:v>
                </c:pt>
                <c:pt idx="8">
                  <c:v>172606289.30359331</c:v>
                </c:pt>
                <c:pt idx="9">
                  <c:v>195688690.8482267</c:v>
                </c:pt>
                <c:pt idx="10">
                  <c:v>219435718.53754598</c:v>
                </c:pt>
                <c:pt idx="11">
                  <c:v>243899007.59590644</c:v>
                </c:pt>
                <c:pt idx="12">
                  <c:v>269090551.74318838</c:v>
                </c:pt>
                <c:pt idx="13">
                  <c:v>294510456.6005978</c:v>
                </c:pt>
                <c:pt idx="14">
                  <c:v>320588006.9150427</c:v>
                </c:pt>
                <c:pt idx="15">
                  <c:v>347342144.76361012</c:v>
                </c:pt>
                <c:pt idx="16">
                  <c:v>374779654.57487524</c:v>
                </c:pt>
                <c:pt idx="17">
                  <c:v>402946111.03137797</c:v>
                </c:pt>
                <c:pt idx="18">
                  <c:v>431849507.57954699</c:v>
                </c:pt>
                <c:pt idx="19">
                  <c:v>461511206.04906887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0-498C-9699-751D113A8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20464"/>
        <c:axId val="938621424"/>
      </c:lineChart>
      <c:catAx>
        <c:axId val="938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1424"/>
        <c:crosses val="autoZero"/>
        <c:auto val="1"/>
        <c:lblAlgn val="ctr"/>
        <c:lblOffset val="100"/>
        <c:noMultiLvlLbl val="0"/>
      </c:catAx>
      <c:valAx>
        <c:axId val="9386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inv cap propio'!$B$16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inv cap propio'!$D$15:$I$15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'Anál inv cap propio'!$D$16:$I$16</c:f>
              <c:numCache>
                <c:formatCode>_-"$"\ * #,##0_-;\-"$"\ * #,##0_-;_-"$"\ * "-"??_-;_-@_-</c:formatCode>
                <c:ptCount val="6"/>
                <c:pt idx="0">
                  <c:v>2208928.8812356014</c:v>
                </c:pt>
                <c:pt idx="1">
                  <c:v>2991825.8719446193</c:v>
                </c:pt>
                <c:pt idx="2">
                  <c:v>3078428.7211848274</c:v>
                </c:pt>
                <c:pt idx="3">
                  <c:v>3176609.8408549363</c:v>
                </c:pt>
                <c:pt idx="4">
                  <c:v>3254957.2158162124</c:v>
                </c:pt>
                <c:pt idx="5">
                  <c:v>3335384.9540633587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C-4014-924F-16C08AA1C0E4}"/>
            </c:ext>
          </c:extLst>
        </c:ser>
        <c:ser>
          <c:idx val="1"/>
          <c:order val="1"/>
          <c:tx>
            <c:strRef>
              <c:f>'Anál inv cap propio'!$B$17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inv cap propio'!$D$15:$I$15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'Anál inv cap propio'!$D$17:$I$17</c:f>
              <c:numCache>
                <c:formatCode>_-"$"\ * #,##0_-;\-"$"\ * #,##0_-;_-"$"\ * "-"??_-;_-@_-</c:formatCode>
                <c:ptCount val="6"/>
                <c:pt idx="0">
                  <c:v>0</c:v>
                </c:pt>
                <c:pt idx="1">
                  <c:v>50000</c:v>
                </c:pt>
                <c:pt idx="2">
                  <c:v>1127000</c:v>
                </c:pt>
                <c:pt idx="3">
                  <c:v>1142270</c:v>
                </c:pt>
                <c:pt idx="4">
                  <c:v>1151818.1000000003</c:v>
                </c:pt>
                <c:pt idx="5">
                  <c:v>1594025.7462494061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C-4014-924F-16C08AA1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mensual (MCOP)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inv cap propio'!$O$21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solidFill>
                <a:srgbClr val="56C9B6"/>
              </a:solidFill>
            </a:ln>
            <a:effectLst/>
            <a:sp3d>
              <a:contourClr>
                <a:srgbClr val="56C9B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cap propio'!$P$21</c:f>
              <c:numCache>
                <c:formatCode>_("$"* #,##0.00_);_("$"* \(#,##0.00\);_("$"* "-"??_);_(@_)</c:formatCode>
                <c:ptCount val="1"/>
                <c:pt idx="0">
                  <c:v>0.22089288812356014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'Anál inv cap propio'!$P$20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2025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F91-4BE1-A710-D06F9ED6347F}"/>
            </c:ext>
          </c:extLst>
        </c:ser>
        <c:ser>
          <c:idx val="1"/>
          <c:order val="1"/>
          <c:tx>
            <c:strRef>
              <c:f>'Anál inv cap propio'!$O$22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cap propio'!$P$22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'Anál inv cap propio'!$P$20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2025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F91-4BE1-A710-D06F9ED6347F}"/>
            </c:ext>
          </c:extLst>
        </c:ser>
        <c:ser>
          <c:idx val="2"/>
          <c:order val="2"/>
          <c:tx>
            <c:strRef>
              <c:f>'Anál inv cap propio'!$O$23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15C1D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F91-4BE1-A710-D06F9ED6347F}"/>
              </c:ext>
            </c:extLst>
          </c:dPt>
          <c:dLbls>
            <c:dLbl>
              <c:idx val="0"/>
              <c:layout>
                <c:manualLayout>
                  <c:x val="4.8807542983915535E-2"/>
                  <c:y val="-0.25614641548086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91-4BE1-A710-D06F9ED634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cap propio'!$P$23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'Anál inv cap propio'!$P$20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2025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6F91-4BE1-A710-D06F9ED634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 durante</a:t>
            </a:r>
            <a:r>
              <a:rPr lang="es-CO" baseline="0"/>
              <a:t> la vida útil de la planta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inv cap propio'!$B$49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inv cap propio'!$D$48:$W$48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cap propio'!$D$49:$W$49</c:f>
              <c:numCache>
                <c:formatCode>0</c:formatCode>
                <c:ptCount val="20"/>
                <c:pt idx="0">
                  <c:v>2.2089288812356012</c:v>
                </c:pt>
                <c:pt idx="1">
                  <c:v>2.9918258719446191</c:v>
                </c:pt>
                <c:pt idx="2">
                  <c:v>3.0784287211848276</c:v>
                </c:pt>
                <c:pt idx="3">
                  <c:v>3.1766098408549364</c:v>
                </c:pt>
                <c:pt idx="4">
                  <c:v>3.2549572158162126</c:v>
                </c:pt>
                <c:pt idx="5">
                  <c:v>3.3353849540633589</c:v>
                </c:pt>
                <c:pt idx="6">
                  <c:v>3.4177088951110997</c:v>
                </c:pt>
                <c:pt idx="7">
                  <c:v>3.5120166913353095</c:v>
                </c:pt>
                <c:pt idx="8">
                  <c:v>3.5882117110725136</c:v>
                </c:pt>
                <c:pt idx="9">
                  <c:v>3.6890974915115464</c:v>
                </c:pt>
                <c:pt idx="10">
                  <c:v>3.7596368037775472</c:v>
                </c:pt>
                <c:pt idx="11">
                  <c:v>3.8420420982474059</c:v>
                </c:pt>
                <c:pt idx="12">
                  <c:v>3.9034431861689241</c:v>
                </c:pt>
                <c:pt idx="13">
                  <c:v>3.976691399790274</c:v>
                </c:pt>
                <c:pt idx="14">
                  <c:v>4.0508214073613527</c:v>
                </c:pt>
                <c:pt idx="15">
                  <c:v>4.1376185413075266</c:v>
                </c:pt>
                <c:pt idx="16">
                  <c:v>4.2016731667717231</c:v>
                </c:pt>
                <c:pt idx="17">
                  <c:v>4.2783640806614383</c:v>
                </c:pt>
                <c:pt idx="18">
                  <c:v>4.3558749435344417</c:v>
                </c:pt>
                <c:pt idx="19">
                  <c:v>4.4551911474344195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F-4802-9E72-20B959E2B057}"/>
            </c:ext>
          </c:extLst>
        </c:ser>
        <c:ser>
          <c:idx val="1"/>
          <c:order val="1"/>
          <c:tx>
            <c:strRef>
              <c:f>'Anál inv cap propio'!$B$50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inv cap propio'!$D$48:$W$48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cap propio'!$D$50:$W$50</c:f>
              <c:numCache>
                <c:formatCode>0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1.127</c:v>
                </c:pt>
                <c:pt idx="3">
                  <c:v>1.1422699999999999</c:v>
                </c:pt>
                <c:pt idx="4">
                  <c:v>1.1518181000000003</c:v>
                </c:pt>
                <c:pt idx="5">
                  <c:v>1.5940257462494061</c:v>
                </c:pt>
                <c:pt idx="6">
                  <c:v>1.9352295874560941</c:v>
                </c:pt>
                <c:pt idx="7">
                  <c:v>1.9685664750797762</c:v>
                </c:pt>
                <c:pt idx="8">
                  <c:v>2.0029034693321708</c:v>
                </c:pt>
                <c:pt idx="9">
                  <c:v>2.0382705734121354</c:v>
                </c:pt>
                <c:pt idx="10">
                  <c:v>2.0746986906145</c:v>
                </c:pt>
                <c:pt idx="11">
                  <c:v>2.1122196513329343</c:v>
                </c:pt>
                <c:pt idx="12">
                  <c:v>2.1508662408729227</c:v>
                </c:pt>
                <c:pt idx="13">
                  <c:v>2.1906722280991104</c:v>
                </c:pt>
                <c:pt idx="14">
                  <c:v>2.231672394942084</c:v>
                </c:pt>
                <c:pt idx="15">
                  <c:v>2.2739025667903459</c:v>
                </c:pt>
                <c:pt idx="16">
                  <c:v>2.3173996437940563</c:v>
                </c:pt>
                <c:pt idx="17">
                  <c:v>2.3622016331078783</c:v>
                </c:pt>
                <c:pt idx="18">
                  <c:v>2.4083476821011147</c:v>
                </c:pt>
                <c:pt idx="19">
                  <c:v>2.4675227547030287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F-4802-9E72-20B959E2B057}"/>
            </c:ext>
          </c:extLst>
        </c:ser>
        <c:ser>
          <c:idx val="2"/>
          <c:order val="2"/>
          <c:tx>
            <c:strRef>
              <c:f>'Anál inv cap propio'!$B$51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'Anál inv cap propio'!$D$48:$W$48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cap propio'!$D$51:$W$51</c:f>
              <c:numCache>
                <c:formatCode>0</c:formatCode>
                <c:ptCount val="20"/>
                <c:pt idx="0">
                  <c:v>0</c:v>
                </c:pt>
                <c:pt idx="1">
                  <c:v>2.9418258719446193</c:v>
                </c:pt>
                <c:pt idx="2">
                  <c:v>1.9514287211848276</c:v>
                </c:pt>
                <c:pt idx="3">
                  <c:v>2.0343398408549365</c:v>
                </c:pt>
                <c:pt idx="4">
                  <c:v>2.1031391158162123</c:v>
                </c:pt>
                <c:pt idx="5">
                  <c:v>1.7413592078139528</c:v>
                </c:pt>
                <c:pt idx="6">
                  <c:v>1.4824793076550056</c:v>
                </c:pt>
                <c:pt idx="7">
                  <c:v>1.5434502162555332</c:v>
                </c:pt>
                <c:pt idx="8">
                  <c:v>1.5853082417403428</c:v>
                </c:pt>
                <c:pt idx="9">
                  <c:v>1.6508269180994111</c:v>
                </c:pt>
                <c:pt idx="10">
                  <c:v>1.6849381131630472</c:v>
                </c:pt>
                <c:pt idx="11">
                  <c:v>1.7298224469144716</c:v>
                </c:pt>
                <c:pt idx="12">
                  <c:v>1.7525769452960014</c:v>
                </c:pt>
                <c:pt idx="13">
                  <c:v>1.7860191716911635</c:v>
                </c:pt>
                <c:pt idx="14">
                  <c:v>1.8191490124192686</c:v>
                </c:pt>
                <c:pt idx="15">
                  <c:v>1.8637159745171807</c:v>
                </c:pt>
                <c:pt idx="16">
                  <c:v>1.8842735229776668</c:v>
                </c:pt>
                <c:pt idx="17">
                  <c:v>1.9161624475535599</c:v>
                </c:pt>
                <c:pt idx="18">
                  <c:v>1.947527261433327</c:v>
                </c:pt>
                <c:pt idx="19">
                  <c:v>1.9876683927313907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F-4802-9E72-20B959E2B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  <a:r>
              <a:rPr lang="es-CO" baseline="0"/>
              <a:t> mensuales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inv cap propio'!$C$54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strRef>
              <c:f>'Anál inv cap propio'!$F$53:$Q$53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cap propio'!$F$54:$Q$54</c:f>
              <c:numCache>
                <c:formatCode>0.00</c:formatCode>
                <c:ptCount val="12"/>
                <c:pt idx="0">
                  <c:v>0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9-4990-9230-3D7D91C0F66B}"/>
            </c:ext>
          </c:extLst>
        </c:ser>
        <c:ser>
          <c:idx val="1"/>
          <c:order val="1"/>
          <c:tx>
            <c:strRef>
              <c:f>'Anál inv cap propio'!$C$55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strRef>
              <c:f>'Anál inv cap propio'!$F$53:$Q$53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cap propio'!$F$55:$Q$55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9-4990-9230-3D7D91C0F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lineChart>
        <c:grouping val="standard"/>
        <c:varyColors val="0"/>
        <c:ser>
          <c:idx val="2"/>
          <c:order val="2"/>
          <c:tx>
            <c:strRef>
              <c:f>'Anál inv cap propio'!$C$56</c:f>
              <c:strCache>
                <c:ptCount val="1"/>
                <c:pt idx="0">
                  <c:v>Flujo de caja libre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'Anál inv cap propio'!$F$53:$Q$53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cap propio'!$F$56:$Q$56</c:f>
              <c:numCache>
                <c:formatCode>0.00</c:formatCode>
                <c:ptCount val="12"/>
                <c:pt idx="0">
                  <c:v>0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99-4990-9230-3D7D91C0F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06671"/>
        <c:axId val="308899471"/>
      </c:line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valAx>
        <c:axId val="3088994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8906671"/>
        <c:crosses val="max"/>
        <c:crossBetween val="between"/>
      </c:valAx>
      <c:catAx>
        <c:axId val="308906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899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mensual (MCOP) 2026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inv cap propio'!$O$21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cap propio'!$Q$20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inv cap propio'!$Q$21</c:f>
              <c:numCache>
                <c:formatCode>_("$"* #,##0.00_);_("$"* \(#,##0.00\);_("$"* "-"??_);_(@_)</c:formatCode>
                <c:ptCount val="1"/>
                <c:pt idx="0">
                  <c:v>0.24931882266205163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C-4A94-B4A5-AD65AC72F0E6}"/>
            </c:ext>
          </c:extLst>
        </c:ser>
        <c:ser>
          <c:idx val="1"/>
          <c:order val="1"/>
          <c:tx>
            <c:strRef>
              <c:f>'Anál inv cap propio'!$O$22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cap propio'!$Q$20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inv cap propio'!$Q$22</c:f>
              <c:numCache>
                <c:formatCode>_("$"* #,##0.00_);_("$"* \(#,##0.00\);_("$"* "-"??_);_(@_)</c:formatCode>
                <c:ptCount val="1"/>
                <c:pt idx="0">
                  <c:v>4.1666666666666666E-3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C-4A94-B4A5-AD65AC72F0E6}"/>
            </c:ext>
          </c:extLst>
        </c:ser>
        <c:ser>
          <c:idx val="2"/>
          <c:order val="2"/>
          <c:tx>
            <c:strRef>
              <c:f>'Anál inv cap propio'!$O$23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cap propio'!$Q$20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inv cap propio'!$Q$23</c:f>
              <c:numCache>
                <c:formatCode>_("$"* #,##0.00_);_("$"* \(#,##0.00\);_("$"* "-"??_);_(@_)</c:formatCode>
                <c:ptCount val="1"/>
                <c:pt idx="0">
                  <c:v>0.24515215599538495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C-4A94-B4A5-AD65AC72F0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 1er año vs cuota</a:t>
            </a:r>
            <a:r>
              <a:rPr lang="es-CO" baseline="0"/>
              <a:t> banco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 inv cap propio'!$A$8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15C1DA"/>
            </a:solidFill>
            <a:ln>
              <a:solidFill>
                <a:srgbClr val="15C1DA"/>
              </a:solidFill>
            </a:ln>
            <a:effectLst/>
          </c:spPr>
          <c:invertIfNegative val="0"/>
          <c:cat>
            <c:numRef>
              <c:f>'Anál inv cap propio'!$J$3:$U$3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'Anál inv cap propio'!$J$8:$U$8</c:f>
              <c:numCache>
                <c:formatCode>_-"$"\ * #,##0_-;\-"$"\ * #,##0_-;_-"$"\ * "-"??_-;_-@_-</c:formatCode>
                <c:ptCount val="12"/>
                <c:pt idx="0">
                  <c:v>0</c:v>
                </c:pt>
                <c:pt idx="1">
                  <c:v>278021.6345918703</c:v>
                </c:pt>
                <c:pt idx="2">
                  <c:v>252552.48776191767</c:v>
                </c:pt>
                <c:pt idx="3">
                  <c:v>244867.4362589386</c:v>
                </c:pt>
                <c:pt idx="4">
                  <c:v>246135.54614909223</c:v>
                </c:pt>
                <c:pt idx="5">
                  <c:v>261918.16683016066</c:v>
                </c:pt>
                <c:pt idx="6">
                  <c:v>258074.98628871058</c:v>
                </c:pt>
                <c:pt idx="7">
                  <c:v>241516.47068493298</c:v>
                </c:pt>
                <c:pt idx="8">
                  <c:v>217744.71900205518</c:v>
                </c:pt>
                <c:pt idx="9">
                  <c:v>208097.43366792329</c:v>
                </c:pt>
                <c:pt idx="10">
                  <c:v>219977.06364712282</c:v>
                </c:pt>
                <c:pt idx="11">
                  <c:v>260327.03479212502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4-4C3F-95CD-0D9A4456F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00286464"/>
        <c:axId val="1100285504"/>
      </c:barChart>
      <c:lineChart>
        <c:grouping val="standard"/>
        <c:varyColors val="0"/>
        <c:ser>
          <c:idx val="1"/>
          <c:order val="1"/>
          <c:tx>
            <c:strRef>
              <c:f>'Anál inv cap propio'!$A$10</c:f>
              <c:strCache>
                <c:ptCount val="1"/>
                <c:pt idx="0">
                  <c:v>Cuota Banco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'Anál inv cap propio'!$J$3:$BQ$3</c:f>
              <c:numCache>
                <c:formatCode>mmm\-yy</c:formatCode>
                <c:ptCount val="60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  <c:pt idx="22">
                  <c:v>46388</c:v>
                </c:pt>
                <c:pt idx="23">
                  <c:v>46419</c:v>
                </c:pt>
                <c:pt idx="24">
                  <c:v>46447</c:v>
                </c:pt>
                <c:pt idx="25">
                  <c:v>46478</c:v>
                </c:pt>
                <c:pt idx="26">
                  <c:v>46508</c:v>
                </c:pt>
                <c:pt idx="27">
                  <c:v>46539</c:v>
                </c:pt>
                <c:pt idx="28">
                  <c:v>46569</c:v>
                </c:pt>
                <c:pt idx="29">
                  <c:v>46600</c:v>
                </c:pt>
                <c:pt idx="30">
                  <c:v>46631</c:v>
                </c:pt>
                <c:pt idx="31">
                  <c:v>46661</c:v>
                </c:pt>
                <c:pt idx="32">
                  <c:v>46692</c:v>
                </c:pt>
                <c:pt idx="33">
                  <c:v>46722</c:v>
                </c:pt>
                <c:pt idx="34">
                  <c:v>46753</c:v>
                </c:pt>
                <c:pt idx="35">
                  <c:v>46784</c:v>
                </c:pt>
                <c:pt idx="36">
                  <c:v>46813</c:v>
                </c:pt>
                <c:pt idx="37">
                  <c:v>46844</c:v>
                </c:pt>
                <c:pt idx="38">
                  <c:v>46874</c:v>
                </c:pt>
                <c:pt idx="39">
                  <c:v>46905</c:v>
                </c:pt>
                <c:pt idx="40">
                  <c:v>46935</c:v>
                </c:pt>
                <c:pt idx="41">
                  <c:v>46966</c:v>
                </c:pt>
                <c:pt idx="42">
                  <c:v>46997</c:v>
                </c:pt>
                <c:pt idx="43">
                  <c:v>47027</c:v>
                </c:pt>
                <c:pt idx="44">
                  <c:v>47058</c:v>
                </c:pt>
                <c:pt idx="45">
                  <c:v>47088</c:v>
                </c:pt>
                <c:pt idx="46">
                  <c:v>47119</c:v>
                </c:pt>
                <c:pt idx="47">
                  <c:v>47150</c:v>
                </c:pt>
                <c:pt idx="48">
                  <c:v>47178</c:v>
                </c:pt>
                <c:pt idx="49">
                  <c:v>47209</c:v>
                </c:pt>
                <c:pt idx="50">
                  <c:v>47239</c:v>
                </c:pt>
                <c:pt idx="51">
                  <c:v>47270</c:v>
                </c:pt>
                <c:pt idx="52">
                  <c:v>47300</c:v>
                </c:pt>
                <c:pt idx="53">
                  <c:v>47331</c:v>
                </c:pt>
                <c:pt idx="54">
                  <c:v>47362</c:v>
                </c:pt>
                <c:pt idx="55">
                  <c:v>47392</c:v>
                </c:pt>
                <c:pt idx="56">
                  <c:v>47423</c:v>
                </c:pt>
                <c:pt idx="57">
                  <c:v>47453</c:v>
                </c:pt>
                <c:pt idx="58">
                  <c:v>47484</c:v>
                </c:pt>
                <c:pt idx="59">
                  <c:v>47515</c:v>
                </c:pt>
              </c:numCache>
            </c:numRef>
          </c:cat>
          <c:val>
            <c:numRef>
              <c:f>'Anál inv cap propio'!$J$10:$BQ$10</c:f>
              <c:numCache>
                <c:formatCode>_-"$"\ * #,##0_-;\-"$"\ * #,##0_-;_-"$"\ * "-"??_-;_-@_-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4-4C3F-95CD-0D9A4456F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86464"/>
        <c:axId val="1100285504"/>
      </c:lineChart>
      <c:dateAx>
        <c:axId val="11002864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5504"/>
        <c:crosses val="autoZero"/>
        <c:auto val="1"/>
        <c:lblOffset val="100"/>
        <c:baseTimeUnit val="months"/>
      </c:dateAx>
      <c:valAx>
        <c:axId val="11002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5C1DA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operacionales mensuales del 1er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 inv cap propio'!$F$53:$Q$53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cap propio'!$F$54:$Q$54</c:f>
              <c:numCache>
                <c:formatCode>0.00</c:formatCode>
                <c:ptCount val="12"/>
                <c:pt idx="0">
                  <c:v>0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B-499E-9295-26F61451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operacionales anuales</a:t>
            </a:r>
            <a:r>
              <a:rPr lang="es-CO" baseline="0"/>
              <a:t> durante la vida util de la planta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'Anál inv cap propio'!$B$49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cap propio'!$D$48:$W$48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cap propio'!$D$49:$W$49</c:f>
              <c:numCache>
                <c:formatCode>0</c:formatCode>
                <c:ptCount val="20"/>
                <c:pt idx="0">
                  <c:v>2.2089288812356012</c:v>
                </c:pt>
                <c:pt idx="1">
                  <c:v>2.9918258719446191</c:v>
                </c:pt>
                <c:pt idx="2">
                  <c:v>3.0784287211848276</c:v>
                </c:pt>
                <c:pt idx="3">
                  <c:v>3.1766098408549364</c:v>
                </c:pt>
                <c:pt idx="4">
                  <c:v>3.2549572158162126</c:v>
                </c:pt>
                <c:pt idx="5">
                  <c:v>3.3353849540633589</c:v>
                </c:pt>
                <c:pt idx="6">
                  <c:v>3.4177088951110997</c:v>
                </c:pt>
                <c:pt idx="7">
                  <c:v>3.5120166913353095</c:v>
                </c:pt>
                <c:pt idx="8">
                  <c:v>3.5882117110725136</c:v>
                </c:pt>
                <c:pt idx="9">
                  <c:v>3.6890974915115464</c:v>
                </c:pt>
                <c:pt idx="10">
                  <c:v>3.7596368037775472</c:v>
                </c:pt>
                <c:pt idx="11">
                  <c:v>3.8420420982474059</c:v>
                </c:pt>
                <c:pt idx="12">
                  <c:v>3.9034431861689241</c:v>
                </c:pt>
                <c:pt idx="13">
                  <c:v>3.976691399790274</c:v>
                </c:pt>
                <c:pt idx="14">
                  <c:v>4.0508214073613527</c:v>
                </c:pt>
                <c:pt idx="15">
                  <c:v>4.1376185413075266</c:v>
                </c:pt>
                <c:pt idx="16">
                  <c:v>4.2016731667717231</c:v>
                </c:pt>
                <c:pt idx="17">
                  <c:v>4.2783640806614383</c:v>
                </c:pt>
                <c:pt idx="18">
                  <c:v>4.3558749435344417</c:v>
                </c:pt>
                <c:pt idx="19">
                  <c:v>4.4551911474344195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2-472C-9264-9B0AF60F5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</a:t>
            </a:r>
            <a:r>
              <a:rPr lang="es-CO" baseline="0"/>
              <a:t> </a:t>
            </a:r>
            <a:r>
              <a:rPr lang="es-CO"/>
              <a:t>operacionales mensuales del 1er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 inv cap propio'!$F$53:$Q$53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cap propio'!$F$55:$Q$55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E-42CC-AF13-557EA68A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operacionales anuales</a:t>
            </a:r>
            <a:r>
              <a:rPr lang="es-CO" baseline="0"/>
              <a:t> durante la vida util de la planta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'Anál inv cap propio'!$B$50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146647"/>
            </a:solidFill>
            <a:ln>
              <a:noFill/>
            </a:ln>
            <a:effectLst/>
            <a:sp3d/>
          </c:spPr>
          <c:invertIfNegative val="0"/>
          <c:cat>
            <c:numRef>
              <c:f>'Anál inv cap propio'!$D$48:$W$48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cap propio'!$D$50:$W$50</c:f>
              <c:numCache>
                <c:formatCode>0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1.127</c:v>
                </c:pt>
                <c:pt idx="3">
                  <c:v>1.1422699999999999</c:v>
                </c:pt>
                <c:pt idx="4">
                  <c:v>1.1518181000000003</c:v>
                </c:pt>
                <c:pt idx="5">
                  <c:v>1.5940257462494061</c:v>
                </c:pt>
                <c:pt idx="6">
                  <c:v>1.9352295874560941</c:v>
                </c:pt>
                <c:pt idx="7">
                  <c:v>1.9685664750797762</c:v>
                </c:pt>
                <c:pt idx="8">
                  <c:v>2.0029034693321708</c:v>
                </c:pt>
                <c:pt idx="9">
                  <c:v>2.0382705734121354</c:v>
                </c:pt>
                <c:pt idx="10">
                  <c:v>2.0746986906145</c:v>
                </c:pt>
                <c:pt idx="11">
                  <c:v>2.1122196513329343</c:v>
                </c:pt>
                <c:pt idx="12">
                  <c:v>2.1508662408729227</c:v>
                </c:pt>
                <c:pt idx="13">
                  <c:v>2.1906722280991104</c:v>
                </c:pt>
                <c:pt idx="14">
                  <c:v>2.231672394942084</c:v>
                </c:pt>
                <c:pt idx="15">
                  <c:v>2.2739025667903459</c:v>
                </c:pt>
                <c:pt idx="16">
                  <c:v>2.3173996437940563</c:v>
                </c:pt>
                <c:pt idx="17">
                  <c:v>2.3622016331078783</c:v>
                </c:pt>
                <c:pt idx="18">
                  <c:v>2.4083476821011147</c:v>
                </c:pt>
                <c:pt idx="19">
                  <c:v>2.4675227547030287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7-44CF-BB7E-127CE37D3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Estructura de costos de los 5 primeros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EEDC6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DDF-433A-9AFC-6FC331B3E1D3}"/>
              </c:ext>
            </c:extLst>
          </c:dPt>
          <c:dPt>
            <c:idx val="1"/>
            <c:bubble3D val="0"/>
            <c:spPr>
              <a:solidFill>
                <a:srgbClr val="15C1D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DDF-433A-9AFC-6FC331B3E1D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DDF-433A-9AFC-6FC331B3E1D3}"/>
              </c:ext>
            </c:extLst>
          </c:dPt>
          <c:dLbls>
            <c:dLbl>
              <c:idx val="0"/>
              <c:layout>
                <c:manualLayout>
                  <c:x val="5.5469816272965877E-2"/>
                  <c:y val="-0.140017133275007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DF-433A-9AFC-6FC331B3E1D3}"/>
                </c:ext>
              </c:extLst>
            </c:dLbl>
            <c:dLbl>
              <c:idx val="1"/>
              <c:layout>
                <c:manualLayout>
                  <c:x val="-0.11961484821275051"/>
                  <c:y val="-4.76793210870603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DF-433A-9AFC-6FC331B3E1D3}"/>
                </c:ext>
              </c:extLst>
            </c:dLbl>
            <c:dLbl>
              <c:idx val="2"/>
              <c:layout>
                <c:manualLayout>
                  <c:x val="-8.4777780495691527E-3"/>
                  <c:y val="-8.77714735509379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DF-433A-9AFC-6FC331B3E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 inv cap propio'!$B$120:$B$122</c:f>
              <c:strCache>
                <c:ptCount val="3"/>
                <c:pt idx="0">
                  <c:v>Capital</c:v>
                </c:pt>
                <c:pt idx="1">
                  <c:v>Intereses y seguros</c:v>
                </c:pt>
                <c:pt idx="2">
                  <c:v>Operación y Mtto</c:v>
                </c:pt>
              </c:strCache>
            </c:strRef>
          </c:cat>
          <c:val>
            <c:numRef>
              <c:f>'Anál inv cap propio'!$C$120:$C$122</c:f>
              <c:numCache>
                <c:formatCode>_("$"* #,##0.00_);_("$"* \(#,##0.00\);_("$"* "-"??_);_(@_)</c:formatCode>
                <c:ptCount val="3"/>
                <c:pt idx="0">
                  <c:v>0.82356781571315429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DF-433A-9AFC-6FC331B3E1D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Flujo de caja acumulado</a:t>
            </a:r>
          </a:p>
        </c:rich>
      </c:tx>
      <c:layout>
        <c:manualLayout>
          <c:xMode val="edge"/>
          <c:yMode val="edge"/>
          <c:x val="0.40834254143646409"/>
          <c:y val="1.5896674121622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3664825046040518E-3"/>
                  <c:y val="0.147044235625009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C4-4EA6-BD3A-3F5151ACBE3E}"/>
                </c:ext>
              </c:extLst>
            </c:dLbl>
            <c:dLbl>
              <c:idx val="1"/>
              <c:layout>
                <c:manualLayout>
                  <c:x val="0"/>
                  <c:y val="-4.3715853834462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C4-4EA6-BD3A-3F5151ACBE3E}"/>
                </c:ext>
              </c:extLst>
            </c:dLbl>
            <c:dLbl>
              <c:idx val="2"/>
              <c:layout>
                <c:manualLayout>
                  <c:x val="-3.3762654783699426E-17"/>
                  <c:y val="0.14307006709460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C4-4EA6-BD3A-3F5151ACB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cap propio'!$D$52:$W$52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4-4EA6-BD3A-3F5151ACB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1206527"/>
        <c:axId val="491207487"/>
        <c:axId val="0"/>
      </c:bar3DChart>
      <c:catAx>
        <c:axId val="491206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207487"/>
        <c:crosses val="autoZero"/>
        <c:auto val="1"/>
        <c:lblAlgn val="ctr"/>
        <c:lblOffset val="100"/>
        <c:noMultiLvlLbl val="0"/>
      </c:catAx>
      <c:valAx>
        <c:axId val="49120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20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inv CP'!$B$16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inv CP'!$D$15:$I$15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'Anál inv CP'!$D$16:$I$16</c:f>
              <c:numCache>
                <c:formatCode>_-"$"\ * #,##0_-;\-"$"\ * #,##0_-;_-"$"\ * "-"??_-;_-@_-</c:formatCode>
                <c:ptCount val="6"/>
                <c:pt idx="0">
                  <c:v>2208928.8812356014</c:v>
                </c:pt>
                <c:pt idx="1">
                  <c:v>2991825.8719446193</c:v>
                </c:pt>
                <c:pt idx="2">
                  <c:v>3078428.7211848274</c:v>
                </c:pt>
                <c:pt idx="3">
                  <c:v>3176609.8408549363</c:v>
                </c:pt>
                <c:pt idx="4">
                  <c:v>3254957.2158162124</c:v>
                </c:pt>
                <c:pt idx="5">
                  <c:v>3335384.9540633587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1-4E53-A3B8-07AB51860BC1}"/>
            </c:ext>
          </c:extLst>
        </c:ser>
        <c:ser>
          <c:idx val="1"/>
          <c:order val="1"/>
          <c:tx>
            <c:strRef>
              <c:f>'Anál inv CP'!$B$17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inv CP'!$D$15:$I$15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'Anál inv CP'!$D$17:$I$17</c:f>
              <c:numCache>
                <c:formatCode>_-"$"\ * #,##0_-;\-"$"\ * #,##0_-;_-"$"\ * "-"??_-;_-@_-</c:formatCode>
                <c:ptCount val="6"/>
                <c:pt idx="0">
                  <c:v>0</c:v>
                </c:pt>
                <c:pt idx="1">
                  <c:v>3063804.7833785689</c:v>
                </c:pt>
                <c:pt idx="2">
                  <c:v>19163994.884957872</c:v>
                </c:pt>
                <c:pt idx="3">
                  <c:v>19085032.395703796</c:v>
                </c:pt>
                <c:pt idx="4">
                  <c:v>18973893.972676821</c:v>
                </c:pt>
                <c:pt idx="5">
                  <c:v>19261534.579939608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1-4E53-A3B8-07AB5186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mensual (MCOP)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inv CP'!$O$21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solidFill>
                <a:srgbClr val="56C9B6"/>
              </a:solidFill>
            </a:ln>
            <a:effectLst/>
            <a:sp3d>
              <a:contourClr>
                <a:srgbClr val="56C9B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CP'!$P$21</c:f>
              <c:numCache>
                <c:formatCode>_("$"* #,##0.00_);_("$"* \(#,##0.00\);_("$"* "-"??_);_(@_)</c:formatCode>
                <c:ptCount val="1"/>
                <c:pt idx="0">
                  <c:v>0.22089288812356014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'Anál inv CP'!$P$20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2025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388-4140-88F2-537529082D51}"/>
            </c:ext>
          </c:extLst>
        </c:ser>
        <c:ser>
          <c:idx val="1"/>
          <c:order val="1"/>
          <c:tx>
            <c:strRef>
              <c:f>'Anál inv CP'!$O$22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CP'!$P$22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'Anál inv CP'!$P$20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2025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388-4140-88F2-537529082D51}"/>
            </c:ext>
          </c:extLst>
        </c:ser>
        <c:ser>
          <c:idx val="2"/>
          <c:order val="2"/>
          <c:tx>
            <c:strRef>
              <c:f>'Anál inv CP'!$O$23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15C1D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3A8-4714-88CF-6AF117EA4F5A}"/>
              </c:ext>
            </c:extLst>
          </c:dPt>
          <c:dLbls>
            <c:dLbl>
              <c:idx val="0"/>
              <c:layout>
                <c:manualLayout>
                  <c:x val="4.8807542983915535E-2"/>
                  <c:y val="-0.25614641548086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A8-4714-88CF-6AF117EA4F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CP'!$P$23</c:f>
              <c:numCache>
                <c:formatCode>_("$"* #,##0.00_);_("$"* \(#,##0.00\);_("$"* "-"??_);_(@_)</c:formatCode>
                <c:ptCount val="1"/>
                <c:pt idx="0">
                  <c:v>0.22089288812356014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'Anál inv CP'!$P$20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2025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3A8-4714-88CF-6AF117EA4F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 durante</a:t>
            </a:r>
            <a:r>
              <a:rPr lang="es-CO" baseline="0"/>
              <a:t> la vida útil de la planta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inv CP'!$B$49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inv CP'!$D$48:$W$48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CP'!$D$49:$W$49</c:f>
              <c:numCache>
                <c:formatCode>0</c:formatCode>
                <c:ptCount val="20"/>
                <c:pt idx="0">
                  <c:v>2.2089288812356012</c:v>
                </c:pt>
                <c:pt idx="1">
                  <c:v>2.9918258719446191</c:v>
                </c:pt>
                <c:pt idx="2">
                  <c:v>3.0784287211848276</c:v>
                </c:pt>
                <c:pt idx="3">
                  <c:v>3.1766098408549364</c:v>
                </c:pt>
                <c:pt idx="4">
                  <c:v>3.2549572158162126</c:v>
                </c:pt>
                <c:pt idx="5">
                  <c:v>3.3353849540633589</c:v>
                </c:pt>
                <c:pt idx="6">
                  <c:v>3.4177088951110997</c:v>
                </c:pt>
                <c:pt idx="7">
                  <c:v>3.5120166913353095</c:v>
                </c:pt>
                <c:pt idx="8">
                  <c:v>3.5882117110725136</c:v>
                </c:pt>
                <c:pt idx="9">
                  <c:v>3.6890974915115464</c:v>
                </c:pt>
                <c:pt idx="10">
                  <c:v>3.7596368037775472</c:v>
                </c:pt>
                <c:pt idx="11">
                  <c:v>3.8420420982474059</c:v>
                </c:pt>
                <c:pt idx="12">
                  <c:v>3.9034431861689241</c:v>
                </c:pt>
                <c:pt idx="13">
                  <c:v>3.976691399790274</c:v>
                </c:pt>
                <c:pt idx="14">
                  <c:v>4.0508214073613527</c:v>
                </c:pt>
                <c:pt idx="15">
                  <c:v>4.1376185413075266</c:v>
                </c:pt>
                <c:pt idx="16">
                  <c:v>4.2016731667717231</c:v>
                </c:pt>
                <c:pt idx="17">
                  <c:v>4.2783640806614383</c:v>
                </c:pt>
                <c:pt idx="18">
                  <c:v>4.3558749435344417</c:v>
                </c:pt>
                <c:pt idx="19">
                  <c:v>4.4551911474344195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45B9-9AAC-B33CFD8DAAEA}"/>
            </c:ext>
          </c:extLst>
        </c:ser>
        <c:ser>
          <c:idx val="1"/>
          <c:order val="1"/>
          <c:tx>
            <c:strRef>
              <c:f>'Anál inv CP'!$B$50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inv CP'!$D$48:$W$48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CP'!$D$50:$W$50</c:f>
              <c:numCache>
                <c:formatCode>0</c:formatCode>
                <c:ptCount val="20"/>
                <c:pt idx="0">
                  <c:v>0</c:v>
                </c:pt>
                <c:pt idx="1">
                  <c:v>3.0638047833785689</c:v>
                </c:pt>
                <c:pt idx="2">
                  <c:v>19.163994884957873</c:v>
                </c:pt>
                <c:pt idx="3">
                  <c:v>19.085032395703795</c:v>
                </c:pt>
                <c:pt idx="4">
                  <c:v>18.973893972676819</c:v>
                </c:pt>
                <c:pt idx="5">
                  <c:v>19.261534579939607</c:v>
                </c:pt>
                <c:pt idx="6">
                  <c:v>16.509120853292689</c:v>
                </c:pt>
                <c:pt idx="7">
                  <c:v>1.9685664750797762</c:v>
                </c:pt>
                <c:pt idx="8">
                  <c:v>2.0029034693321708</c:v>
                </c:pt>
                <c:pt idx="9">
                  <c:v>2.0382705734121354</c:v>
                </c:pt>
                <c:pt idx="10">
                  <c:v>2.0746986906145</c:v>
                </c:pt>
                <c:pt idx="11">
                  <c:v>2.1122196513329343</c:v>
                </c:pt>
                <c:pt idx="12">
                  <c:v>2.1508662408729227</c:v>
                </c:pt>
                <c:pt idx="13">
                  <c:v>2.1906722280991104</c:v>
                </c:pt>
                <c:pt idx="14">
                  <c:v>2.231672394942084</c:v>
                </c:pt>
                <c:pt idx="15">
                  <c:v>2.2739025667903459</c:v>
                </c:pt>
                <c:pt idx="16">
                  <c:v>2.3173996437940563</c:v>
                </c:pt>
                <c:pt idx="17">
                  <c:v>2.3622016331078783</c:v>
                </c:pt>
                <c:pt idx="18">
                  <c:v>2.4083476821011147</c:v>
                </c:pt>
                <c:pt idx="19">
                  <c:v>2.4675227547030287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F-45B9-9AAC-B33CFD8DAAEA}"/>
            </c:ext>
          </c:extLst>
        </c:ser>
        <c:ser>
          <c:idx val="2"/>
          <c:order val="2"/>
          <c:tx>
            <c:strRef>
              <c:f>'Anál inv CP'!$B$51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'Anál inv CP'!$D$48:$W$48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CP'!$D$51:$W$51</c:f>
              <c:numCache>
                <c:formatCode>0</c:formatCode>
                <c:ptCount val="20"/>
                <c:pt idx="0">
                  <c:v>2.2089288812356012</c:v>
                </c:pt>
                <c:pt idx="1">
                  <c:v>-7.1978911433949744E-2</c:v>
                </c:pt>
                <c:pt idx="2">
                  <c:v>-16.085566163773045</c:v>
                </c:pt>
                <c:pt idx="3">
                  <c:v>-15.908422554848858</c:v>
                </c:pt>
                <c:pt idx="4">
                  <c:v>-15.718936756860607</c:v>
                </c:pt>
                <c:pt idx="5">
                  <c:v>-15.926149625876247</c:v>
                </c:pt>
                <c:pt idx="6">
                  <c:v>-13.09141195818159</c:v>
                </c:pt>
                <c:pt idx="7">
                  <c:v>1.5434502162555332</c:v>
                </c:pt>
                <c:pt idx="8">
                  <c:v>1.5853082417403428</c:v>
                </c:pt>
                <c:pt idx="9">
                  <c:v>1.6508269180994111</c:v>
                </c:pt>
                <c:pt idx="10">
                  <c:v>1.6849381131630472</c:v>
                </c:pt>
                <c:pt idx="11">
                  <c:v>1.7298224469144716</c:v>
                </c:pt>
                <c:pt idx="12">
                  <c:v>1.7525769452960014</c:v>
                </c:pt>
                <c:pt idx="13">
                  <c:v>1.7860191716911635</c:v>
                </c:pt>
                <c:pt idx="14">
                  <c:v>1.8191490124192686</c:v>
                </c:pt>
                <c:pt idx="15">
                  <c:v>1.8637159745171807</c:v>
                </c:pt>
                <c:pt idx="16">
                  <c:v>1.8842735229776668</c:v>
                </c:pt>
                <c:pt idx="17">
                  <c:v>1.9161624475535599</c:v>
                </c:pt>
                <c:pt idx="18">
                  <c:v>1.947527261433327</c:v>
                </c:pt>
                <c:pt idx="19">
                  <c:v>1.9876683927313907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F-45B9-9AAC-B33CFD8DA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  <a:r>
              <a:rPr lang="es-CO" baseline="0"/>
              <a:t> mensuales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inv CP'!$C$54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strRef>
              <c:f>'Anál inv CP'!$F$53:$Q$53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CP'!$F$54:$Q$54</c:f>
              <c:numCache>
                <c:formatCode>0.00</c:formatCode>
                <c:ptCount val="12"/>
                <c:pt idx="0">
                  <c:v>0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3-4577-9A55-2C554B44FF72}"/>
            </c:ext>
          </c:extLst>
        </c:ser>
        <c:ser>
          <c:idx val="1"/>
          <c:order val="1"/>
          <c:tx>
            <c:strRef>
              <c:f>'Anál inv CP'!$C$55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strRef>
              <c:f>'Anál inv CP'!$F$53:$Q$53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CP'!$F$55:$Q$55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3-4577-9A55-2C554B44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lineChart>
        <c:grouping val="standard"/>
        <c:varyColors val="0"/>
        <c:ser>
          <c:idx val="2"/>
          <c:order val="2"/>
          <c:tx>
            <c:strRef>
              <c:f>'Anál inv CP'!$C$56</c:f>
              <c:strCache>
                <c:ptCount val="1"/>
                <c:pt idx="0">
                  <c:v>Flujo de caja libre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'Anál inv CP'!$F$53:$Q$53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CP'!$F$56:$Q$56</c:f>
              <c:numCache>
                <c:formatCode>0.00</c:formatCode>
                <c:ptCount val="12"/>
                <c:pt idx="0">
                  <c:v>0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3-4577-9A55-2C554B44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06671"/>
        <c:axId val="308899471"/>
      </c:line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valAx>
        <c:axId val="3088994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8906671"/>
        <c:crosses val="max"/>
        <c:crossBetween val="between"/>
      </c:valAx>
      <c:catAx>
        <c:axId val="308906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899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mensual (MCOP) 2026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inv CP'!$O$21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inv CP'!$Q$21</c:f>
              <c:numCache>
                <c:formatCode>_("$"* #,##0.00_);_("$"* \(#,##0.00\);_("$"* "-"??_);_(@_)</c:formatCode>
                <c:ptCount val="1"/>
                <c:pt idx="0">
                  <c:v>0.24931882266205163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6-4B08-A103-F5EC4FFDB68E}"/>
            </c:ext>
          </c:extLst>
        </c:ser>
        <c:ser>
          <c:idx val="1"/>
          <c:order val="1"/>
          <c:tx>
            <c:strRef>
              <c:f>'Anál inv CP'!$O$22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inv CP'!$Q$22</c:f>
              <c:numCache>
                <c:formatCode>_("$"* #,##0.00_);_("$"* \(#,##0.00\);_("$"* "-"??_);_(@_)</c:formatCode>
                <c:ptCount val="1"/>
                <c:pt idx="0">
                  <c:v>0.25531706528154741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6-4B08-A103-F5EC4FFDB68E}"/>
            </c:ext>
          </c:extLst>
        </c:ser>
        <c:ser>
          <c:idx val="2"/>
          <c:order val="2"/>
          <c:tx>
            <c:strRef>
              <c:f>'Anál inv CP'!$O$23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inv CP'!$Q$23</c:f>
              <c:numCache>
                <c:formatCode>_("$"* #,##0.00_);_("$"* \(#,##0.00\);_("$"* "-"??_);_(@_)</c:formatCode>
                <c:ptCount val="1"/>
                <c:pt idx="0">
                  <c:v>-5.998242619495775E-3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D6-4B08-A103-F5EC4FFDB6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 1er año vs cuota</a:t>
            </a:r>
            <a:r>
              <a:rPr lang="es-CO" baseline="0"/>
              <a:t> banco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 inv CP'!$A$8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15C1DA"/>
            </a:solidFill>
            <a:ln>
              <a:solidFill>
                <a:srgbClr val="15C1DA"/>
              </a:solidFill>
            </a:ln>
            <a:effectLst/>
          </c:spPr>
          <c:invertIfNegative val="0"/>
          <c:cat>
            <c:numRef>
              <c:f>'Anál inv CP'!$J$3:$U$3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'Anál inv CP'!$J$8:$U$8</c:f>
              <c:numCache>
                <c:formatCode>_-"$"\ * #,##0_-;\-"$"\ * #,##0_-;_-"$"\ * "-"??_-;_-@_-</c:formatCode>
                <c:ptCount val="12"/>
                <c:pt idx="0">
                  <c:v>0</c:v>
                </c:pt>
                <c:pt idx="1">
                  <c:v>278021.6345918703</c:v>
                </c:pt>
                <c:pt idx="2">
                  <c:v>252552.48776191767</c:v>
                </c:pt>
                <c:pt idx="3">
                  <c:v>244867.4362589386</c:v>
                </c:pt>
                <c:pt idx="4">
                  <c:v>246135.54614909223</c:v>
                </c:pt>
                <c:pt idx="5">
                  <c:v>261918.16683016066</c:v>
                </c:pt>
                <c:pt idx="6">
                  <c:v>258074.98628871058</c:v>
                </c:pt>
                <c:pt idx="7">
                  <c:v>241516.47068493298</c:v>
                </c:pt>
                <c:pt idx="8">
                  <c:v>217744.71900205518</c:v>
                </c:pt>
                <c:pt idx="9">
                  <c:v>208097.43366792329</c:v>
                </c:pt>
                <c:pt idx="10">
                  <c:v>219977.06364712282</c:v>
                </c:pt>
                <c:pt idx="11">
                  <c:v>260327.03479212502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3-45EB-AB0E-8F305D29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00286464"/>
        <c:axId val="1100285504"/>
      </c:barChart>
      <c:lineChart>
        <c:grouping val="standard"/>
        <c:varyColors val="0"/>
        <c:ser>
          <c:idx val="1"/>
          <c:order val="1"/>
          <c:tx>
            <c:strRef>
              <c:f>'Anál inv CP'!$A$10</c:f>
              <c:strCache>
                <c:ptCount val="1"/>
                <c:pt idx="0">
                  <c:v>Cuota Banco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'Anál inv CP'!$J$3:$BQ$3</c:f>
              <c:numCache>
                <c:formatCode>mmm\-yy</c:formatCode>
                <c:ptCount val="60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  <c:pt idx="22">
                  <c:v>46388</c:v>
                </c:pt>
                <c:pt idx="23">
                  <c:v>46419</c:v>
                </c:pt>
                <c:pt idx="24">
                  <c:v>46447</c:v>
                </c:pt>
                <c:pt idx="25">
                  <c:v>46478</c:v>
                </c:pt>
                <c:pt idx="26">
                  <c:v>46508</c:v>
                </c:pt>
                <c:pt idx="27">
                  <c:v>46539</c:v>
                </c:pt>
                <c:pt idx="28">
                  <c:v>46569</c:v>
                </c:pt>
                <c:pt idx="29">
                  <c:v>46600</c:v>
                </c:pt>
                <c:pt idx="30">
                  <c:v>46631</c:v>
                </c:pt>
                <c:pt idx="31">
                  <c:v>46661</c:v>
                </c:pt>
                <c:pt idx="32">
                  <c:v>46692</c:v>
                </c:pt>
                <c:pt idx="33">
                  <c:v>46722</c:v>
                </c:pt>
                <c:pt idx="34">
                  <c:v>46753</c:v>
                </c:pt>
                <c:pt idx="35">
                  <c:v>46784</c:v>
                </c:pt>
                <c:pt idx="36">
                  <c:v>46813</c:v>
                </c:pt>
                <c:pt idx="37">
                  <c:v>46844</c:v>
                </c:pt>
                <c:pt idx="38">
                  <c:v>46874</c:v>
                </c:pt>
                <c:pt idx="39">
                  <c:v>46905</c:v>
                </c:pt>
                <c:pt idx="40">
                  <c:v>46935</c:v>
                </c:pt>
                <c:pt idx="41">
                  <c:v>46966</c:v>
                </c:pt>
                <c:pt idx="42">
                  <c:v>46997</c:v>
                </c:pt>
                <c:pt idx="43">
                  <c:v>47027</c:v>
                </c:pt>
                <c:pt idx="44">
                  <c:v>47058</c:v>
                </c:pt>
                <c:pt idx="45">
                  <c:v>47088</c:v>
                </c:pt>
                <c:pt idx="46">
                  <c:v>47119</c:v>
                </c:pt>
                <c:pt idx="47">
                  <c:v>47150</c:v>
                </c:pt>
                <c:pt idx="48">
                  <c:v>47178</c:v>
                </c:pt>
                <c:pt idx="49">
                  <c:v>47209</c:v>
                </c:pt>
                <c:pt idx="50">
                  <c:v>47239</c:v>
                </c:pt>
                <c:pt idx="51">
                  <c:v>47270</c:v>
                </c:pt>
                <c:pt idx="52">
                  <c:v>47300</c:v>
                </c:pt>
                <c:pt idx="53">
                  <c:v>47331</c:v>
                </c:pt>
                <c:pt idx="54">
                  <c:v>47362</c:v>
                </c:pt>
                <c:pt idx="55">
                  <c:v>47392</c:v>
                </c:pt>
                <c:pt idx="56">
                  <c:v>47423</c:v>
                </c:pt>
                <c:pt idx="57">
                  <c:v>47453</c:v>
                </c:pt>
                <c:pt idx="58">
                  <c:v>47484</c:v>
                </c:pt>
                <c:pt idx="59">
                  <c:v>47515</c:v>
                </c:pt>
              </c:numCache>
            </c:numRef>
          </c:cat>
          <c:val>
            <c:numRef>
              <c:f>'Anál inv CP'!$J$10:$BQ$10</c:f>
              <c:numCache>
                <c:formatCode>_-"$"\ * #,##0_-;\-"$"\ * #,##0_-;_-"$"\ * "-"??_-;_-@_-</c:formatCode>
                <c:ptCount val="60"/>
                <c:pt idx="0">
                  <c:v>1507151.3897862288</c:v>
                </c:pt>
                <c:pt idx="1">
                  <c:v>1506653.3935923402</c:v>
                </c:pt>
                <c:pt idx="2">
                  <c:v>1506145.0224777448</c:v>
                </c:pt>
                <c:pt idx="3">
                  <c:v>1505626.0602982626</c:v>
                </c:pt>
                <c:pt idx="4">
                  <c:v>1505096.2864067077</c:v>
                </c:pt>
                <c:pt idx="5">
                  <c:v>1504555.4755590789</c:v>
                </c:pt>
                <c:pt idx="6">
                  <c:v>1504003.397818791</c:v>
                </c:pt>
                <c:pt idx="7">
                  <c:v>1503439.8184589138</c:v>
                </c:pt>
                <c:pt idx="8">
                  <c:v>1502864.4978623725</c:v>
                </c:pt>
                <c:pt idx="9">
                  <c:v>1502277.1914200699</c:v>
                </c:pt>
                <c:pt idx="10">
                  <c:v>1501677.6494268861</c:v>
                </c:pt>
                <c:pt idx="11">
                  <c:v>1501065.6169755107</c:v>
                </c:pt>
                <c:pt idx="12">
                  <c:v>1500440.8338480652</c:v>
                </c:pt>
                <c:pt idx="13">
                  <c:v>1499803.0344054645</c:v>
                </c:pt>
                <c:pt idx="14">
                  <c:v>1499151.9474744764</c:v>
                </c:pt>
                <c:pt idx="15">
                  <c:v>1498487.2962324261</c:v>
                </c:pt>
                <c:pt idx="16">
                  <c:v>1497808.7980894996</c:v>
                </c:pt>
                <c:pt idx="17">
                  <c:v>1497116.1645685958</c:v>
                </c:pt>
                <c:pt idx="18">
                  <c:v>1496409.1011826727</c:v>
                </c:pt>
                <c:pt idx="19">
                  <c:v>1495687.3073095435</c:v>
                </c:pt>
                <c:pt idx="20">
                  <c:v>1494950.4760640564</c:v>
                </c:pt>
                <c:pt idx="21">
                  <c:v>1494198.2941676225</c:v>
                </c:pt>
                <c:pt idx="22">
                  <c:v>1493430.4418150124</c:v>
                </c:pt>
                <c:pt idx="23">
                  <c:v>1492646.5925383898</c:v>
                </c:pt>
                <c:pt idx="24">
                  <c:v>1491846.4130685043</c:v>
                </c:pt>
                <c:pt idx="25">
                  <c:v>1491029.563192996</c:v>
                </c:pt>
                <c:pt idx="26">
                  <c:v>1490195.6956117481</c:v>
                </c:pt>
                <c:pt idx="27">
                  <c:v>1489344.4557892242</c:v>
                </c:pt>
                <c:pt idx="28">
                  <c:v>1488475.4818037311</c:v>
                </c:pt>
                <c:pt idx="29">
                  <c:v>1487588.4041935401</c:v>
                </c:pt>
                <c:pt idx="30">
                  <c:v>1486682.8457998035</c:v>
                </c:pt>
                <c:pt idx="31">
                  <c:v>1485758.4216061977</c:v>
                </c:pt>
                <c:pt idx="32">
                  <c:v>1484814.7385752245</c:v>
                </c:pt>
                <c:pt idx="33">
                  <c:v>1483851.3954811066</c:v>
                </c:pt>
                <c:pt idx="34">
                  <c:v>1482867.9827391941</c:v>
                </c:pt>
                <c:pt idx="35">
                  <c:v>1481864.0822318252</c:v>
                </c:pt>
                <c:pt idx="36">
                  <c:v>1480839.267130553</c:v>
                </c:pt>
                <c:pt idx="37">
                  <c:v>1479793.1017146709</c:v>
                </c:pt>
                <c:pt idx="38">
                  <c:v>1478725.1411859579</c:v>
                </c:pt>
                <c:pt idx="39">
                  <c:v>1477634.9314795632</c:v>
                </c:pt>
                <c:pt idx="40">
                  <c:v>1476522.0090709524</c:v>
                </c:pt>
                <c:pt idx="41">
                  <c:v>1475385.9007788287</c:v>
                </c:pt>
                <c:pt idx="42">
                  <c:v>1474226.123563952</c:v>
                </c:pt>
                <c:pt idx="43">
                  <c:v>1473042.1843237656</c:v>
                </c:pt>
                <c:pt idx="44">
                  <c:v>1471833.579682742</c:v>
                </c:pt>
                <c:pt idx="45">
                  <c:v>1470599.7957783639</c:v>
                </c:pt>
                <c:pt idx="46">
                  <c:v>1469340.3080426445</c:v>
                </c:pt>
                <c:pt idx="47">
                  <c:v>1468054.5809790976</c:v>
                </c:pt>
                <c:pt idx="48">
                  <c:v>1466742.0679350602</c:v>
                </c:pt>
                <c:pt idx="49">
                  <c:v>1465402.2108692718</c:v>
                </c:pt>
                <c:pt idx="50">
                  <c:v>1464034.4401146132</c:v>
                </c:pt>
                <c:pt idx="51">
                  <c:v>1462638.1741358989</c:v>
                </c:pt>
                <c:pt idx="52">
                  <c:v>1461212.8192826281</c:v>
                </c:pt>
                <c:pt idx="53">
                  <c:v>1459757.7695365807</c:v>
                </c:pt>
                <c:pt idx="54">
                  <c:v>1458272.4062541574</c:v>
                </c:pt>
                <c:pt idx="55">
                  <c:v>1456756.0979033506</c:v>
                </c:pt>
                <c:pt idx="56">
                  <c:v>1455208.1997952352</c:v>
                </c:pt>
                <c:pt idx="57">
                  <c:v>1453628.053809867</c:v>
                </c:pt>
                <c:pt idx="58">
                  <c:v>1452014.9881164706</c:v>
                </c:pt>
                <c:pt idx="59">
                  <c:v>1450368.316887795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3-45EB-AB0E-8F305D29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86464"/>
        <c:axId val="1100285504"/>
      </c:lineChart>
      <c:dateAx>
        <c:axId val="11002864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5504"/>
        <c:crosses val="autoZero"/>
        <c:auto val="1"/>
        <c:lblOffset val="100"/>
        <c:baseTimeUnit val="months"/>
      </c:dateAx>
      <c:valAx>
        <c:axId val="11002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5C1DA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operacionales mensuales del 1er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 inv CP'!$F$53:$Q$53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CP'!$F$54:$Q$54</c:f>
              <c:numCache>
                <c:formatCode>0.00</c:formatCode>
                <c:ptCount val="12"/>
                <c:pt idx="0">
                  <c:v>0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7-4356-ACE4-56920342C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operacionales anuales</a:t>
            </a:r>
            <a:r>
              <a:rPr lang="es-CO" baseline="0"/>
              <a:t> durante la vida util de la planta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'Anál inv CP'!$B$49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CP'!$D$49:$W$49</c:f>
              <c:numCache>
                <c:formatCode>0</c:formatCode>
                <c:ptCount val="20"/>
                <c:pt idx="0">
                  <c:v>2.2089288812356012</c:v>
                </c:pt>
                <c:pt idx="1">
                  <c:v>2.9918258719446191</c:v>
                </c:pt>
                <c:pt idx="2">
                  <c:v>3.0784287211848276</c:v>
                </c:pt>
                <c:pt idx="3">
                  <c:v>3.1766098408549364</c:v>
                </c:pt>
                <c:pt idx="4">
                  <c:v>3.2549572158162126</c:v>
                </c:pt>
                <c:pt idx="5">
                  <c:v>3.3353849540633589</c:v>
                </c:pt>
                <c:pt idx="6">
                  <c:v>3.4177088951110997</c:v>
                </c:pt>
                <c:pt idx="7">
                  <c:v>3.5120166913353095</c:v>
                </c:pt>
                <c:pt idx="8">
                  <c:v>3.5882117110725136</c:v>
                </c:pt>
                <c:pt idx="9">
                  <c:v>3.6890974915115464</c:v>
                </c:pt>
                <c:pt idx="10">
                  <c:v>3.7596368037775472</c:v>
                </c:pt>
                <c:pt idx="11">
                  <c:v>3.8420420982474059</c:v>
                </c:pt>
                <c:pt idx="12">
                  <c:v>3.9034431861689241</c:v>
                </c:pt>
                <c:pt idx="13">
                  <c:v>3.976691399790274</c:v>
                </c:pt>
                <c:pt idx="14">
                  <c:v>4.0508214073613527</c:v>
                </c:pt>
                <c:pt idx="15">
                  <c:v>4.1376185413075266</c:v>
                </c:pt>
                <c:pt idx="16">
                  <c:v>4.2016731667717231</c:v>
                </c:pt>
                <c:pt idx="17">
                  <c:v>4.2783640806614383</c:v>
                </c:pt>
                <c:pt idx="18">
                  <c:v>4.3558749435344417</c:v>
                </c:pt>
                <c:pt idx="19">
                  <c:v>4.4551911474344195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1-42B2-8EB9-69184A3EB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</a:t>
            </a:r>
            <a:r>
              <a:rPr lang="es-CO" baseline="0"/>
              <a:t> </a:t>
            </a:r>
            <a:r>
              <a:rPr lang="es-CO"/>
              <a:t>operacionales mensuales del 1er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 inv CP'!$F$53:$Q$53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inv CP'!$F$55:$Q$55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4-4915-871A-31198208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y</a:t>
            </a:r>
            <a:r>
              <a:rPr lang="es-CO" baseline="0"/>
              <a:t> amortizaciones durante la vida util de la planta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'Anál inv CP'!$B$50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146647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inv CP'!$D$48:$W$48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inv CP'!$D$50:$W$50</c:f>
              <c:numCache>
                <c:formatCode>0</c:formatCode>
                <c:ptCount val="20"/>
                <c:pt idx="0">
                  <c:v>0</c:v>
                </c:pt>
                <c:pt idx="1">
                  <c:v>3.0638047833785689</c:v>
                </c:pt>
                <c:pt idx="2">
                  <c:v>19.163994884957873</c:v>
                </c:pt>
                <c:pt idx="3">
                  <c:v>19.085032395703795</c:v>
                </c:pt>
                <c:pt idx="4">
                  <c:v>18.973893972676819</c:v>
                </c:pt>
                <c:pt idx="5">
                  <c:v>19.261534579939607</c:v>
                </c:pt>
                <c:pt idx="6">
                  <c:v>16.509120853292689</c:v>
                </c:pt>
                <c:pt idx="7">
                  <c:v>1.9685664750797762</c:v>
                </c:pt>
                <c:pt idx="8">
                  <c:v>2.0029034693321708</c:v>
                </c:pt>
                <c:pt idx="9">
                  <c:v>2.0382705734121354</c:v>
                </c:pt>
                <c:pt idx="10">
                  <c:v>2.0746986906145</c:v>
                </c:pt>
                <c:pt idx="11">
                  <c:v>2.1122196513329343</c:v>
                </c:pt>
                <c:pt idx="12">
                  <c:v>2.1508662408729227</c:v>
                </c:pt>
                <c:pt idx="13">
                  <c:v>2.1906722280991104</c:v>
                </c:pt>
                <c:pt idx="14">
                  <c:v>2.231672394942084</c:v>
                </c:pt>
                <c:pt idx="15">
                  <c:v>2.2739025667903459</c:v>
                </c:pt>
                <c:pt idx="16">
                  <c:v>2.3173996437940563</c:v>
                </c:pt>
                <c:pt idx="17">
                  <c:v>2.3622016331078783</c:v>
                </c:pt>
                <c:pt idx="18">
                  <c:v>2.4083476821011147</c:v>
                </c:pt>
                <c:pt idx="19">
                  <c:v>2.4675227547030287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F-4B2C-BD67-78AB02973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4091743"/>
        <c:axId val="1254095583"/>
        <c:axId val="0"/>
      </c:bar3DChart>
      <c:catAx>
        <c:axId val="12540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5583"/>
        <c:crosses val="autoZero"/>
        <c:auto val="1"/>
        <c:lblAlgn val="ctr"/>
        <c:lblOffset val="100"/>
        <c:noMultiLvlLbl val="0"/>
      </c:catAx>
      <c:valAx>
        <c:axId val="12540955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091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Estructura de costos de los 5 primeros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EEDC6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34C-4A77-BC72-EEA66A0D8E6E}"/>
              </c:ext>
            </c:extLst>
          </c:dPt>
          <c:dPt>
            <c:idx val="1"/>
            <c:bubble3D val="0"/>
            <c:spPr>
              <a:solidFill>
                <a:srgbClr val="15C1D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934C-4A77-BC72-EEA66A0D8E6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34C-4A77-BC72-EEA66A0D8E6E}"/>
              </c:ext>
            </c:extLst>
          </c:dPt>
          <c:dLbls>
            <c:dLbl>
              <c:idx val="0"/>
              <c:layout>
                <c:manualLayout>
                  <c:x val="5.5469816272965877E-2"/>
                  <c:y val="-0.140017133275007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4C-4A77-BC72-EEA66A0D8E6E}"/>
                </c:ext>
              </c:extLst>
            </c:dLbl>
            <c:dLbl>
              <c:idx val="1"/>
              <c:layout>
                <c:manualLayout>
                  <c:x val="5.1015966754155732E-3"/>
                  <c:y val="-0.1402413240011665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4C-4A77-BC72-EEA66A0D8E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 inv CP'!$B$120:$B$122</c:f>
              <c:strCache>
                <c:ptCount val="3"/>
                <c:pt idx="0">
                  <c:v>Capital</c:v>
                </c:pt>
                <c:pt idx="1">
                  <c:v>Intereses y seguros</c:v>
                </c:pt>
                <c:pt idx="2">
                  <c:v>Operación y Mtto</c:v>
                </c:pt>
              </c:strCache>
            </c:strRef>
          </c:cat>
          <c:val>
            <c:numRef>
              <c:f>'Anál inv CP'!$C$120:$C$122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C-4A77-BC72-EEA66A0D8E6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Flujo de caja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857009942021793E-3"/>
                  <c:y val="0.14479640301918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CE-41BE-AA8D-E0E7C1A6A906}"/>
                </c:ext>
              </c:extLst>
            </c:dLbl>
            <c:dLbl>
              <c:idx val="1"/>
              <c:layout>
                <c:manualLayout>
                  <c:x val="0"/>
                  <c:y val="0.132730036100922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CE-41BE-AA8D-E0E7C1A6A9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 inv CP'!$D$52:$W$52</c:f>
              <c:numCache>
                <c:formatCode>0</c:formatCode>
                <c:ptCount val="20"/>
                <c:pt idx="0">
                  <c:v>2.2089288812356012</c:v>
                </c:pt>
                <c:pt idx="1">
                  <c:v>2.1369499698016514</c:v>
                </c:pt>
                <c:pt idx="2">
                  <c:v>-13.948616193971393</c:v>
                </c:pt>
                <c:pt idx="3">
                  <c:v>-29.857038748820251</c:v>
                </c:pt>
                <c:pt idx="4">
                  <c:v>-45.575975505680859</c:v>
                </c:pt>
                <c:pt idx="5">
                  <c:v>-61.502125131557108</c:v>
                </c:pt>
                <c:pt idx="6">
                  <c:v>-74.593537089738703</c:v>
                </c:pt>
                <c:pt idx="7">
                  <c:v>-73.050086873483167</c:v>
                </c:pt>
                <c:pt idx="8">
                  <c:v>-71.464778631742831</c:v>
                </c:pt>
                <c:pt idx="9">
                  <c:v>-69.813951713643419</c:v>
                </c:pt>
                <c:pt idx="10">
                  <c:v>-68.129013600480377</c:v>
                </c:pt>
                <c:pt idx="11">
                  <c:v>-66.399191153565909</c:v>
                </c:pt>
                <c:pt idx="12">
                  <c:v>-64.646614208269909</c:v>
                </c:pt>
                <c:pt idx="13">
                  <c:v>-62.860595036578744</c:v>
                </c:pt>
                <c:pt idx="14">
                  <c:v>-61.041446024159477</c:v>
                </c:pt>
                <c:pt idx="15">
                  <c:v>-59.177730049642292</c:v>
                </c:pt>
                <c:pt idx="16">
                  <c:v>-57.293456526664627</c:v>
                </c:pt>
                <c:pt idx="17">
                  <c:v>-55.377294079111067</c:v>
                </c:pt>
                <c:pt idx="18">
                  <c:v>-53.429766817677738</c:v>
                </c:pt>
                <c:pt idx="19">
                  <c:v>-51.442098424946344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E-41BE-AA8D-E0E7C1A6A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1238207"/>
        <c:axId val="491238687"/>
        <c:axId val="0"/>
      </c:bar3DChart>
      <c:catAx>
        <c:axId val="49123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238687"/>
        <c:crosses val="autoZero"/>
        <c:auto val="1"/>
        <c:lblAlgn val="ctr"/>
        <c:lblOffset val="100"/>
        <c:noMultiLvlLbl val="0"/>
      </c:catAx>
      <c:valAx>
        <c:axId val="4912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23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arrend finan MP'!$B$16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arrend finan MP'!$D$15:$M$15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'Anál arrend finan MP'!$D$16:$M$16</c:f>
              <c:numCache>
                <c:formatCode>_-"$"\ * #,##0_-;\-"$"\ * #,##0_-;_-"$"\ * "-"??_-;_-@_-</c:formatCode>
                <c:ptCount val="10"/>
                <c:pt idx="0">
                  <c:v>2442412.7808829867</c:v>
                </c:pt>
                <c:pt idx="1">
                  <c:v>2991825.8719446193</c:v>
                </c:pt>
                <c:pt idx="2">
                  <c:v>3078428.7211848274</c:v>
                </c:pt>
                <c:pt idx="3">
                  <c:v>3176609.8408549363</c:v>
                </c:pt>
                <c:pt idx="4">
                  <c:v>3254957.2158162124</c:v>
                </c:pt>
                <c:pt idx="5">
                  <c:v>3335384.9540633587</c:v>
                </c:pt>
                <c:pt idx="6">
                  <c:v>3417708.8951110998</c:v>
                </c:pt>
                <c:pt idx="7">
                  <c:v>3512016.6913353093</c:v>
                </c:pt>
                <c:pt idx="8">
                  <c:v>3588211.7110725134</c:v>
                </c:pt>
                <c:pt idx="9">
                  <c:v>3689097.4915115465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3-4B76-8456-F83110EA8A1B}"/>
            </c:ext>
          </c:extLst>
        </c:ser>
        <c:ser>
          <c:idx val="1"/>
          <c:order val="1"/>
          <c:tx>
            <c:strRef>
              <c:f>'Anál arrend finan MP'!$B$17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arrend finan MP'!$D$15:$M$15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'Anál arrend finan MP'!$D$17:$M$17</c:f>
              <c:numCache>
                <c:formatCode>_-"$"\ * #,##0_-;\-"$"\ * #,##0_-;_-"$"\ 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3-4B76-8456-F83110EA8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mensual  2025 (MCOP)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arrend finan MP'!$O$21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solidFill>
                <a:srgbClr val="56C9B6"/>
              </a:solidFill>
            </a:ln>
            <a:effectLst/>
            <a:sp3d>
              <a:contourClr>
                <a:srgbClr val="56C9B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MP'!$P$20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'Anál arrend finan MP'!$P$21</c:f>
              <c:numCache>
                <c:formatCode>_("$"* #,##0.00_);_("$"* \(#,##0.00\);_("$"* "-"??_);_(@_)</c:formatCode>
                <c:ptCount val="1"/>
                <c:pt idx="0">
                  <c:v>0.20353439840691556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2-4CD9-BB6D-1E47D0413811}"/>
            </c:ext>
          </c:extLst>
        </c:ser>
        <c:ser>
          <c:idx val="1"/>
          <c:order val="1"/>
          <c:tx>
            <c:strRef>
              <c:f>'Anál arrend finan MP'!$O$22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MP'!$P$20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'Anál arrend finan MP'!$P$22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2-4CD9-BB6D-1E47D0413811}"/>
            </c:ext>
          </c:extLst>
        </c:ser>
        <c:ser>
          <c:idx val="2"/>
          <c:order val="2"/>
          <c:tx>
            <c:strRef>
              <c:f>'Anál arrend finan MP'!$O$23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MP'!$P$20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'Anál arrend finan MP'!$P$23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42-4CD9-BB6D-1E47D04138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 durante</a:t>
            </a:r>
            <a:r>
              <a:rPr lang="es-CO" baseline="0"/>
              <a:t> la vida útil de la planta 10 años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arrend finan MP'!$B$49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arrend finan MP'!$D$48:$W$48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arrend finan MP'!$D$49:$W$49</c:f>
              <c:numCache>
                <c:formatCode>0</c:formatCode>
                <c:ptCount val="20"/>
                <c:pt idx="0">
                  <c:v>2.4424127808829867</c:v>
                </c:pt>
                <c:pt idx="1">
                  <c:v>2.9918258719446191</c:v>
                </c:pt>
                <c:pt idx="2">
                  <c:v>3.0784287211848276</c:v>
                </c:pt>
                <c:pt idx="3">
                  <c:v>3.1766098408549364</c:v>
                </c:pt>
                <c:pt idx="4">
                  <c:v>3.2549572158162126</c:v>
                </c:pt>
                <c:pt idx="5">
                  <c:v>3.3353849540633589</c:v>
                </c:pt>
                <c:pt idx="6">
                  <c:v>3.4177088951110997</c:v>
                </c:pt>
                <c:pt idx="7">
                  <c:v>3.5120166913353095</c:v>
                </c:pt>
                <c:pt idx="8">
                  <c:v>3.5882117110725136</c:v>
                </c:pt>
                <c:pt idx="9">
                  <c:v>3.6890974915115464</c:v>
                </c:pt>
                <c:pt idx="10">
                  <c:v>3.7596368037775472</c:v>
                </c:pt>
                <c:pt idx="11">
                  <c:v>3.8420420982474059</c:v>
                </c:pt>
                <c:pt idx="12">
                  <c:v>3.9034431861689241</c:v>
                </c:pt>
                <c:pt idx="13">
                  <c:v>3.976691399790274</c:v>
                </c:pt>
                <c:pt idx="14">
                  <c:v>4.0508214073613527</c:v>
                </c:pt>
                <c:pt idx="15">
                  <c:v>4.1376185413075266</c:v>
                </c:pt>
                <c:pt idx="16">
                  <c:v>4.2016731667717231</c:v>
                </c:pt>
                <c:pt idx="17">
                  <c:v>4.2783640806614383</c:v>
                </c:pt>
                <c:pt idx="18">
                  <c:v>4.3558749435344417</c:v>
                </c:pt>
                <c:pt idx="19">
                  <c:v>4.4551911474344195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B56-B959-0C490C7C59C4}"/>
            </c:ext>
          </c:extLst>
        </c:ser>
        <c:ser>
          <c:idx val="1"/>
          <c:order val="1"/>
          <c:tx>
            <c:strRef>
              <c:f>'Anál arrend finan MP'!$B$50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arrend finan MP'!$D$48:$W$48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arrend finan MP'!$D$50:$W$50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2.1122196513329343</c:v>
                </c:pt>
                <c:pt idx="12">
                  <c:v>2.1508662408729227</c:v>
                </c:pt>
                <c:pt idx="13">
                  <c:v>2.1906722280991104</c:v>
                </c:pt>
                <c:pt idx="14">
                  <c:v>2.231672394942084</c:v>
                </c:pt>
                <c:pt idx="15">
                  <c:v>2.2739025667903459</c:v>
                </c:pt>
                <c:pt idx="16">
                  <c:v>2.3173996437940563</c:v>
                </c:pt>
                <c:pt idx="17">
                  <c:v>2.3622016331078783</c:v>
                </c:pt>
                <c:pt idx="18">
                  <c:v>2.4083476821011147</c:v>
                </c:pt>
                <c:pt idx="19">
                  <c:v>2.4675227547030287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B56-B959-0C490C7C59C4}"/>
            </c:ext>
          </c:extLst>
        </c:ser>
        <c:ser>
          <c:idx val="2"/>
          <c:order val="2"/>
          <c:tx>
            <c:strRef>
              <c:f>'Anál arrend finan MP'!$B$51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'Anál arrend finan MP'!$D$48:$W$48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arrend finan MP'!$D$51:$W$51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1.7298224469144716</c:v>
                </c:pt>
                <c:pt idx="12">
                  <c:v>1.7525769452960014</c:v>
                </c:pt>
                <c:pt idx="13">
                  <c:v>1.7860191716911635</c:v>
                </c:pt>
                <c:pt idx="14">
                  <c:v>1.8191490124192686</c:v>
                </c:pt>
                <c:pt idx="15">
                  <c:v>1.8637159745171807</c:v>
                </c:pt>
                <c:pt idx="16">
                  <c:v>1.8842735229776668</c:v>
                </c:pt>
                <c:pt idx="17">
                  <c:v>1.9161624475535599</c:v>
                </c:pt>
                <c:pt idx="18">
                  <c:v>1.947527261433327</c:v>
                </c:pt>
                <c:pt idx="19">
                  <c:v>1.9876683927313907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8-4B56-B959-0C490C7C5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  <a:r>
              <a:rPr lang="es-CO" baseline="0"/>
              <a:t> mensuales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arrend finan MP'!$C$54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strRef>
              <c:f>'Anál arrend finan MP'!$F$53:$Q$53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arrend finan MP'!$F$54:$Q$54</c:f>
              <c:numCache>
                <c:formatCode>0.00</c:formatCode>
                <c:ptCount val="12"/>
                <c:pt idx="0">
                  <c:v>0.23348389964738553</c:v>
                </c:pt>
                <c:pt idx="1">
                  <c:v>0.27802163459187029</c:v>
                </c:pt>
                <c:pt idx="2">
                  <c:v>0.25255248776191769</c:v>
                </c:pt>
                <c:pt idx="3">
                  <c:v>0.24486743625893859</c:v>
                </c:pt>
                <c:pt idx="4">
                  <c:v>0.24613554614909222</c:v>
                </c:pt>
                <c:pt idx="5">
                  <c:v>0.26191816683016067</c:v>
                </c:pt>
                <c:pt idx="6">
                  <c:v>0.25807498628871056</c:v>
                </c:pt>
                <c:pt idx="7">
                  <c:v>0.24151647068493298</c:v>
                </c:pt>
                <c:pt idx="8">
                  <c:v>0.21774471900205519</c:v>
                </c:pt>
                <c:pt idx="9">
                  <c:v>0.2080974336679233</c:v>
                </c:pt>
                <c:pt idx="10">
                  <c:v>0.21997706364712283</c:v>
                </c:pt>
                <c:pt idx="11">
                  <c:v>0.26032703479212504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C-4DE4-85B5-48BDF734D5D0}"/>
            </c:ext>
          </c:extLst>
        </c:ser>
        <c:ser>
          <c:idx val="1"/>
          <c:order val="1"/>
          <c:tx>
            <c:strRef>
              <c:f>'Anál arrend finan MP'!$C$55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strRef>
              <c:f>'Anál arrend finan MP'!$F$53:$Q$53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arrend finan MP'!$F$55:$Q$55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C-4DE4-85B5-48BDF734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lineChart>
        <c:grouping val="standard"/>
        <c:varyColors val="0"/>
        <c:ser>
          <c:idx val="2"/>
          <c:order val="2"/>
          <c:tx>
            <c:strRef>
              <c:f>'Anál arrend finan MP'!$C$56</c:f>
              <c:strCache>
                <c:ptCount val="1"/>
                <c:pt idx="0">
                  <c:v>Flujo de caja libre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'Anál arrend finan MP'!$F$53:$Q$53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arrend finan MP'!$F$56:$Q$56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EC-4DE4-85B5-48BDF734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06671"/>
        <c:axId val="308899471"/>
      </c:line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valAx>
        <c:axId val="3088994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8906671"/>
        <c:crosses val="max"/>
        <c:crossBetween val="between"/>
      </c:valAx>
      <c:catAx>
        <c:axId val="308906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899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mensual  2026 (MCOP)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arrend finan MP'!$O$21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MP'!$Q$20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arrend finan MP'!$Q$21</c:f>
              <c:numCache>
                <c:formatCode>_("$"* #,##0.00_);_("$"* \(#,##0.00\);_("$"* "-"??_);_(@_)</c:formatCode>
                <c:ptCount val="1"/>
                <c:pt idx="0">
                  <c:v>0.2218658203775091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0-47B7-B71B-938F331814C2}"/>
            </c:ext>
          </c:extLst>
        </c:ser>
        <c:ser>
          <c:idx val="1"/>
          <c:order val="1"/>
          <c:tx>
            <c:strRef>
              <c:f>'Anál arrend finan MP'!$O$22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MP'!$Q$20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arrend finan MP'!$Q$22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0-47B7-B71B-938F331814C2}"/>
            </c:ext>
          </c:extLst>
        </c:ser>
        <c:ser>
          <c:idx val="2"/>
          <c:order val="2"/>
          <c:tx>
            <c:strRef>
              <c:f>'Anál arrend finan MP'!$O$23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MP'!$Q$20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arrend finan MP'!$Q$23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0-47B7-B71B-938F331814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 1er año vs cuota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 arrend finan MP'!$A$8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15C1DA"/>
            </a:solidFill>
            <a:ln>
              <a:solidFill>
                <a:srgbClr val="15C1DA"/>
              </a:solidFill>
            </a:ln>
            <a:effectLst/>
          </c:spPr>
          <c:invertIfNegative val="0"/>
          <c:cat>
            <c:numRef>
              <c:f>'Anál arrend finan MP'!$J$3:$U$3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'Anál arrend finan MP'!$J$8:$U$8</c:f>
              <c:numCache>
                <c:formatCode>_-"$"\ * #,##0_-;\-"$"\ * #,##0_-;_-"$"\ * "-"??_-;_-@_-</c:formatCode>
                <c:ptCount val="12"/>
                <c:pt idx="0">
                  <c:v>233483.89964738552</c:v>
                </c:pt>
                <c:pt idx="1">
                  <c:v>278021.6345918703</c:v>
                </c:pt>
                <c:pt idx="2">
                  <c:v>252552.48776191767</c:v>
                </c:pt>
                <c:pt idx="3">
                  <c:v>244867.4362589386</c:v>
                </c:pt>
                <c:pt idx="4">
                  <c:v>246135.54614909223</c:v>
                </c:pt>
                <c:pt idx="5">
                  <c:v>261918.16683016066</c:v>
                </c:pt>
                <c:pt idx="6">
                  <c:v>258074.98628871058</c:v>
                </c:pt>
                <c:pt idx="7">
                  <c:v>241516.47068493298</c:v>
                </c:pt>
                <c:pt idx="8">
                  <c:v>217744.71900205518</c:v>
                </c:pt>
                <c:pt idx="9">
                  <c:v>208097.43366792329</c:v>
                </c:pt>
                <c:pt idx="10">
                  <c:v>219977.06364712282</c:v>
                </c:pt>
                <c:pt idx="11">
                  <c:v>260327.03479212502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A-4972-9E8D-66AD9B9A6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00286464"/>
        <c:axId val="1100285504"/>
      </c:barChart>
      <c:lineChart>
        <c:grouping val="standard"/>
        <c:varyColors val="0"/>
        <c:ser>
          <c:idx val="1"/>
          <c:order val="1"/>
          <c:tx>
            <c:strRef>
              <c:f>'Anál arrend finan MP'!$A$10</c:f>
              <c:strCache>
                <c:ptCount val="1"/>
                <c:pt idx="0">
                  <c:v>Cuota Banco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'Anál arrend finan MP'!$J$3:$BQ$3</c:f>
              <c:numCache>
                <c:formatCode>mmm\-yy</c:formatCode>
                <c:ptCount val="60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  <c:pt idx="22">
                  <c:v>46388</c:v>
                </c:pt>
                <c:pt idx="23">
                  <c:v>46419</c:v>
                </c:pt>
                <c:pt idx="24">
                  <c:v>46447</c:v>
                </c:pt>
                <c:pt idx="25">
                  <c:v>46478</c:v>
                </c:pt>
                <c:pt idx="26">
                  <c:v>46508</c:v>
                </c:pt>
                <c:pt idx="27">
                  <c:v>46539</c:v>
                </c:pt>
                <c:pt idx="28">
                  <c:v>46569</c:v>
                </c:pt>
                <c:pt idx="29">
                  <c:v>46600</c:v>
                </c:pt>
                <c:pt idx="30">
                  <c:v>46631</c:v>
                </c:pt>
                <c:pt idx="31">
                  <c:v>46661</c:v>
                </c:pt>
                <c:pt idx="32">
                  <c:v>46692</c:v>
                </c:pt>
                <c:pt idx="33">
                  <c:v>46722</c:v>
                </c:pt>
                <c:pt idx="34">
                  <c:v>46753</c:v>
                </c:pt>
                <c:pt idx="35">
                  <c:v>46784</c:v>
                </c:pt>
                <c:pt idx="36">
                  <c:v>46813</c:v>
                </c:pt>
                <c:pt idx="37">
                  <c:v>46844</c:v>
                </c:pt>
                <c:pt idx="38">
                  <c:v>46874</c:v>
                </c:pt>
                <c:pt idx="39">
                  <c:v>46905</c:v>
                </c:pt>
                <c:pt idx="40">
                  <c:v>46935</c:v>
                </c:pt>
                <c:pt idx="41">
                  <c:v>46966</c:v>
                </c:pt>
                <c:pt idx="42">
                  <c:v>46997</c:v>
                </c:pt>
                <c:pt idx="43">
                  <c:v>47027</c:v>
                </c:pt>
                <c:pt idx="44">
                  <c:v>47058</c:v>
                </c:pt>
                <c:pt idx="45">
                  <c:v>47088</c:v>
                </c:pt>
                <c:pt idx="46">
                  <c:v>47119</c:v>
                </c:pt>
                <c:pt idx="47">
                  <c:v>47150</c:v>
                </c:pt>
                <c:pt idx="48">
                  <c:v>47178</c:v>
                </c:pt>
                <c:pt idx="49">
                  <c:v>47209</c:v>
                </c:pt>
                <c:pt idx="50">
                  <c:v>47239</c:v>
                </c:pt>
                <c:pt idx="51">
                  <c:v>47270</c:v>
                </c:pt>
                <c:pt idx="52">
                  <c:v>47300</c:v>
                </c:pt>
                <c:pt idx="53">
                  <c:v>47331</c:v>
                </c:pt>
                <c:pt idx="54">
                  <c:v>47362</c:v>
                </c:pt>
                <c:pt idx="55">
                  <c:v>47392</c:v>
                </c:pt>
                <c:pt idx="56">
                  <c:v>47423</c:v>
                </c:pt>
                <c:pt idx="57">
                  <c:v>47453</c:v>
                </c:pt>
                <c:pt idx="58">
                  <c:v>47484</c:v>
                </c:pt>
                <c:pt idx="59">
                  <c:v>47515</c:v>
                </c:pt>
              </c:numCache>
            </c:numRef>
          </c:cat>
          <c:val>
            <c:numRef>
              <c:f>'Anál arrend finan MP'!$J$10:$BQ$10</c:f>
              <c:numCache>
                <c:formatCode>_-"$"\ * #,##0_-;\-"$"\ * #,##0_-;_-"$"\ 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A-4972-9E8D-66AD9B9A6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86464"/>
        <c:axId val="1100285504"/>
      </c:lineChart>
      <c:dateAx>
        <c:axId val="11002864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5504"/>
        <c:crosses val="autoZero"/>
        <c:auto val="1"/>
        <c:lblOffset val="100"/>
        <c:baseTimeUnit val="months"/>
      </c:dateAx>
      <c:valAx>
        <c:axId val="11002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5C1DA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arrend finan LP'!$B$16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arrend finan LP'!$D$15:$R$15</c:f>
              <c:numCache>
                <c:formatCode>General</c:formatCode>
                <c:ptCount val="1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</c:numCache>
            </c:numRef>
          </c:cat>
          <c:val>
            <c:numRef>
              <c:f>'Anál arrend finan LP'!$D$16:$R$16</c:f>
              <c:numCache>
                <c:formatCode>_-"$"\ * #,##0_-;\-"$"\ * #,##0_-;_-"$"\ * "-"??_-;_-@_-</c:formatCode>
                <c:ptCount val="15"/>
                <c:pt idx="0">
                  <c:v>2052666.0605293191</c:v>
                </c:pt>
                <c:pt idx="1">
                  <c:v>2559640.4907792159</c:v>
                </c:pt>
                <c:pt idx="2">
                  <c:v>2684873.5385467797</c:v>
                </c:pt>
                <c:pt idx="3">
                  <c:v>2774388.4218524098</c:v>
                </c:pt>
                <c:pt idx="4">
                  <c:v>2893951.8006705651</c:v>
                </c:pt>
                <c:pt idx="5">
                  <c:v>2969623.7378357477</c:v>
                </c:pt>
                <c:pt idx="6">
                  <c:v>3097655.6786642671</c:v>
                </c:pt>
                <c:pt idx="7">
                  <c:v>3244953.3537622858</c:v>
                </c:pt>
                <c:pt idx="8">
                  <c:v>3379716.4896059074</c:v>
                </c:pt>
                <c:pt idx="9">
                  <c:v>3542227.9008007557</c:v>
                </c:pt>
                <c:pt idx="10">
                  <c:v>3680055.0197631349</c:v>
                </c:pt>
                <c:pt idx="11">
                  <c:v>3833754.7192039932</c:v>
                </c:pt>
                <c:pt idx="12">
                  <c:v>3970638.8305376195</c:v>
                </c:pt>
                <c:pt idx="13">
                  <c:v>4123694.3119701012</c:v>
                </c:pt>
                <c:pt idx="14">
                  <c:v>4282128.7444694862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D-466B-AE86-C33B296703DD}"/>
            </c:ext>
          </c:extLst>
        </c:ser>
        <c:ser>
          <c:idx val="1"/>
          <c:order val="1"/>
          <c:tx>
            <c:strRef>
              <c:f>'Anál arrend finan LP'!$B$17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arrend finan LP'!$D$15:$R$15</c:f>
              <c:numCache>
                <c:formatCode>General</c:formatCode>
                <c:ptCount val="1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</c:numCache>
            </c:numRef>
          </c:cat>
          <c:val>
            <c:numRef>
              <c:f>'Anál arrend finan LP'!$D$17:$R$17</c:f>
              <c:numCache>
                <c:formatCode>_-"$"\ * #,##0_-;\-"$"\ * #,##0_-;_-"$"\ 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D-466B-AE86-C33B29670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2025 mensual (MCOP)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arrend finan LP'!$O$21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solidFill>
                <a:srgbClr val="56C9B6"/>
              </a:solidFill>
            </a:ln>
            <a:effectLst/>
            <a:sp3d>
              <a:contourClr>
                <a:srgbClr val="56C9B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LP'!$P$20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'Anál arrend finan LP'!$P$21</c:f>
              <c:numCache>
                <c:formatCode>_("$"* #,##0.00_);_("$"* \(#,##0.00\);_("$"* "-"??_);_(@_)</c:formatCode>
                <c:ptCount val="1"/>
                <c:pt idx="0">
                  <c:v>0.17105550504410991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A-4359-B240-27B259159B9C}"/>
            </c:ext>
          </c:extLst>
        </c:ser>
        <c:ser>
          <c:idx val="1"/>
          <c:order val="1"/>
          <c:tx>
            <c:strRef>
              <c:f>'Anál arrend finan LP'!$O$22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LP'!$P$20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'Anál arrend finan LP'!$P$22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A-4359-B240-27B259159B9C}"/>
            </c:ext>
          </c:extLst>
        </c:ser>
        <c:ser>
          <c:idx val="2"/>
          <c:order val="2"/>
          <c:tx>
            <c:strRef>
              <c:f>'Anál arrend finan LP'!$O$23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LP'!$P$20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'Anál arrend finan LP'!$P$23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A-4359-B240-27B259159B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 durante</a:t>
            </a:r>
            <a:r>
              <a:rPr lang="es-CO" baseline="0"/>
              <a:t> la vida útil de la planta 15 años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arrend finan LP'!$B$49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numRef>
              <c:f>'Anál arrend finan LP'!$D$48:$W$48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arrend finan LP'!$D$49:$W$49</c:f>
              <c:numCache>
                <c:formatCode>0</c:formatCode>
                <c:ptCount val="20"/>
                <c:pt idx="0">
                  <c:v>2.0526660605293192</c:v>
                </c:pt>
                <c:pt idx="1">
                  <c:v>2.5596404907792158</c:v>
                </c:pt>
                <c:pt idx="2">
                  <c:v>2.6848735385467797</c:v>
                </c:pt>
                <c:pt idx="3">
                  <c:v>2.77438842185241</c:v>
                </c:pt>
                <c:pt idx="4">
                  <c:v>2.8939518006705649</c:v>
                </c:pt>
                <c:pt idx="5">
                  <c:v>2.9696237378357475</c:v>
                </c:pt>
                <c:pt idx="6">
                  <c:v>3.0976556786642671</c:v>
                </c:pt>
                <c:pt idx="7">
                  <c:v>3.2449533537622859</c:v>
                </c:pt>
                <c:pt idx="8">
                  <c:v>3.3797164896059075</c:v>
                </c:pt>
                <c:pt idx="9">
                  <c:v>3.5422279008007558</c:v>
                </c:pt>
                <c:pt idx="10">
                  <c:v>3.680055019763135</c:v>
                </c:pt>
                <c:pt idx="11">
                  <c:v>3.8337547192039931</c:v>
                </c:pt>
                <c:pt idx="12">
                  <c:v>3.9706388305376197</c:v>
                </c:pt>
                <c:pt idx="13">
                  <c:v>4.1236943119701008</c:v>
                </c:pt>
                <c:pt idx="14">
                  <c:v>4.2821287444694862</c:v>
                </c:pt>
                <c:pt idx="15">
                  <c:v>4.4588294073924262</c:v>
                </c:pt>
                <c:pt idx="16">
                  <c:v>4.6157575665440502</c:v>
                </c:pt>
                <c:pt idx="17">
                  <c:v>4.7912685233986343</c:v>
                </c:pt>
                <c:pt idx="18">
                  <c:v>4.9727911820223181</c:v>
                </c:pt>
                <c:pt idx="19">
                  <c:v>5.1849679498218375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6-4E19-8D6C-74B0BBC715A7}"/>
            </c:ext>
          </c:extLst>
        </c:ser>
        <c:ser>
          <c:idx val="1"/>
          <c:order val="1"/>
          <c:tx>
            <c:strRef>
              <c:f>'Anál arrend finan LP'!$B$50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'Anál arrend finan LP'!$D$48:$W$48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arrend finan LP'!$D$50:$W$50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2.3173996437940563</c:v>
                </c:pt>
                <c:pt idx="17">
                  <c:v>2.3622016331078783</c:v>
                </c:pt>
                <c:pt idx="18">
                  <c:v>2.4083476821011147</c:v>
                </c:pt>
                <c:pt idx="19">
                  <c:v>2.4675227547030287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6-4E19-8D6C-74B0BBC715A7}"/>
            </c:ext>
          </c:extLst>
        </c:ser>
        <c:ser>
          <c:idx val="2"/>
          <c:order val="2"/>
          <c:tx>
            <c:strRef>
              <c:f>'Anál arrend finan LP'!$B$51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'Anál arrend finan LP'!$D$48:$W$48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'Anál arrend finan LP'!$D$51:$W$51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2.298357922749994</c:v>
                </c:pt>
                <c:pt idx="17">
                  <c:v>2.429066890290756</c:v>
                </c:pt>
                <c:pt idx="18">
                  <c:v>2.5644434999212034</c:v>
                </c:pt>
                <c:pt idx="19">
                  <c:v>2.7174451951188088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6-4E19-8D6C-74B0BBC7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Costos</a:t>
            </a:r>
            <a:r>
              <a:rPr lang="es-CO" baseline="0"/>
              <a:t> mensuales 1er año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'Anál arrend finan LP'!$C$54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</c:spPr>
          <c:invertIfNegative val="0"/>
          <c:cat>
            <c:strRef>
              <c:f>'Anál arrend finan LP'!$F$53:$Q$53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arrend finan LP'!$F$54:$Q$54</c:f>
              <c:numCache>
                <c:formatCode>0.00</c:formatCode>
                <c:ptCount val="12"/>
                <c:pt idx="0">
                  <c:v>0.19622583055471762</c:v>
                </c:pt>
                <c:pt idx="1">
                  <c:v>0.2336564801357208</c:v>
                </c:pt>
                <c:pt idx="2">
                  <c:v>0.21225155886373934</c:v>
                </c:pt>
                <c:pt idx="3">
                  <c:v>0.20579284536655479</c:v>
                </c:pt>
                <c:pt idx="4">
                  <c:v>0.2068585972955137</c:v>
                </c:pt>
                <c:pt idx="5">
                  <c:v>0.22012271467641165</c:v>
                </c:pt>
                <c:pt idx="6">
                  <c:v>0.21689280762561847</c:v>
                </c:pt>
                <c:pt idx="7">
                  <c:v>0.20297660834159262</c:v>
                </c:pt>
                <c:pt idx="8">
                  <c:v>0.18299822128896126</c:v>
                </c:pt>
                <c:pt idx="9">
                  <c:v>0.17489039638048873</c:v>
                </c:pt>
                <c:pt idx="10">
                  <c:v>0.18487434072470962</c:v>
                </c:pt>
                <c:pt idx="11">
                  <c:v>0.22303374856441613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7-4E18-9735-47AF3671A613}"/>
            </c:ext>
          </c:extLst>
        </c:ser>
        <c:ser>
          <c:idx val="1"/>
          <c:order val="1"/>
          <c:tx>
            <c:strRef>
              <c:f>'Anál arrend finan LP'!$C$55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strRef>
              <c:f>'Anál arrend finan LP'!$F$53:$Q$53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arrend finan LP'!$F$55:$Q$55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7-4E18-9735-47AF3671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73072128"/>
        <c:axId val="873081728"/>
      </c:barChart>
      <c:lineChart>
        <c:grouping val="standard"/>
        <c:varyColors val="0"/>
        <c:ser>
          <c:idx val="2"/>
          <c:order val="2"/>
          <c:tx>
            <c:strRef>
              <c:f>'Anál arrend finan LP'!$C$56</c:f>
              <c:strCache>
                <c:ptCount val="1"/>
                <c:pt idx="0">
                  <c:v>Flujo de caja libre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'Anál arrend finan LP'!$F$53:$Q$53</c:f>
              <c:strCache>
                <c:ptCount val="12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Dic</c:v>
                </c:pt>
                <c:pt idx="10">
                  <c:v>Ene</c:v>
                </c:pt>
                <c:pt idx="11">
                  <c:v>Feb</c:v>
                </c:pt>
              </c:strCache>
            </c:strRef>
          </c:cat>
          <c:val>
            <c:numRef>
              <c:f>'Anál arrend finan LP'!$F$56:$Q$56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7-4E18-9735-47AF3671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06671"/>
        <c:axId val="308899471"/>
      </c:lineChart>
      <c:catAx>
        <c:axId val="8730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81728"/>
        <c:crosses val="autoZero"/>
        <c:auto val="1"/>
        <c:lblAlgn val="ctr"/>
        <c:lblOffset val="100"/>
        <c:noMultiLvlLbl val="0"/>
      </c:catAx>
      <c:valAx>
        <c:axId val="873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3072128"/>
        <c:crosses val="autoZero"/>
        <c:crossBetween val="between"/>
      </c:valAx>
      <c:valAx>
        <c:axId val="3088994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8906671"/>
        <c:crosses val="max"/>
        <c:crossBetween val="between"/>
      </c:valAx>
      <c:catAx>
        <c:axId val="308906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899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</a:t>
            </a:r>
            <a:r>
              <a:rPr lang="es-CO" baseline="0"/>
              <a:t> vs Costo 2026 mensual (MCOP)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'Anál arrend finan LP'!$O$21</c:f>
              <c:strCache>
                <c:ptCount val="1"/>
                <c:pt idx="0">
                  <c:v>Ingreso promedio mensual </c:v>
                </c:pt>
              </c:strCache>
            </c:strRef>
          </c:tx>
          <c:spPr>
            <a:solidFill>
              <a:srgbClr val="56C9B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LP'!$Q$20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arrend finan LP'!$Q$21</c:f>
              <c:numCache>
                <c:formatCode>_("$"* #,##0.00_);_("$"* \(#,##0.00\);_("$"* "-"??_);_(@_)</c:formatCode>
                <c:ptCount val="1"/>
                <c:pt idx="0">
                  <c:v>0.18646170010450239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B-4C17-A504-088637CAF44F}"/>
            </c:ext>
          </c:extLst>
        </c:ser>
        <c:ser>
          <c:idx val="1"/>
          <c:order val="1"/>
          <c:tx>
            <c:strRef>
              <c:f>'Anál arrend finan LP'!$O$22</c:f>
              <c:strCache>
                <c:ptCount val="1"/>
                <c:pt idx="0">
                  <c:v>Costo promedio mensual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LP'!$Q$20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arrend finan LP'!$Q$22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B-4C17-A504-088637CAF44F}"/>
            </c:ext>
          </c:extLst>
        </c:ser>
        <c:ser>
          <c:idx val="2"/>
          <c:order val="2"/>
          <c:tx>
            <c:strRef>
              <c:f>'Anál arrend finan LP'!$O$23</c:f>
              <c:strCache>
                <c:ptCount val="1"/>
                <c:pt idx="0">
                  <c:v>Flujo de caja libre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 arrend finan LP'!$Q$20</c:f>
              <c:numCache>
                <c:formatCode>General</c:formatCode>
                <c:ptCount val="1"/>
                <c:pt idx="0">
                  <c:v>2026</c:v>
                </c:pt>
              </c:numCache>
            </c:numRef>
          </c:cat>
          <c:val>
            <c:numRef>
              <c:f>'Anál arrend finan LP'!$Q$23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B-4C17-A504-088637CAF4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085262608"/>
        <c:axId val="2085263568"/>
        <c:axId val="0"/>
      </c:bar3DChart>
      <c:catAx>
        <c:axId val="2085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63568"/>
        <c:crosses val="autoZero"/>
        <c:auto val="1"/>
        <c:lblAlgn val="ctr"/>
        <c:lblOffset val="100"/>
        <c:noMultiLvlLbl val="0"/>
      </c:catAx>
      <c:valAx>
        <c:axId val="208526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852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 1er año vs cuota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 arrend finan LP'!$A$8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15C1DA"/>
            </a:solidFill>
            <a:ln>
              <a:solidFill>
                <a:srgbClr val="15C1DA"/>
              </a:solidFill>
            </a:ln>
            <a:effectLst/>
          </c:spPr>
          <c:invertIfNegative val="0"/>
          <c:cat>
            <c:numRef>
              <c:f>'Anál arrend finan LP'!$J$3:$U$3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'Anál arrend finan LP'!$J$8:$U$8</c:f>
              <c:numCache>
                <c:formatCode>_-"$"\ * #,##0_-;\-"$"\ * #,##0_-;_-"$"\ * "-"??_-;_-@_-</c:formatCode>
                <c:ptCount val="12"/>
                <c:pt idx="0">
                  <c:v>196225.83055471763</c:v>
                </c:pt>
                <c:pt idx="1">
                  <c:v>233656.48013572081</c:v>
                </c:pt>
                <c:pt idx="2">
                  <c:v>212251.55886373934</c:v>
                </c:pt>
                <c:pt idx="3">
                  <c:v>205792.8453665548</c:v>
                </c:pt>
                <c:pt idx="4">
                  <c:v>206858.5972955137</c:v>
                </c:pt>
                <c:pt idx="5">
                  <c:v>220122.71467641165</c:v>
                </c:pt>
                <c:pt idx="6">
                  <c:v>216892.80762561847</c:v>
                </c:pt>
                <c:pt idx="7">
                  <c:v>202976.60834159263</c:v>
                </c:pt>
                <c:pt idx="8">
                  <c:v>182998.22128896127</c:v>
                </c:pt>
                <c:pt idx="9">
                  <c:v>174890.39638048873</c:v>
                </c:pt>
                <c:pt idx="10">
                  <c:v>184874.34072470962</c:v>
                </c:pt>
                <c:pt idx="11">
                  <c:v>223033.74856441614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0-4AAE-BDE8-94337D37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00286464"/>
        <c:axId val="1100285504"/>
      </c:barChart>
      <c:lineChart>
        <c:grouping val="standard"/>
        <c:varyColors val="0"/>
        <c:ser>
          <c:idx val="1"/>
          <c:order val="1"/>
          <c:tx>
            <c:strRef>
              <c:f>'Anál arrend finan LP'!$A$10</c:f>
              <c:strCache>
                <c:ptCount val="1"/>
                <c:pt idx="0">
                  <c:v>Cuota Banco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'Anál arrend finan LP'!$J$3:$BQ$3</c:f>
              <c:numCache>
                <c:formatCode>mmm\-yy</c:formatCode>
                <c:ptCount val="60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  <c:pt idx="22">
                  <c:v>46388</c:v>
                </c:pt>
                <c:pt idx="23">
                  <c:v>46419</c:v>
                </c:pt>
                <c:pt idx="24">
                  <c:v>46447</c:v>
                </c:pt>
                <c:pt idx="25">
                  <c:v>46478</c:v>
                </c:pt>
                <c:pt idx="26">
                  <c:v>46508</c:v>
                </c:pt>
                <c:pt idx="27">
                  <c:v>46539</c:v>
                </c:pt>
                <c:pt idx="28">
                  <c:v>46569</c:v>
                </c:pt>
                <c:pt idx="29">
                  <c:v>46600</c:v>
                </c:pt>
                <c:pt idx="30">
                  <c:v>46631</c:v>
                </c:pt>
                <c:pt idx="31">
                  <c:v>46661</c:v>
                </c:pt>
                <c:pt idx="32">
                  <c:v>46692</c:v>
                </c:pt>
                <c:pt idx="33">
                  <c:v>46722</c:v>
                </c:pt>
                <c:pt idx="34">
                  <c:v>46753</c:v>
                </c:pt>
                <c:pt idx="35">
                  <c:v>46784</c:v>
                </c:pt>
                <c:pt idx="36">
                  <c:v>46813</c:v>
                </c:pt>
                <c:pt idx="37">
                  <c:v>46844</c:v>
                </c:pt>
                <c:pt idx="38">
                  <c:v>46874</c:v>
                </c:pt>
                <c:pt idx="39">
                  <c:v>46905</c:v>
                </c:pt>
                <c:pt idx="40">
                  <c:v>46935</c:v>
                </c:pt>
                <c:pt idx="41">
                  <c:v>46966</c:v>
                </c:pt>
                <c:pt idx="42">
                  <c:v>46997</c:v>
                </c:pt>
                <c:pt idx="43">
                  <c:v>47027</c:v>
                </c:pt>
                <c:pt idx="44">
                  <c:v>47058</c:v>
                </c:pt>
                <c:pt idx="45">
                  <c:v>47088</c:v>
                </c:pt>
                <c:pt idx="46">
                  <c:v>47119</c:v>
                </c:pt>
                <c:pt idx="47">
                  <c:v>47150</c:v>
                </c:pt>
                <c:pt idx="48">
                  <c:v>47178</c:v>
                </c:pt>
                <c:pt idx="49">
                  <c:v>47209</c:v>
                </c:pt>
                <c:pt idx="50">
                  <c:v>47239</c:v>
                </c:pt>
                <c:pt idx="51">
                  <c:v>47270</c:v>
                </c:pt>
                <c:pt idx="52">
                  <c:v>47300</c:v>
                </c:pt>
                <c:pt idx="53">
                  <c:v>47331</c:v>
                </c:pt>
                <c:pt idx="54">
                  <c:v>47362</c:v>
                </c:pt>
                <c:pt idx="55">
                  <c:v>47392</c:v>
                </c:pt>
                <c:pt idx="56">
                  <c:v>47423</c:v>
                </c:pt>
                <c:pt idx="57">
                  <c:v>47453</c:v>
                </c:pt>
                <c:pt idx="58">
                  <c:v>47484</c:v>
                </c:pt>
                <c:pt idx="59">
                  <c:v>47515</c:v>
                </c:pt>
              </c:numCache>
            </c:numRef>
          </c:cat>
          <c:val>
            <c:numRef>
              <c:f>'Anál arrend finan LP'!$J$10:$BQ$10</c:f>
              <c:numCache>
                <c:formatCode>_-"$"\ * #,##0_-;\-"$"\ * #,##0_-;_-"$"\ 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0-4AAE-BDE8-94337D37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86464"/>
        <c:axId val="1100285504"/>
      </c:lineChart>
      <c:dateAx>
        <c:axId val="11002864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5504"/>
        <c:crosses val="autoZero"/>
        <c:auto val="1"/>
        <c:lblOffset val="100"/>
        <c:baseTimeUnit val="months"/>
      </c:dateAx>
      <c:valAx>
        <c:axId val="11002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2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5C1DA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Comparación</a:t>
            </a:r>
            <a:r>
              <a:rPr lang="es-CO" baseline="0"/>
              <a:t> Ebitda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EEFF!$A$16</c:f>
              <c:strCache>
                <c:ptCount val="1"/>
                <c:pt idx="0">
                  <c:v>Ebitda corto plazo</c:v>
                </c:pt>
              </c:strCache>
            </c:strRef>
          </c:tx>
          <c:spPr>
            <a:ln w="28575" cap="rnd">
              <a:solidFill>
                <a:srgbClr val="EEDC62"/>
              </a:solidFill>
              <a:round/>
            </a:ln>
            <a:effectLst/>
          </c:spPr>
          <c:marker>
            <c:symbol val="none"/>
          </c:marker>
          <c:cat>
            <c:numRef>
              <c:f>EEFF!$B$51:$U$51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EEFF!$B$16:$U$16</c:f>
              <c:numCache>
                <c:formatCode>_-"$"\ * #,##0_-;\-"$"\ * #,##0_-;_-"$"\ * "-"??_-;_-@_-</c:formatCode>
                <c:ptCount val="20"/>
                <c:pt idx="0">
                  <c:v>2142661.0147985332</c:v>
                </c:pt>
                <c:pt idx="1">
                  <c:v>2739002.9461833015</c:v>
                </c:pt>
                <c:pt idx="2">
                  <c:v>1226500.777244949</c:v>
                </c:pt>
                <c:pt idx="3">
                  <c:v>1400698.9525790284</c:v>
                </c:pt>
                <c:pt idx="4">
                  <c:v>1587834.3293184415</c:v>
                </c:pt>
                <c:pt idx="5">
                  <c:v>1378208.6281553868</c:v>
                </c:pt>
                <c:pt idx="6">
                  <c:v>1309739.9438430222</c:v>
                </c:pt>
                <c:pt idx="7">
                  <c:v>1438089.7155154736</c:v>
                </c:pt>
                <c:pt idx="8">
                  <c:v>1477661.8904081678</c:v>
                </c:pt>
                <c:pt idx="9">
                  <c:v>1540153.9933540651</c:v>
                </c:pt>
                <c:pt idx="10">
                  <c:v>1572149.0090497215</c:v>
                </c:pt>
                <c:pt idx="11">
                  <c:v>1614561.1839670499</c:v>
                </c:pt>
                <c:pt idx="12">
                  <c:v>1635473.6497109339</c:v>
                </c:pt>
                <c:pt idx="13">
                  <c:v>1666718.4296974551</c:v>
                </c:pt>
                <c:pt idx="14">
                  <c:v>1697624.3701984289</c:v>
                </c:pt>
                <c:pt idx="15">
                  <c:v>1739587.4182779547</c:v>
                </c:pt>
                <c:pt idx="16">
                  <c:v>1758223.3279745148</c:v>
                </c:pt>
                <c:pt idx="17">
                  <c:v>1787811.5251337169</c:v>
                </c:pt>
                <c:pt idx="18">
                  <c:v>1816851.0131272934</c:v>
                </c:pt>
                <c:pt idx="19">
                  <c:v>1854012.6583083575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E-481F-BFAB-08B4FBB12772}"/>
            </c:ext>
          </c:extLst>
        </c:ser>
        <c:ser>
          <c:idx val="1"/>
          <c:order val="1"/>
          <c:tx>
            <c:strRef>
              <c:f>EEFF!$A$62</c:f>
              <c:strCache>
                <c:ptCount val="1"/>
                <c:pt idx="0">
                  <c:v>Ebitda Mediano Plazo</c:v>
                </c:pt>
              </c:strCache>
            </c:strRef>
          </c:tx>
          <c:spPr>
            <a:ln w="28575" cap="rnd">
              <a:solidFill>
                <a:srgbClr val="15C1DA"/>
              </a:solidFill>
              <a:round/>
            </a:ln>
            <a:effectLst/>
          </c:spPr>
          <c:marker>
            <c:symbol val="none"/>
          </c:marker>
          <c:cat>
            <c:numRef>
              <c:f>EEFF!$B$51:$U$51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EEFF!$B$62:$U$62</c:f>
              <c:numCache>
                <c:formatCode>_-"$"\ * #,##0_-;\-"$"\ * #,##0_-;_-"$"\ 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1345618.2370897315</c:v>
                </c:pt>
                <c:pt idx="12">
                  <c:v>1362232.6266791092</c:v>
                </c:pt>
                <c:pt idx="13">
                  <c:v>1388350.031712136</c:v>
                </c:pt>
                <c:pt idx="14">
                  <c:v>1414066.8716831342</c:v>
                </c:pt>
                <c:pt idx="15">
                  <c:v>1449954.120386428</c:v>
                </c:pt>
                <c:pt idx="16">
                  <c:v>1464106.2063004943</c:v>
                </c:pt>
                <c:pt idx="17">
                  <c:v>1488326.0394874164</c:v>
                </c:pt>
                <c:pt idx="18">
                  <c:v>1511939.7670798826</c:v>
                </c:pt>
                <c:pt idx="19">
                  <c:v>1542149.2779879482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1E-481F-BFAB-08B4FBB12772}"/>
            </c:ext>
          </c:extLst>
        </c:ser>
        <c:ser>
          <c:idx val="2"/>
          <c:order val="2"/>
          <c:tx>
            <c:strRef>
              <c:f>EEFF!$A$98</c:f>
              <c:strCache>
                <c:ptCount val="1"/>
                <c:pt idx="0">
                  <c:v>Ebitda Largo plazo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EEFF!$B$51:$U$51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EEFF!$B$98:$U$98</c:f>
              <c:numCache>
                <c:formatCode>_-"$"\ * #,##0_-;\-"$"\ * #,##0_-;_-"$"\ 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1836782.1660955888</c:v>
                </c:pt>
                <c:pt idx="17">
                  <c:v>1949940.0379508925</c:v>
                </c:pt>
                <c:pt idx="18">
                  <c:v>2067164.3817189718</c:v>
                </c:pt>
                <c:pt idx="19">
                  <c:v>2198948.4001366245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1E-481F-BFAB-08B4FBB12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342416"/>
        <c:axId val="1606342896"/>
      </c:lineChart>
      <c:catAx>
        <c:axId val="16063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6342896"/>
        <c:crosses val="autoZero"/>
        <c:auto val="1"/>
        <c:lblAlgn val="ctr"/>
        <c:lblOffset val="100"/>
        <c:noMultiLvlLbl val="0"/>
      </c:catAx>
      <c:valAx>
        <c:axId val="1606342896"/>
        <c:scaling>
          <c:orientation val="minMax"/>
          <c:min val="4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Ebitda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634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Comparación flujo de caja operativo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EEFF!$A$32</c:f>
              <c:strCache>
                <c:ptCount val="1"/>
                <c:pt idx="0">
                  <c:v>FCO Corto Plazo</c:v>
                </c:pt>
              </c:strCache>
            </c:strRef>
          </c:tx>
          <c:spPr>
            <a:solidFill>
              <a:srgbClr val="EEDC62"/>
            </a:solidFill>
            <a:ln>
              <a:solidFill>
                <a:srgbClr val="EEDC62"/>
              </a:solidFill>
            </a:ln>
            <a:effectLst/>
          </c:spPr>
          <c:invertIfNegative val="0"/>
          <c:cat>
            <c:numRef>
              <c:f>EEFF!$B$51:$U$51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EEFF!$B$32:$U$32</c:f>
              <c:numCache>
                <c:formatCode>_-"$"\ * #,##0_-;\-"$"\ * #,##0_-;_-"$"\ * "-"??_-;_-@_-</c:formatCode>
                <c:ptCount val="20"/>
                <c:pt idx="0">
                  <c:v>2142661.0147985332</c:v>
                </c:pt>
                <c:pt idx="1">
                  <c:v>1888416.9236229656</c:v>
                </c:pt>
                <c:pt idx="2">
                  <c:v>-4684076.6057363013</c:v>
                </c:pt>
                <c:pt idx="3">
                  <c:v>-6169164.0435112417</c:v>
                </c:pt>
                <c:pt idx="4">
                  <c:v>-8107128.1196248569</c:v>
                </c:pt>
                <c:pt idx="5">
                  <c:v>-11038435.759591965</c:v>
                </c:pt>
                <c:pt idx="6">
                  <c:v>-13193943.225034926</c:v>
                </c:pt>
                <c:pt idx="7">
                  <c:v>1438089.7155154736</c:v>
                </c:pt>
                <c:pt idx="8">
                  <c:v>1477661.8904081678</c:v>
                </c:pt>
                <c:pt idx="9">
                  <c:v>1540153.9933540651</c:v>
                </c:pt>
                <c:pt idx="10">
                  <c:v>1572149.0090497215</c:v>
                </c:pt>
                <c:pt idx="11">
                  <c:v>1614561.1839670499</c:v>
                </c:pt>
                <c:pt idx="12">
                  <c:v>1635473.6497109339</c:v>
                </c:pt>
                <c:pt idx="13">
                  <c:v>1666718.4296974551</c:v>
                </c:pt>
                <c:pt idx="14">
                  <c:v>1697624.3701984289</c:v>
                </c:pt>
                <c:pt idx="15">
                  <c:v>1739587.4182779547</c:v>
                </c:pt>
                <c:pt idx="16">
                  <c:v>1758223.3279745148</c:v>
                </c:pt>
                <c:pt idx="17">
                  <c:v>1787811.5251337169</c:v>
                </c:pt>
                <c:pt idx="18">
                  <c:v>1816851.0131272934</c:v>
                </c:pt>
                <c:pt idx="19">
                  <c:v>1854012.6583083575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2A-4EEB-8111-670DFEFC1AE9}"/>
            </c:ext>
          </c:extLst>
        </c:ser>
        <c:ser>
          <c:idx val="4"/>
          <c:order val="1"/>
          <c:tx>
            <c:strRef>
              <c:f>EEFF!$A$77</c:f>
              <c:strCache>
                <c:ptCount val="1"/>
                <c:pt idx="0">
                  <c:v>FCO Mediano Plazo</c:v>
                </c:pt>
              </c:strCache>
            </c:strRef>
          </c:tx>
          <c:spPr>
            <a:solidFill>
              <a:srgbClr val="15C1DA"/>
            </a:solidFill>
            <a:ln>
              <a:solidFill>
                <a:srgbClr val="15C1DA"/>
              </a:solidFill>
            </a:ln>
            <a:effectLst/>
          </c:spPr>
          <c:invertIfNegative val="0"/>
          <c:cat>
            <c:numRef>
              <c:f>EEFF!$B$51:$U$51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EEFF!$B$77:$U$77</c:f>
              <c:numCache>
                <c:formatCode>_-"$"\ * #,##0_-;\-"$"\ * #,##0_-;_-"$"\ 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1345618.2370897315</c:v>
                </c:pt>
                <c:pt idx="12">
                  <c:v>1362232.6266791092</c:v>
                </c:pt>
                <c:pt idx="13">
                  <c:v>1388350.031712136</c:v>
                </c:pt>
                <c:pt idx="14">
                  <c:v>1414066.8716831342</c:v>
                </c:pt>
                <c:pt idx="15">
                  <c:v>1449954.120386428</c:v>
                </c:pt>
                <c:pt idx="16">
                  <c:v>1464106.2063004943</c:v>
                </c:pt>
                <c:pt idx="17">
                  <c:v>1488326.0394874164</c:v>
                </c:pt>
                <c:pt idx="18">
                  <c:v>1511939.7670798826</c:v>
                </c:pt>
                <c:pt idx="19">
                  <c:v>1542149.2779879482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2A-4EEB-8111-670DFEFC1AE9}"/>
            </c:ext>
          </c:extLst>
        </c:ser>
        <c:ser>
          <c:idx val="5"/>
          <c:order val="2"/>
          <c:tx>
            <c:strRef>
              <c:f>EEFF!$A$113</c:f>
              <c:strCache>
                <c:ptCount val="1"/>
                <c:pt idx="0">
                  <c:v>FCO Largo Plazo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EEFF!$B$113:$U$113</c:f>
              <c:numCache>
                <c:formatCode>_-"$"\ * #,##0_-;\-"$"\ * #,##0_-;_-"$"\ 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1836782.1660955888</c:v>
                </c:pt>
                <c:pt idx="17">
                  <c:v>1949940.0379508925</c:v>
                </c:pt>
                <c:pt idx="18">
                  <c:v>2067164.3817189718</c:v>
                </c:pt>
                <c:pt idx="19">
                  <c:v>2198948.4001366245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2A-4EEB-8111-670DFEFC1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6342416"/>
        <c:axId val="1606342896"/>
      </c:barChart>
      <c:dateAx>
        <c:axId val="16063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6342896"/>
        <c:crosses val="autoZero"/>
        <c:auto val="0"/>
        <c:lblOffset val="100"/>
        <c:baseTimeUnit val="days"/>
      </c:dateAx>
      <c:valAx>
        <c:axId val="16063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FCO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634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Escenario</a:t>
            </a:r>
            <a:r>
              <a:rPr lang="es-CO" baseline="0"/>
              <a:t> Corto Plazo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EEFF!$A$16</c:f>
              <c:strCache>
                <c:ptCount val="1"/>
                <c:pt idx="0">
                  <c:v>Ebitda corto plazo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EEFF!$B$5:$G$5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EEFF!$B$16:$G$16</c:f>
              <c:numCache>
                <c:formatCode>_-"$"\ * #,##0_-;\-"$"\ * #,##0_-;_-"$"\ * "-"??_-;_-@_-</c:formatCode>
                <c:ptCount val="6"/>
                <c:pt idx="0">
                  <c:v>2142661.0147985332</c:v>
                </c:pt>
                <c:pt idx="1">
                  <c:v>2739002.9461833015</c:v>
                </c:pt>
                <c:pt idx="2">
                  <c:v>1226500.777244949</c:v>
                </c:pt>
                <c:pt idx="3">
                  <c:v>1400698.9525790284</c:v>
                </c:pt>
                <c:pt idx="4">
                  <c:v>1587834.3293184415</c:v>
                </c:pt>
                <c:pt idx="5">
                  <c:v>1378208.6281553868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F-4A63-BFBA-69A39AF80776}"/>
            </c:ext>
          </c:extLst>
        </c:ser>
        <c:ser>
          <c:idx val="1"/>
          <c:order val="1"/>
          <c:tx>
            <c:strRef>
              <c:f>EEFF!$A$32</c:f>
              <c:strCache>
                <c:ptCount val="1"/>
                <c:pt idx="0">
                  <c:v>FCO Corto Plazo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EEFF!$B$5:$G$5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EEFF!$B$32:$G$32</c:f>
              <c:numCache>
                <c:formatCode>_-"$"\ * #,##0_-;\-"$"\ * #,##0_-;_-"$"\ * "-"??_-;_-@_-</c:formatCode>
                <c:ptCount val="6"/>
                <c:pt idx="0">
                  <c:v>2142661.0147985332</c:v>
                </c:pt>
                <c:pt idx="1">
                  <c:v>1888416.9236229656</c:v>
                </c:pt>
                <c:pt idx="2">
                  <c:v>-4684076.6057363013</c:v>
                </c:pt>
                <c:pt idx="3">
                  <c:v>-6169164.0435112417</c:v>
                </c:pt>
                <c:pt idx="4">
                  <c:v>-8107128.1196248569</c:v>
                </c:pt>
                <c:pt idx="5">
                  <c:v>-11038435.759591965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F-4A63-BFBA-69A39AF8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7097999"/>
        <c:axId val="1047098959"/>
      </c:barChart>
      <c:lineChart>
        <c:grouping val="standard"/>
        <c:varyColors val="0"/>
        <c:ser>
          <c:idx val="2"/>
          <c:order val="2"/>
          <c:tx>
            <c:strRef>
              <c:f>EEFF!$A$17</c:f>
              <c:strCache>
                <c:ptCount val="1"/>
                <c:pt idx="0">
                  <c:v>Margen 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EEFF!$B$17:$G$17</c:f>
              <c:numCache>
                <c:formatCode>0%</c:formatCode>
                <c:ptCount val="6"/>
                <c:pt idx="0">
                  <c:v>0.97</c:v>
                </c:pt>
                <c:pt idx="1">
                  <c:v>0.91549544105085612</c:v>
                </c:pt>
                <c:pt idx="2">
                  <c:v>0.39841779307883168</c:v>
                </c:pt>
                <c:pt idx="3">
                  <c:v>0.44094145102882754</c:v>
                </c:pt>
                <c:pt idx="4">
                  <c:v>0.48782033803792302</c:v>
                </c:pt>
                <c:pt idx="5">
                  <c:v>0.4132082644542644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4F-4A63-BFBA-69A39AF8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08495"/>
        <c:axId val="192904175"/>
      </c:lineChart>
      <c:catAx>
        <c:axId val="104709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7098959"/>
        <c:crosses val="autoZero"/>
        <c:auto val="1"/>
        <c:lblAlgn val="ctr"/>
        <c:lblOffset val="100"/>
        <c:noMultiLvlLbl val="0"/>
      </c:catAx>
      <c:valAx>
        <c:axId val="10470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7097999"/>
        <c:crosses val="autoZero"/>
        <c:crossBetween val="between"/>
      </c:valAx>
      <c:valAx>
        <c:axId val="19290417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08495"/>
        <c:crosses val="max"/>
        <c:crossBetween val="between"/>
      </c:valAx>
      <c:catAx>
        <c:axId val="192908495"/>
        <c:scaling>
          <c:orientation val="minMax"/>
        </c:scaling>
        <c:delete val="1"/>
        <c:axPos val="b"/>
        <c:majorTickMark val="out"/>
        <c:minorTickMark val="none"/>
        <c:tickLblPos val="nextTo"/>
        <c:crossAx val="19290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Escenario</a:t>
            </a:r>
            <a:r>
              <a:rPr lang="es-CO" baseline="0"/>
              <a:t> Mediano Plazo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EEFF!$A$62</c:f>
              <c:strCache>
                <c:ptCount val="1"/>
                <c:pt idx="0">
                  <c:v>Ebitda Mediano Plazo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EEFF!$B$5:$K$5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EEFF!$B$62:$K$62</c:f>
              <c:numCache>
                <c:formatCode>_-"$"\ * #,##0_-;\-"$"\ * #,##0_-;_-"$"\ 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4-48A0-8AB4-3739934D3688}"/>
            </c:ext>
          </c:extLst>
        </c:ser>
        <c:ser>
          <c:idx val="1"/>
          <c:order val="1"/>
          <c:tx>
            <c:strRef>
              <c:f>EEFF!$A$77</c:f>
              <c:strCache>
                <c:ptCount val="1"/>
                <c:pt idx="0">
                  <c:v>FCO Mediano Plazo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EEFF!$B$5:$K$5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EEFF!$B$77:$K$77</c:f>
              <c:numCache>
                <c:formatCode>_-"$"\ * #,##0_-;\-"$"\ * #,##0_-;_-"$"\ 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4-48A0-8AB4-3739934D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7097999"/>
        <c:axId val="1047098959"/>
      </c:barChart>
      <c:lineChart>
        <c:grouping val="standard"/>
        <c:varyColors val="0"/>
        <c:ser>
          <c:idx val="2"/>
          <c:order val="2"/>
          <c:tx>
            <c:strRef>
              <c:f>EEFF!$A$63</c:f>
              <c:strCache>
                <c:ptCount val="1"/>
                <c:pt idx="0">
                  <c:v>Margen 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EEFF!$B$63:$K$63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4-48A0-8AB4-3739934D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69759"/>
        <c:axId val="1039174559"/>
      </c:lineChart>
      <c:catAx>
        <c:axId val="104709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7098959"/>
        <c:crosses val="autoZero"/>
        <c:auto val="1"/>
        <c:lblAlgn val="ctr"/>
        <c:lblOffset val="100"/>
        <c:noMultiLvlLbl val="0"/>
      </c:catAx>
      <c:valAx>
        <c:axId val="10470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7097999"/>
        <c:crosses val="autoZero"/>
        <c:crossBetween val="between"/>
      </c:valAx>
      <c:valAx>
        <c:axId val="103917455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169759"/>
        <c:crosses val="max"/>
        <c:crossBetween val="between"/>
      </c:valAx>
      <c:catAx>
        <c:axId val="1039169759"/>
        <c:scaling>
          <c:orientation val="minMax"/>
        </c:scaling>
        <c:delete val="1"/>
        <c:axPos val="b"/>
        <c:majorTickMark val="out"/>
        <c:minorTickMark val="none"/>
        <c:tickLblPos val="nextTo"/>
        <c:crossAx val="103917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Escenario</a:t>
            </a:r>
            <a:r>
              <a:rPr lang="es-CO" baseline="0"/>
              <a:t> Largo Plazo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EEFF!$A$98</c:f>
              <c:strCache>
                <c:ptCount val="1"/>
                <c:pt idx="0">
                  <c:v>Ebitda Largo plazo</c:v>
                </c:pt>
              </c:strCache>
            </c:strRef>
          </c:tx>
          <c:spPr>
            <a:solidFill>
              <a:srgbClr val="15C1DA"/>
            </a:solidFill>
            <a:ln>
              <a:noFill/>
            </a:ln>
            <a:effectLst/>
          </c:spPr>
          <c:invertIfNegative val="0"/>
          <c:cat>
            <c:numRef>
              <c:f>EEFF!$B$87:$P$87</c:f>
              <c:numCache>
                <c:formatCode>General</c:formatCode>
                <c:ptCount val="1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</c:numCache>
            </c:numRef>
          </c:cat>
          <c:val>
            <c:numRef>
              <c:f>EEFF!$B$98:$P$98</c:f>
              <c:numCache>
                <c:formatCode>_-"$"\ * #,##0_-;\-"$"\ * #,##0_-;_-"$"\ 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7-43B2-B1CB-F8E91D0B6E45}"/>
            </c:ext>
          </c:extLst>
        </c:ser>
        <c:ser>
          <c:idx val="1"/>
          <c:order val="1"/>
          <c:tx>
            <c:strRef>
              <c:f>EEFF!$A$113</c:f>
              <c:strCache>
                <c:ptCount val="1"/>
                <c:pt idx="0">
                  <c:v>FCO Largo Plazo</c:v>
                </c:pt>
              </c:strCache>
            </c:strRef>
          </c:tx>
          <c:spPr>
            <a:solidFill>
              <a:srgbClr val="EEDC62"/>
            </a:solidFill>
            <a:ln>
              <a:noFill/>
            </a:ln>
            <a:effectLst/>
          </c:spPr>
          <c:invertIfNegative val="0"/>
          <c:cat>
            <c:numRef>
              <c:f>EEFF!$B$87:$P$87</c:f>
              <c:numCache>
                <c:formatCode>General</c:formatCode>
                <c:ptCount val="1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</c:numCache>
            </c:numRef>
          </c:cat>
          <c:val>
            <c:numRef>
              <c:f>EEFF!$B$113:$P$113</c:f>
              <c:numCache>
                <c:formatCode>_-"$"\ * #,##0_-;\-"$"\ * #,##0_-;_-"$"\ 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7-43B2-B1CB-F8E91D0B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7097999"/>
        <c:axId val="1047098959"/>
      </c:barChart>
      <c:lineChart>
        <c:grouping val="standard"/>
        <c:varyColors val="0"/>
        <c:ser>
          <c:idx val="2"/>
          <c:order val="2"/>
          <c:tx>
            <c:strRef>
              <c:f>EEFF!$A$99</c:f>
              <c:strCache>
                <c:ptCount val="1"/>
                <c:pt idx="0">
                  <c:v>Margen 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EEFF!$B$99:$P$99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7-43B2-B1CB-F8E91D0B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51519"/>
        <c:axId val="1039161119"/>
      </c:lineChart>
      <c:catAx>
        <c:axId val="104709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7098959"/>
        <c:crosses val="autoZero"/>
        <c:auto val="1"/>
        <c:lblAlgn val="ctr"/>
        <c:lblOffset val="100"/>
        <c:noMultiLvlLbl val="0"/>
      </c:catAx>
      <c:valAx>
        <c:axId val="10470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7097999"/>
        <c:crosses val="autoZero"/>
        <c:crossBetween val="between"/>
      </c:valAx>
      <c:valAx>
        <c:axId val="10391611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151519"/>
        <c:crosses val="max"/>
        <c:crossBetween val="between"/>
      </c:valAx>
      <c:catAx>
        <c:axId val="1039151519"/>
        <c:scaling>
          <c:orientation val="minMax"/>
        </c:scaling>
        <c:delete val="1"/>
        <c:axPos val="b"/>
        <c:majorTickMark val="out"/>
        <c:minorTickMark val="none"/>
        <c:tickLblPos val="nextTo"/>
        <c:crossAx val="103916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Comparativo Tarifas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EEFF!$A$123</c:f>
              <c:strCache>
                <c:ptCount val="1"/>
                <c:pt idx="0">
                  <c:v>Corto Plazo</c:v>
                </c:pt>
              </c:strCache>
            </c:strRef>
          </c:tx>
          <c:spPr>
            <a:ln w="28575" cap="rnd">
              <a:solidFill>
                <a:srgbClr val="EEDC62"/>
              </a:solidFill>
              <a:round/>
            </a:ln>
            <a:effectLst/>
          </c:spPr>
          <c:marker>
            <c:symbol val="none"/>
          </c:marker>
          <c:cat>
            <c:numRef>
              <c:f>EEFF!$B$122:$U$122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EEFF!$B$123:$U$123</c:f>
              <c:numCache>
                <c:formatCode>_-"$"\ * #,##0_-;\-"$"\ * #,##0_-;_-"$"\ * "-"??_-;_-@_-</c:formatCode>
                <c:ptCount val="20"/>
                <c:pt idx="0">
                  <c:v>117.76437779643382</c:v>
                </c:pt>
                <c:pt idx="1">
                  <c:v>120.70848724134466</c:v>
                </c:pt>
                <c:pt idx="2">
                  <c:v>124.32974185858502</c:v>
                </c:pt>
                <c:pt idx="3">
                  <c:v>128.0596341143426</c:v>
                </c:pt>
                <c:pt idx="4">
                  <c:v>131.90142313777287</c:v>
                </c:pt>
                <c:pt idx="5">
                  <c:v>135.8584658319061</c:v>
                </c:pt>
                <c:pt idx="6">
                  <c:v>139.93421980686321</c:v>
                </c:pt>
                <c:pt idx="7">
                  <c:v>144.13224640106918</c:v>
                </c:pt>
                <c:pt idx="8">
                  <c:v>148.45621379310126</c:v>
                </c:pt>
                <c:pt idx="9">
                  <c:v>152.90990020689432</c:v>
                </c:pt>
                <c:pt idx="10">
                  <c:v>157.49719721310109</c:v>
                </c:pt>
                <c:pt idx="11">
                  <c:v>162.22211312949415</c:v>
                </c:pt>
                <c:pt idx="12">
                  <c:v>167.0887765233789</c:v>
                </c:pt>
                <c:pt idx="13">
                  <c:v>172.1014398190803</c:v>
                </c:pt>
                <c:pt idx="14">
                  <c:v>177.26448301365278</c:v>
                </c:pt>
                <c:pt idx="15">
                  <c:v>182.58241750406228</c:v>
                </c:pt>
                <c:pt idx="16">
                  <c:v>188.05989002918412</c:v>
                </c:pt>
                <c:pt idx="17">
                  <c:v>193.70168673005966</c:v>
                </c:pt>
                <c:pt idx="18">
                  <c:v>199.51273733196146</c:v>
                </c:pt>
                <c:pt idx="19">
                  <c:v>205.4981194519203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C-4532-988A-2BD5850699E6}"/>
            </c:ext>
          </c:extLst>
        </c:ser>
        <c:ser>
          <c:idx val="1"/>
          <c:order val="1"/>
          <c:tx>
            <c:strRef>
              <c:f>EEFF!$A$124</c:f>
              <c:strCache>
                <c:ptCount val="1"/>
                <c:pt idx="0">
                  <c:v>Mediano Plazo</c:v>
                </c:pt>
              </c:strCache>
            </c:strRef>
          </c:tx>
          <c:spPr>
            <a:ln w="28575" cap="rnd">
              <a:solidFill>
                <a:srgbClr val="15C1DA"/>
              </a:solidFill>
              <a:round/>
            </a:ln>
            <a:effectLst/>
          </c:spPr>
          <c:marker>
            <c:symbol val="none"/>
          </c:marker>
          <c:cat>
            <c:numRef>
              <c:f>EEFF!$B$122:$U$122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EEFF!$B$124:$U$124</c:f>
              <c:numCache>
                <c:formatCode>_-"$"\ * #,##0_-;\-"$"\ * #,##0_-;_-"$"\ * "-"??_-;_-@_-</c:formatCode>
                <c:ptCount val="20"/>
                <c:pt idx="0">
                  <c:v>117.76437779643382</c:v>
                </c:pt>
                <c:pt idx="1">
                  <c:v>120.70848724134466</c:v>
                </c:pt>
                <c:pt idx="2">
                  <c:v>124.32974185858502</c:v>
                </c:pt>
                <c:pt idx="3">
                  <c:v>128.0596341143426</c:v>
                </c:pt>
                <c:pt idx="4">
                  <c:v>131.90142313777287</c:v>
                </c:pt>
                <c:pt idx="5">
                  <c:v>135.8584658319061</c:v>
                </c:pt>
                <c:pt idx="6">
                  <c:v>139.93421980686321</c:v>
                </c:pt>
                <c:pt idx="7">
                  <c:v>144.13224640106918</c:v>
                </c:pt>
                <c:pt idx="8">
                  <c:v>148.45621379310126</c:v>
                </c:pt>
                <c:pt idx="9">
                  <c:v>152.90990020689432</c:v>
                </c:pt>
                <c:pt idx="10">
                  <c:v>157.49719721310109</c:v>
                </c:pt>
                <c:pt idx="11">
                  <c:v>162.22211312949415</c:v>
                </c:pt>
                <c:pt idx="12">
                  <c:v>167.0887765233789</c:v>
                </c:pt>
                <c:pt idx="13">
                  <c:v>172.1014398190803</c:v>
                </c:pt>
                <c:pt idx="14">
                  <c:v>177.26448301365278</c:v>
                </c:pt>
                <c:pt idx="15">
                  <c:v>182.58241750406228</c:v>
                </c:pt>
                <c:pt idx="16">
                  <c:v>188.05989002918412</c:v>
                </c:pt>
                <c:pt idx="17">
                  <c:v>193.70168673005966</c:v>
                </c:pt>
                <c:pt idx="18">
                  <c:v>199.51273733196146</c:v>
                </c:pt>
                <c:pt idx="19">
                  <c:v>205.4981194519203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C-4532-988A-2BD5850699E6}"/>
            </c:ext>
          </c:extLst>
        </c:ser>
        <c:ser>
          <c:idx val="2"/>
          <c:order val="2"/>
          <c:tx>
            <c:strRef>
              <c:f>EEFF!$A$125</c:f>
              <c:strCache>
                <c:ptCount val="1"/>
                <c:pt idx="0">
                  <c:v>Largo Plazo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EEFF!$B$122:$U$122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EEFF!$B$125:$U$125</c:f>
              <c:numCache>
                <c:formatCode>_-"$"\ * #,##0_-;\-"$"\ * #,##0_-;_-"$"\ * "-"??_-;_-@_-</c:formatCode>
                <c:ptCount val="20"/>
                <c:pt idx="0">
                  <c:v>98.972189850194368</c:v>
                </c:pt>
                <c:pt idx="1">
                  <c:v>103.92079934270411</c:v>
                </c:pt>
                <c:pt idx="2">
                  <c:v>109.11683930983934</c:v>
                </c:pt>
                <c:pt idx="3">
                  <c:v>112.39034448913451</c:v>
                </c:pt>
                <c:pt idx="4">
                  <c:v>118.00986171359121</c:v>
                </c:pt>
                <c:pt idx="5">
                  <c:v>121.55015756499894</c:v>
                </c:pt>
                <c:pt idx="6">
                  <c:v>127.62766544324897</c:v>
                </c:pt>
                <c:pt idx="7">
                  <c:v>134.00904871541138</c:v>
                </c:pt>
                <c:pt idx="8">
                  <c:v>140.70950115118197</c:v>
                </c:pt>
                <c:pt idx="9">
                  <c:v>147.74497620874106</c:v>
                </c:pt>
                <c:pt idx="10">
                  <c:v>155.13222501917812</c:v>
                </c:pt>
                <c:pt idx="11">
                  <c:v>162.88883627013703</c:v>
                </c:pt>
                <c:pt idx="12">
                  <c:v>171.03327808364386</c:v>
                </c:pt>
                <c:pt idx="13">
                  <c:v>179.58494198782611</c:v>
                </c:pt>
                <c:pt idx="14">
                  <c:v>188.56418908721739</c:v>
                </c:pt>
                <c:pt idx="15">
                  <c:v>197.99239854157827</c:v>
                </c:pt>
                <c:pt idx="16">
                  <c:v>207.8920184686572</c:v>
                </c:pt>
                <c:pt idx="17">
                  <c:v>218.28661939208999</c:v>
                </c:pt>
                <c:pt idx="18">
                  <c:v>229.20095036169459</c:v>
                </c:pt>
                <c:pt idx="19">
                  <c:v>240.6609978797793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C-4532-988A-2BD58506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27695"/>
        <c:axId val="74828175"/>
      </c:lineChart>
      <c:catAx>
        <c:axId val="7482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828175"/>
        <c:crosses val="autoZero"/>
        <c:auto val="1"/>
        <c:lblAlgn val="ctr"/>
        <c:lblOffset val="100"/>
        <c:noMultiLvlLbl val="0"/>
      </c:catAx>
      <c:valAx>
        <c:axId val="748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82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Resumen!$U$17</c:f>
              <c:strCache>
                <c:ptCount val="1"/>
                <c:pt idx="0">
                  <c:v>Tarifa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C14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B0-4FE6-8DEB-4FF08237CEC6}"/>
              </c:ext>
            </c:extLst>
          </c:dPt>
          <c:dPt>
            <c:idx val="1"/>
            <c:invertIfNegative val="0"/>
            <c:bubble3D val="0"/>
            <c:spPr>
              <a:solidFill>
                <a:srgbClr val="3065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11-4D20-B208-DD597902B7D2}"/>
              </c:ext>
            </c:extLst>
          </c:dPt>
          <c:dPt>
            <c:idx val="2"/>
            <c:invertIfNegative val="0"/>
            <c:bubble3D val="0"/>
            <c:spPr>
              <a:solidFill>
                <a:srgbClr val="E6FEA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B0-4FE6-8DEB-4FF08237CE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Resumen!$T$18:$T$20</c:f>
              <c:strCache>
                <c:ptCount val="3"/>
                <c:pt idx="0">
                  <c:v>Tarifa actual</c:v>
                </c:pt>
                <c:pt idx="1">
                  <c:v>Tarifa con SSFV capital propio</c:v>
                </c:pt>
                <c:pt idx="2">
                  <c:v>Tarifa con SSFV financiamiento</c:v>
                </c:pt>
              </c:strCache>
            </c:strRef>
          </c:cat>
          <c:val>
            <c:numRef>
              <c:f>Resumen!$U$18:$U$20</c:f>
              <c:numCache>
                <c:formatCode>_-"$"\ * #,##0_-;\-"$"\ * #,##0_-;_-"$"\ * "-"??_-;_-@_-</c:formatCode>
                <c:ptCount val="3"/>
                <c:pt idx="0">
                  <c:v>1192.0232377511793</c:v>
                </c:pt>
                <c:pt idx="1">
                  <c:v>196.24517047078294</c:v>
                </c:pt>
                <c:pt idx="2">
                  <c:v>278.62683499589895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4D20-B208-DD597902B7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2352591"/>
        <c:axId val="112344431"/>
      </c:barChart>
      <c:lineChart>
        <c:grouping val="standard"/>
        <c:varyColors val="0"/>
        <c:ser>
          <c:idx val="1"/>
          <c:order val="1"/>
          <c:tx>
            <c:strRef>
              <c:f>Resumen!$V$17</c:f>
              <c:strCache>
                <c:ptCount val="1"/>
                <c:pt idx="0">
                  <c:v>Disminución</c:v>
                </c:pt>
              </c:strCache>
            </c:strRef>
          </c:tx>
          <c:spPr>
            <a:ln w="28575" cap="rnd">
              <a:solidFill>
                <a:srgbClr val="EEDC6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A3-4C0D-9101-81159EFED911}"/>
                </c:ext>
              </c:extLst>
            </c:dLbl>
            <c:dLbl>
              <c:idx val="1"/>
              <c:layout>
                <c:manualLayout>
                  <c:x val="7.6164874551971323E-2"/>
                  <c:y val="-4.00574928133983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A3-4C0D-9101-81159EFED9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Resumen!$T$18:$T$20</c:f>
              <c:strCache>
                <c:ptCount val="3"/>
                <c:pt idx="0">
                  <c:v>Tarifa actual</c:v>
                </c:pt>
                <c:pt idx="1">
                  <c:v>Tarifa con SSFV capital propio</c:v>
                </c:pt>
                <c:pt idx="2">
                  <c:v>Tarifa con SSFV financiamiento</c:v>
                </c:pt>
              </c:strCache>
            </c:strRef>
          </c:cat>
          <c:val>
            <c:numRef>
              <c:f>Resumen!$V$18:$V$20</c:f>
              <c:numCache>
                <c:formatCode>0%</c:formatCode>
                <c:ptCount val="3"/>
                <c:pt idx="0">
                  <c:v>1</c:v>
                </c:pt>
                <c:pt idx="1">
                  <c:v>0.83536799933446704</c:v>
                </c:pt>
                <c:pt idx="2">
                  <c:v>0.76625721196379992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A3-4C0D-9101-81159EFED9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8524240"/>
        <c:axId val="2128525680"/>
      </c:lineChart>
      <c:catAx>
        <c:axId val="11235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344431"/>
        <c:crosses val="autoZero"/>
        <c:auto val="1"/>
        <c:lblAlgn val="ctr"/>
        <c:lblOffset val="100"/>
        <c:noMultiLvlLbl val="0"/>
      </c:catAx>
      <c:valAx>
        <c:axId val="112344431"/>
        <c:scaling>
          <c:orientation val="minMax"/>
        </c:scaling>
        <c:delete val="0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352591"/>
        <c:crosses val="autoZero"/>
        <c:crossBetween val="between"/>
      </c:valAx>
      <c:valAx>
        <c:axId val="21285256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8524240"/>
        <c:crosses val="max"/>
        <c:crossBetween val="between"/>
      </c:valAx>
      <c:catAx>
        <c:axId val="212852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8525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Flujo</a:t>
            </a:r>
            <a:r>
              <a:rPr lang="es-CO" baseline="0"/>
              <a:t> de caja libre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Resumen!$B$53</c:f>
              <c:strCache>
                <c:ptCount val="1"/>
                <c:pt idx="0">
                  <c:v>5 años</c:v>
                </c:pt>
              </c:strCache>
            </c:strRef>
          </c:tx>
          <c:spPr>
            <a:ln w="28575" cap="rnd">
              <a:solidFill>
                <a:srgbClr val="EEDC62"/>
              </a:solidFill>
              <a:round/>
            </a:ln>
            <a:effectLst/>
          </c:spPr>
          <c:marker>
            <c:symbol val="none"/>
          </c:marker>
          <c:cat>
            <c:numRef>
              <c:f>Resumen!$C$52:$V$52</c:f>
              <c:numCache>
                <c:formatCode>General</c:formatCode>
                <c:ptCount val="1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</c:numCache>
            </c:numRef>
          </c:cat>
          <c:val>
            <c:numRef>
              <c:f>Resumen!$C$53:$V$53</c:f>
              <c:numCache>
                <c:formatCode>0</c:formatCode>
                <c:ptCount val="18"/>
                <c:pt idx="0">
                  <c:v>-7.1978911433949744E-2</c:v>
                </c:pt>
                <c:pt idx="1">
                  <c:v>-16.085566163773045</c:v>
                </c:pt>
                <c:pt idx="2">
                  <c:v>-15.908422554848858</c:v>
                </c:pt>
                <c:pt idx="3">
                  <c:v>-15.718936756860607</c:v>
                </c:pt>
                <c:pt idx="4">
                  <c:v>-15.926149625876247</c:v>
                </c:pt>
                <c:pt idx="5">
                  <c:v>-13.09141195818159</c:v>
                </c:pt>
                <c:pt idx="6">
                  <c:v>1.5434502162555332</c:v>
                </c:pt>
                <c:pt idx="7">
                  <c:v>1.5853082417403428</c:v>
                </c:pt>
                <c:pt idx="8">
                  <c:v>1.6508269180994111</c:v>
                </c:pt>
                <c:pt idx="9">
                  <c:v>1.6849381131630472</c:v>
                </c:pt>
                <c:pt idx="10">
                  <c:v>1.7298224469144716</c:v>
                </c:pt>
                <c:pt idx="11">
                  <c:v>1.7525769452960014</c:v>
                </c:pt>
                <c:pt idx="12">
                  <c:v>1.7860191716911635</c:v>
                </c:pt>
                <c:pt idx="13">
                  <c:v>1.8191490124192686</c:v>
                </c:pt>
                <c:pt idx="14">
                  <c:v>1.8637159745171807</c:v>
                </c:pt>
                <c:pt idx="15">
                  <c:v>1.8842735229776668</c:v>
                </c:pt>
                <c:pt idx="16">
                  <c:v>1.9161624475535599</c:v>
                </c:pt>
                <c:pt idx="17">
                  <c:v>1.947527261433327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5-4C8E-893C-4DE27B54DBBF}"/>
            </c:ext>
          </c:extLst>
        </c:ser>
        <c:ser>
          <c:idx val="1"/>
          <c:order val="1"/>
          <c:tx>
            <c:strRef>
              <c:f>Resumen!$B$54</c:f>
              <c:strCache>
                <c:ptCount val="1"/>
                <c:pt idx="0">
                  <c:v>10 años</c:v>
                </c:pt>
              </c:strCache>
            </c:strRef>
          </c:tx>
          <c:spPr>
            <a:ln w="28575" cap="rnd">
              <a:solidFill>
                <a:srgbClr val="15C1DA"/>
              </a:solidFill>
              <a:round/>
            </a:ln>
            <a:effectLst/>
          </c:spPr>
          <c:marker>
            <c:symbol val="none"/>
          </c:marker>
          <c:cat>
            <c:numRef>
              <c:f>Resumen!$C$52:$V$52</c:f>
              <c:numCache>
                <c:formatCode>General</c:formatCode>
                <c:ptCount val="1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</c:numCache>
            </c:numRef>
          </c:cat>
          <c:val>
            <c:numRef>
              <c:f>Resumen!$C$54:$V$54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1.7298224469144716</c:v>
                </c:pt>
                <c:pt idx="11">
                  <c:v>1.7525769452960014</c:v>
                </c:pt>
                <c:pt idx="12">
                  <c:v>1.7860191716911635</c:v>
                </c:pt>
                <c:pt idx="13">
                  <c:v>1.8191490124192686</c:v>
                </c:pt>
                <c:pt idx="14">
                  <c:v>1.8637159745171807</c:v>
                </c:pt>
                <c:pt idx="15">
                  <c:v>1.8842735229776668</c:v>
                </c:pt>
                <c:pt idx="16">
                  <c:v>1.9161624475535599</c:v>
                </c:pt>
                <c:pt idx="17">
                  <c:v>1.947527261433327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5-4C8E-893C-4DE27B54DBBF}"/>
            </c:ext>
          </c:extLst>
        </c:ser>
        <c:ser>
          <c:idx val="2"/>
          <c:order val="2"/>
          <c:tx>
            <c:strRef>
              <c:f>Resumen!$B$55</c:f>
              <c:strCache>
                <c:ptCount val="1"/>
                <c:pt idx="0">
                  <c:v>15 años</c:v>
                </c:pt>
              </c:strCache>
            </c:strRef>
          </c:tx>
          <c:spPr>
            <a:ln w="28575" cap="rnd">
              <a:solidFill>
                <a:srgbClr val="56C9B6"/>
              </a:solidFill>
              <a:round/>
            </a:ln>
            <a:effectLst/>
          </c:spPr>
          <c:marker>
            <c:symbol val="none"/>
          </c:marker>
          <c:cat>
            <c:numRef>
              <c:f>Resumen!$C$52:$V$52</c:f>
              <c:numCache>
                <c:formatCode>General</c:formatCode>
                <c:ptCount val="1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</c:numCache>
            </c:numRef>
          </c:cat>
          <c:val>
            <c:numRef>
              <c:f>Resumen!$C$55:$V$55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2.298357922749994</c:v>
                </c:pt>
                <c:pt idx="16">
                  <c:v>2.429066890290756</c:v>
                </c:pt>
                <c:pt idx="17">
                  <c:v>2.5644434999212034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5-4C8E-893C-4DE27B54D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630112"/>
        <c:axId val="789615232"/>
      </c:lineChart>
      <c:catAx>
        <c:axId val="7896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9615232"/>
        <c:crosses val="autoZero"/>
        <c:auto val="1"/>
        <c:lblAlgn val="ctr"/>
        <c:lblOffset val="100"/>
        <c:noMultiLvlLbl val="0"/>
      </c:catAx>
      <c:valAx>
        <c:axId val="7896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96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Comparativo</a:t>
            </a:r>
            <a:r>
              <a:rPr lang="es-CO" baseline="0"/>
              <a:t> </a:t>
            </a:r>
            <a:r>
              <a:rPr lang="es-CO"/>
              <a:t>Facturación de energia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Resumen!$B$13</c:f>
              <c:strCache>
                <c:ptCount val="1"/>
                <c:pt idx="0">
                  <c:v>Factura Actual Aire</c:v>
                </c:pt>
              </c:strCache>
            </c:strRef>
          </c:tx>
          <c:spPr>
            <a:solidFill>
              <a:srgbClr val="306549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3C-42C0-9F6C-C87A2C3543B7}"/>
                </c:ext>
              </c:extLst>
            </c:dLbl>
            <c:dLbl>
              <c:idx val="7"/>
              <c:layout>
                <c:manualLayout>
                  <c:x val="4.1095192048362372E-3"/>
                  <c:y val="-2.7586206896551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C-42C0-9F6C-C87A2C3543B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3C-42C0-9F6C-C87A2C3543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Resumen!$E$13:$Q$13</c:f>
              <c:numCache>
                <c:formatCode>0.000</c:formatCode>
                <c:ptCount val="13"/>
                <c:pt idx="0">
                  <c:v>2.36990067732</c:v>
                </c:pt>
                <c:pt idx="1">
                  <c:v>2.0295164372400003</c:v>
                </c:pt>
                <c:pt idx="2">
                  <c:v>2.3194225423800003</c:v>
                </c:pt>
                <c:pt idx="3">
                  <c:v>1.7283829817352001</c:v>
                </c:pt>
                <c:pt idx="4">
                  <c:v>1.7151708811104003</c:v>
                </c:pt>
                <c:pt idx="5">
                  <c:v>1.8655789686336</c:v>
                </c:pt>
                <c:pt idx="6">
                  <c:v>1.3880505944508001</c:v>
                </c:pt>
                <c:pt idx="7">
                  <c:v>1.5346186271160001</c:v>
                </c:pt>
                <c:pt idx="8">
                  <c:v>1.7327128032000001</c:v>
                </c:pt>
                <c:pt idx="9">
                  <c:v>1.5839343090000002</c:v>
                </c:pt>
                <c:pt idx="10">
                  <c:v>2.1714645355092004</c:v>
                </c:pt>
                <c:pt idx="11">
                  <c:v>2.1593051447364</c:v>
                </c:pt>
                <c:pt idx="12">
                  <c:v>2.4409976976396002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D-4535-A5F3-C3503D50435F}"/>
            </c:ext>
          </c:extLst>
        </c:ser>
        <c:ser>
          <c:idx val="1"/>
          <c:order val="1"/>
          <c:tx>
            <c:strRef>
              <c:f>Resumen!$B$30</c:f>
              <c:strCache>
                <c:ptCount val="1"/>
                <c:pt idx="0">
                  <c:v>Costo ESFV </c:v>
                </c:pt>
              </c:strCache>
            </c:strRef>
          </c:tx>
          <c:spPr>
            <a:solidFill>
              <a:srgbClr val="E6FEAC"/>
            </a:solidFill>
            <a:ln>
              <a:noFill/>
            </a:ln>
            <a:effectLst/>
          </c:spPr>
          <c:invertIfNegative val="0"/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Resumen!$E$15:$Q$15</c:f>
              <c:numCache>
                <c:formatCode>0.000</c:formatCode>
                <c:ptCount val="13"/>
                <c:pt idx="0">
                  <c:v>2.5000000000000001E-2</c:v>
                </c:pt>
                <c:pt idx="1">
                  <c:v>2.5000000000000001E-2</c:v>
                </c:pt>
                <c:pt idx="2">
                  <c:v>0.22575000000000001</c:v>
                </c:pt>
                <c:pt idx="3">
                  <c:v>2.5749999999999999E-2</c:v>
                </c:pt>
                <c:pt idx="4">
                  <c:v>2.5749999999999999E-2</c:v>
                </c:pt>
                <c:pt idx="5">
                  <c:v>0.23175000000000001</c:v>
                </c:pt>
                <c:pt idx="6">
                  <c:v>2.5749999999999999E-2</c:v>
                </c:pt>
                <c:pt idx="7">
                  <c:v>2.5749999999999999E-2</c:v>
                </c:pt>
                <c:pt idx="8">
                  <c:v>0.23175000000000001</c:v>
                </c:pt>
                <c:pt idx="9">
                  <c:v>2.5749999999999999E-2</c:v>
                </c:pt>
                <c:pt idx="10">
                  <c:v>2.5749999999999999E-2</c:v>
                </c:pt>
                <c:pt idx="11">
                  <c:v>0.23175000000000001</c:v>
                </c:pt>
                <c:pt idx="12">
                  <c:v>2.5749999999999999E-2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D-4535-A5F3-C3503D50435F}"/>
            </c:ext>
          </c:extLst>
        </c:ser>
        <c:ser>
          <c:idx val="3"/>
          <c:order val="3"/>
          <c:tx>
            <c:strRef>
              <c:f>Resumen!$B$14</c:f>
              <c:strCache>
                <c:ptCount val="1"/>
                <c:pt idx="0">
                  <c:v>Factura Futura Aire</c:v>
                </c:pt>
              </c:strCache>
            </c:strRef>
          </c:tx>
          <c:spPr>
            <a:solidFill>
              <a:srgbClr val="0C142E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5873221216041378E-2"/>
                  <c:y val="-4.59770114942528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C-42C0-9F6C-C87A2C3543B7}"/>
                </c:ext>
              </c:extLst>
            </c:dLbl>
            <c:dLbl>
              <c:idx val="7"/>
              <c:layout>
                <c:manualLayout>
                  <c:x val="0"/>
                  <c:y val="-9.1954022988505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C-42C0-9F6C-C87A2C3543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Resumen!$E$14:$Q$14</c:f>
              <c:numCache>
                <c:formatCode>0.000</c:formatCode>
                <c:ptCount val="13"/>
                <c:pt idx="0">
                  <c:v>0.45430194263742568</c:v>
                </c:pt>
                <c:pt idx="1">
                  <c:v>0.38460628135135233</c:v>
                </c:pt>
                <c:pt idx="2">
                  <c:v>0.41391961161297408</c:v>
                </c:pt>
                <c:pt idx="3">
                  <c:v>0.2461774583782938</c:v>
                </c:pt>
                <c:pt idx="4">
                  <c:v>-2.1986477665096638E-2</c:v>
                </c:pt>
                <c:pt idx="5">
                  <c:v>-0.17838206243173191</c:v>
                </c:pt>
                <c:pt idx="6">
                  <c:v>-0.14802969837092564</c:v>
                </c:pt>
                <c:pt idx="7">
                  <c:v>-7.0603695197075017E-2</c:v>
                </c:pt>
                <c:pt idx="8">
                  <c:v>-0.30764001395539564</c:v>
                </c:pt>
                <c:pt idx="9">
                  <c:v>-0.29977820685668072</c:v>
                </c:pt>
                <c:pt idx="10">
                  <c:v>-0.14989310418838883</c:v>
                </c:pt>
                <c:pt idx="11">
                  <c:v>-0.13713608383082729</c:v>
                </c:pt>
                <c:pt idx="12">
                  <c:v>0.46793100091654849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4D-4535-A5F3-C3503D504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63759"/>
        <c:axId val="113850799"/>
      </c:barChart>
      <c:lineChart>
        <c:grouping val="standard"/>
        <c:varyColors val="0"/>
        <c:ser>
          <c:idx val="2"/>
          <c:order val="2"/>
          <c:tx>
            <c:strRef>
              <c:f>Resumen!$B$17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rgbClr val="EEDC62"/>
              </a:solidFill>
              <a:round/>
            </a:ln>
            <a:effectLst/>
          </c:spPr>
          <c:marker>
            <c:symbol val="none"/>
          </c:marker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Resumen!$E$17:$Q$17</c:f>
              <c:numCache>
                <c:formatCode>0.000</c:formatCode>
                <c:ptCount val="13"/>
                <c:pt idx="0">
                  <c:v>1.8905987346825743</c:v>
                </c:pt>
                <c:pt idx="1">
                  <c:v>1.619910155888648</c:v>
                </c:pt>
                <c:pt idx="2">
                  <c:v>1.6797529307670263</c:v>
                </c:pt>
                <c:pt idx="3">
                  <c:v>1.4564555233569063</c:v>
                </c:pt>
                <c:pt idx="4">
                  <c:v>1.711407358775497</c:v>
                </c:pt>
                <c:pt idx="5">
                  <c:v>1.8122110310653319</c:v>
                </c:pt>
                <c:pt idx="6">
                  <c:v>1.5103302928217257</c:v>
                </c:pt>
                <c:pt idx="7">
                  <c:v>1.5794723223130751</c:v>
                </c:pt>
                <c:pt idx="8">
                  <c:v>1.8086028171553958</c:v>
                </c:pt>
                <c:pt idx="9">
                  <c:v>1.857962515856681</c:v>
                </c:pt>
                <c:pt idx="10">
                  <c:v>2.2956076396975891</c:v>
                </c:pt>
                <c:pt idx="11">
                  <c:v>2.0646912285672272</c:v>
                </c:pt>
                <c:pt idx="12">
                  <c:v>1.9473166967230517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D-4535-A5F3-C3503D504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63759"/>
        <c:axId val="113850799"/>
      </c:lineChart>
      <c:dateAx>
        <c:axId val="11386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50799"/>
        <c:crosses val="autoZero"/>
        <c:auto val="1"/>
        <c:lblOffset val="100"/>
        <c:baseTimeUnit val="months"/>
      </c:dateAx>
      <c:valAx>
        <c:axId val="113850799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637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Comparativo</a:t>
            </a:r>
            <a:r>
              <a:rPr lang="es-CO" baseline="0"/>
              <a:t> </a:t>
            </a:r>
            <a:r>
              <a:rPr lang="es-CO"/>
              <a:t>Facturación de energia con financiamiento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Resumen!$B$13</c:f>
              <c:strCache>
                <c:ptCount val="1"/>
                <c:pt idx="0">
                  <c:v>Factura Actual Aire</c:v>
                </c:pt>
              </c:strCache>
            </c:strRef>
          </c:tx>
          <c:spPr>
            <a:solidFill>
              <a:srgbClr val="306549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FC-4772-8675-E16CDC5928E9}"/>
                </c:ext>
              </c:extLst>
            </c:dLbl>
            <c:dLbl>
              <c:idx val="7"/>
              <c:layout>
                <c:manualLayout>
                  <c:x val="4.3122035360068202E-3"/>
                  <c:y val="-4.1379310344827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FC-4772-8675-E16CDC5928E9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FC-4772-8675-E16CDC592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Resumen!$E$13:$Q$13</c:f>
              <c:numCache>
                <c:formatCode>0.000</c:formatCode>
                <c:ptCount val="13"/>
                <c:pt idx="0">
                  <c:v>2.36990067732</c:v>
                </c:pt>
                <c:pt idx="1">
                  <c:v>2.0295164372400003</c:v>
                </c:pt>
                <c:pt idx="2">
                  <c:v>2.3194225423800003</c:v>
                </c:pt>
                <c:pt idx="3">
                  <c:v>1.7283829817352001</c:v>
                </c:pt>
                <c:pt idx="4">
                  <c:v>1.7151708811104003</c:v>
                </c:pt>
                <c:pt idx="5">
                  <c:v>1.8655789686336</c:v>
                </c:pt>
                <c:pt idx="6">
                  <c:v>1.3880505944508001</c:v>
                </c:pt>
                <c:pt idx="7">
                  <c:v>1.5346186271160001</c:v>
                </c:pt>
                <c:pt idx="8">
                  <c:v>1.7327128032000001</c:v>
                </c:pt>
                <c:pt idx="9">
                  <c:v>1.5839343090000002</c:v>
                </c:pt>
                <c:pt idx="10">
                  <c:v>2.1714645355092004</c:v>
                </c:pt>
                <c:pt idx="11">
                  <c:v>2.1593051447364</c:v>
                </c:pt>
                <c:pt idx="12">
                  <c:v>2.4409976976396002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C-4772-8675-E16CDC5928E9}"/>
            </c:ext>
          </c:extLst>
        </c:ser>
        <c:ser>
          <c:idx val="1"/>
          <c:order val="1"/>
          <c:tx>
            <c:strRef>
              <c:f>Resumen!$B$30</c:f>
              <c:strCache>
                <c:ptCount val="1"/>
                <c:pt idx="0">
                  <c:v>Costo ESFV </c:v>
                </c:pt>
              </c:strCache>
            </c:strRef>
          </c:tx>
          <c:spPr>
            <a:solidFill>
              <a:srgbClr val="E6FEAC"/>
            </a:solidFill>
            <a:ln>
              <a:noFill/>
            </a:ln>
            <a:effectLst/>
          </c:spPr>
          <c:invertIfNegative val="0"/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Resumen!$E$15:$Q$15</c:f>
              <c:numCache>
                <c:formatCode>0.000</c:formatCode>
                <c:ptCount val="13"/>
                <c:pt idx="0">
                  <c:v>2.5000000000000001E-2</c:v>
                </c:pt>
                <c:pt idx="1">
                  <c:v>2.5000000000000001E-2</c:v>
                </c:pt>
                <c:pt idx="2">
                  <c:v>0.22575000000000001</c:v>
                </c:pt>
                <c:pt idx="3">
                  <c:v>2.5749999999999999E-2</c:v>
                </c:pt>
                <c:pt idx="4">
                  <c:v>2.5749999999999999E-2</c:v>
                </c:pt>
                <c:pt idx="5">
                  <c:v>0.23175000000000001</c:v>
                </c:pt>
                <c:pt idx="6">
                  <c:v>2.5749999999999999E-2</c:v>
                </c:pt>
                <c:pt idx="7">
                  <c:v>2.5749999999999999E-2</c:v>
                </c:pt>
                <c:pt idx="8">
                  <c:v>0.23175000000000001</c:v>
                </c:pt>
                <c:pt idx="9">
                  <c:v>2.5749999999999999E-2</c:v>
                </c:pt>
                <c:pt idx="10">
                  <c:v>2.5749999999999999E-2</c:v>
                </c:pt>
                <c:pt idx="11">
                  <c:v>0.23175000000000001</c:v>
                </c:pt>
                <c:pt idx="12">
                  <c:v>2.5749999999999999E-2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C-4772-8675-E16CDC5928E9}"/>
            </c:ext>
          </c:extLst>
        </c:ser>
        <c:ser>
          <c:idx val="3"/>
          <c:order val="3"/>
          <c:tx>
            <c:strRef>
              <c:f>Resumen!$B$14</c:f>
              <c:strCache>
                <c:ptCount val="1"/>
                <c:pt idx="0">
                  <c:v>Factura Futura Aire</c:v>
                </c:pt>
              </c:strCache>
            </c:strRef>
          </c:tx>
          <c:spPr>
            <a:solidFill>
              <a:srgbClr val="0C142E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5092712376024149E-2"/>
                  <c:y val="3.62023712468882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FC-4772-8675-E16CDC5928E9}"/>
                </c:ext>
              </c:extLst>
            </c:dLbl>
            <c:dLbl>
              <c:idx val="7"/>
              <c:layout>
                <c:manualLayout>
                  <c:x val="0"/>
                  <c:y val="-9.1954022988505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FC-4772-8675-E16CDC592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Resumen!$E$14:$Q$14</c:f>
              <c:numCache>
                <c:formatCode>0.000</c:formatCode>
                <c:ptCount val="13"/>
                <c:pt idx="0">
                  <c:v>0.45430194263742568</c:v>
                </c:pt>
                <c:pt idx="1">
                  <c:v>0.38460628135135233</c:v>
                </c:pt>
                <c:pt idx="2">
                  <c:v>0.41391961161297408</c:v>
                </c:pt>
                <c:pt idx="3">
                  <c:v>0.2461774583782938</c:v>
                </c:pt>
                <c:pt idx="4">
                  <c:v>-2.1986477665096638E-2</c:v>
                </c:pt>
                <c:pt idx="5">
                  <c:v>-0.17838206243173191</c:v>
                </c:pt>
                <c:pt idx="6">
                  <c:v>-0.14802969837092564</c:v>
                </c:pt>
                <c:pt idx="7">
                  <c:v>-7.0603695197075017E-2</c:v>
                </c:pt>
                <c:pt idx="8">
                  <c:v>-0.30764001395539564</c:v>
                </c:pt>
                <c:pt idx="9">
                  <c:v>-0.29977820685668072</c:v>
                </c:pt>
                <c:pt idx="10">
                  <c:v>-0.14989310418838883</c:v>
                </c:pt>
                <c:pt idx="11">
                  <c:v>-0.13713608383082729</c:v>
                </c:pt>
                <c:pt idx="12">
                  <c:v>0.46793100091654849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FC-4772-8675-E16CDC59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63759"/>
        <c:axId val="113850799"/>
      </c:barChart>
      <c:lineChart>
        <c:grouping val="standard"/>
        <c:varyColors val="0"/>
        <c:ser>
          <c:idx val="2"/>
          <c:order val="2"/>
          <c:tx>
            <c:strRef>
              <c:f>Resumen!$B$17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rgbClr val="EEDC62"/>
              </a:solidFill>
              <a:round/>
            </a:ln>
            <a:effectLst/>
          </c:spPr>
          <c:marker>
            <c:symbol val="none"/>
          </c:marker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Resumen!$E$17:$Q$17</c:f>
              <c:numCache>
                <c:formatCode>0.000</c:formatCode>
                <c:ptCount val="13"/>
                <c:pt idx="0">
                  <c:v>1.8905987346825743</c:v>
                </c:pt>
                <c:pt idx="1">
                  <c:v>1.619910155888648</c:v>
                </c:pt>
                <c:pt idx="2">
                  <c:v>1.6797529307670263</c:v>
                </c:pt>
                <c:pt idx="3">
                  <c:v>1.4564555233569063</c:v>
                </c:pt>
                <c:pt idx="4">
                  <c:v>1.711407358775497</c:v>
                </c:pt>
                <c:pt idx="5">
                  <c:v>1.8122110310653319</c:v>
                </c:pt>
                <c:pt idx="6">
                  <c:v>1.5103302928217257</c:v>
                </c:pt>
                <c:pt idx="7">
                  <c:v>1.5794723223130751</c:v>
                </c:pt>
                <c:pt idx="8">
                  <c:v>1.8086028171553958</c:v>
                </c:pt>
                <c:pt idx="9">
                  <c:v>1.857962515856681</c:v>
                </c:pt>
                <c:pt idx="10">
                  <c:v>2.2956076396975891</c:v>
                </c:pt>
                <c:pt idx="11">
                  <c:v>2.0646912285672272</c:v>
                </c:pt>
                <c:pt idx="12">
                  <c:v>1.9473166967230517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FC-4772-8675-E16CDC5928E9}"/>
            </c:ext>
          </c:extLst>
        </c:ser>
        <c:ser>
          <c:idx val="4"/>
          <c:order val="4"/>
          <c:tx>
            <c:strRef>
              <c:f>Resumen!$B$23</c:f>
              <c:strCache>
                <c:ptCount val="1"/>
                <c:pt idx="0">
                  <c:v>Préstamo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Resumen!$E$12:$Q$12</c:f>
              <c:numCache>
                <c:formatCode>mmm\-yy</c:formatCode>
                <c:ptCount val="13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  <c:pt idx="12">
                  <c:v>46692</c:v>
                </c:pt>
              </c:numCache>
            </c:numRef>
          </c:cat>
          <c:val>
            <c:numRef>
              <c:f>Resumen!$E$23:$Q$23</c:f>
              <c:numCache>
                <c:formatCode>0.000</c:formatCode>
                <c:ptCount val="13"/>
                <c:pt idx="0">
                  <c:v>1.5071513897862288</c:v>
                </c:pt>
                <c:pt idx="1">
                  <c:v>1.5066533935923401</c:v>
                </c:pt>
                <c:pt idx="2">
                  <c:v>1.5061450224777448</c:v>
                </c:pt>
                <c:pt idx="3">
                  <c:v>1.5056260602982627</c:v>
                </c:pt>
                <c:pt idx="4">
                  <c:v>1.5050962864067077</c:v>
                </c:pt>
                <c:pt idx="5">
                  <c:v>1.5045554755590789</c:v>
                </c:pt>
                <c:pt idx="6">
                  <c:v>1.504003397818791</c:v>
                </c:pt>
                <c:pt idx="7">
                  <c:v>1.5034398184589137</c:v>
                </c:pt>
                <c:pt idx="8">
                  <c:v>1.5028644978623726</c:v>
                </c:pt>
                <c:pt idx="9">
                  <c:v>1.5022771914200699</c:v>
                </c:pt>
                <c:pt idx="10">
                  <c:v>1.5016776494268862</c:v>
                </c:pt>
                <c:pt idx="11">
                  <c:v>1.5010656169755108</c:v>
                </c:pt>
                <c:pt idx="12">
                  <c:v>1.5004408338480653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FC-4772-8675-E16CDC59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63759"/>
        <c:axId val="113850799"/>
      </c:lineChart>
      <c:dateAx>
        <c:axId val="11386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50799"/>
        <c:crosses val="autoZero"/>
        <c:auto val="1"/>
        <c:lblOffset val="100"/>
        <c:baseTimeUnit val="months"/>
      </c:dateAx>
      <c:valAx>
        <c:axId val="113850799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637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FDB6F7-9DFC-45DF-9F40-E76138B39B52}">
  <sheetPr/>
  <sheetViews>
    <sheetView zoomScale="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4" Type="http://schemas.openxmlformats.org/officeDocument/2006/relationships/chart" Target="../charts/chart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502758</xdr:colOff>
      <xdr:row>10</xdr:row>
      <xdr:rowOff>164803</xdr:rowOff>
    </xdr:from>
    <xdr:to>
      <xdr:col>18</xdr:col>
      <xdr:colOff>606681</xdr:colOff>
      <xdr:row>30</xdr:row>
      <xdr:rowOff>39073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ACC1AE1-8019-DF92-EDD6-9F99FB9EE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81063</xdr:colOff>
      <xdr:row>43</xdr:row>
      <xdr:rowOff>56258</xdr:rowOff>
    </xdr:from>
    <xdr:to>
      <xdr:col>2</xdr:col>
      <xdr:colOff>1223101</xdr:colOff>
      <xdr:row>52</xdr:row>
      <xdr:rowOff>178331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96B116-50C1-FA8E-DBA1-2D46B18EE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63" y="8073471"/>
          <a:ext cx="5738357" cy="1800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501903</xdr:colOff>
      <xdr:row>99</xdr:row>
      <xdr:rowOff>91594</xdr:rowOff>
    </xdr:from>
    <xdr:to>
      <xdr:col>6</xdr:col>
      <xdr:colOff>1411868</xdr:colOff>
      <xdr:row>113</xdr:row>
      <xdr:rowOff>49259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C58C94-3295-997F-C64D-CB2F1F172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5103" y="17922394"/>
          <a:ext cx="4332038" cy="24791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3219450</xdr:colOff>
      <xdr:row>10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1BE9918-8CB1-4E97-C238-A0F731B2EC1C}"/>
            </a:ext>
            <a:ext uri="{147F2762-F138-4A5C-976F-8EAC2B608ADB}">
              <a16:predDERef xmlns:a16="http://schemas.microsoft.com/office/drawing/2014/main" pred="{DDC58C94-3295-997F-C64D-CB2F1F172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975"/>
          <a:ext cx="3400425" cy="1657350"/>
        </a:xfrm>
        <a:prstGeom prst="rect">
          <a:avLst/>
        </a:prstGeom>
      </xdr:spPr>
    </xdr:pic>
    <xdr:clientData/>
  </xdr:twoCellAnchor>
  <xdr:twoCellAnchor>
    <xdr:from>
      <xdr:col>9</xdr:col>
      <xdr:colOff>91440</xdr:colOff>
      <xdr:row>102</xdr:row>
      <xdr:rowOff>76200</xdr:rowOff>
    </xdr:from>
    <xdr:to>
      <xdr:col>9</xdr:col>
      <xdr:colOff>358140</xdr:colOff>
      <xdr:row>103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1E14A4E-8288-ADA4-8A15-523E95107004}"/>
            </a:ext>
          </a:extLst>
        </xdr:cNvPr>
        <xdr:cNvSpPr/>
      </xdr:nvSpPr>
      <xdr:spPr>
        <a:xfrm>
          <a:off x="11932920" y="13243560"/>
          <a:ext cx="266700" cy="106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743857</xdr:colOff>
      <xdr:row>104</xdr:row>
      <xdr:rowOff>48382</xdr:rowOff>
    </xdr:from>
    <xdr:to>
      <xdr:col>5</xdr:col>
      <xdr:colOff>1572381</xdr:colOff>
      <xdr:row>104</xdr:row>
      <xdr:rowOff>163287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EC9ECD9-0D44-3050-C81E-B1C5CAEB3C52}"/>
            </a:ext>
          </a:extLst>
        </xdr:cNvPr>
        <xdr:cNvSpPr txBox="1"/>
      </xdr:nvSpPr>
      <xdr:spPr>
        <a:xfrm>
          <a:off x="7976809" y="15651239"/>
          <a:ext cx="828524" cy="114905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6</xdr:col>
      <xdr:colOff>901095</xdr:colOff>
      <xdr:row>103</xdr:row>
      <xdr:rowOff>157240</xdr:rowOff>
    </xdr:from>
    <xdr:to>
      <xdr:col>6</xdr:col>
      <xdr:colOff>1457475</xdr:colOff>
      <xdr:row>104</xdr:row>
      <xdr:rowOff>84668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557C1B8-7D0D-5F60-EC05-53347465AF1F}"/>
            </a:ext>
          </a:extLst>
        </xdr:cNvPr>
        <xdr:cNvSpPr txBox="1"/>
      </xdr:nvSpPr>
      <xdr:spPr>
        <a:xfrm>
          <a:off x="10885714" y="18844383"/>
          <a:ext cx="556380" cy="108856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 editAs="oneCell">
    <xdr:from>
      <xdr:col>3</xdr:col>
      <xdr:colOff>725714</xdr:colOff>
      <xdr:row>114</xdr:row>
      <xdr:rowOff>42333</xdr:rowOff>
    </xdr:from>
    <xdr:to>
      <xdr:col>10</xdr:col>
      <xdr:colOff>132485</xdr:colOff>
      <xdr:row>137</xdr:row>
      <xdr:rowOff>121804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3C19432-C814-DBE0-182E-7C8BE9C8B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1190" y="16733762"/>
          <a:ext cx="7468247" cy="425232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7</xdr:col>
      <xdr:colOff>99009</xdr:colOff>
      <xdr:row>159</xdr:row>
      <xdr:rowOff>120793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022645A-25AF-857C-4772-03405505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67714" y="21227143"/>
          <a:ext cx="4991533" cy="374936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15</xdr:col>
      <xdr:colOff>686130</xdr:colOff>
      <xdr:row>169</xdr:row>
      <xdr:rowOff>164481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27C796-467F-46B2-AD92-6D3D6C64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60238" y="25400000"/>
          <a:ext cx="9388654" cy="5425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637278</xdr:colOff>
      <xdr:row>158</xdr:row>
      <xdr:rowOff>60960</xdr:rowOff>
    </xdr:from>
    <xdr:to>
      <xdr:col>11</xdr:col>
      <xdr:colOff>229236</xdr:colOff>
      <xdr:row>191</xdr:row>
      <xdr:rowOff>114883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2255A03-E053-A5E1-42B0-9D181AB13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6998" y="28956000"/>
          <a:ext cx="6655698" cy="6088962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</xdr:colOff>
      <xdr:row>174</xdr:row>
      <xdr:rowOff>53340</xdr:rowOff>
    </xdr:from>
    <xdr:to>
      <xdr:col>22</xdr:col>
      <xdr:colOff>313122</xdr:colOff>
      <xdr:row>208</xdr:row>
      <xdr:rowOff>137706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FA27B2F-01F7-F1E4-7674-EB71EC524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9280" y="31874460"/>
          <a:ext cx="8100762" cy="6302286"/>
        </a:xfrm>
        <a:prstGeom prst="rect">
          <a:avLst/>
        </a:prstGeom>
      </xdr:spPr>
    </xdr:pic>
    <xdr:clientData/>
  </xdr:twoCellAnchor>
  <xdr:twoCellAnchor editAs="oneCell">
    <xdr:from>
      <xdr:col>2</xdr:col>
      <xdr:colOff>278956</xdr:colOff>
      <xdr:row>191</xdr:row>
      <xdr:rowOff>160020</xdr:rowOff>
    </xdr:from>
    <xdr:to>
      <xdr:col>11</xdr:col>
      <xdr:colOff>229267</xdr:colOff>
      <xdr:row>224</xdr:row>
      <xdr:rowOff>8179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DF30C6F-FC43-D0C1-F75E-6E30D42E8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8676" y="35090100"/>
          <a:ext cx="7014051" cy="588320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210</xdr:row>
      <xdr:rowOff>152400</xdr:rowOff>
    </xdr:from>
    <xdr:to>
      <xdr:col>21</xdr:col>
      <xdr:colOff>366398</xdr:colOff>
      <xdr:row>244</xdr:row>
      <xdr:rowOff>152939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A2D614E-27D0-31E9-9DEE-F194FB5DD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86900" y="38557200"/>
          <a:ext cx="7361558" cy="62184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800099</xdr:colOff>
      <xdr:row>1</xdr:row>
      <xdr:rowOff>19050</xdr:rowOff>
    </xdr:to>
    <xdr:pic>
      <xdr:nvPicPr>
        <xdr:cNvPr id="2" name="Imagen 1" descr="elemento decorativo">
          <a:extLst>
            <a:ext uri="{FF2B5EF4-FFF2-40B4-BE49-F238E27FC236}">
              <a16:creationId xmlns:a16="http://schemas.microsoft.com/office/drawing/2014/main" id="{1237870C-966E-4BDC-B5FA-DADF0A073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" y="16054"/>
          <a:ext cx="904874" cy="7726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800099</xdr:colOff>
      <xdr:row>1</xdr:row>
      <xdr:rowOff>19050</xdr:rowOff>
    </xdr:to>
    <xdr:pic>
      <xdr:nvPicPr>
        <xdr:cNvPr id="2" name="Imagen 1" descr="elemento decorativo">
          <a:extLst>
            <a:ext uri="{FF2B5EF4-FFF2-40B4-BE49-F238E27FC236}">
              <a16:creationId xmlns:a16="http://schemas.microsoft.com/office/drawing/2014/main" id="{520CD6CB-4DF6-417C-A290-28CCC997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" y="16054"/>
          <a:ext cx="904874" cy="7726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800099</xdr:colOff>
      <xdr:row>1</xdr:row>
      <xdr:rowOff>19050</xdr:rowOff>
    </xdr:to>
    <xdr:pic>
      <xdr:nvPicPr>
        <xdr:cNvPr id="2" name="Imagen 1" descr="elemento decorativo">
          <a:extLst>
            <a:ext uri="{FF2B5EF4-FFF2-40B4-BE49-F238E27FC236}">
              <a16:creationId xmlns:a16="http://schemas.microsoft.com/office/drawing/2014/main" id="{8396EA05-F577-44ED-85C6-B28A0F51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" y="16054"/>
          <a:ext cx="904874" cy="772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1036320</xdr:colOff>
      <xdr:row>15</xdr:row>
      <xdr:rowOff>167640</xdr:rowOff>
    </xdr:from>
    <xdr:to>
      <xdr:col>14</xdr:col>
      <xdr:colOff>228600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38BF26-787C-62C4-062B-B8DB7FDC8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198120</xdr:colOff>
      <xdr:row>80</xdr:row>
      <xdr:rowOff>148590</xdr:rowOff>
    </xdr:from>
    <xdr:to>
      <xdr:col>8</xdr:col>
      <xdr:colOff>701040</xdr:colOff>
      <xdr:row>95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4456D6-5667-7C52-209A-351F2DA05518}"/>
            </a:ext>
            <a:ext uri="{147F2762-F138-4A5C-976F-8EAC2B608ADB}">
              <a16:predDERef xmlns:a16="http://schemas.microsoft.com/office/drawing/2014/main" pred="{4F38BF26-787C-62C4-062B-B8DB7FDC8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1005840</xdr:colOff>
      <xdr:row>80</xdr:row>
      <xdr:rowOff>152400</xdr:rowOff>
    </xdr:from>
    <xdr:to>
      <xdr:col>14</xdr:col>
      <xdr:colOff>129540</xdr:colOff>
      <xdr:row>95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2E7E15-6D0E-48B6-9448-278584F6AED7}"/>
            </a:ext>
            <a:ext uri="{147F2762-F138-4A5C-976F-8EAC2B608ADB}">
              <a16:predDERef xmlns:a16="http://schemas.microsoft.com/office/drawing/2014/main" pred="{034456D6-5667-7C52-209A-351F2DA05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3</xdr:col>
      <xdr:colOff>1379220</xdr:colOff>
      <xdr:row>96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AE8FC57-BAF1-40A7-85AB-6C43175F6239}"/>
            </a:ext>
            <a:ext uri="{147F2762-F138-4A5C-976F-8EAC2B608ADB}">
              <a16:predDERef xmlns:a16="http://schemas.microsoft.com/office/drawing/2014/main" pred="{A02E7E15-6D0E-48B6-9448-278584F6A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510540</xdr:colOff>
      <xdr:row>17</xdr:row>
      <xdr:rowOff>120015</xdr:rowOff>
    </xdr:from>
    <xdr:to>
      <xdr:col>14</xdr:col>
      <xdr:colOff>121920</xdr:colOff>
      <xdr:row>32</xdr:row>
      <xdr:rowOff>165735</xdr:rowOff>
    </xdr:to>
    <xdr:graphicFrame macro="">
      <xdr:nvGraphicFramePr>
        <xdr:cNvPr id="3" name="Gráfico 8">
          <a:extLst>
            <a:ext uri="{FF2B5EF4-FFF2-40B4-BE49-F238E27FC236}">
              <a16:creationId xmlns:a16="http://schemas.microsoft.com/office/drawing/2014/main" id="{51C5F753-4515-45CF-921D-11E122E5CA96}"/>
            </a:ext>
            <a:ext uri="{147F2762-F138-4A5C-976F-8EAC2B608ADB}">
              <a16:predDERef xmlns:a16="http://schemas.microsoft.com/office/drawing/2014/main" pred="{AAE8FC57-BAF1-40A7-85AB-6C43175F6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0.10628</cdr:x>
      <cdr:y>0.11403</cdr:y>
    </cdr:from>
    <cdr:to>
      <cdr:x>0.38128</cdr:x>
      <cdr:y>0.34736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2E997C9-C52F-08E1-FE60-2B3161899203}"/>
            </a:ext>
          </a:extLst>
        </cdr:cNvPr>
        <cdr:cNvSpPr txBox="1"/>
      </cdr:nvSpPr>
      <cdr:spPr>
        <a:xfrm xmlns:a="http://schemas.openxmlformats.org/drawingml/2006/main">
          <a:off x="597670" y="329319"/>
          <a:ext cx="1546479" cy="6738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/>
            <a:t>Energia Importada</a:t>
          </a:r>
        </a:p>
        <a:p xmlns:a="http://schemas.openxmlformats.org/drawingml/2006/main">
          <a:r>
            <a:rPr lang="es-CO" sz="1100"/>
            <a:t>1154 </a:t>
          </a:r>
          <a:r>
            <a:rPr lang="es-CO" sz="1100" baseline="0"/>
            <a:t> </a:t>
          </a:r>
          <a:r>
            <a:rPr lang="es-CO" sz="1100"/>
            <a:t>kWh-mes</a:t>
          </a:r>
        </a:p>
        <a:p xmlns:a="http://schemas.openxmlformats.org/drawingml/2006/main">
          <a:r>
            <a:rPr lang="es-CO" sz="1100"/>
            <a:t>(66%)</a:t>
          </a:r>
        </a:p>
      </cdr:txBody>
    </cdr:sp>
  </cdr:relSizeAnchor>
  <cdr:relSizeAnchor xmlns:cdr="http://schemas.openxmlformats.org/drawingml/2006/chartDrawing">
    <cdr:from>
      <cdr:x>0.21296</cdr:x>
      <cdr:y>0.32226</cdr:y>
    </cdr:from>
    <cdr:to>
      <cdr:x>0.21339</cdr:x>
      <cdr:y>0.58811</cdr:y>
    </cdr:to>
    <cdr:cxnSp macro="">
      <cdr:nvCxnSpPr>
        <cdr:cNvPr id="4" name="Conector recto de flecha 3">
          <a:extLst xmlns:a="http://schemas.openxmlformats.org/drawingml/2006/main">
            <a:ext uri="{FF2B5EF4-FFF2-40B4-BE49-F238E27FC236}">
              <a16:creationId xmlns:a16="http://schemas.microsoft.com/office/drawing/2014/main" id="{6743B383-A069-FC56-3440-47B9CBDFEEED}"/>
            </a:ext>
          </a:extLst>
        </cdr:cNvPr>
        <cdr:cNvCxnSpPr/>
      </cdr:nvCxnSpPr>
      <cdr:spPr>
        <a:xfrm xmlns:a="http://schemas.openxmlformats.org/drawingml/2006/main">
          <a:off x="1163524" y="898768"/>
          <a:ext cx="2336" cy="74143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0.67847</cdr:x>
      <cdr:y>0.10186</cdr:y>
    </cdr:from>
    <cdr:to>
      <cdr:x>0.90827</cdr:x>
      <cdr:y>0.33519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6674D4C0-817C-5F75-C19F-68EE81107426}"/>
            </a:ext>
          </a:extLst>
        </cdr:cNvPr>
        <cdr:cNvSpPr txBox="1"/>
      </cdr:nvSpPr>
      <cdr:spPr>
        <a:xfrm xmlns:a="http://schemas.openxmlformats.org/drawingml/2006/main">
          <a:off x="3438024" y="279410"/>
          <a:ext cx="1164455" cy="6400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Excedentes</a:t>
          </a:r>
        </a:p>
        <a:p xmlns:a="http://schemas.openxmlformats.org/drawingml/2006/main">
          <a:r>
            <a:rPr lang="es-CO" sz="1100"/>
            <a:t>1471 </a:t>
          </a:r>
          <a:r>
            <a:rPr lang="es-CO" sz="1100" baseline="0"/>
            <a:t> </a:t>
          </a:r>
          <a:r>
            <a:rPr lang="es-CO" sz="1100"/>
            <a:t>kWh-mes</a:t>
          </a:r>
        </a:p>
        <a:p xmlns:a="http://schemas.openxmlformats.org/drawingml/2006/main">
          <a:r>
            <a:rPr lang="es-CO" sz="1100"/>
            <a:t>(71%)</a:t>
          </a:r>
        </a:p>
      </cdr:txBody>
    </cdr:sp>
  </cdr:relSizeAnchor>
  <cdr:relSizeAnchor xmlns:cdr="http://schemas.openxmlformats.org/drawingml/2006/chartDrawing">
    <cdr:from>
      <cdr:x>0.54586</cdr:x>
      <cdr:y>0.18333</cdr:y>
    </cdr:from>
    <cdr:to>
      <cdr:x>0.67499</cdr:x>
      <cdr:y>0.275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23CE30F3-F380-6CEB-48D3-74A2973C9CAC}"/>
            </a:ext>
          </a:extLst>
        </cdr:cNvPr>
        <cdr:cNvCxnSpPr/>
      </cdr:nvCxnSpPr>
      <cdr:spPr>
        <a:xfrm xmlns:a="http://schemas.openxmlformats.org/drawingml/2006/main" flipH="1">
          <a:off x="2766060" y="502911"/>
          <a:ext cx="654317" cy="25146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0.77833</cdr:x>
      <cdr:y>0.32222</cdr:y>
    </cdr:from>
    <cdr:to>
      <cdr:x>1</cdr:x>
      <cdr:y>0.52685</cdr:y>
    </cdr:to>
    <cdr:sp macro="" textlink="">
      <cdr:nvSpPr>
        <cdr:cNvPr id="10" name="CuadroTexto 1">
          <a:extLst xmlns:a="http://schemas.openxmlformats.org/drawingml/2006/main">
            <a:ext uri="{FF2B5EF4-FFF2-40B4-BE49-F238E27FC236}">
              <a16:creationId xmlns:a16="http://schemas.microsoft.com/office/drawing/2014/main" id="{753E388F-44F1-757B-5C4F-E65B9E33759A}"/>
            </a:ext>
          </a:extLst>
        </cdr:cNvPr>
        <cdr:cNvSpPr txBox="1"/>
      </cdr:nvSpPr>
      <cdr:spPr>
        <a:xfrm xmlns:a="http://schemas.openxmlformats.org/drawingml/2006/main">
          <a:off x="3558540" y="883920"/>
          <a:ext cx="1013460" cy="561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Autoconsumo</a:t>
          </a:r>
        </a:p>
        <a:p xmlns:a="http://schemas.openxmlformats.org/drawingml/2006/main">
          <a:r>
            <a:rPr lang="es-CO" sz="1100" baseline="0"/>
            <a:t>594 </a:t>
          </a:r>
          <a:r>
            <a:rPr lang="es-CO" sz="1100"/>
            <a:t>kWh-mes</a:t>
          </a:r>
        </a:p>
        <a:p xmlns:a="http://schemas.openxmlformats.org/drawingml/2006/main">
          <a:r>
            <a:rPr lang="es-CO" sz="1100"/>
            <a:t>(29%)</a:t>
          </a:r>
        </a:p>
      </cdr:txBody>
    </cdr:sp>
  </cdr:relSizeAnchor>
  <cdr:relSizeAnchor xmlns:cdr="http://schemas.openxmlformats.org/drawingml/2006/chartDrawing">
    <cdr:from>
      <cdr:x>0.66778</cdr:x>
      <cdr:y>0.43889</cdr:y>
    </cdr:from>
    <cdr:to>
      <cdr:x>0.79</cdr:x>
      <cdr:y>0.55556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ECE31798-E34D-1D24-2F27-A6D15E72D68D}"/>
            </a:ext>
          </a:extLst>
        </cdr:cNvPr>
        <cdr:cNvCxnSpPr/>
      </cdr:nvCxnSpPr>
      <cdr:spPr>
        <a:xfrm xmlns:a="http://schemas.openxmlformats.org/drawingml/2006/main" flipH="1">
          <a:off x="3048000" y="1203963"/>
          <a:ext cx="557860" cy="32003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</xdr:row>
      <xdr:rowOff>22225</xdr:rowOff>
    </xdr:from>
    <xdr:to>
      <xdr:col>15</xdr:col>
      <xdr:colOff>238125</xdr:colOff>
      <xdr:row>16</xdr:row>
      <xdr:rowOff>3175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3677E8-A36D-C54D-BC49-6E07FAA2D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609600" cy="609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3F1308-08D7-A8C2-9399-A7ADB66EF6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53</xdr:row>
      <xdr:rowOff>26670</xdr:rowOff>
    </xdr:from>
    <xdr:to>
      <xdr:col>11</xdr:col>
      <xdr:colOff>304800</xdr:colOff>
      <xdr:row>68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C89904-8FC0-DFDD-176F-CCED67130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44</xdr:row>
      <xdr:rowOff>179070</xdr:rowOff>
    </xdr:from>
    <xdr:to>
      <xdr:col>10</xdr:col>
      <xdr:colOff>15240</xdr:colOff>
      <xdr:row>56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3409DA-FC56-7A00-8F0F-C16BC4BF9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929640</xdr:colOff>
      <xdr:row>44</xdr:row>
      <xdr:rowOff>167640</xdr:rowOff>
    </xdr:from>
    <xdr:to>
      <xdr:col>15</xdr:col>
      <xdr:colOff>464820</xdr:colOff>
      <xdr:row>57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5C6BBC-AA70-4BDE-A5C2-D5CE57C67FF6}"/>
            </a:ext>
            <a:ext uri="{147F2762-F138-4A5C-976F-8EAC2B608ADB}">
              <a16:predDERef xmlns:a16="http://schemas.microsoft.com/office/drawing/2014/main" pred="{A03409DA-FC56-7A00-8F0F-C16BC4BF9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46</xdr:row>
      <xdr:rowOff>19050</xdr:rowOff>
    </xdr:from>
    <xdr:to>
      <xdr:col>11</xdr:col>
      <xdr:colOff>914400</xdr:colOff>
      <xdr:row>62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A1274E-8D1C-79AA-D745-F96FEFDA1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44</xdr:row>
      <xdr:rowOff>179070</xdr:rowOff>
    </xdr:from>
    <xdr:to>
      <xdr:col>10</xdr:col>
      <xdr:colOff>15240</xdr:colOff>
      <xdr:row>56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0B0E87-8261-41BD-9E23-5DD3B679A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929640</xdr:colOff>
      <xdr:row>44</xdr:row>
      <xdr:rowOff>167640</xdr:rowOff>
    </xdr:from>
    <xdr:to>
      <xdr:col>15</xdr:col>
      <xdr:colOff>464820</xdr:colOff>
      <xdr:row>57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7E17CE-3C43-4CD2-AF99-611166EE375F}"/>
            </a:ext>
            <a:ext uri="{147F2762-F138-4A5C-976F-8EAC2B608ADB}">
              <a16:predDERef xmlns:a16="http://schemas.microsoft.com/office/drawing/2014/main" pred="{D90B0E87-8261-41BD-9E23-5DD3B679A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44</xdr:row>
      <xdr:rowOff>179070</xdr:rowOff>
    </xdr:from>
    <xdr:to>
      <xdr:col>10</xdr:col>
      <xdr:colOff>15240</xdr:colOff>
      <xdr:row>56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6AA4B3-1747-4949-A78D-BF8569D61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929640</xdr:colOff>
      <xdr:row>44</xdr:row>
      <xdr:rowOff>167640</xdr:rowOff>
    </xdr:from>
    <xdr:to>
      <xdr:col>15</xdr:col>
      <xdr:colOff>464820</xdr:colOff>
      <xdr:row>57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5E381E-5C55-4CD1-B0E5-302D5D13FAC2}"/>
            </a:ext>
            <a:ext uri="{147F2762-F138-4A5C-976F-8EAC2B608ADB}">
              <a16:predDERef xmlns:a16="http://schemas.microsoft.com/office/drawing/2014/main" pred="{FF6AA4B3-1747-4949-A78D-BF8569D61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22</xdr:row>
      <xdr:rowOff>109538</xdr:rowOff>
    </xdr:from>
    <xdr:to>
      <xdr:col>13</xdr:col>
      <xdr:colOff>161925</xdr:colOff>
      <xdr:row>37</xdr:row>
      <xdr:rowOff>138113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DD7342-3916-4C85-9268-8C9100830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933450</xdr:colOff>
      <xdr:row>24</xdr:row>
      <xdr:rowOff>176212</xdr:rowOff>
    </xdr:from>
    <xdr:to>
      <xdr:col>19</xdr:col>
      <xdr:colOff>0</xdr:colOff>
      <xdr:row>39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66490D-BB52-4223-A82C-9C40436B3C87}"/>
            </a:ext>
            <a:ext uri="{147F2762-F138-4A5C-976F-8EAC2B608ADB}">
              <a16:predDERef xmlns:a16="http://schemas.microsoft.com/office/drawing/2014/main" pred="{D7DD7342-3916-4C85-9268-8C9100830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57</xdr:row>
      <xdr:rowOff>38099</xdr:rowOff>
    </xdr:from>
    <xdr:to>
      <xdr:col>10</xdr:col>
      <xdr:colOff>142875</xdr:colOff>
      <xdr:row>80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BF7606-D8E0-44EA-A69C-E07315F06198}"/>
            </a:ext>
            <a:ext uri="{147F2762-F138-4A5C-976F-8EAC2B608ADB}">
              <a16:predDERef xmlns:a16="http://schemas.microsoft.com/office/drawing/2014/main" pred="{5966490D-BB52-4223-A82C-9C40436B3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17</xdr:col>
      <xdr:colOff>876300</xdr:colOff>
      <xdr:row>80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C51D47-46C8-4C50-8F0F-BFFF061CDEA5}"/>
            </a:ext>
            <a:ext uri="{147F2762-F138-4A5C-976F-8EAC2B608ADB}">
              <a16:predDERef xmlns:a16="http://schemas.microsoft.com/office/drawing/2014/main" pred="{04BF7606-D8E0-44EA-A69C-E07315F06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866775</xdr:colOff>
      <xdr:row>25</xdr:row>
      <xdr:rowOff>28575</xdr:rowOff>
    </xdr:from>
    <xdr:to>
      <xdr:col>25</xdr:col>
      <xdr:colOff>9525</xdr:colOff>
      <xdr:row>40</xdr:row>
      <xdr:rowOff>23813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C55F4F-6B51-449C-ADF5-5A022B357841}"/>
            </a:ext>
            <a:ext uri="{147F2762-F138-4A5C-976F-8EAC2B608ADB}">
              <a16:predDERef xmlns:a16="http://schemas.microsoft.com/office/drawing/2014/main" pred="{53C51D47-46C8-4C50-8F0F-BFFF061CD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180975</xdr:colOff>
      <xdr:row>25</xdr:row>
      <xdr:rowOff>80963</xdr:rowOff>
    </xdr:from>
    <xdr:to>
      <xdr:col>30</xdr:col>
      <xdr:colOff>438150</xdr:colOff>
      <xdr:row>40</xdr:row>
      <xdr:rowOff>109538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B0EE8E7-DD0A-4EDE-AF08-EC0AE4174D22}"/>
            </a:ext>
            <a:ext uri="{147F2762-F138-4A5C-976F-8EAC2B608ADB}">
              <a16:predDERef xmlns:a16="http://schemas.microsoft.com/office/drawing/2014/main" pred="{55C55F4F-6B51-449C-ADF5-5A022B357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1123949</xdr:colOff>
      <xdr:row>81</xdr:row>
      <xdr:rowOff>4762</xdr:rowOff>
    </xdr:from>
    <xdr:to>
      <xdr:col>10</xdr:col>
      <xdr:colOff>200024</xdr:colOff>
      <xdr:row>97</xdr:row>
      <xdr:rowOff>133349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578E32B-9AE9-46A1-925D-95DADAFBE944}"/>
            </a:ext>
            <a:ext uri="{147F2762-F138-4A5C-976F-8EAC2B608ADB}">
              <a16:predDERef xmlns:a16="http://schemas.microsoft.com/office/drawing/2014/main" pred="{3B0EE8E7-DD0A-4EDE-AF08-EC0AE4174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81</xdr:row>
      <xdr:rowOff>0</xdr:rowOff>
    </xdr:from>
    <xdr:to>
      <xdr:col>17</xdr:col>
      <xdr:colOff>371475</xdr:colOff>
      <xdr:row>97</xdr:row>
      <xdr:rowOff>128587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069E1E6-D508-4B55-84C3-D06D4C8C58C4}"/>
            </a:ext>
            <a:ext uri="{147F2762-F138-4A5C-976F-8EAC2B608ADB}">
              <a16:predDERef xmlns:a16="http://schemas.microsoft.com/office/drawing/2014/main" pred="{4578E32B-9AE9-46A1-925D-95DADAFBE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99</xdr:row>
      <xdr:rowOff>0</xdr:rowOff>
    </xdr:from>
    <xdr:to>
      <xdr:col>10</xdr:col>
      <xdr:colOff>200025</xdr:colOff>
      <xdr:row>115</xdr:row>
      <xdr:rowOff>128587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1209D55-6CEA-4D89-B14B-2828B5CFF016}"/>
            </a:ext>
            <a:ext uri="{147F2762-F138-4A5C-976F-8EAC2B608ADB}">
              <a16:predDERef xmlns:a16="http://schemas.microsoft.com/office/drawing/2014/main" pred="{9069E1E6-D508-4B55-84C3-D06D4C8C5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99</xdr:row>
      <xdr:rowOff>0</xdr:rowOff>
    </xdr:from>
    <xdr:to>
      <xdr:col>17</xdr:col>
      <xdr:colOff>371475</xdr:colOff>
      <xdr:row>115</xdr:row>
      <xdr:rowOff>128587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360416B-3D8C-44D6-92CE-7EE126ABDB1E}"/>
            </a:ext>
            <a:ext uri="{147F2762-F138-4A5C-976F-8EAC2B608ADB}">
              <a16:predDERef xmlns:a16="http://schemas.microsoft.com/office/drawing/2014/main" pred="{81209D55-6CEA-4D89-B14B-2828B5CFF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1047749</xdr:colOff>
      <xdr:row>117</xdr:row>
      <xdr:rowOff>176213</xdr:rowOff>
    </xdr:from>
    <xdr:to>
      <xdr:col>10</xdr:col>
      <xdr:colOff>0</xdr:colOff>
      <xdr:row>133</xdr:row>
      <xdr:rowOff>161925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E600930-5593-4AFF-AE46-B8939A6B25F4}"/>
            </a:ext>
            <a:ext uri="{147F2762-F138-4A5C-976F-8EAC2B608ADB}">
              <a16:predDERef xmlns:a16="http://schemas.microsoft.com/office/drawing/2014/main" pred="{0360416B-3D8C-44D6-92CE-7EE126ABD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117</xdr:row>
      <xdr:rowOff>33337</xdr:rowOff>
    </xdr:from>
    <xdr:to>
      <xdr:col>17</xdr:col>
      <xdr:colOff>419100</xdr:colOff>
      <xdr:row>134</xdr:row>
      <xdr:rowOff>152399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098682F-E487-4B81-F471-F7477BBA7762}"/>
            </a:ext>
            <a:ext uri="{147F2762-F138-4A5C-976F-8EAC2B608ADB}">
              <a16:predDERef xmlns:a16="http://schemas.microsoft.com/office/drawing/2014/main" pred="{BE600930-5593-4AFF-AE46-B8939A6B2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22</xdr:row>
      <xdr:rowOff>109538</xdr:rowOff>
    </xdr:from>
    <xdr:to>
      <xdr:col>13</xdr:col>
      <xdr:colOff>161925</xdr:colOff>
      <xdr:row>37</xdr:row>
      <xdr:rowOff>138113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CD54B-C316-4FA6-4F5D-F06CDC0EA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933450</xdr:colOff>
      <xdr:row>24</xdr:row>
      <xdr:rowOff>176212</xdr:rowOff>
    </xdr:from>
    <xdr:to>
      <xdr:col>19</xdr:col>
      <xdr:colOff>0</xdr:colOff>
      <xdr:row>39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A4F802-D09F-3BDD-C109-1ADF63492968}"/>
            </a:ext>
            <a:ext uri="{147F2762-F138-4A5C-976F-8EAC2B608ADB}">
              <a16:predDERef xmlns:a16="http://schemas.microsoft.com/office/drawing/2014/main" pred="{570CD54B-C316-4FA6-4F5D-F06CDC0EA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57</xdr:row>
      <xdr:rowOff>38099</xdr:rowOff>
    </xdr:from>
    <xdr:to>
      <xdr:col>10</xdr:col>
      <xdr:colOff>142875</xdr:colOff>
      <xdr:row>80</xdr:row>
      <xdr:rowOff>57149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A39080-79A1-44CF-9B31-7C9385E16B3C}"/>
            </a:ext>
            <a:ext uri="{147F2762-F138-4A5C-976F-8EAC2B608ADB}">
              <a16:predDERef xmlns:a16="http://schemas.microsoft.com/office/drawing/2014/main" pred="{B7A4F802-D09F-3BDD-C109-1ADF63492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17</xdr:col>
      <xdr:colOff>876300</xdr:colOff>
      <xdr:row>80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E48DCAB-A283-4485-922B-C5BD002723D3}"/>
            </a:ext>
            <a:ext uri="{147F2762-F138-4A5C-976F-8EAC2B608ADB}">
              <a16:predDERef xmlns:a16="http://schemas.microsoft.com/office/drawing/2014/main" pred="{58A39080-79A1-44CF-9B31-7C9385E16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866775</xdr:colOff>
      <xdr:row>25</xdr:row>
      <xdr:rowOff>28575</xdr:rowOff>
    </xdr:from>
    <xdr:to>
      <xdr:col>25</xdr:col>
      <xdr:colOff>9525</xdr:colOff>
      <xdr:row>40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BC1EB0-7393-4EF9-A1EF-8EA89D93ED96}"/>
            </a:ext>
            <a:ext uri="{147F2762-F138-4A5C-976F-8EAC2B608ADB}">
              <a16:predDERef xmlns:a16="http://schemas.microsoft.com/office/drawing/2014/main" pred="{8E48DCAB-A283-4485-922B-C5BD00272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180975</xdr:colOff>
      <xdr:row>25</xdr:row>
      <xdr:rowOff>80963</xdr:rowOff>
    </xdr:from>
    <xdr:to>
      <xdr:col>30</xdr:col>
      <xdr:colOff>438150</xdr:colOff>
      <xdr:row>40</xdr:row>
      <xdr:rowOff>109538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7E4B28-6356-E33D-BD8E-7864754E8947}"/>
            </a:ext>
            <a:ext uri="{147F2762-F138-4A5C-976F-8EAC2B608ADB}">
              <a16:predDERef xmlns:a16="http://schemas.microsoft.com/office/drawing/2014/main" pred="{43BC1EB0-7393-4EF9-A1EF-8EA89D93E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1123949</xdr:colOff>
      <xdr:row>81</xdr:row>
      <xdr:rowOff>4762</xdr:rowOff>
    </xdr:from>
    <xdr:to>
      <xdr:col>10</xdr:col>
      <xdr:colOff>200024</xdr:colOff>
      <xdr:row>97</xdr:row>
      <xdr:rowOff>133349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FDA6505-C8F8-8595-83FB-35C2FFE06574}"/>
            </a:ext>
            <a:ext uri="{147F2762-F138-4A5C-976F-8EAC2B608ADB}">
              <a16:predDERef xmlns:a16="http://schemas.microsoft.com/office/drawing/2014/main" pred="{B97E4B28-6356-E33D-BD8E-7864754E8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81</xdr:row>
      <xdr:rowOff>0</xdr:rowOff>
    </xdr:from>
    <xdr:to>
      <xdr:col>17</xdr:col>
      <xdr:colOff>371475</xdr:colOff>
      <xdr:row>97</xdr:row>
      <xdr:rowOff>128587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C908F7C-762A-47D0-AE1A-8CB91C50D0C2}"/>
            </a:ext>
            <a:ext uri="{147F2762-F138-4A5C-976F-8EAC2B608ADB}">
              <a16:predDERef xmlns:a16="http://schemas.microsoft.com/office/drawing/2014/main" pred="{1FDA6505-C8F8-8595-83FB-35C2FFE06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99</xdr:row>
      <xdr:rowOff>0</xdr:rowOff>
    </xdr:from>
    <xdr:to>
      <xdr:col>10</xdr:col>
      <xdr:colOff>200025</xdr:colOff>
      <xdr:row>115</xdr:row>
      <xdr:rowOff>128587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61C4177-A178-4026-B057-7B901594866C}"/>
            </a:ext>
            <a:ext uri="{147F2762-F138-4A5C-976F-8EAC2B608ADB}">
              <a16:predDERef xmlns:a16="http://schemas.microsoft.com/office/drawing/2014/main" pred="{CC908F7C-762A-47D0-AE1A-8CB91C50D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99</xdr:row>
      <xdr:rowOff>0</xdr:rowOff>
    </xdr:from>
    <xdr:to>
      <xdr:col>17</xdr:col>
      <xdr:colOff>371475</xdr:colOff>
      <xdr:row>115</xdr:row>
      <xdr:rowOff>128587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F05FC58-F939-416C-AADE-0C6808B63F1C}"/>
            </a:ext>
            <a:ext uri="{147F2762-F138-4A5C-976F-8EAC2B608ADB}">
              <a16:predDERef xmlns:a16="http://schemas.microsoft.com/office/drawing/2014/main" pred="{061C4177-A178-4026-B057-7B9015948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1047749</xdr:colOff>
      <xdr:row>117</xdr:row>
      <xdr:rowOff>176213</xdr:rowOff>
    </xdr:from>
    <xdr:to>
      <xdr:col>10</xdr:col>
      <xdr:colOff>0</xdr:colOff>
      <xdr:row>133</xdr:row>
      <xdr:rowOff>161925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0DC64EC-09AF-3800-1DF1-B93B27FE5DF8}"/>
            </a:ext>
            <a:ext uri="{147F2762-F138-4A5C-976F-8EAC2B608ADB}">
              <a16:predDERef xmlns:a16="http://schemas.microsoft.com/office/drawing/2014/main" pred="{5F05FC58-F939-416C-AADE-0C6808B63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904874</xdr:colOff>
      <xdr:row>116</xdr:row>
      <xdr:rowOff>166687</xdr:rowOff>
    </xdr:from>
    <xdr:to>
      <xdr:col>17</xdr:col>
      <xdr:colOff>333375</xdr:colOff>
      <xdr:row>134</xdr:row>
      <xdr:rowOff>66674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8D12287-6AAE-805A-D4A4-21958A76BBF6}"/>
            </a:ext>
            <a:ext uri="{147F2762-F138-4A5C-976F-8EAC2B608ADB}">
              <a16:predDERef xmlns:a16="http://schemas.microsoft.com/office/drawing/2014/main" pred="{50DC64EC-09AF-3800-1DF1-B93B27FE5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20</xdr:row>
      <xdr:rowOff>14288</xdr:rowOff>
    </xdr:from>
    <xdr:to>
      <xdr:col>12</xdr:col>
      <xdr:colOff>819150</xdr:colOff>
      <xdr:row>35</xdr:row>
      <xdr:rowOff>42863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1B2B63-81B8-47A3-8DE7-457DD554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466725</xdr:colOff>
      <xdr:row>24</xdr:row>
      <xdr:rowOff>23813</xdr:rowOff>
    </xdr:from>
    <xdr:to>
      <xdr:col>18</xdr:col>
      <xdr:colOff>114300</xdr:colOff>
      <xdr:row>39</xdr:row>
      <xdr:rowOff>52388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4E8EA9-0871-4B2C-BA6C-A0A375E7A70C}"/>
            </a:ext>
            <a:ext uri="{147F2762-F138-4A5C-976F-8EAC2B608ADB}">
              <a16:predDERef xmlns:a16="http://schemas.microsoft.com/office/drawing/2014/main" pred="{1E1B2B63-81B8-47A3-8DE7-457DD554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57</xdr:row>
      <xdr:rowOff>38099</xdr:rowOff>
    </xdr:from>
    <xdr:to>
      <xdr:col>10</xdr:col>
      <xdr:colOff>142875</xdr:colOff>
      <xdr:row>80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9F96EF-59ED-4DF8-AFF2-CD8AA0103916}"/>
            </a:ext>
            <a:ext uri="{147F2762-F138-4A5C-976F-8EAC2B608ADB}">
              <a16:predDERef xmlns:a16="http://schemas.microsoft.com/office/drawing/2014/main" pred="{F04E8EA9-0871-4B2C-BA6C-A0A375E7A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17</xdr:col>
      <xdr:colOff>876300</xdr:colOff>
      <xdr:row>80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ADAD52-19E5-4849-A045-5C09BDE3C495}"/>
            </a:ext>
            <a:ext uri="{147F2762-F138-4A5C-976F-8EAC2B608ADB}">
              <a16:predDERef xmlns:a16="http://schemas.microsoft.com/office/drawing/2014/main" pred="{EF9F96EF-59ED-4DF8-AFF2-CD8AA0103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24</xdr:row>
      <xdr:rowOff>0</xdr:rowOff>
    </xdr:from>
    <xdr:to>
      <xdr:col>24</xdr:col>
      <xdr:colOff>152400</xdr:colOff>
      <xdr:row>39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9246CFA-DA44-4658-B30F-307490909CE8}"/>
            </a:ext>
            <a:ext uri="{147F2762-F138-4A5C-976F-8EAC2B608ADB}">
              <a16:predDERef xmlns:a16="http://schemas.microsoft.com/office/drawing/2014/main" pred="{A7ADAD52-19E5-4849-A045-5C09BDE3C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23</xdr:row>
      <xdr:rowOff>0</xdr:rowOff>
    </xdr:from>
    <xdr:to>
      <xdr:col>31</xdr:col>
      <xdr:colOff>190500</xdr:colOff>
      <xdr:row>38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184BC5F-5694-4534-A926-DF8A04ABDCF8}"/>
            </a:ext>
            <a:ext uri="{147F2762-F138-4A5C-976F-8EAC2B608ADB}">
              <a16:predDERef xmlns:a16="http://schemas.microsoft.com/office/drawing/2014/main" pred="{A9246CFA-DA44-4658-B30F-307490909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20</xdr:row>
      <xdr:rowOff>14288</xdr:rowOff>
    </xdr:from>
    <xdr:to>
      <xdr:col>12</xdr:col>
      <xdr:colOff>819150</xdr:colOff>
      <xdr:row>35</xdr:row>
      <xdr:rowOff>42863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66D6CF-5649-4857-A97A-D13ADC5BE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25</xdr:row>
      <xdr:rowOff>52388</xdr:rowOff>
    </xdr:from>
    <xdr:to>
      <xdr:col>19</xdr:col>
      <xdr:colOff>0</xdr:colOff>
      <xdr:row>41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A6F211-8768-4E1C-B2E7-F894EA659714}"/>
            </a:ext>
            <a:ext uri="{147F2762-F138-4A5C-976F-8EAC2B608ADB}">
              <a16:predDERef xmlns:a16="http://schemas.microsoft.com/office/drawing/2014/main" pred="{D066D6CF-5649-4857-A97A-D13ADC5BE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57</xdr:row>
      <xdr:rowOff>38099</xdr:rowOff>
    </xdr:from>
    <xdr:to>
      <xdr:col>10</xdr:col>
      <xdr:colOff>142875</xdr:colOff>
      <xdr:row>80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EAD889-F0B2-4A3E-873D-9D368D9693CE}"/>
            </a:ext>
            <a:ext uri="{147F2762-F138-4A5C-976F-8EAC2B608ADB}">
              <a16:predDERef xmlns:a16="http://schemas.microsoft.com/office/drawing/2014/main" pred="{B6A6F211-8768-4E1C-B2E7-F894EA659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17</xdr:col>
      <xdr:colOff>876300</xdr:colOff>
      <xdr:row>80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FB27E0-27C2-4B28-96D8-00ADAC67CF9D}"/>
            </a:ext>
            <a:ext uri="{147F2762-F138-4A5C-976F-8EAC2B608ADB}">
              <a16:predDERef xmlns:a16="http://schemas.microsoft.com/office/drawing/2014/main" pred="{E9EAD889-F0B2-4A3E-873D-9D368D969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25</xdr:row>
      <xdr:rowOff>0</xdr:rowOff>
    </xdr:from>
    <xdr:to>
      <xdr:col>26</xdr:col>
      <xdr:colOff>333375</xdr:colOff>
      <xdr:row>41</xdr:row>
      <xdr:rowOff>42862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617088-DEAB-4067-AEFE-FE8B6201AF86}"/>
            </a:ext>
            <a:ext uri="{147F2762-F138-4A5C-976F-8EAC2B608ADB}">
              <a16:predDERef xmlns:a16="http://schemas.microsoft.com/office/drawing/2014/main" pred="{94FB27E0-27C2-4B28-96D8-00ADAC67C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33</xdr:col>
      <xdr:colOff>457200</xdr:colOff>
      <xdr:row>40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E4F953-C171-4D5A-9B6B-3877B7CBDFBE}"/>
            </a:ext>
            <a:ext uri="{147F2762-F138-4A5C-976F-8EAC2B608ADB}">
              <a16:predDERef xmlns:a16="http://schemas.microsoft.com/office/drawing/2014/main" pred="{F1617088-DEAB-4067-AEFE-FE8B6201A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754380</xdr:colOff>
      <xdr:row>1</xdr:row>
      <xdr:rowOff>148590</xdr:rowOff>
    </xdr:from>
    <xdr:to>
      <xdr:col>30</xdr:col>
      <xdr:colOff>594360</xdr:colOff>
      <xdr:row>16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0FBC26-D108-78D1-CB1C-8B836966D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22860</xdr:colOff>
      <xdr:row>17</xdr:row>
      <xdr:rowOff>175260</xdr:rowOff>
    </xdr:from>
    <xdr:to>
      <xdr:col>30</xdr:col>
      <xdr:colOff>640080</xdr:colOff>
      <xdr:row>38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D628E9-86D7-4617-9427-BACA315160E9}"/>
            </a:ext>
            <a:ext uri="{147F2762-F138-4A5C-976F-8EAC2B608ADB}">
              <a16:predDERef xmlns:a16="http://schemas.microsoft.com/office/drawing/2014/main" pred="{9C0FBC26-D108-78D1-CB1C-8B836966D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769620</xdr:colOff>
      <xdr:row>1</xdr:row>
      <xdr:rowOff>171450</xdr:rowOff>
    </xdr:from>
    <xdr:to>
      <xdr:col>36</xdr:col>
      <xdr:colOff>632460</xdr:colOff>
      <xdr:row>16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1AA455-5C0E-5BFC-7173-31DBBB2BA20D}"/>
            </a:ext>
            <a:ext uri="{147F2762-F138-4A5C-976F-8EAC2B608ADB}">
              <a16:predDERef xmlns:a16="http://schemas.microsoft.com/office/drawing/2014/main" pred="{B3D628E9-86D7-4617-9427-BACA31516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19</xdr:row>
      <xdr:rowOff>0</xdr:rowOff>
    </xdr:from>
    <xdr:to>
      <xdr:col>36</xdr:col>
      <xdr:colOff>647700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490852-C1E8-4C86-9A99-E64E2AD7D61C}"/>
            </a:ext>
            <a:ext uri="{147F2762-F138-4A5C-976F-8EAC2B608ADB}">
              <a16:predDERef xmlns:a16="http://schemas.microsoft.com/office/drawing/2014/main" pred="{1B1AA455-5C0E-5BFC-7173-31DBBB2BA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40</xdr:row>
      <xdr:rowOff>0</xdr:rowOff>
    </xdr:from>
    <xdr:to>
      <xdr:col>36</xdr:col>
      <xdr:colOff>647700</xdr:colOff>
      <xdr:row>55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394EE11-B457-498D-9F54-CAC230C31BD1}"/>
            </a:ext>
            <a:ext uri="{147F2762-F138-4A5C-976F-8EAC2B608ADB}">
              <a16:predDERef xmlns:a16="http://schemas.microsoft.com/office/drawing/2014/main" pred="{56490852-C1E8-4C86-9A99-E64E2AD7D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1790700</xdr:colOff>
      <xdr:row>125</xdr:row>
      <xdr:rowOff>179070</xdr:rowOff>
    </xdr:from>
    <xdr:to>
      <xdr:col>4</xdr:col>
      <xdr:colOff>594360</xdr:colOff>
      <xdr:row>140</xdr:row>
      <xdr:rowOff>179070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B5EE0DA-D0EF-E339-05D7-9FBEA613B7A2}"/>
            </a:ext>
            <a:ext uri="{147F2762-F138-4A5C-976F-8EAC2B608ADB}">
              <a16:predDERef xmlns:a16="http://schemas.microsoft.com/office/drawing/2014/main" pred="{0394EE11-B457-498D-9F54-CAC230C31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441960</xdr:colOff>
      <xdr:row>17</xdr:row>
      <xdr:rowOff>57150</xdr:rowOff>
    </xdr:from>
    <xdr:to>
      <xdr:col>31</xdr:col>
      <xdr:colOff>617220</xdr:colOff>
      <xdr:row>35</xdr:row>
      <xdr:rowOff>45720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24118EC5-ED4E-4A9C-72A6-1E723B1CD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510540</xdr:colOff>
      <xdr:row>55</xdr:row>
      <xdr:rowOff>163830</xdr:rowOff>
    </xdr:from>
    <xdr:to>
      <xdr:col>7</xdr:col>
      <xdr:colOff>563880</xdr:colOff>
      <xdr:row>70</xdr:row>
      <xdr:rowOff>163830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39A9BC-3A9D-8D3D-20CC-21E01C585912}"/>
            </a:ext>
            <a:ext uri="{147F2762-F138-4A5C-976F-8EAC2B608ADB}">
              <a16:predDERef xmlns:a16="http://schemas.microsoft.com/office/drawing/2014/main" pred="{24118EC5-ED4E-4A9C-72A6-1E723B1CD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243840</xdr:colOff>
      <xdr:row>34</xdr:row>
      <xdr:rowOff>30480</xdr:rowOff>
    </xdr:from>
    <xdr:to>
      <xdr:col>8</xdr:col>
      <xdr:colOff>594360</xdr:colOff>
      <xdr:row>49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99F835E-2B1C-43E1-9A4D-09EFE2E1DADA}"/>
            </a:ext>
            <a:ext uri="{147F2762-F138-4A5C-976F-8EAC2B608ADB}">
              <a16:predDERef xmlns:a16="http://schemas.microsoft.com/office/drawing/2014/main" pred="{DD39A9BC-3A9D-8D3D-20CC-21E01C585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15240</xdr:colOff>
      <xdr:row>34</xdr:row>
      <xdr:rowOff>22860</xdr:rowOff>
    </xdr:from>
    <xdr:to>
      <xdr:col>16</xdr:col>
      <xdr:colOff>411480</xdr:colOff>
      <xdr:row>49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D3E8BB-9CAC-401D-B49C-FDE59F5B2EB7}"/>
            </a:ext>
            <a:ext uri="{147F2762-F138-4A5C-976F-8EAC2B608ADB}">
              <a16:predDERef xmlns:a16="http://schemas.microsoft.com/office/drawing/2014/main" pred="{899F835E-2B1C-43E1-9A4D-09EFE2E1D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jorie  Jiménez Guerra" id="{1B521815-A092-4C92-B5F1-97DCB66107B2}" userId="S::mkjimenez@salva-energy.com::7dcda04e-c3b8-4938-a3dc-81b9449c127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3.415416666663" createdVersion="8" refreshedVersion="8" minRefreshableVersion="3" recordCount="144" xr:uid="{C436F6EA-4FE3-4E3D-A665-6B3385DF0CAD}">
  <cacheSource type="worksheet">
    <worksheetSource ref="B8:N152" sheet="Capex GoodWe"/>
  </cacheSource>
  <cacheFields count="13">
    <cacheField name="Descripción" numFmtId="0">
      <sharedItems/>
    </cacheField>
    <cacheField name="Un" numFmtId="0">
      <sharedItems containsBlank="1"/>
    </cacheField>
    <cacheField name="Inv 1" numFmtId="0">
      <sharedItems containsString="0" containsBlank="1" containsNumber="1" minValue="0" maxValue="15950"/>
    </cacheField>
    <cacheField name="Inv 2" numFmtId="0">
      <sharedItems containsString="0" containsBlank="1" containsNumber="1" minValue="0" maxValue="1"/>
    </cacheField>
    <cacheField name="Cant total" numFmtId="0">
      <sharedItems containsString="0" containsBlank="1" containsNumber="1" minValue="0" maxValue="15950"/>
    </cacheField>
    <cacheField name="IVA" numFmtId="0">
      <sharedItems containsString="0" containsBlank="1" containsNumber="1" minValue="0" maxValue="0.19"/>
    </cacheField>
    <cacheField name="CU" numFmtId="0">
      <sharedItems containsString="0" containsBlank="1" containsNumber="1" minValue="0" maxValue="6667000"/>
    </cacheField>
    <cacheField name="CT antes IVA" numFmtId="169">
      <sharedItems containsString="0" containsBlank="1" containsNumber="1" minValue="0" maxValue="30145900.107062187"/>
    </cacheField>
    <cacheField name="CT Iva Incluido" numFmtId="169">
      <sharedItems containsString="0" containsBlank="1" containsNumber="1" minValue="0" maxValue="32934466.120204002"/>
    </cacheField>
    <cacheField name="PV" numFmtId="0">
      <sharedItems containsString="0" containsBlank="1" containsNumber="1" minValue="0" maxValue="10101515.151515152"/>
    </cacheField>
    <cacheField name="PV antes IVA" numFmtId="169">
      <sharedItems containsString="0" containsBlank="1" containsNumber="1" minValue="0" maxValue="45675606.222821489"/>
    </cacheField>
    <cacheField name="PV Iva Incluido" numFmtId="169">
      <sharedItems containsString="0" containsBlank="1" containsNumber="1" minValue="0" maxValue="49414068.942789257"/>
    </cacheField>
    <cacheField name="Categoría Sigo" numFmtId="0">
      <sharedItems containsBlank="1" count="10">
        <m/>
        <s v="Suministro de equipos de energía renovable"/>
        <s v="Suministro de equipos de almacenamiento"/>
        <s v="Suministro de materiales y equipos"/>
        <s v="Suministro de estructura"/>
        <s v="Servicio de instalación"/>
        <s v="Servicio de diseño"/>
        <s v="Trámites ante entidades"/>
        <s v="Certificación Retie"/>
        <s v="Suministro de medidor bidireccion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Equipos principales"/>
    <m/>
    <m/>
    <m/>
    <m/>
    <m/>
    <m/>
    <n v="13333036.879999999"/>
    <n v="13502953.879999999"/>
    <m/>
    <n v="20201571.030303031"/>
    <n v="20459021.030303031"/>
    <x v="0"/>
  </r>
  <r>
    <s v="PANEL SOLAR 725 W"/>
    <s v="Un"/>
    <n v="22"/>
    <n v="0"/>
    <n v="22"/>
    <n v="0"/>
    <n v="370000"/>
    <n v="8140000"/>
    <n v="8140000"/>
    <n v="560606.06060606067"/>
    <n v="12333333.333333334"/>
    <n v="12333333.333333334"/>
    <x v="1"/>
  </r>
  <r>
    <s v="[GW12KLV-MT] Inversor trifásico 12kw 208-240Vac 3 MPPT con DC switch y Wifi GoodWe "/>
    <s v="Un"/>
    <n v="1"/>
    <n v="0"/>
    <n v="1"/>
    <n v="0"/>
    <n v="4298736.88"/>
    <n v="4298736.88"/>
    <n v="4298736.88"/>
    <n v="6513237.6969696973"/>
    <n v="6513237.6969696973"/>
    <n v="6513237.6969696973"/>
    <x v="1"/>
  </r>
  <r>
    <s v="Smart Meter"/>
    <s v="Un"/>
    <n v="1"/>
    <n v="0"/>
    <n v="1"/>
    <n v="0.19"/>
    <n v="290400"/>
    <n v="290400"/>
    <n v="345576"/>
    <n v="440000.00000000006"/>
    <n v="440000.00000000006"/>
    <n v="523600.00000000006"/>
    <x v="1"/>
  </r>
  <r>
    <s v="[GW14.3-BAT-LV-G10] Batería LFP(LiFePO4) 51.2 Vdc 280 Ah [with aerosol]_x000a_Goodwe"/>
    <s v="Un"/>
    <n v="0"/>
    <n v="0"/>
    <n v="0"/>
    <n v="0.19"/>
    <n v="6667000"/>
    <n v="0"/>
    <n v="0"/>
    <n v="10101515.151515152"/>
    <n v="0"/>
    <n v="0"/>
    <x v="2"/>
  </r>
  <r>
    <s v="HV418100 12S Gabinete"/>
    <s v="Un"/>
    <n v="0"/>
    <n v="0"/>
    <n v="0"/>
    <n v="0.19"/>
    <n v="4784000"/>
    <n v="0"/>
    <n v="0"/>
    <n v="7248484.8484848496"/>
    <n v="0"/>
    <n v="0"/>
    <x v="3"/>
  </r>
  <r>
    <s v="EQUIPOS DE MEDIDA TC´S"/>
    <s v="Un"/>
    <n v="3"/>
    <n v="0"/>
    <n v="3"/>
    <n v="0.19"/>
    <n v="201300"/>
    <n v="603900"/>
    <n v="718641"/>
    <n v="305000.00000000006"/>
    <n v="915000.00000000023"/>
    <n v="1088850.0000000002"/>
    <x v="3"/>
  </r>
  <r>
    <s v="Estructura Metálica"/>
    <m/>
    <m/>
    <m/>
    <m/>
    <m/>
    <m/>
    <n v="2360754"/>
    <n v="2809297.26"/>
    <n v="0"/>
    <n v="3576900"/>
    <n v="4256511"/>
    <x v="0"/>
  </r>
  <r>
    <s v="Riel de soporte aluminio anodizado 4,7"/>
    <s v="Un"/>
    <n v="13.42"/>
    <n v="0"/>
    <n v="13.42"/>
    <n v="0.19"/>
    <n v="100000"/>
    <n v="1342000"/>
    <n v="1596980"/>
    <n v="151515.15151515152"/>
    <n v="2033333.3333333335"/>
    <n v="2419666.6666666665"/>
    <x v="4"/>
  </r>
  <r>
    <s v="Union de riel"/>
    <s v="Un"/>
    <n v="7.2600000000000007"/>
    <n v="0"/>
    <n v="7.2600000000000007"/>
    <n v="0.19"/>
    <n v="6900"/>
    <n v="50094.000000000007"/>
    <n v="59611.860000000008"/>
    <n v="10454.545454545456"/>
    <n v="75900.000000000015"/>
    <n v="90321.000000000015"/>
    <x v="4"/>
  </r>
  <r>
    <s v="Mid Clamp"/>
    <s v="Un"/>
    <n v="33"/>
    <n v="0"/>
    <n v="33"/>
    <n v="0.19"/>
    <n v="3500"/>
    <n v="115500"/>
    <n v="137445"/>
    <n v="5303.0303030303039"/>
    <n v="175000.00000000003"/>
    <n v="208250.00000000003"/>
    <x v="4"/>
  </r>
  <r>
    <s v="End Clamp"/>
    <s v="Un"/>
    <n v="22"/>
    <n v="0"/>
    <n v="22"/>
    <n v="0.19"/>
    <n v="3500"/>
    <n v="77000"/>
    <n v="91630"/>
    <n v="5303.0303030303039"/>
    <n v="116666.66666666669"/>
    <n v="138833.33333333334"/>
    <x v="4"/>
  </r>
  <r>
    <s v="Chapa de tierra (Mid clamp)"/>
    <s v="Un"/>
    <n v="33"/>
    <n v="0"/>
    <n v="33"/>
    <n v="0.19"/>
    <n v="700"/>
    <n v="23100"/>
    <n v="27489"/>
    <n v="1060.6060606060607"/>
    <n v="35000.000000000007"/>
    <n v="41650.000000000007"/>
    <x v="4"/>
  </r>
  <r>
    <s v="Ground Lug"/>
    <s v="Un"/>
    <n v="11"/>
    <n v="0"/>
    <n v="20.68"/>
    <n v="0.19"/>
    <n v="4500"/>
    <n v="93060"/>
    <n v="110741.4"/>
    <n v="6818.1818181818189"/>
    <n v="141000"/>
    <n v="167790"/>
    <x v="4"/>
  </r>
  <r>
    <s v="L Foot  85 mm"/>
    <s v="Un"/>
    <n v="44"/>
    <n v="0"/>
    <n v="44"/>
    <n v="0.19"/>
    <n v="15000"/>
    <n v="660000"/>
    <n v="785400"/>
    <n v="22727.272727272732"/>
    <n v="1000000.0000000002"/>
    <n v="1190000.0000000002"/>
    <x v="4"/>
  </r>
  <r>
    <s v="Dados"/>
    <s v="Un"/>
    <n v="0"/>
    <n v="0"/>
    <n v="0"/>
    <n v="0.19"/>
    <n v="25000"/>
    <n v="0"/>
    <n v="0"/>
    <n v="37878.78787878788"/>
    <n v="0"/>
    <n v="0"/>
    <x v="4"/>
  </r>
  <r>
    <s v="Riel de soporte aluminio anodizado 4,7"/>
    <s v="Un"/>
    <n v="0"/>
    <n v="0"/>
    <n v="0"/>
    <n v="0.19"/>
    <n v="115141"/>
    <n v="0"/>
    <n v="0"/>
    <n v="174456.06060606064"/>
    <n v="0"/>
    <n v="0"/>
    <x v="4"/>
  </r>
  <r>
    <s v="Protecciones en DC"/>
    <m/>
    <m/>
    <m/>
    <m/>
    <n v="0.19"/>
    <m/>
    <n v="344000"/>
    <n v="409360"/>
    <m/>
    <n v="521212.12121212133"/>
    <n v="620242.42424242431"/>
    <x v="0"/>
  </r>
  <r>
    <s v="TABLERO BIFÁSICO TIPO RIEL DIN 18 PUESTOS SOBREPONER"/>
    <s v="Un"/>
    <n v="1"/>
    <n v="0"/>
    <n v="1"/>
    <n v="0.19"/>
    <n v="150000"/>
    <n v="150000"/>
    <n v="178500"/>
    <n v="227272.72727272729"/>
    <n v="227272.72727272729"/>
    <n v="270454.54545454547"/>
    <x v="3"/>
  </r>
  <r>
    <s v="DPS SOLAR 1000V TIPO RIEL DIN"/>
    <s v="Un"/>
    <n v="2"/>
    <n v="0"/>
    <n v="2"/>
    <n v="0.19"/>
    <n v="60000"/>
    <n v="120000"/>
    <n v="142800"/>
    <n v="90909.090909090926"/>
    <n v="181818.18181818185"/>
    <n v="216363.63636363638"/>
    <x v="3"/>
  </r>
  <r>
    <s v="MINIBREAKERS 32A"/>
    <s v="Un"/>
    <n v="2"/>
    <n v="0"/>
    <n v="2"/>
    <n v="0.19"/>
    <n v="37000"/>
    <n v="74000"/>
    <n v="88060"/>
    <n v="56060.606060606071"/>
    <n v="112121.21212121214"/>
    <n v="133424.24242424243"/>
    <x v="3"/>
  </r>
  <r>
    <s v="Protecciones en AC"/>
    <m/>
    <m/>
    <m/>
    <m/>
    <n v="0.19"/>
    <m/>
    <n v="397400"/>
    <n v="472906"/>
    <m/>
    <n v="602121.21212121216"/>
    <n v="716524.24242424243"/>
    <x v="0"/>
  </r>
  <r>
    <s v="TABLERO BIFÁSICO TIPO RIEL DIN 18 PUESTOS SOBREPONER"/>
    <s v="Un"/>
    <n v="1"/>
    <n v="0"/>
    <n v="1"/>
    <n v="0.19"/>
    <n v="150000"/>
    <n v="150000"/>
    <n v="178500"/>
    <n v="227272.72727272729"/>
    <n v="227272.72727272729"/>
    <n v="270454.54545454547"/>
    <x v="3"/>
  </r>
  <r>
    <s v="FUSIBLE Y PORTA FUSIBLE  DE BATERIAS "/>
    <s v="Un"/>
    <n v="0"/>
    <n v="0"/>
    <n v="0"/>
    <n v="0.19"/>
    <n v="195000"/>
    <n v="0"/>
    <n v="0"/>
    <n v="295454.54545454547"/>
    <n v="0"/>
    <n v="0"/>
    <x v="3"/>
  </r>
  <r>
    <s v="MINIBREAKER AC 2X32A TIPO RIEL DIN"/>
    <s v="Un"/>
    <n v="0"/>
    <n v="0"/>
    <n v="0"/>
    <n v="0.19"/>
    <n v="21439"/>
    <n v="0"/>
    <n v="0"/>
    <n v="32483.333333333336"/>
    <n v="0"/>
    <n v="0"/>
    <x v="3"/>
  </r>
  <r>
    <s v="MINIBREAKER AC3X50A TIPO RIEL DIN"/>
    <s v="Un"/>
    <n v="1"/>
    <n v="0"/>
    <n v="1"/>
    <n v="0.19"/>
    <n v="19000"/>
    <n v="19000"/>
    <n v="22610"/>
    <n v="28787.878787878792"/>
    <n v="28787.878787878792"/>
    <n v="34257.57575757576"/>
    <x v="3"/>
  </r>
  <r>
    <s v="MINIBREAKER AC 3x200A TIPO RIEL DIN"/>
    <s v="Un"/>
    <n v="0"/>
    <n v="0"/>
    <n v="0"/>
    <n v="0.19"/>
    <n v="396000"/>
    <n v="0"/>
    <n v="0"/>
    <n v="600000.00000000012"/>
    <n v="0"/>
    <n v="0"/>
    <x v="3"/>
  </r>
  <r>
    <s v="DPS CLASE 2 TIPO RIEL DIN AC"/>
    <s v="Un"/>
    <n v="1"/>
    <n v="0"/>
    <n v="1"/>
    <n v="0.19"/>
    <n v="147000"/>
    <n v="147000"/>
    <n v="174930"/>
    <n v="222727.27272727276"/>
    <n v="222727.27272727276"/>
    <n v="265045.45454545459"/>
    <x v="3"/>
  </r>
  <r>
    <s v="PROTECCIÓN ENCHUFABLE 2X32A"/>
    <s v="Un"/>
    <n v="0"/>
    <n v="0"/>
    <n v="0"/>
    <n v="0.19"/>
    <n v="58824"/>
    <n v="0"/>
    <n v="0"/>
    <n v="89127.272727272735"/>
    <n v="0"/>
    <n v="0"/>
    <x v="3"/>
  </r>
  <r>
    <s v="PROTECCIÓN ENCHUFABLE 3X50A"/>
    <s v="Un"/>
    <n v="1"/>
    <n v="0"/>
    <n v="1"/>
    <n v="0.19"/>
    <n v="50000"/>
    <n v="50000"/>
    <n v="59500"/>
    <n v="75757.57575757576"/>
    <n v="75757.57575757576"/>
    <n v="90151.515151515152"/>
    <x v="3"/>
  </r>
  <r>
    <s v="TABLERO GENERAL BAJA TENSION 24 CTOS TIPO ENCHUFABLE (Incluye 4 breaker 2x20 + 8 1x16 + 2 1x20)"/>
    <s v="Un"/>
    <n v="0"/>
    <n v="0"/>
    <n v="0"/>
    <n v="0.19"/>
    <m/>
    <n v="0"/>
    <n v="0"/>
    <n v="0"/>
    <n v="0"/>
    <n v="0"/>
    <x v="3"/>
  </r>
  <r>
    <s v="MINIBREAKER DE 1X2A TIPO RIEL DIN"/>
    <s v="Un"/>
    <n v="1"/>
    <n v="0"/>
    <n v="1"/>
    <n v="0.19"/>
    <n v="31400"/>
    <n v="31400"/>
    <n v="37366"/>
    <n v="47575.757575757583"/>
    <n v="47575.757575757583"/>
    <n v="56615.15151515152"/>
    <x v="3"/>
  </r>
  <r>
    <s v="Canalizaciones - registros "/>
    <m/>
    <m/>
    <m/>
    <m/>
    <m/>
    <m/>
    <n v="127300"/>
    <n v="151487"/>
    <n v="115842.85714285716"/>
    <n v="192878.7878787879"/>
    <n v="229525.7575757576"/>
    <x v="0"/>
  </r>
  <r>
    <s v="CAJA DE PASO PLASTICA 30*30*15"/>
    <s v="Un"/>
    <n v="0"/>
    <n v="0"/>
    <n v="0"/>
    <n v="0.19"/>
    <n v="47899"/>
    <n v="0"/>
    <n v="0"/>
    <n v="72574.242424242431"/>
    <n v="0"/>
    <n v="0"/>
    <x v="3"/>
  </r>
  <r>
    <s v="CAJA DE PASO PLASTICA 20*15"/>
    <s v="mt"/>
    <n v="2"/>
    <n v="0"/>
    <n v="2"/>
    <n v="0.19"/>
    <n v="35000"/>
    <n v="70000"/>
    <n v="83300"/>
    <n v="53030.303030303039"/>
    <n v="106060.60606060608"/>
    <n v="126212.12121212123"/>
    <x v="3"/>
  </r>
  <r>
    <s v="CAJA RAWELT 4X4 DE 1&quot;"/>
    <s v="Un"/>
    <n v="2"/>
    <n v="0"/>
    <n v="2"/>
    <n v="0.19"/>
    <n v="26400"/>
    <n v="52800"/>
    <n v="62832"/>
    <n v="40000.000000000007"/>
    <n v="80000.000000000015"/>
    <n v="95200.000000000015"/>
    <x v="3"/>
  </r>
  <r>
    <s v="PRENSA ESTOPA DE 1/2&quot;"/>
    <s v="Un"/>
    <n v="2"/>
    <n v="0"/>
    <n v="2"/>
    <n v="0.19"/>
    <n v="2250"/>
    <n v="4500"/>
    <n v="5355"/>
    <n v="3409.0909090909095"/>
    <n v="6818.1818181818189"/>
    <n v="8113.636363636364"/>
    <x v="3"/>
  </r>
  <r>
    <s v="PRENSA ESTOPA DE 3/4&quot;"/>
    <s v="Un"/>
    <n v="0"/>
    <n v="0"/>
    <n v="0"/>
    <n v="0.19"/>
    <n v="3300"/>
    <n v="0"/>
    <n v="0"/>
    <n v="5000.0000000000009"/>
    <n v="0"/>
    <n v="0"/>
    <x v="3"/>
  </r>
  <r>
    <s v="Sistema de puesta a tierra"/>
    <m/>
    <m/>
    <m/>
    <m/>
    <m/>
    <m/>
    <n v="0"/>
    <n v="0"/>
    <m/>
    <n v="0"/>
    <n v="0"/>
    <x v="0"/>
  </r>
  <r>
    <s v="Varilla Coperweld de tierra"/>
    <s v="Un"/>
    <n v="0"/>
    <m/>
    <n v="0"/>
    <n v="0.19"/>
    <n v="96000"/>
    <n v="0"/>
    <n v="0"/>
    <n v="145454.54545454547"/>
    <n v="0"/>
    <n v="0"/>
    <x v="3"/>
  </r>
  <r>
    <s v="Perno varilla - cable"/>
    <s v="Un"/>
    <n v="0"/>
    <m/>
    <n v="0"/>
    <n v="0.19"/>
    <n v="14000"/>
    <n v="0"/>
    <n v="0"/>
    <n v="21212.121212121216"/>
    <n v="0"/>
    <n v="0"/>
    <x v="3"/>
  </r>
  <r>
    <s v="Cable No. 8 desnudo"/>
    <s v="ml"/>
    <n v="0"/>
    <m/>
    <n v="0"/>
    <n v="0.19"/>
    <n v="5630"/>
    <n v="0"/>
    <n v="0"/>
    <n v="8530.3030303030318"/>
    <n v="0"/>
    <n v="0"/>
    <x v="3"/>
  </r>
  <r>
    <s v="registro de tierra de 30 x 30"/>
    <s v="Un"/>
    <n v="0"/>
    <m/>
    <n v="0"/>
    <n v="0.19"/>
    <n v="101031"/>
    <n v="0"/>
    <n v="0"/>
    <n v="153077.27272727274"/>
    <n v="0"/>
    <n v="0"/>
    <x v="3"/>
  </r>
  <r>
    <s v="Suelo artificial (5 kilos)"/>
    <s v="Kg"/>
    <n v="0"/>
    <m/>
    <n v="0"/>
    <n v="0.19"/>
    <n v="12000"/>
    <n v="0"/>
    <n v="0"/>
    <n v="18181.818181818184"/>
    <n v="0"/>
    <n v="0"/>
    <x v="3"/>
  </r>
  <r>
    <s v="Tuberia SCH 40 1/2&quot; 3 metros"/>
    <s v="Un"/>
    <n v="0"/>
    <m/>
    <n v="0"/>
    <n v="0.19"/>
    <n v="12500"/>
    <n v="0"/>
    <n v="0"/>
    <n v="18939.39393939394"/>
    <n v="0"/>
    <n v="0"/>
    <x v="3"/>
  </r>
  <r>
    <s v="Cable AC - DC"/>
    <m/>
    <m/>
    <m/>
    <m/>
    <m/>
    <m/>
    <n v="1251183"/>
    <n v="1488907.7699999998"/>
    <n v="148081.42857142858"/>
    <n v="1895731.8181818184"/>
    <n v="2255920.8636363642"/>
    <x v="0"/>
  </r>
  <r>
    <s v="Suministro cable fotovoltaico 4 mm2 color rojo"/>
    <s v="mt"/>
    <n v="66"/>
    <n v="0"/>
    <n v="66"/>
    <n v="0.19"/>
    <n v="3500"/>
    <n v="231000"/>
    <n v="274890"/>
    <n v="5303.0303030303039"/>
    <n v="350000.00000000006"/>
    <n v="416500.00000000006"/>
    <x v="3"/>
  </r>
  <r>
    <s v="Suministro cable fotovoltaico 4 mm2 color negro"/>
    <s v="mt"/>
    <n v="66"/>
    <n v="0"/>
    <n v="66"/>
    <n v="0.19"/>
    <n v="3500"/>
    <n v="231000"/>
    <n v="274890"/>
    <n v="5303.0303030303039"/>
    <n v="350000.00000000006"/>
    <n v="416500.00000000006"/>
    <x v="3"/>
  </r>
  <r>
    <s v="JUEGO TERMINALES MC4 4 mm2 "/>
    <s v="Un"/>
    <n v="8"/>
    <n v="0"/>
    <n v="8"/>
    <n v="0.19"/>
    <n v="5042"/>
    <n v="40336"/>
    <n v="47999.839999999997"/>
    <n v="7639.3939393939399"/>
    <n v="61115.15151515152"/>
    <n v="72727.030303030304"/>
    <x v="3"/>
  </r>
  <r>
    <s v=" Cable Cu # 14 AWG  THHN/THWN-2"/>
    <s v="mt"/>
    <n v="0"/>
    <m/>
    <n v="0"/>
    <n v="0.19"/>
    <m/>
    <n v="0"/>
    <n v="0"/>
    <n v="0"/>
    <n v="0"/>
    <n v="0"/>
    <x v="3"/>
  </r>
  <r>
    <s v=" Cable Cu # 12 AWG  THHN/THWN-2"/>
    <s v="mt"/>
    <n v="0"/>
    <m/>
    <n v="0"/>
    <n v="0.19"/>
    <n v="0"/>
    <n v="0"/>
    <n v="0"/>
    <n v="0"/>
    <n v="0"/>
    <n v="0"/>
    <x v="3"/>
  </r>
  <r>
    <s v=" Cable Cu # 10 AWG  THHN/THWN-2"/>
    <s v="mt"/>
    <n v="45"/>
    <n v="0"/>
    <n v="45"/>
    <n v="0.19"/>
    <n v="3781"/>
    <n v="170145"/>
    <n v="202472.55"/>
    <n v="5728.7878787878799"/>
    <n v="257795.45454545459"/>
    <n v="306776.59090909094"/>
    <x v="3"/>
  </r>
  <r>
    <s v=" Cable Cu # 8 AWG  THHN/THWN-2"/>
    <s v="mt"/>
    <n v="45"/>
    <n v="0"/>
    <n v="45"/>
    <n v="0.19"/>
    <n v="5630"/>
    <n v="253350"/>
    <n v="301486.5"/>
    <n v="8530.3030303030318"/>
    <n v="383863.63636363641"/>
    <n v="456797.72727272729"/>
    <x v="3"/>
  </r>
  <r>
    <s v=" Cable Cu # 6 AWG  THHN/THWN-2"/>
    <s v="mt"/>
    <n v="0"/>
    <n v="0"/>
    <n v="0"/>
    <n v="0.19"/>
    <n v="7741"/>
    <n v="0"/>
    <n v="0"/>
    <n v="11728.78787878788"/>
    <n v="0"/>
    <n v="0"/>
    <x v="3"/>
  </r>
  <r>
    <s v=" Cable Cu # 4 AWG  THHN/THWN-2 Tierra"/>
    <s v="mt"/>
    <n v="0"/>
    <n v="0"/>
    <n v="0"/>
    <n v="0.19"/>
    <m/>
    <n v="0"/>
    <n v="0"/>
    <n v="0"/>
    <n v="0"/>
    <n v="0"/>
    <x v="3"/>
  </r>
  <r>
    <s v=" Cable Cu # 2 AWG  THHN/THWN-2"/>
    <s v="mt"/>
    <n v="0"/>
    <n v="0"/>
    <n v="0"/>
    <n v="0.19"/>
    <n v="18100"/>
    <n v="0"/>
    <n v="0"/>
    <n v="27424.242424242428"/>
    <n v="0"/>
    <n v="0"/>
    <x v="3"/>
  </r>
  <r>
    <s v=" Cable Cu # 1/0 AWG  THHN/THWN-2"/>
    <s v="mt"/>
    <n v="0"/>
    <n v="0"/>
    <n v="0"/>
    <n v="0.19"/>
    <n v="0"/>
    <n v="0"/>
    <n v="0"/>
    <n v="0"/>
    <n v="0"/>
    <n v="0"/>
    <x v="3"/>
  </r>
  <r>
    <s v=" Cable Cu # 2/0 AWG  THHN/THWN-2"/>
    <s v="mt"/>
    <n v="0"/>
    <n v="0"/>
    <n v="0"/>
    <n v="0.19"/>
    <m/>
    <n v="0"/>
    <n v="0"/>
    <n v="0"/>
    <n v="0"/>
    <n v="0"/>
    <x v="3"/>
  </r>
  <r>
    <s v=" Cable Cu # 250 AWG  THHN/THWN-2"/>
    <s v="mt"/>
    <n v="0"/>
    <n v="0"/>
    <n v="0"/>
    <n v="0.19"/>
    <n v="95000"/>
    <n v="0"/>
    <n v="0"/>
    <n v="143939.39393939395"/>
    <n v="0"/>
    <n v="0"/>
    <x v="3"/>
  </r>
  <r>
    <s v=" Cable Cu # 10 AWG  THHN/THWN-2 Tierra"/>
    <s v="mt"/>
    <n v="66"/>
    <n v="0"/>
    <n v="66"/>
    <n v="0.19"/>
    <n v="3781"/>
    <n v="249546"/>
    <n v="296959.74"/>
    <n v="5728.7878787878799"/>
    <n v="378100.00000000006"/>
    <n v="449939.00000000006"/>
    <x v="3"/>
  </r>
  <r>
    <s v=" Cable utp Cap 5"/>
    <s v="mt"/>
    <n v="10"/>
    <n v="0"/>
    <n v="10"/>
    <n v="0.19"/>
    <n v="1500"/>
    <n v="15000"/>
    <n v="17850"/>
    <n v="2272.727272727273"/>
    <n v="22727.272727272728"/>
    <n v="27045.454545454544"/>
    <x v="3"/>
  </r>
  <r>
    <s v="CABLE SOLDADOR No. 2"/>
    <s v="mt"/>
    <n v="0"/>
    <n v="0"/>
    <n v="0"/>
    <n v="0.19"/>
    <n v="25704"/>
    <n v="0"/>
    <n v="0"/>
    <n v="38945.454545454551"/>
    <n v="0"/>
    <n v="0"/>
    <x v="3"/>
  </r>
  <r>
    <s v="Cable 2x 22  apantallado"/>
    <s v="mt"/>
    <n v="0"/>
    <n v="0"/>
    <n v="0"/>
    <n v="0.19"/>
    <n v="1700"/>
    <n v="0"/>
    <n v="0"/>
    <n v="2575.757575757576"/>
    <n v="0"/>
    <n v="0"/>
    <x v="3"/>
  </r>
  <r>
    <s v="Cable No. 18 negro"/>
    <s v="mt"/>
    <n v="30"/>
    <n v="0"/>
    <n v="30"/>
    <n v="0.19"/>
    <n v="1785"/>
    <n v="53550"/>
    <n v="63724.5"/>
    <n v="2704.545454545455"/>
    <n v="81136.363636363647"/>
    <n v="96552.272727272735"/>
    <x v="3"/>
  </r>
  <r>
    <s v="BORNAS CU 14 AWG"/>
    <s v="Un"/>
    <n v="0"/>
    <m/>
    <n v="0"/>
    <n v="0.19"/>
    <n v="2000"/>
    <n v="0"/>
    <n v="0"/>
    <n v="3030.3030303030305"/>
    <n v="0"/>
    <n v="0"/>
    <x v="3"/>
  </r>
  <r>
    <s v="BORNAS CU 12 AWG"/>
    <s v="Un"/>
    <n v="0"/>
    <m/>
    <n v="0"/>
    <n v="0.19"/>
    <n v="0"/>
    <n v="0"/>
    <n v="0"/>
    <n v="0"/>
    <n v="0"/>
    <n v="0"/>
    <x v="3"/>
  </r>
  <r>
    <s v="BORNAS CU 10 AWG"/>
    <s v="Un"/>
    <n v="2"/>
    <n v="0"/>
    <n v="2"/>
    <n v="0.19"/>
    <n v="1428"/>
    <n v="2856"/>
    <n v="3398.64"/>
    <n v="2163.636363636364"/>
    <n v="4327.2727272727279"/>
    <n v="5149.454545454546"/>
    <x v="3"/>
  </r>
  <r>
    <s v="BORNAS CU 8 AWG"/>
    <s v="Un"/>
    <n v="0"/>
    <n v="0"/>
    <n v="0"/>
    <n v="0.19"/>
    <n v="1400"/>
    <n v="0"/>
    <n v="0"/>
    <n v="2121.2121212121215"/>
    <n v="0"/>
    <n v="0"/>
    <x v="3"/>
  </r>
  <r>
    <s v="BORNAS CU 6 AWG"/>
    <s v="Un"/>
    <n v="2"/>
    <n v="0"/>
    <n v="2"/>
    <n v="0.19"/>
    <n v="2200"/>
    <n v="4400"/>
    <n v="5236"/>
    <n v="3333.3333333333339"/>
    <n v="6666.6666666666679"/>
    <n v="7933.3333333333348"/>
    <x v="3"/>
  </r>
  <r>
    <s v="BORNAS CU 4 AWG"/>
    <s v="Un"/>
    <n v="0"/>
    <n v="0"/>
    <n v="0"/>
    <n v="0.19"/>
    <n v="4600"/>
    <n v="0"/>
    <n v="0"/>
    <n v="6969.6969696969709"/>
    <n v="0"/>
    <n v="0"/>
    <x v="3"/>
  </r>
  <r>
    <s v="BORNAS CU 2 AWG"/>
    <s v="Un"/>
    <n v="0"/>
    <n v="0"/>
    <n v="0"/>
    <n v="0.19"/>
    <n v="3500"/>
    <n v="0"/>
    <n v="0"/>
    <n v="5303.0303030303039"/>
    <n v="0"/>
    <n v="0"/>
    <x v="3"/>
  </r>
  <r>
    <s v="BORNAS CU 1/0 AWG"/>
    <s v="Un"/>
    <n v="0"/>
    <n v="0"/>
    <n v="0"/>
    <n v="0.19"/>
    <m/>
    <n v="0"/>
    <n v="0"/>
    <n v="0"/>
    <n v="0"/>
    <n v="0"/>
    <x v="3"/>
  </r>
  <r>
    <s v="BORNAS CU 2/0 AWG"/>
    <s v="Un"/>
    <n v="0"/>
    <n v="0"/>
    <n v="0"/>
    <n v="0.19"/>
    <m/>
    <n v="0"/>
    <n v="0"/>
    <n v="0"/>
    <n v="0"/>
    <n v="0"/>
    <x v="3"/>
  </r>
  <r>
    <s v="BORNAS CU 4/0 AWG"/>
    <s v="Un"/>
    <n v="0"/>
    <n v="0"/>
    <n v="0"/>
    <n v="0.19"/>
    <n v="4600"/>
    <n v="0"/>
    <n v="0"/>
    <n v="6969.6969696969709"/>
    <n v="0"/>
    <n v="0"/>
    <x v="3"/>
  </r>
  <r>
    <s v="Tuberia - Ductos y Accesorios"/>
    <m/>
    <m/>
    <m/>
    <m/>
    <m/>
    <m/>
    <n v="720064.53781512612"/>
    <n v="856876.8"/>
    <n v="345862.85714285704"/>
    <n v="1091006.8754774637"/>
    <n v="1298298.1818181819"/>
    <x v="0"/>
  </r>
  <r>
    <s v="CORAZA METÁLICA 1&quot;"/>
    <s v="mt"/>
    <n v="4.4000000000000004"/>
    <m/>
    <n v="4.4000000000000004"/>
    <n v="0.19"/>
    <n v="9831.9327731092435"/>
    <n v="43260.504201680676"/>
    <n v="51480"/>
    <n v="14896.867838044311"/>
    <n v="65546.218487394974"/>
    <n v="78000.000000000015"/>
    <x v="3"/>
  </r>
  <r>
    <s v="CONECTORES RECTOS PARA CORAZA 1&quot;"/>
    <s v="mt"/>
    <n v="4.4000000000000004"/>
    <m/>
    <n v="4.4000000000000004"/>
    <n v="0.19"/>
    <n v="7413.4453781512611"/>
    <n v="32619.15966386555"/>
    <n v="38816.800000000003"/>
    <n v="11232.492997198882"/>
    <n v="49422.969187675088"/>
    <n v="58813.33333333335"/>
    <x v="3"/>
  </r>
  <r>
    <s v="CORAZA METÁLICA 1&quot; 1/2"/>
    <s v="mt"/>
    <n v="0"/>
    <n v="0"/>
    <n v="0"/>
    <n v="0.19"/>
    <n v="14900"/>
    <n v="0"/>
    <n v="0"/>
    <n v="22575.75757575758"/>
    <n v="0"/>
    <n v="0"/>
    <x v="3"/>
  </r>
  <r>
    <s v="CONECTORES RECTOS PARA CORAZA 1&quot; 1/2"/>
    <s v="mt"/>
    <n v="0"/>
    <n v="0"/>
    <n v="0"/>
    <n v="0.19"/>
    <n v="13550"/>
    <n v="0"/>
    <n v="0"/>
    <n v="20530.303030303032"/>
    <n v="0"/>
    <n v="0"/>
    <x v="3"/>
  </r>
  <r>
    <s v="CORAZA METÁLICA 2&quot;"/>
    <s v="mt"/>
    <n v="0"/>
    <m/>
    <n v="0"/>
    <n v="0.19"/>
    <n v="19450"/>
    <n v="0"/>
    <n v="0"/>
    <n v="29469.696969696972"/>
    <n v="0"/>
    <n v="0"/>
    <x v="3"/>
  </r>
  <r>
    <s v="CONECTORES RECTOS PARA CORAZA 2&quot;"/>
    <s v="Un"/>
    <n v="0"/>
    <m/>
    <n v="0"/>
    <n v="0.19"/>
    <n v="13150"/>
    <n v="0"/>
    <n v="0"/>
    <n v="19924.242424242428"/>
    <n v="0"/>
    <n v="0"/>
    <x v="3"/>
  </r>
  <r>
    <s v="TUBERÍA IMC 1&quot; x 3metros"/>
    <s v="Un"/>
    <n v="4"/>
    <n v="0"/>
    <n v="4"/>
    <n v="0.19"/>
    <n v="65924.369747899167"/>
    <n v="263697.47899159667"/>
    <n v="313800"/>
    <n v="99885.40870893815"/>
    <n v="399541.6348357526"/>
    <n v="475454.54545454559"/>
    <x v="3"/>
  </r>
  <r>
    <s v="CURVA IMC 1&quot;"/>
    <s v="Un"/>
    <n v="4"/>
    <n v="0"/>
    <n v="4"/>
    <n v="0.19"/>
    <n v="14621.848739495799"/>
    <n v="58487.394957983197"/>
    <n v="69600"/>
    <n v="22154.316271963336"/>
    <n v="88617.265087853346"/>
    <n v="105454.54545454547"/>
    <x v="3"/>
  </r>
  <r>
    <s v="UNIONES IMC 1&quot;"/>
    <s v="Un"/>
    <n v="4"/>
    <n v="0"/>
    <n v="4"/>
    <n v="0.19"/>
    <n v="2400"/>
    <n v="9600"/>
    <n v="11424"/>
    <n v="3636.3636363636369"/>
    <n v="14545.454545454548"/>
    <n v="17309.090909090912"/>
    <x v="3"/>
  </r>
  <r>
    <s v="TUBERÍA IMC 1&quot; 1/2 x 3metros"/>
    <s v="Un"/>
    <n v="0"/>
    <n v="0"/>
    <n v="0"/>
    <n v="0.19"/>
    <n v="127550"/>
    <n v="0"/>
    <n v="0"/>
    <n v="193257.57575757577"/>
    <n v="0"/>
    <n v="0"/>
    <x v="3"/>
  </r>
  <r>
    <s v="CURVA IMC 1&quot; 1/2"/>
    <s v="Un"/>
    <n v="0"/>
    <n v="0"/>
    <n v="0"/>
    <n v="0.19"/>
    <n v="18300"/>
    <n v="0"/>
    <n v="0"/>
    <n v="27727.272727272732"/>
    <n v="0"/>
    <n v="0"/>
    <x v="3"/>
  </r>
  <r>
    <s v="UNIONES IMC 1&quot; 1/2"/>
    <s v="Un"/>
    <n v="0"/>
    <n v="0"/>
    <n v="0"/>
    <n v="0.19"/>
    <n v="3850"/>
    <n v="0"/>
    <n v="0"/>
    <n v="5833.3333333333339"/>
    <n v="0"/>
    <n v="0"/>
    <x v="3"/>
  </r>
  <r>
    <s v="TUBERÍA IMC 2&quot; x 3metros"/>
    <s v="Un"/>
    <n v="0"/>
    <m/>
    <n v="0"/>
    <n v="0.19"/>
    <n v="160600"/>
    <n v="0"/>
    <n v="0"/>
    <n v="243333.33333333337"/>
    <n v="0"/>
    <n v="0"/>
    <x v="3"/>
  </r>
  <r>
    <s v="CURVA IMC 2&quot; 1/2"/>
    <s v="Un"/>
    <n v="0"/>
    <n v="0"/>
    <n v="0"/>
    <n v="0.19"/>
    <n v="28350"/>
    <n v="0"/>
    <n v="0"/>
    <n v="42954.545454545463"/>
    <n v="0"/>
    <n v="0"/>
    <x v="3"/>
  </r>
  <r>
    <s v="UNIONES IMC 2&quot; 1/2"/>
    <s v="Un"/>
    <n v="0"/>
    <n v="0"/>
    <n v="0"/>
    <n v="0.19"/>
    <n v="5400"/>
    <n v="0"/>
    <n v="0"/>
    <n v="8181.8181818181829"/>
    <n v="0"/>
    <n v="0"/>
    <x v="3"/>
  </r>
  <r>
    <s v="TUBERÍA EMT 1&quot; x 3metros"/>
    <s v="Un"/>
    <n v="4"/>
    <n v="0"/>
    <n v="4"/>
    <n v="0.19"/>
    <n v="39850"/>
    <n v="159400"/>
    <n v="189686"/>
    <n v="60378.787878787887"/>
    <n v="241515.15151515155"/>
    <n v="287403.03030303033"/>
    <x v="3"/>
  </r>
  <r>
    <s v="CURVA EMT 1&quot;"/>
    <s v="Un"/>
    <n v="4"/>
    <n v="0"/>
    <n v="4"/>
    <n v="0.19"/>
    <n v="3150"/>
    <n v="12600"/>
    <n v="14994"/>
    <n v="4772.727272727273"/>
    <n v="19090.909090909092"/>
    <n v="22718.18181818182"/>
    <x v="3"/>
  </r>
  <r>
    <s v="UNIONES EMT 1&quot;"/>
    <s v="Un"/>
    <n v="4"/>
    <n v="0"/>
    <n v="4"/>
    <n v="0.19"/>
    <n v="1850"/>
    <n v="7400"/>
    <n v="8806"/>
    <n v="2803.0303030303035"/>
    <n v="11212.121212121214"/>
    <n v="13342.424242424244"/>
    <x v="3"/>
  </r>
  <r>
    <s v="TUBERÍA EMT 1&quot; 1/2 x 3metros"/>
    <s v="Un"/>
    <n v="0"/>
    <n v="0"/>
    <n v="0"/>
    <n v="0.19"/>
    <n v="72300"/>
    <n v="0"/>
    <n v="0"/>
    <n v="109545.45454545456"/>
    <n v="0"/>
    <n v="0"/>
    <x v="3"/>
  </r>
  <r>
    <s v="CURVA EMT 1&quot; 1/2"/>
    <s v="Un"/>
    <n v="0"/>
    <n v="0"/>
    <n v="0"/>
    <n v="0.19"/>
    <n v="8900"/>
    <n v="0"/>
    <n v="0"/>
    <n v="13484.848484848486"/>
    <n v="0"/>
    <n v="0"/>
    <x v="3"/>
  </r>
  <r>
    <s v="UNIONES EMT 1&quot; 1/2"/>
    <s v="Un"/>
    <n v="0"/>
    <n v="0"/>
    <n v="0"/>
    <n v="0.19"/>
    <n v="4050"/>
    <n v="0"/>
    <n v="0"/>
    <n v="6136.3636363636369"/>
    <n v="0"/>
    <n v="0"/>
    <x v="3"/>
  </r>
  <r>
    <s v="TUBERÍA EMT 2&quot; x 3metros"/>
    <s v="Un"/>
    <n v="0"/>
    <n v="0"/>
    <n v="0"/>
    <n v="0.19"/>
    <n v="106300"/>
    <n v="0"/>
    <n v="0"/>
    <n v="161060.60606060608"/>
    <n v="0"/>
    <n v="0"/>
    <x v="3"/>
  </r>
  <r>
    <s v="CURVA EMT 2&quot;"/>
    <s v="Un"/>
    <n v="0"/>
    <n v="0"/>
    <n v="0"/>
    <n v="0.19"/>
    <n v="12650"/>
    <n v="0"/>
    <n v="0"/>
    <n v="19166.666666666668"/>
    <n v="0"/>
    <n v="0"/>
    <x v="3"/>
  </r>
  <r>
    <s v="UNIONES EMT 2&quot;"/>
    <s v="Un"/>
    <n v="0"/>
    <n v="0"/>
    <n v="0"/>
    <n v="0.19"/>
    <n v="4900"/>
    <n v="0"/>
    <n v="0"/>
    <n v="7424.2424242424249"/>
    <n v="0"/>
    <n v="0"/>
    <x v="3"/>
  </r>
  <r>
    <s v="TUBERÍA PVC SCH40 1&quot; x 3metros"/>
    <s v="Un"/>
    <n v="0"/>
    <n v="0"/>
    <n v="0"/>
    <n v="0.19"/>
    <n v="14700"/>
    <n v="0"/>
    <n v="0"/>
    <n v="22272.727272727276"/>
    <n v="0"/>
    <n v="0"/>
    <x v="3"/>
  </r>
  <r>
    <s v="CURVA PVC SCH40 1&quot;"/>
    <s v="Un"/>
    <n v="0"/>
    <n v="0"/>
    <n v="0"/>
    <n v="0.19"/>
    <n v="2650"/>
    <n v="0"/>
    <n v="0"/>
    <n v="4015.1515151515155"/>
    <n v="0"/>
    <n v="0"/>
    <x v="3"/>
  </r>
  <r>
    <s v="TERMINAL ADAPTADOR PVC SCH 1&quot;"/>
    <s v="Un"/>
    <n v="0"/>
    <n v="0"/>
    <n v="0"/>
    <n v="0.19"/>
    <n v="3000"/>
    <n v="0"/>
    <n v="0"/>
    <n v="4545.454545454546"/>
    <n v="0"/>
    <n v="0"/>
    <x v="3"/>
  </r>
  <r>
    <s v="TUBERÍA PVC SCH40 1 1/2&quot; x 3metros"/>
    <s v="Un"/>
    <n v="0"/>
    <n v="0"/>
    <n v="0"/>
    <n v="0.19"/>
    <n v="23550"/>
    <n v="0"/>
    <n v="0"/>
    <n v="35681.818181818184"/>
    <n v="0"/>
    <n v="0"/>
    <x v="3"/>
  </r>
  <r>
    <s v="CURVA PVC SCH40 1 1/2&quot;"/>
    <s v="Un"/>
    <n v="0"/>
    <n v="0"/>
    <n v="0"/>
    <n v="0.19"/>
    <n v="8300"/>
    <n v="0"/>
    <n v="0"/>
    <n v="12575.757575757578"/>
    <n v="0"/>
    <n v="0"/>
    <x v="3"/>
  </r>
  <r>
    <s v="TERMINAL ADAPTADOR PVC SCH 1 1/2&quot;"/>
    <s v="Un"/>
    <n v="0"/>
    <n v="0"/>
    <n v="0"/>
    <n v="0.19"/>
    <n v="7500"/>
    <n v="0"/>
    <n v="0"/>
    <n v="11363.636363636366"/>
    <n v="0"/>
    <n v="0"/>
    <x v="3"/>
  </r>
  <r>
    <s v="TUBERÍA PVC SCH40 2&quot; x 3metros"/>
    <s v="Un"/>
    <n v="0"/>
    <n v="0"/>
    <n v="0"/>
    <n v="0.19"/>
    <n v="34100"/>
    <n v="0"/>
    <n v="0"/>
    <n v="51666.666666666672"/>
    <n v="0"/>
    <n v="0"/>
    <x v="3"/>
  </r>
  <r>
    <s v="CURVA PVC SCH40 2&quot;"/>
    <s v="Un"/>
    <n v="0"/>
    <n v="0"/>
    <n v="0"/>
    <n v="0.19"/>
    <n v="17500"/>
    <n v="0"/>
    <n v="0"/>
    <n v="26515.15151515152"/>
    <n v="0"/>
    <n v="0"/>
    <x v="3"/>
  </r>
  <r>
    <s v="TERMINAL ADAPTADOR PVC SCH 2&quot;"/>
    <s v="Un"/>
    <n v="0"/>
    <n v="0"/>
    <n v="0"/>
    <n v="0.19"/>
    <n v="8000"/>
    <n v="0"/>
    <n v="0"/>
    <n v="12121.212121212122"/>
    <n v="0"/>
    <n v="0"/>
    <x v="3"/>
  </r>
  <r>
    <s v="CANALETA PLÁSTICA DEXON 60 X 40 MM X 2 METROS"/>
    <s v="Un"/>
    <n v="0"/>
    <n v="0"/>
    <n v="0"/>
    <n v="0.19"/>
    <n v="41221"/>
    <n v="0"/>
    <n v="0"/>
    <n v="62456.060606060615"/>
    <n v="0"/>
    <n v="0"/>
    <x v="3"/>
  </r>
  <r>
    <s v="ANGULO PLANO PARA CANALETA DE 60 X 40"/>
    <s v="Un"/>
    <n v="0"/>
    <n v="0"/>
    <n v="0"/>
    <n v="0.19"/>
    <n v="10000"/>
    <n v="0"/>
    <n v="0"/>
    <n v="15151.515151515154"/>
    <n v="0"/>
    <n v="0"/>
    <x v="3"/>
  </r>
  <r>
    <s v="ANGULO INTERNO PARA CANALETA DE 60X40"/>
    <s v="Un"/>
    <n v="0"/>
    <n v="0"/>
    <n v="0"/>
    <n v="0.19"/>
    <n v="10000"/>
    <n v="0"/>
    <n v="0"/>
    <n v="15151.515151515154"/>
    <n v="0"/>
    <n v="0"/>
    <x v="3"/>
  </r>
  <r>
    <s v="T PARA CANALETA DE 60 X 40"/>
    <s v="Un"/>
    <n v="0"/>
    <n v="0"/>
    <n v="0"/>
    <n v="0.19"/>
    <n v="8176.9957983193281"/>
    <n v="0"/>
    <n v="0"/>
    <n v="12389.387573211105"/>
    <n v="0"/>
    <n v="0"/>
    <x v="3"/>
  </r>
  <r>
    <s v="TAPA FINAL"/>
    <s v="Un"/>
    <n v="0"/>
    <n v="0"/>
    <n v="0"/>
    <n v="0.19"/>
    <n v="10000"/>
    <n v="0"/>
    <n v="0"/>
    <n v="15151.515151515154"/>
    <n v="0"/>
    <n v="0"/>
    <x v="3"/>
  </r>
  <r>
    <s v="SOPORTE METÁLICO DOBLE OJO 1&quot;"/>
    <s v="Un"/>
    <n v="0"/>
    <n v="0"/>
    <n v="0"/>
    <n v="0.19"/>
    <n v="2000"/>
    <n v="0"/>
    <n v="0"/>
    <n v="3030.3030303030305"/>
    <n v="0"/>
    <n v="0"/>
    <x v="3"/>
  </r>
  <r>
    <s v="SOPORTE METÁLICO DOBLE OJO 1 1/2&quot;"/>
    <m/>
    <n v="0"/>
    <n v="0"/>
    <n v="0"/>
    <n v="0.19"/>
    <n v="2000"/>
    <m/>
    <m/>
    <m/>
    <m/>
    <m/>
    <x v="3"/>
  </r>
  <r>
    <s v="SOPORTE METÁLICO DOBLE OJO 2&quot;"/>
    <m/>
    <n v="0"/>
    <n v="0"/>
    <n v="0"/>
    <n v="0.19"/>
    <n v="2000"/>
    <m/>
    <m/>
    <m/>
    <m/>
    <m/>
    <x v="3"/>
  </r>
  <r>
    <s v="CINTA AISLANTE NEGRA"/>
    <s v="Un"/>
    <n v="1"/>
    <n v="1"/>
    <n v="2"/>
    <n v="0.19"/>
    <n v="7500"/>
    <n v="15000"/>
    <n v="17850"/>
    <n v="11363.636363636366"/>
    <n v="22727.272727272732"/>
    <n v="27045.454545454548"/>
    <x v="3"/>
  </r>
  <r>
    <s v="CINTA AISLANTE ROJA"/>
    <s v="Un"/>
    <n v="1"/>
    <n v="1"/>
    <n v="2"/>
    <n v="0.19"/>
    <n v="3500"/>
    <n v="7000"/>
    <n v="8330"/>
    <n v="5303.0303030303039"/>
    <n v="10606.060606060608"/>
    <n v="12621.212121212122"/>
    <x v="3"/>
  </r>
  <r>
    <s v="CINTA AISLANTE BLANCA"/>
    <s v="Un"/>
    <n v="1"/>
    <n v="1"/>
    <n v="2"/>
    <n v="0.19"/>
    <n v="3500"/>
    <n v="7000"/>
    <n v="8330"/>
    <n v="5303.0303030303039"/>
    <n v="10606.060606060608"/>
    <n v="12621.212121212122"/>
    <x v="3"/>
  </r>
  <r>
    <s v="CINTA AISLANTE VERDE"/>
    <s v="Un"/>
    <n v="1"/>
    <n v="1"/>
    <n v="2"/>
    <n v="0.19"/>
    <n v="3500"/>
    <n v="7000"/>
    <n v="8330"/>
    <n v="5303.0303030303039"/>
    <n v="10606.060606060608"/>
    <n v="12621.212121212122"/>
    <x v="3"/>
  </r>
  <r>
    <s v="CHAZO Y TORNILLO 1/4"/>
    <s v="Un"/>
    <n v="100"/>
    <n v="0"/>
    <n v="100"/>
    <n v="0.19"/>
    <n v="200"/>
    <n v="20000"/>
    <n v="23800"/>
    <n v="303.03030303030306"/>
    <n v="30303.030303030308"/>
    <n v="36060.606060606064"/>
    <x v="3"/>
  </r>
  <r>
    <s v="PEGANTE SELLADOR POLIURETANO"/>
    <s v="Un"/>
    <n v="1"/>
    <n v="0"/>
    <n v="1"/>
    <n v="0.19"/>
    <n v="28000"/>
    <n v="28000"/>
    <n v="33320"/>
    <n v="42424.242424242431"/>
    <n v="42424.242424242431"/>
    <n v="50484.848484848488"/>
    <x v="3"/>
  </r>
  <r>
    <s v="ESPUMA EXPANSIVA"/>
    <s v="Un"/>
    <n v="1"/>
    <n v="0"/>
    <n v="1"/>
    <n v="0.19"/>
    <n v="28000"/>
    <n v="28000"/>
    <n v="33320"/>
    <n v="42424.242424242431"/>
    <n v="42424.242424242431"/>
    <n v="50484.848484848488"/>
    <x v="3"/>
  </r>
  <r>
    <s v="AMARRES PLASTICOS DE 25 CM"/>
    <s v="Un"/>
    <n v="2"/>
    <n v="0"/>
    <n v="2"/>
    <n v="0.19"/>
    <n v="10500"/>
    <n v="21000"/>
    <n v="24990"/>
    <n v="15909.090909090912"/>
    <n v="31818.181818181823"/>
    <n v="37863.636363636368"/>
    <x v="3"/>
  </r>
  <r>
    <s v="Materiales menores"/>
    <s v="%"/>
    <n v="0.01"/>
    <n v="0"/>
    <n v="0"/>
    <n v="0.19"/>
    <m/>
    <n v="0"/>
    <n v="0"/>
    <m/>
    <n v="0"/>
    <n v="0"/>
    <x v="3"/>
  </r>
  <r>
    <s v="Marcación"/>
    <m/>
    <m/>
    <m/>
    <m/>
    <m/>
    <m/>
    <n v="50000"/>
    <n v="59500"/>
    <m/>
    <n v="75757.57575757576"/>
    <n v="90151.515151515152"/>
    <x v="0"/>
  </r>
  <r>
    <s v="S.E.I de marcación  este deberá ser tipo exterior para identificar cableado fotovoltaico tanto al inicio de las String partiendo de los grupos de paneles como al ingreso del inversor."/>
    <s v="Gb"/>
    <n v="1"/>
    <n v="0"/>
    <n v="1"/>
    <n v="0.19"/>
    <n v="50000"/>
    <n v="50000"/>
    <n v="59500"/>
    <n v="75757.57575757576"/>
    <n v="75757.57575757576"/>
    <n v="90151.515151515152"/>
    <x v="5"/>
  </r>
  <r>
    <s v="Gestión y Trámites"/>
    <m/>
    <m/>
    <m/>
    <m/>
    <m/>
    <m/>
    <n v="4000000"/>
    <n v="4760000"/>
    <m/>
    <n v="6060606.0606060615"/>
    <n v="7212121.2121212119"/>
    <x v="0"/>
  </r>
  <r>
    <s v="Diseño eléctrico y estructural"/>
    <s v="Gb"/>
    <m/>
    <m/>
    <n v="1"/>
    <n v="0.19"/>
    <n v="900000"/>
    <n v="900000"/>
    <n v="1071000"/>
    <n v="1363636.3636363638"/>
    <n v="1363636.3636363638"/>
    <n v="1622727.2727272727"/>
    <x v="6"/>
  </r>
  <r>
    <s v="Estudio de conexión"/>
    <s v="Gb"/>
    <m/>
    <m/>
    <n v="1"/>
    <n v="0.19"/>
    <n v="2500000"/>
    <n v="2500000"/>
    <n v="2975000"/>
    <n v="3787878.7878787885"/>
    <n v="3787878.7878787885"/>
    <n v="4507575.7575757578"/>
    <x v="6"/>
  </r>
  <r>
    <s v="Trámites ante OR"/>
    <s v="Gb"/>
    <m/>
    <m/>
    <n v="1"/>
    <n v="0.19"/>
    <n v="600000"/>
    <n v="600000"/>
    <n v="714000"/>
    <n v="909090.90909090918"/>
    <n v="909090.90909090918"/>
    <n v="1081818.1818181819"/>
    <x v="7"/>
  </r>
  <r>
    <s v="Trámites UPME"/>
    <s v="Gb"/>
    <m/>
    <m/>
    <n v="0"/>
    <n v="0.19"/>
    <n v="850000"/>
    <n v="0"/>
    <n v="0"/>
    <n v="1287878.7878787881"/>
    <n v="0"/>
    <n v="0"/>
    <x v="7"/>
  </r>
  <r>
    <s v="Instalación"/>
    <m/>
    <m/>
    <m/>
    <m/>
    <m/>
    <m/>
    <n v="3190000"/>
    <n v="3220305"/>
    <m/>
    <n v="4833333.333333334"/>
    <n v="4879250.0000000009"/>
    <x v="0"/>
  </r>
  <r>
    <s v="Mano de Obra de Instalación Eléctrica y Puesta en Servicio sistema"/>
    <s v="Gb"/>
    <n v="15950"/>
    <n v="0"/>
    <n v="15950"/>
    <n v="0.19"/>
    <n v="200"/>
    <n v="3190000"/>
    <n v="3220305"/>
    <n v="303.03030303030306"/>
    <n v="4833333.333333334"/>
    <n v="4879250.0000000009"/>
    <x v="5"/>
  </r>
  <r>
    <s v="Punto de datos"/>
    <s v="Gb"/>
    <n v="0"/>
    <n v="0"/>
    <n v="0"/>
    <m/>
    <n v="200000"/>
    <n v="0"/>
    <n v="0"/>
    <n v="303030.30303030304"/>
    <n v="0"/>
    <n v="0"/>
    <x v="5"/>
  </r>
  <r>
    <s v="Izaje de carga"/>
    <s v="Gb"/>
    <n v="0"/>
    <n v="0"/>
    <n v="0"/>
    <m/>
    <n v="500000"/>
    <n v="0"/>
    <n v="0"/>
    <n v="757575.75757575769"/>
    <n v="0"/>
    <n v="0"/>
    <x v="5"/>
  </r>
  <r>
    <s v="RETIE y Medición"/>
    <m/>
    <m/>
    <m/>
    <m/>
    <m/>
    <m/>
    <n v="2400000"/>
    <n v="2856000"/>
    <m/>
    <n v="3636363.6363636367"/>
    <n v="4327272.7272727275"/>
    <x v="0"/>
  </r>
  <r>
    <s v="Certificación RETIE"/>
    <s v="Un"/>
    <n v="1"/>
    <n v="0"/>
    <n v="1"/>
    <n v="0.19"/>
    <n v="1300000"/>
    <n v="1300000"/>
    <n v="1547000"/>
    <n v="1969696.96969697"/>
    <n v="1969696.96969697"/>
    <n v="2343939.393939394"/>
    <x v="8"/>
  </r>
  <r>
    <s v="Suministro, gestión y cambio de medidor bidireccional med-3f-_x000a_208/120vac-5(120)"/>
    <s v="Gb"/>
    <n v="0"/>
    <n v="0"/>
    <n v="1"/>
    <n v="0.19"/>
    <n v="1100000"/>
    <n v="1100000"/>
    <n v="1309000"/>
    <n v="1666666.666666667"/>
    <n v="1666666.666666667"/>
    <n v="1983333.3333333337"/>
    <x v="9"/>
  </r>
  <r>
    <s v="Subtotal"/>
    <m/>
    <m/>
    <m/>
    <m/>
    <m/>
    <m/>
    <n v="28173738.417815126"/>
    <n v="30587593.710000001"/>
    <m/>
    <n v="42687482.451235041"/>
    <n v="46344838.954545461"/>
    <x v="0"/>
  </r>
  <r>
    <s v="Estructuración y Gerencia del proyecto"/>
    <s v="Gb"/>
    <m/>
    <m/>
    <m/>
    <n v="0.19"/>
    <n v="0.03"/>
    <n v="845212.15253445378"/>
    <n v="1005802.461516"/>
    <m/>
    <n v="1280624.4735370514"/>
    <n v="1280624.4735370514"/>
    <x v="3"/>
  </r>
  <r>
    <s v="Comisión"/>
    <m/>
    <m/>
    <m/>
    <m/>
    <n v="0.19"/>
    <n v="0.03"/>
    <n v="845212.15253445378"/>
    <n v="1005802.461516"/>
    <m/>
    <n v="1280624.4735370514"/>
    <n v="1280624.4735370514"/>
    <x v="3"/>
  </r>
  <r>
    <s v="Imprevistos"/>
    <s v="%"/>
    <n v="0.01"/>
    <n v="0.01"/>
    <n v="0.02"/>
    <n v="0.19"/>
    <n v="0.01"/>
    <n v="281737.38417815126"/>
    <n v="335267.48717199999"/>
    <m/>
    <n v="426874.82451235043"/>
    <n v="507981.04116969701"/>
    <x v="3"/>
  </r>
  <r>
    <s v="Total"/>
    <m/>
    <m/>
    <m/>
    <m/>
    <m/>
    <m/>
    <n v="30145900.107062187"/>
    <n v="32934466.120204002"/>
    <m/>
    <n v="45675606.222821489"/>
    <n v="49414068.94278925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A253A-A3BA-42FD-89D5-33C4E450272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w Servicio llave en mano">
  <location ref="A3:C12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 sortType="descending">
      <items count="11">
        <item x="8"/>
        <item x="6"/>
        <item x="5"/>
        <item x="1"/>
        <item x="3"/>
        <item x="9"/>
        <item x="7"/>
        <item h="1" x="0"/>
        <item h="1" x="2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2"/>
  </rowFields>
  <rowItems count="9">
    <i>
      <x v="3"/>
    </i>
    <i>
      <x v="4"/>
    </i>
    <i>
      <x v="1"/>
    </i>
    <i>
      <x v="2"/>
    </i>
    <i>
      <x v="9"/>
    </i>
    <i>
      <x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Precio de venta antes IVA" fld="10" baseField="0" baseItem="0"/>
    <dataField name="Precio de Venta Iva Incluido" fld="11" baseField="0" baseItem="0"/>
  </dataFields>
  <formats count="40">
    <format dxfId="111">
      <pivotArea outline="0" collapsedLevelsAreSubtotals="1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field="12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field="12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grandRow="1" outline="0" collapsedLevelsAreSubtotals="1" fieldPosition="0"/>
    </format>
    <format dxfId="101">
      <pivotArea dataOnly="0" labelOnly="1" grandRow="1" outline="0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collapsedLevelsAreSubtotals="1" fieldPosition="0">
        <references count="1">
          <reference field="12" count="0"/>
        </references>
      </pivotArea>
    </format>
    <format dxfId="97">
      <pivotArea grandRow="1" outline="0" collapsedLevelsAreSubtotals="1" fieldPosition="0"/>
    </format>
    <format dxfId="96">
      <pivotArea field="12" type="button" dataOnly="0" labelOnly="1" outline="0" axis="axisRow" fieldPosition="0"/>
    </format>
    <format dxfId="95">
      <pivotArea dataOnly="0" labelOnly="1" grandRow="1" outline="0" fieldPosition="0"/>
    </format>
    <format dxfId="94">
      <pivotArea collapsedLevelsAreSubtotals="1" fieldPosition="0">
        <references count="2">
          <reference field="4294967294" count="1" selected="0">
            <x v="0"/>
          </reference>
          <reference field="12" count="1">
            <x v="3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12" count="1">
            <x v="8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0"/>
          </reference>
          <reference field="12" count="1">
            <x v="5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12" count="1">
            <x v="6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0"/>
          </reference>
          <reference field="12" count="1">
            <x v="9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0"/>
          </reference>
          <reference field="12" count="1">
            <x v="4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2" count="1">
            <x v="4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2" count="1">
            <x v="2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0"/>
          </reference>
          <reference field="12" count="1">
            <x v="4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2" type="button" dataOnly="0" labelOnly="1" outline="0" axis="axisRow" fieldPosition="0"/>
    </format>
    <format dxfId="80">
      <pivotArea dataOnly="0" labelOnly="1" fieldPosition="0">
        <references count="1">
          <reference field="12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2" type="button" dataOnly="0" labelOnly="1" outline="0" axis="axisRow" fieldPosition="0"/>
    </format>
    <format dxfId="74">
      <pivotArea dataOnly="0" labelOnly="1" fieldPosition="0">
        <references count="1">
          <reference field="12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67EC6-84A1-4A1D-B27E-EA8FCE32DD0E}" name="Préstamo" displayName="Préstamo" ref="B9:H369" headerRowDxfId="71" dataDxfId="70" totalsRowDxfId="69">
  <tableColumns count="7">
    <tableColumn id="1" xr3:uid="{784A23C0-9475-4F3B-91F2-4BAE11E449DD}" name="N.° de pago" totalsRowLabel="Total" dataDxfId="68" totalsRowDxfId="67" dataCellStyle="Millares">
      <calculatedColumnFormula>IFERROR(IF(PréstamoNoPagado*PréstamoPagado,NúmeroDePago,""), "")</calculatedColumnFormula>
    </tableColumn>
    <tableColumn id="2" xr3:uid="{29BD0395-71FC-4BC5-9ED6-B042BFF1AA1A}" name="Fecha de pago" dataDxfId="66" totalsRowDxfId="65" dataCellStyle="Fecha">
      <calculatedColumnFormula>IFERROR(IF(PréstamoNoPagado*PréstamoPagado,FechaDePago,""), "")</calculatedColumnFormula>
    </tableColumn>
    <tableColumn id="3" xr3:uid="{4B9A9343-B5A4-4066-B57F-632E5B014048}" name="Saldo inicial" dataDxfId="64" totalsRowDxfId="63">
      <calculatedColumnFormula>IFERROR(IF(PréstamoNoPagado*PréstamoPagado,ValorPréstamo,""), "")</calculatedColumnFormula>
    </tableColumn>
    <tableColumn id="4" xr3:uid="{A4A7691C-1556-4132-83DE-3A6F18821F31}" name="Pago" dataDxfId="62" totalsRowDxfId="61">
      <calculatedColumnFormula>IFERROR(IF(PréstamoNoPagado*PréstamoPagado,PagoMensual,""), "")</calculatedColumnFormula>
    </tableColumn>
    <tableColumn id="5" xr3:uid="{D53FD86E-17F8-4376-8CDB-89C5D1BC61DA}" name="Capital" dataDxfId="60" totalsRowDxfId="59">
      <calculatedColumnFormula>IFERROR(IF(PréstamoNoPagado*PréstamoPagado,Capital,""), "")</calculatedColumnFormula>
    </tableColumn>
    <tableColumn id="6" xr3:uid="{378CFAFD-5929-4769-A6E9-12D73E44BB74}" name="Intereses" dataDxfId="58" totalsRowDxfId="57">
      <calculatedColumnFormula>IFERROR(IF(PréstamoNoPagado*PréstamoPagado,AmortizaciónInterés,""), "")</calculatedColumnFormula>
    </tableColumn>
    <tableColumn id="7" xr3:uid="{B930B961-C340-48A7-84C1-246E8E3C05DA}" name="Saldo final" totalsRowFunction="count" dataDxfId="56" totalsRowDxfId="55">
      <calculatedColumnFormula>IFERROR(IF(PréstamoNoPagado*PréstamoPagado,SaldoFinal,""), "")</calculatedColumnFormula>
    </tableColumn>
  </tableColumns>
  <tableStyleInfo name="Calculadora de préstamos" showFirstColumn="0" showLastColumn="0" showRowStripes="1" showColumnStripes="0"/>
  <extLst>
    <ext xmlns:x14="http://schemas.microsoft.com/office/spreadsheetml/2009/9/main" uri="{504A1905-F514-4f6f-8877-14C23A59335A}">
      <x14:table altTextSummary="Realice un seguimiento del número de pago, la fecha de pago, el saldo inicial, el saldo final y los importes de pago, capital e intereses con esta tabla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641B17-1935-46ED-B0ED-F5145F3C8E93}" name="Préstamo3" displayName="Préstamo3" ref="B9:H369" headerRowDxfId="54" dataDxfId="53" totalsRowDxfId="52">
  <tableColumns count="7">
    <tableColumn id="1" xr3:uid="{3B8A216B-680F-445D-B713-8FAD012A20B7}" name="N.° de pago" totalsRowLabel="Total" dataDxfId="51" totalsRowDxfId="50" dataCellStyle="Millares">
      <calculatedColumnFormula>IFERROR(IF(PréstamoNoPagado*PréstamoPagado,NúmeroDePago,""), "")</calculatedColumnFormula>
    </tableColumn>
    <tableColumn id="2" xr3:uid="{C508D834-5C76-458A-A0D3-FB895D7B508C}" name="Fecha de pago" dataDxfId="49" totalsRowDxfId="48" dataCellStyle="Fecha">
      <calculatedColumnFormula>IFERROR(IF(PréstamoNoPagado*PréstamoPagado,FechaDePago,""), "")</calculatedColumnFormula>
    </tableColumn>
    <tableColumn id="3" xr3:uid="{20281B78-BD26-4D95-A968-4F2662CF2735}" name="Saldo inicial" dataDxfId="47" totalsRowDxfId="46">
      <calculatedColumnFormula>IFERROR(IF(PréstamoNoPagado*PréstamoPagado,ValorPréstamo,""), "")</calculatedColumnFormula>
    </tableColumn>
    <tableColumn id="4" xr3:uid="{72C55EB4-5C3B-4713-930C-0420E73A85AF}" name="Pago" dataDxfId="45" totalsRowDxfId="44">
      <calculatedColumnFormula>IFERROR(IF(PréstamoNoPagado*PréstamoPagado,PagoMensual,""), "")</calculatedColumnFormula>
    </tableColumn>
    <tableColumn id="5" xr3:uid="{53E9AA29-0235-45DC-B480-812647EAC8CA}" name="Capital" dataDxfId="43" totalsRowDxfId="42">
      <calculatedColumnFormula>IFERROR(IF(PréstamoNoPagado*PréstamoPagado,Capital,""), "")</calculatedColumnFormula>
    </tableColumn>
    <tableColumn id="6" xr3:uid="{73ED6CAD-B268-464E-B69C-AAAF3D38E5C3}" name="Intereses" dataDxfId="41" totalsRowDxfId="40">
      <calculatedColumnFormula>IFERROR(IF(PréstamoNoPagado*PréstamoPagado,AmortizaciónInterés,""), "")</calculatedColumnFormula>
    </tableColumn>
    <tableColumn id="7" xr3:uid="{4D1B93F4-F3B1-41F0-B72B-328571A74581}" name="Saldo final" totalsRowFunction="count" dataDxfId="39" totalsRowDxfId="38">
      <calculatedColumnFormula>IFERROR(IF(PréstamoNoPagado*PréstamoPagado,SaldoFinal,""), "")</calculatedColumnFormula>
    </tableColumn>
  </tableColumns>
  <tableStyleInfo name="Calculadora de préstamos" showFirstColumn="0" showLastColumn="0" showRowStripes="1" showColumnStripes="0"/>
  <extLst>
    <ext xmlns:x14="http://schemas.microsoft.com/office/spreadsheetml/2009/9/main" uri="{504A1905-F514-4f6f-8877-14C23A59335A}">
      <x14:table altTextSummary="Realice un seguimiento del número de pago, la fecha de pago, el saldo inicial, el saldo final y los importes de pago, capital e intereses con esta tabla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251D0-ADC8-4D68-ADF3-D6FF15C663B1}" name="Préstamo34" displayName="Préstamo34" ref="B9:H369" headerRowDxfId="37" dataDxfId="36" totalsRowDxfId="35">
  <tableColumns count="7">
    <tableColumn id="1" xr3:uid="{55488391-065D-4409-94D6-B52F07A37E9D}" name="N.° de pago" totalsRowLabel="Total" dataDxfId="34" totalsRowDxfId="33" dataCellStyle="Millares">
      <calculatedColumnFormula>IFERROR(IF(PréstamoNoPagado*PréstamoPagado,NúmeroDePago,""), "")</calculatedColumnFormula>
    </tableColumn>
    <tableColumn id="2" xr3:uid="{52A5BB8F-3481-453E-93BA-D34714856554}" name="Fecha de pago" dataDxfId="32" totalsRowDxfId="31" dataCellStyle="Fecha">
      <calculatedColumnFormula>IFERROR(IF(PréstamoNoPagado*PréstamoPagado,FechaDePago,""), "")</calculatedColumnFormula>
    </tableColumn>
    <tableColumn id="3" xr3:uid="{19608D7A-B4A2-4403-B0DB-1D336E6569A0}" name="Saldo inicial" dataDxfId="30" totalsRowDxfId="29">
      <calculatedColumnFormula>IFERROR(IF(PréstamoNoPagado*PréstamoPagado,ValorPréstamo,""), "")</calculatedColumnFormula>
    </tableColumn>
    <tableColumn id="4" xr3:uid="{BEF2E874-67D5-49C9-BF05-A726D590CE81}" name="Pago" dataDxfId="28" totalsRowDxfId="27">
      <calculatedColumnFormula>IFERROR(IF(PréstamoNoPagado*PréstamoPagado,PagoMensual,""), "")</calculatedColumnFormula>
    </tableColumn>
    <tableColumn id="5" xr3:uid="{FBCA60D2-585A-4CA9-A13B-B8DE5BE497D7}" name="Capital" dataDxfId="26" totalsRowDxfId="25">
      <calculatedColumnFormula>IFERROR(IF(PréstamoNoPagado*PréstamoPagado,Capital,""), "")</calculatedColumnFormula>
    </tableColumn>
    <tableColumn id="6" xr3:uid="{EE337A73-ECA0-4580-88E5-C6B68CFB324F}" name="Intereses" dataDxfId="24" totalsRowDxfId="23">
      <calculatedColumnFormula>IFERROR(IF(PréstamoNoPagado*PréstamoPagado,AmortizaciónInterés,""), "")</calculatedColumnFormula>
    </tableColumn>
    <tableColumn id="7" xr3:uid="{1E5DB724-606B-48CB-BC2C-C38E2B6B86C7}" name="Saldo final" totalsRowFunction="count" dataDxfId="22" totalsRowDxfId="21">
      <calculatedColumnFormula>IFERROR(IF(PréstamoNoPagado*PréstamoPagado,SaldoFinal,""), "")</calculatedColumnFormula>
    </tableColumn>
  </tableColumns>
  <tableStyleInfo name="Calculadora de préstamos" showFirstColumn="0" showLastColumn="0" showRowStripes="1" showColumnStripes="0"/>
  <extLst>
    <ext xmlns:x14="http://schemas.microsoft.com/office/spreadsheetml/2009/9/main" uri="{504A1905-F514-4f6f-8877-14C23A59335A}">
      <x14:table altTextSummary="Realice un seguimiento del número de pago, la fecha de pago, el saldo inicial, el saldo final y los importes de pago, capital e intereses con esta tabla"/>
    </ext>
  </extLst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6" dT="2025-03-03T15:12:33.68" personId="{1B521815-A092-4C92-B5F1-97DCB66107B2}" id="{7F55FCA1-5218-4D81-BDF8-12E934F3552E}">
    <text>Se considera que el edificio tiene 15 pisos de 3.5 metros cada uno</text>
  </threadedComment>
  <threadedComment ref="E56" dT="2025-03-03T15:12:33.68" personId="{1B521815-A092-4C92-B5F1-97DCB66107B2}" id="{ED4A8E0C-30B5-4027-8BB8-844C70424FA6}">
    <text>Se considera que el edificio tiene 15 pisos de 3.5 metros cada uno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4EE91E-0514-4542-B13E-A35EF0ACC146}">
  <we:reference id="wa104100404" version="3.0.0.1" store="es-ES" storeType="OMEX"/>
  <we:alternateReferences>
    <we:reference id="wa104100404" version="3.0.0.1" store="wa104100404" storeType="OMEX"/>
  </we:alternateReferences>
  <we:properties>
    <we:property name="UniqueID" value="&quot;20245111718117125013&quot;"/>
    <we:property name="cS/XGAoUJgl6MxE4eShSHw==" value="&quot;FAQSRlA=&quot;"/>
    <we:property name="cS/XGAoUJgl6MxE4eRRfGUYkRCsGCSg=" value="&quot;dxNx&quot;"/>
    <we:property name="cS/XGAoUJgl6MxE4eSpRDX0oWA==" value="&quot;Aw==&quot;"/>
    <we:property name="cS/XGAoUJgl6MxE4eRRfGUYkRCsNAig=" value="&quot;AQ==&quot;"/>
    <we:property name="cS/XGAoUJgl6MxE4eRRfGUYkRCsTFSo=" value="&quot;AG8GRFNXf0s=&quot;"/>
    <we:property name="cS/XGAoUJgl6MxE4eRRfGUYkRCsQBCM=" value="&quot;AQ==&quot;"/>
    <we:property name="cS/XGAoUJgl6MxE4eRRfGUYkRCsRCzc=" value="&quot;AA==&quot;"/>
    <we:property name="cS/XGAoUJgl6MxE4eRRfGUYkRCsXCCM=" value="&quot;AG8GRQ==&quot;"/>
    <we:property name="cS/XGAoUJgl6MxE4eRRfGUYkRCsAESg=" value="&quot;AG8GRFNW&quot;"/>
    <we:property name="cS/XGAoUJgl6MxE4eRRfGUYkRCsOFCM=" value="&quot;AA==&quot;"/>
    <we:property name="cS/XGAoUJgl6MxE4eRRfGUYkRCsQFDU=" value="&quot;AXEG&quot;"/>
    <we:property name="cS/XGAoUJgl6MxE4eRRfGUYkRCsRFCs=" value="&quot;AA==&quot;"/>
    <we:property name="cS/XGAoUJgl6MxE4eRRfGUYkRCsOFTs=" value="&quot;AG8GQ1Y=&quot;"/>
    <we:property name="cS/XGAoUJgl6MxE4eRRfGUYkRCsOCSY=" value="&quot;A3E=&quot;"/>
    <we:property name="cS/XGAoUJgl6MxE4eRRfGUYkRCsRBTk=" value="&quot;AQ==&quot;"/>
    <we:property name="cS/XGAoUJgl6MxE4eRRfGUYkRCsNEz0=" value="&quot;Ag==&quot;"/>
    <we:property name="cS/XGAoUJgl6MxE4eRRfGUYkRCsCBCw=" value="&quot;AG8GRFI=&quot;"/>
    <we:property name="cS/XGAoUJgl6MxE4eRRfGUYkRCsRAjw=" value="&quot;BQ==&quot;"/>
    <we:property name="cS/XGAoUJgl6MxE4eRRfGUYkRCsCFTw=" value="&quot;AQ==&quot;"/>
    <we:property name="cS/XGAoUJgl6MxE4eRRfGUYkRCsQEy4=" value="&quot;AA==&quot;"/>
    <we:property name="cS/XGAoUJgl6MxE4eRRfGUYkRCsOAjs=" value="&quot;Ag==&quot;"/>
    <we:property name="cS/XGAoUJgl6MxE4eRRfGUYkRCsQCCw=" value="&quot;AA==&quot;"/>
    <we:property name="cS/XGAoUJgl6MxE4eRRfGUYkRCsPFzs=" value="&quot;AA==&quot;"/>
    <we:property name="cS/XGAoUJgl6MxE4eRRfGUYkRCsPFz8=" value="&quot;AA==&quot;"/>
    <we:property name="cS/XGAoUJgl6MxE4eRRfGUYkRCsEBj8=" value="&quot;AG8GRFNXf0s=&quot;"/>
    <we:property name="cS/XGAoUJgl6MxE4eRRfGUYkRCsKFzw=" value="&quot;AG8PTQ==&quot;"/>
    <we:property name="cS/XGAoUJgl6MxE4eRRfGUYkRCsFAi4=" value="&quot;AG8GRFNXf0s=&quot;"/>
    <we:property name="cS/XGAoUJgl6MxE4eRRfGUYkRCsKFyY=" value="&quot;AQ==&quot;"/>
    <we:property name="cS/XGAoUJgl6MxE4eRRfGUYkRCsKFys=" value="&quot;Aw==&quot;"/>
    <we:property name="YDNZEBYEO1oXHzpJKwhcA1UzaRoWCg==" value="&quot;Ag==&quot;"/>
    <we:property name="YDNZEBYEO1oXHzpJKwhcA1UzaQYGC34=" value="&quot;EH0LVA==&quot;"/>
    <we:property name="YDNZEBYEO1oXHzpJKwhcA1UzaQYGC30=" value="&quot;EH8LVA==&quot;"/>
    <we:property name="YDNZEBYEO1oXHzpJKwhcA1UzaRgLFH4=" value="&quot;FAISRVJdazl+R3c=&quot;"/>
    <we:property name="YDNZEBYEO1oXHzpJKwhcA1UzaQYLFH4=" value="&quot;FAMSRVJdazh+R3c=&quot;"/>
    <we:property name="YDNZEBYEO1oXHzpJKwhcA1UzaRgLFH0=" value="&quot;FAUSTVlDCV5j&quot;"/>
    <we:property name="YDNZEBYEO1oXHzpJKwhcA1UzaQYLFH0=" value="&quot;AA==&quot;"/>
    <we:property name="YDNZEBYEO1oXHzpJDgZCHFEjWhEQ" value="&quot;FAUSTVlDCV5j&quot;"/>
    <we:property name="YDNZEBYEO1oXHzpJFwVa" value="&quot;FAUSRVs=&quot;"/>
    <we:property name="YDNZEBYEO1oXHzpJFQZIOFkv" value="&quot;AQ==&quot;"/>
    <we:property name="YDNZEBYEO1oXHzpJKwhcA1UzaRENAA==" value="&quot;AA==&quot;"/>
    <we:property name="YDNZEBYEO1oXHzpJKwhcA1UzaRoGAA==" value="&quot;AQ==&quot;"/>
    <we:property name="cS/XGAoUJgl6MxE4eRRfGUYkRCsVBiM=" value="&quot;AnQT&quot;"/>
  </we:properties>
  <we:bindings>
    <we:binding id="refEdit" type="matrix" appref="{BB59A54F-8620-4D1F-8809-4C9E1229A38A}"/>
    <we:binding id="Worker" type="matrix" appref="{EBEAC2FF-760E-41B8-B24F-91A5CF293FD6}"/>
    <we:binding id="Var0" type="matrix" appref="{F37321A9-9455-4FAA-8EBA-93D8BF3859DB}"/>
    <we:binding id="Análisis ESPrefEdit" type="matrix" appref="{5165BDFC-9239-4664-BAE1-482AB2C02068}"/>
    <we:binding id="Análisis ESPWorker" type="matrix" appref="{A4BF7A43-0095-47E2-A569-A3E306A8CC38}"/>
    <we:binding id="Obj" type="matrix" appref="{3EDE2834-C145-4789-B866-9DE2DC422F0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58C9-2074-46B4-9140-03A14BF5FADB}">
  <sheetPr filterMode="1"/>
  <dimension ref="A1:AN45"/>
  <sheetViews>
    <sheetView workbookViewId="0">
      <selection activeCell="L32" sqref="L32"/>
    </sheetView>
  </sheetViews>
  <sheetFormatPr baseColWidth="10" defaultColWidth="11.44140625" defaultRowHeight="14.4" x14ac:dyDescent="0.3"/>
  <cols>
    <col min="2" max="2" width="21.21875" bestFit="1" customWidth="1"/>
    <col min="3" max="3" width="21.21875" hidden="1" customWidth="1"/>
    <col min="4" max="5" width="11.77734375" bestFit="1" customWidth="1"/>
    <col min="6" max="6" width="17.21875" bestFit="1" customWidth="1"/>
    <col min="7" max="7" width="22.77734375" bestFit="1" customWidth="1"/>
    <col min="8" max="8" width="18.77734375" bestFit="1" customWidth="1"/>
    <col min="9" max="9" width="7.5546875" bestFit="1" customWidth="1"/>
    <col min="10" max="10" width="23.21875" bestFit="1" customWidth="1"/>
    <col min="12" max="12" width="18.77734375" customWidth="1"/>
    <col min="15" max="15" width="18.77734375" bestFit="1" customWidth="1"/>
  </cols>
  <sheetData>
    <row r="1" spans="1:40" s="180" customFormat="1" x14ac:dyDescent="0.3">
      <c r="A1" s="182" t="s">
        <v>0</v>
      </c>
      <c r="B1" s="182" t="s">
        <v>1</v>
      </c>
      <c r="C1" s="182" t="s">
        <v>2</v>
      </c>
      <c r="D1" s="182" t="s">
        <v>3</v>
      </c>
      <c r="E1" s="182" t="s">
        <v>4</v>
      </c>
      <c r="F1" s="182" t="s">
        <v>5</v>
      </c>
      <c r="G1" s="182" t="s">
        <v>6</v>
      </c>
      <c r="H1" s="182" t="s">
        <v>5</v>
      </c>
      <c r="I1" s="182" t="s">
        <v>7</v>
      </c>
      <c r="J1" s="182" t="s">
        <v>8</v>
      </c>
      <c r="K1" s="182" t="s">
        <v>9</v>
      </c>
      <c r="L1" s="182" t="s">
        <v>5</v>
      </c>
      <c r="O1" s="182" t="s">
        <v>10</v>
      </c>
      <c r="P1" s="180">
        <v>1</v>
      </c>
      <c r="Q1" s="180">
        <v>2</v>
      </c>
      <c r="R1" s="180">
        <v>3</v>
      </c>
      <c r="S1" s="180">
        <v>4</v>
      </c>
      <c r="T1" s="180">
        <v>5</v>
      </c>
      <c r="U1" s="180">
        <v>6</v>
      </c>
      <c r="V1" s="180">
        <v>7</v>
      </c>
      <c r="W1" s="180">
        <v>8</v>
      </c>
      <c r="X1" s="180">
        <v>9</v>
      </c>
      <c r="Y1" s="180">
        <v>10</v>
      </c>
      <c r="Z1" s="180">
        <v>11</v>
      </c>
      <c r="AA1" s="180">
        <v>12</v>
      </c>
      <c r="AB1" s="180">
        <v>13</v>
      </c>
      <c r="AC1" s="180">
        <v>14</v>
      </c>
      <c r="AD1" s="180">
        <v>15</v>
      </c>
      <c r="AE1" s="180">
        <v>16</v>
      </c>
      <c r="AF1" s="180">
        <v>17</v>
      </c>
      <c r="AG1" s="180">
        <v>18</v>
      </c>
      <c r="AH1" s="180">
        <v>19</v>
      </c>
      <c r="AI1" s="180">
        <v>20</v>
      </c>
      <c r="AJ1" s="180">
        <v>21</v>
      </c>
      <c r="AK1" s="180">
        <v>22</v>
      </c>
      <c r="AL1" s="180">
        <v>23</v>
      </c>
      <c r="AM1" s="180">
        <v>24</v>
      </c>
      <c r="AN1" s="180" t="s">
        <v>11</v>
      </c>
    </row>
    <row r="2" spans="1:40" x14ac:dyDescent="0.3">
      <c r="A2" s="167">
        <v>1</v>
      </c>
      <c r="B2" t="s">
        <v>12</v>
      </c>
      <c r="C2">
        <v>24</v>
      </c>
      <c r="D2" s="167">
        <v>2000</v>
      </c>
      <c r="E2" s="167">
        <v>24</v>
      </c>
      <c r="F2" s="175">
        <f>+D2*E2*A2</f>
        <v>48000</v>
      </c>
      <c r="G2" s="167">
        <v>0.6</v>
      </c>
      <c r="H2" s="175">
        <f>+F2*G2</f>
        <v>28800</v>
      </c>
      <c r="I2" s="176">
        <v>30</v>
      </c>
      <c r="J2" s="175">
        <f>+(H2*I2)/1000</f>
        <v>864</v>
      </c>
      <c r="K2">
        <v>1</v>
      </c>
      <c r="L2" s="10">
        <f>+H2*K2</f>
        <v>28800</v>
      </c>
      <c r="O2" t="s">
        <v>13</v>
      </c>
      <c r="P2">
        <f>+D2*G2</f>
        <v>1200</v>
      </c>
      <c r="Q2">
        <f>+P2</f>
        <v>1200</v>
      </c>
      <c r="R2">
        <f>+Q2</f>
        <v>1200</v>
      </c>
      <c r="S2">
        <f t="shared" ref="S2:AM2" si="0">+R2</f>
        <v>1200</v>
      </c>
      <c r="T2">
        <f t="shared" si="0"/>
        <v>1200</v>
      </c>
      <c r="U2">
        <f t="shared" si="0"/>
        <v>1200</v>
      </c>
      <c r="V2">
        <f t="shared" si="0"/>
        <v>1200</v>
      </c>
      <c r="W2">
        <f t="shared" si="0"/>
        <v>1200</v>
      </c>
      <c r="X2">
        <f t="shared" si="0"/>
        <v>1200</v>
      </c>
      <c r="Y2">
        <f t="shared" si="0"/>
        <v>1200</v>
      </c>
      <c r="Z2">
        <f t="shared" si="0"/>
        <v>1200</v>
      </c>
      <c r="AA2">
        <f t="shared" si="0"/>
        <v>1200</v>
      </c>
      <c r="AB2">
        <f t="shared" si="0"/>
        <v>1200</v>
      </c>
      <c r="AC2">
        <f t="shared" si="0"/>
        <v>1200</v>
      </c>
      <c r="AD2">
        <f t="shared" si="0"/>
        <v>1200</v>
      </c>
      <c r="AE2">
        <f t="shared" si="0"/>
        <v>1200</v>
      </c>
      <c r="AF2">
        <f t="shared" si="0"/>
        <v>1200</v>
      </c>
      <c r="AG2">
        <f t="shared" si="0"/>
        <v>1200</v>
      </c>
      <c r="AH2">
        <f t="shared" si="0"/>
        <v>1200</v>
      </c>
      <c r="AI2">
        <f t="shared" si="0"/>
        <v>1200</v>
      </c>
      <c r="AJ2">
        <f t="shared" si="0"/>
        <v>1200</v>
      </c>
      <c r="AK2">
        <f t="shared" si="0"/>
        <v>1200</v>
      </c>
      <c r="AL2">
        <f>+AK2</f>
        <v>1200</v>
      </c>
      <c r="AM2">
        <f t="shared" si="0"/>
        <v>1200</v>
      </c>
      <c r="AN2">
        <f>+SUM(P2:AM2)</f>
        <v>28800</v>
      </c>
    </row>
    <row r="3" spans="1:40" hidden="1" x14ac:dyDescent="0.3">
      <c r="A3" s="167">
        <v>1</v>
      </c>
      <c r="B3" t="s">
        <v>14</v>
      </c>
      <c r="C3">
        <v>18</v>
      </c>
      <c r="D3" s="167">
        <v>1500</v>
      </c>
      <c r="E3" s="167">
        <v>18</v>
      </c>
      <c r="F3" s="175">
        <f t="shared" ref="F3:F23" si="1">+D3*E3*A3</f>
        <v>27000</v>
      </c>
      <c r="G3" s="167">
        <v>0.6</v>
      </c>
      <c r="H3" s="175">
        <f t="shared" ref="H3:H23" si="2">+F3*G3</f>
        <v>16200</v>
      </c>
      <c r="I3" s="176">
        <v>30</v>
      </c>
      <c r="J3" s="175">
        <f t="shared" ref="J3:J23" si="3">+(H3*I3)/1000</f>
        <v>486</v>
      </c>
      <c r="L3" s="10">
        <f t="shared" ref="L3:L23" si="4">+H3*K3</f>
        <v>0</v>
      </c>
      <c r="O3" t="s">
        <v>15</v>
      </c>
      <c r="P3">
        <v>0</v>
      </c>
      <c r="Q3">
        <f>+P3</f>
        <v>0</v>
      </c>
      <c r="R3">
        <f>+Q3</f>
        <v>0</v>
      </c>
      <c r="S3">
        <f>+R3</f>
        <v>0</v>
      </c>
      <c r="AH3">
        <f>+D13*G13*A13</f>
        <v>0</v>
      </c>
      <c r="AI3">
        <f>+AH3</f>
        <v>0</v>
      </c>
      <c r="AJ3">
        <f>+AI3</f>
        <v>0</v>
      </c>
      <c r="AK3">
        <f>+AJ3</f>
        <v>0</v>
      </c>
      <c r="AN3">
        <f t="shared" ref="AN3:AN5" si="5">+SUM(P3:AM3)</f>
        <v>0</v>
      </c>
    </row>
    <row r="4" spans="1:40" x14ac:dyDescent="0.3">
      <c r="A4" s="167">
        <v>5</v>
      </c>
      <c r="B4" t="s">
        <v>16</v>
      </c>
      <c r="D4" s="167">
        <v>30</v>
      </c>
      <c r="E4" s="167">
        <v>12</v>
      </c>
      <c r="F4" s="175">
        <f>+D4*E4*A4</f>
        <v>1800</v>
      </c>
      <c r="G4" s="167">
        <v>0.3</v>
      </c>
      <c r="H4" s="175">
        <f>+F4*G4</f>
        <v>540</v>
      </c>
      <c r="I4" s="176">
        <v>30</v>
      </c>
      <c r="J4" s="175">
        <f t="shared" si="3"/>
        <v>16.2</v>
      </c>
      <c r="K4">
        <v>1</v>
      </c>
      <c r="L4" s="10">
        <f>+H4*K4</f>
        <v>540</v>
      </c>
      <c r="O4" t="s">
        <v>16</v>
      </c>
      <c r="S4">
        <f>+D4*G4</f>
        <v>9</v>
      </c>
      <c r="T4">
        <f>+S4</f>
        <v>9</v>
      </c>
      <c r="U4">
        <f>+T4</f>
        <v>9</v>
      </c>
      <c r="AG4">
        <f>+S4</f>
        <v>9</v>
      </c>
      <c r="AH4">
        <f>+AG4</f>
        <v>9</v>
      </c>
      <c r="AI4">
        <f t="shared" ref="AI4:AK4" si="6">+AH4</f>
        <v>9</v>
      </c>
      <c r="AJ4">
        <f t="shared" si="6"/>
        <v>9</v>
      </c>
      <c r="AK4">
        <f t="shared" si="6"/>
        <v>9</v>
      </c>
      <c r="AN4">
        <f t="shared" si="5"/>
        <v>72</v>
      </c>
    </row>
    <row r="5" spans="1:40" x14ac:dyDescent="0.3">
      <c r="A5" s="167">
        <v>1</v>
      </c>
      <c r="B5" t="s">
        <v>17</v>
      </c>
      <c r="D5" s="167">
        <v>250</v>
      </c>
      <c r="E5" s="167">
        <v>24</v>
      </c>
      <c r="F5" s="175">
        <f>+D5*E5*A5</f>
        <v>6000</v>
      </c>
      <c r="G5" s="167">
        <v>0.3</v>
      </c>
      <c r="H5" s="175">
        <f>+F5*G5</f>
        <v>1800</v>
      </c>
      <c r="I5" s="176">
        <v>30</v>
      </c>
      <c r="J5" s="175">
        <f t="shared" si="3"/>
        <v>54</v>
      </c>
      <c r="K5">
        <v>1</v>
      </c>
      <c r="L5" s="10">
        <f>+H5*K5</f>
        <v>1800</v>
      </c>
      <c r="O5" t="s">
        <v>18</v>
      </c>
      <c r="P5">
        <f>+D5*G5</f>
        <v>75</v>
      </c>
      <c r="Q5">
        <f>+$P$5</f>
        <v>75</v>
      </c>
      <c r="R5">
        <f t="shared" ref="R5:AM5" si="7">+$P$5</f>
        <v>75</v>
      </c>
      <c r="S5">
        <f t="shared" si="7"/>
        <v>75</v>
      </c>
      <c r="T5">
        <f t="shared" si="7"/>
        <v>75</v>
      </c>
      <c r="U5">
        <f t="shared" si="7"/>
        <v>75</v>
      </c>
      <c r="V5">
        <f t="shared" si="7"/>
        <v>75</v>
      </c>
      <c r="W5">
        <f t="shared" si="7"/>
        <v>75</v>
      </c>
      <c r="X5">
        <f t="shared" si="7"/>
        <v>75</v>
      </c>
      <c r="Y5">
        <f t="shared" si="7"/>
        <v>75</v>
      </c>
      <c r="Z5">
        <f t="shared" si="7"/>
        <v>75</v>
      </c>
      <c r="AA5">
        <f t="shared" si="7"/>
        <v>75</v>
      </c>
      <c r="AB5">
        <f t="shared" si="7"/>
        <v>75</v>
      </c>
      <c r="AC5">
        <f t="shared" si="7"/>
        <v>75</v>
      </c>
      <c r="AD5">
        <f t="shared" si="7"/>
        <v>75</v>
      </c>
      <c r="AE5">
        <f t="shared" si="7"/>
        <v>75</v>
      </c>
      <c r="AF5">
        <f t="shared" si="7"/>
        <v>75</v>
      </c>
      <c r="AG5">
        <f t="shared" si="7"/>
        <v>75</v>
      </c>
      <c r="AH5">
        <f t="shared" si="7"/>
        <v>75</v>
      </c>
      <c r="AI5">
        <f t="shared" si="7"/>
        <v>75</v>
      </c>
      <c r="AJ5">
        <f t="shared" si="7"/>
        <v>75</v>
      </c>
      <c r="AK5">
        <f t="shared" si="7"/>
        <v>75</v>
      </c>
      <c r="AL5">
        <f t="shared" si="7"/>
        <v>75</v>
      </c>
      <c r="AM5">
        <f t="shared" si="7"/>
        <v>75</v>
      </c>
      <c r="AN5">
        <f t="shared" si="5"/>
        <v>1800</v>
      </c>
    </row>
    <row r="6" spans="1:40" x14ac:dyDescent="0.3">
      <c r="A6" s="167"/>
      <c r="D6" s="167"/>
      <c r="E6" s="167"/>
      <c r="F6" s="175"/>
      <c r="G6" s="167"/>
      <c r="H6" s="175"/>
      <c r="I6" s="176"/>
      <c r="J6" s="175"/>
      <c r="L6" s="10"/>
    </row>
    <row r="7" spans="1:40" x14ac:dyDescent="0.3">
      <c r="A7" s="167"/>
      <c r="D7" s="167"/>
      <c r="E7" s="167"/>
      <c r="F7" s="175"/>
      <c r="G7" s="167"/>
      <c r="H7" s="175"/>
      <c r="I7" s="176"/>
      <c r="J7" s="175"/>
      <c r="L7" s="10"/>
      <c r="O7" t="s">
        <v>11</v>
      </c>
      <c r="P7">
        <f t="shared" ref="P7:AM7" si="8">+SUM(P2:P6)</f>
        <v>1275</v>
      </c>
      <c r="Q7">
        <f t="shared" si="8"/>
        <v>1275</v>
      </c>
      <c r="R7">
        <f t="shared" si="8"/>
        <v>1275</v>
      </c>
      <c r="S7">
        <f t="shared" si="8"/>
        <v>1284</v>
      </c>
      <c r="T7">
        <f t="shared" si="8"/>
        <v>1284</v>
      </c>
      <c r="U7">
        <f t="shared" si="8"/>
        <v>1284</v>
      </c>
      <c r="V7">
        <f t="shared" si="8"/>
        <v>1275</v>
      </c>
      <c r="W7">
        <f t="shared" si="8"/>
        <v>1275</v>
      </c>
      <c r="X7">
        <f t="shared" si="8"/>
        <v>1275</v>
      </c>
      <c r="Y7">
        <f t="shared" si="8"/>
        <v>1275</v>
      </c>
      <c r="Z7">
        <f t="shared" si="8"/>
        <v>1275</v>
      </c>
      <c r="AA7">
        <f t="shared" si="8"/>
        <v>1275</v>
      </c>
      <c r="AB7">
        <f t="shared" si="8"/>
        <v>1275</v>
      </c>
      <c r="AC7">
        <f t="shared" si="8"/>
        <v>1275</v>
      </c>
      <c r="AD7">
        <f t="shared" si="8"/>
        <v>1275</v>
      </c>
      <c r="AE7">
        <f t="shared" si="8"/>
        <v>1275</v>
      </c>
      <c r="AF7">
        <f t="shared" si="8"/>
        <v>1275</v>
      </c>
      <c r="AG7">
        <f t="shared" si="8"/>
        <v>1284</v>
      </c>
      <c r="AH7">
        <f t="shared" si="8"/>
        <v>1284</v>
      </c>
      <c r="AI7">
        <f t="shared" si="8"/>
        <v>1284</v>
      </c>
      <c r="AJ7">
        <f t="shared" si="8"/>
        <v>1284</v>
      </c>
      <c r="AK7">
        <f t="shared" si="8"/>
        <v>1284</v>
      </c>
      <c r="AL7">
        <f t="shared" si="8"/>
        <v>1275</v>
      </c>
      <c r="AM7">
        <f t="shared" si="8"/>
        <v>1275</v>
      </c>
      <c r="AN7">
        <f>+SUM(P7:AM7)</f>
        <v>30672</v>
      </c>
    </row>
    <row r="8" spans="1:40" x14ac:dyDescent="0.3">
      <c r="A8" s="167"/>
      <c r="D8" s="167"/>
      <c r="E8" s="167"/>
      <c r="F8" s="175"/>
      <c r="G8" s="167"/>
      <c r="H8" s="175"/>
      <c r="I8" s="176"/>
      <c r="J8" s="175"/>
      <c r="L8" s="10"/>
    </row>
    <row r="9" spans="1:40" hidden="1" x14ac:dyDescent="0.3">
      <c r="A9" s="167">
        <v>1</v>
      </c>
      <c r="B9" t="s">
        <v>19</v>
      </c>
      <c r="D9" s="167">
        <v>200</v>
      </c>
      <c r="E9" s="167">
        <v>4</v>
      </c>
      <c r="F9" s="175">
        <f t="shared" si="1"/>
        <v>800</v>
      </c>
      <c r="G9" s="167">
        <v>0.5</v>
      </c>
      <c r="H9" s="175">
        <f>+F9*G9</f>
        <v>400</v>
      </c>
      <c r="I9" s="176">
        <v>20</v>
      </c>
      <c r="J9" s="175">
        <f t="shared" si="3"/>
        <v>8</v>
      </c>
      <c r="L9" s="10">
        <f t="shared" si="4"/>
        <v>0</v>
      </c>
    </row>
    <row r="10" spans="1:40" hidden="1" x14ac:dyDescent="0.3">
      <c r="A10" s="167">
        <v>1</v>
      </c>
      <c r="B10" t="s">
        <v>20</v>
      </c>
      <c r="D10" s="167">
        <v>2000</v>
      </c>
      <c r="E10" s="167">
        <v>4</v>
      </c>
      <c r="F10" s="175">
        <f t="shared" si="1"/>
        <v>8000</v>
      </c>
      <c r="G10" s="167">
        <v>0.5</v>
      </c>
      <c r="H10" s="175">
        <f>+F10*G10</f>
        <v>4000</v>
      </c>
      <c r="I10" s="176">
        <v>20</v>
      </c>
      <c r="J10" s="175">
        <f t="shared" si="3"/>
        <v>80</v>
      </c>
      <c r="L10" s="10">
        <f t="shared" si="4"/>
        <v>0</v>
      </c>
    </row>
    <row r="11" spans="1:40" hidden="1" x14ac:dyDescent="0.3">
      <c r="A11" s="167">
        <v>1</v>
      </c>
      <c r="B11" t="s">
        <v>21</v>
      </c>
      <c r="D11" s="167">
        <v>200</v>
      </c>
      <c r="E11" s="167">
        <v>2</v>
      </c>
      <c r="F11" s="175">
        <f t="shared" si="1"/>
        <v>400</v>
      </c>
      <c r="G11" s="167">
        <v>0.3</v>
      </c>
      <c r="H11" s="175">
        <f t="shared" si="2"/>
        <v>120</v>
      </c>
      <c r="I11" s="176">
        <v>30</v>
      </c>
      <c r="J11" s="175">
        <f t="shared" si="3"/>
        <v>3.6</v>
      </c>
      <c r="L11" s="10">
        <f t="shared" si="4"/>
        <v>0</v>
      </c>
    </row>
    <row r="12" spans="1:40" x14ac:dyDescent="0.3">
      <c r="A12" s="167"/>
      <c r="D12" s="167"/>
      <c r="E12" s="167"/>
      <c r="F12" s="175"/>
      <c r="G12" s="167"/>
      <c r="H12" s="175"/>
      <c r="I12" s="176"/>
      <c r="J12" s="175"/>
      <c r="L12" s="10"/>
    </row>
    <row r="13" spans="1:40" x14ac:dyDescent="0.3">
      <c r="A13" s="167"/>
      <c r="D13" s="167"/>
      <c r="E13" s="167"/>
      <c r="F13" s="175"/>
      <c r="G13" s="167"/>
      <c r="H13" s="175"/>
      <c r="I13" s="176"/>
      <c r="J13" s="175"/>
      <c r="L13" s="10"/>
    </row>
    <row r="14" spans="1:40" hidden="1" x14ac:dyDescent="0.3">
      <c r="A14" s="167">
        <v>1</v>
      </c>
      <c r="B14" t="s">
        <v>22</v>
      </c>
      <c r="D14" s="167">
        <v>100</v>
      </c>
      <c r="E14" s="167">
        <v>2</v>
      </c>
      <c r="F14" s="175">
        <f t="shared" si="1"/>
        <v>200</v>
      </c>
      <c r="G14" s="167">
        <v>0.3</v>
      </c>
      <c r="H14" s="175">
        <f t="shared" si="2"/>
        <v>60</v>
      </c>
      <c r="I14" s="176">
        <v>20</v>
      </c>
      <c r="J14" s="175">
        <f t="shared" si="3"/>
        <v>1.2</v>
      </c>
      <c r="L14" s="10">
        <f t="shared" si="4"/>
        <v>0</v>
      </c>
    </row>
    <row r="15" spans="1:40" hidden="1" x14ac:dyDescent="0.3">
      <c r="A15" s="167">
        <v>1</v>
      </c>
      <c r="B15" t="s">
        <v>23</v>
      </c>
      <c r="D15" s="167">
        <v>100</v>
      </c>
      <c r="E15" s="167">
        <v>4</v>
      </c>
      <c r="F15" s="175">
        <f t="shared" si="1"/>
        <v>400</v>
      </c>
      <c r="G15" s="167">
        <v>0.3</v>
      </c>
      <c r="H15" s="175">
        <f t="shared" si="2"/>
        <v>120</v>
      </c>
      <c r="I15" s="176">
        <v>30</v>
      </c>
      <c r="J15" s="175">
        <f t="shared" si="3"/>
        <v>3.6</v>
      </c>
      <c r="L15" s="10">
        <f t="shared" si="4"/>
        <v>0</v>
      </c>
    </row>
    <row r="16" spans="1:40" x14ac:dyDescent="0.3">
      <c r="A16" s="167"/>
      <c r="D16" s="167"/>
      <c r="E16" s="167"/>
      <c r="F16" s="175"/>
      <c r="G16" s="167"/>
      <c r="H16" s="175"/>
      <c r="I16" s="176"/>
      <c r="J16" s="175"/>
      <c r="L16" s="10"/>
    </row>
    <row r="17" spans="1:12" x14ac:dyDescent="0.3">
      <c r="A17" s="167"/>
      <c r="D17" s="167"/>
      <c r="E17" s="167"/>
      <c r="F17" s="175"/>
      <c r="G17" s="167"/>
      <c r="H17" s="175"/>
      <c r="I17" s="176"/>
      <c r="J17" s="175"/>
      <c r="L17" s="10"/>
    </row>
    <row r="18" spans="1:12" hidden="1" x14ac:dyDescent="0.3">
      <c r="A18" s="167">
        <v>10</v>
      </c>
      <c r="B18" t="s">
        <v>24</v>
      </c>
      <c r="D18" s="167">
        <v>20</v>
      </c>
      <c r="E18" s="167">
        <v>8</v>
      </c>
      <c r="F18" s="175">
        <f t="shared" si="1"/>
        <v>1600</v>
      </c>
      <c r="G18" s="167">
        <v>0.3</v>
      </c>
      <c r="H18" s="175">
        <f t="shared" si="2"/>
        <v>480</v>
      </c>
      <c r="I18" s="176">
        <v>30</v>
      </c>
      <c r="J18" s="175">
        <f t="shared" si="3"/>
        <v>14.4</v>
      </c>
      <c r="K18">
        <v>0</v>
      </c>
      <c r="L18" s="10">
        <f t="shared" si="4"/>
        <v>0</v>
      </c>
    </row>
    <row r="19" spans="1:12" hidden="1" x14ac:dyDescent="0.3">
      <c r="A19" s="167">
        <v>1</v>
      </c>
      <c r="B19" t="s">
        <v>25</v>
      </c>
      <c r="D19" s="167">
        <v>7000</v>
      </c>
      <c r="E19" s="167">
        <v>4</v>
      </c>
      <c r="F19" s="175">
        <f t="shared" si="1"/>
        <v>28000</v>
      </c>
      <c r="G19" s="167">
        <v>0.3</v>
      </c>
      <c r="H19" s="175">
        <f t="shared" si="2"/>
        <v>8400</v>
      </c>
      <c r="I19" s="176">
        <v>20</v>
      </c>
      <c r="J19" s="175">
        <f t="shared" si="3"/>
        <v>168</v>
      </c>
      <c r="L19" s="10">
        <f t="shared" si="4"/>
        <v>0</v>
      </c>
    </row>
    <row r="20" spans="1:12" hidden="1" x14ac:dyDescent="0.3">
      <c r="A20" s="167">
        <v>1</v>
      </c>
      <c r="B20" t="s">
        <v>26</v>
      </c>
      <c r="D20" s="167">
        <v>7000</v>
      </c>
      <c r="E20" s="167">
        <v>4</v>
      </c>
      <c r="F20" s="175">
        <f t="shared" si="1"/>
        <v>28000</v>
      </c>
      <c r="G20" s="167">
        <v>0.3</v>
      </c>
      <c r="H20" s="175">
        <f t="shared" si="2"/>
        <v>8400</v>
      </c>
      <c r="I20" s="176">
        <v>20</v>
      </c>
      <c r="J20" s="175">
        <f t="shared" si="3"/>
        <v>168</v>
      </c>
      <c r="L20" s="10">
        <f t="shared" si="4"/>
        <v>0</v>
      </c>
    </row>
    <row r="21" spans="1:12" x14ac:dyDescent="0.3">
      <c r="A21" s="167"/>
      <c r="D21" s="167"/>
      <c r="E21" s="167"/>
      <c r="F21" s="175"/>
      <c r="G21" s="167"/>
      <c r="H21" s="175"/>
      <c r="I21" s="176"/>
      <c r="J21" s="175"/>
      <c r="L21" s="10"/>
    </row>
    <row r="22" spans="1:12" hidden="1" x14ac:dyDescent="0.3">
      <c r="A22" s="167">
        <v>1</v>
      </c>
      <c r="B22" t="s">
        <v>27</v>
      </c>
      <c r="D22" s="167">
        <v>500</v>
      </c>
      <c r="E22" s="167">
        <v>4</v>
      </c>
      <c r="F22" s="175">
        <f t="shared" si="1"/>
        <v>2000</v>
      </c>
      <c r="G22" s="167">
        <v>0.3</v>
      </c>
      <c r="H22" s="175">
        <f t="shared" si="2"/>
        <v>600</v>
      </c>
      <c r="I22" s="176">
        <v>15</v>
      </c>
      <c r="J22" s="175">
        <f t="shared" si="3"/>
        <v>9</v>
      </c>
      <c r="L22" s="10">
        <f t="shared" si="4"/>
        <v>0</v>
      </c>
    </row>
    <row r="23" spans="1:12" hidden="1" x14ac:dyDescent="0.3">
      <c r="A23" s="167">
        <v>1</v>
      </c>
      <c r="B23" t="s">
        <v>28</v>
      </c>
      <c r="D23" s="167">
        <v>100</v>
      </c>
      <c r="E23" s="167">
        <v>24</v>
      </c>
      <c r="F23" s="175">
        <f t="shared" si="1"/>
        <v>2400</v>
      </c>
      <c r="G23" s="167">
        <v>0.3</v>
      </c>
      <c r="H23" s="175">
        <f t="shared" si="2"/>
        <v>720</v>
      </c>
      <c r="I23" s="176">
        <v>30</v>
      </c>
      <c r="J23" s="175">
        <f t="shared" si="3"/>
        <v>21.6</v>
      </c>
      <c r="L23" s="10">
        <f t="shared" si="4"/>
        <v>0</v>
      </c>
    </row>
    <row r="24" spans="1:12" x14ac:dyDescent="0.3">
      <c r="A24" s="167"/>
    </row>
    <row r="25" spans="1:12" x14ac:dyDescent="0.3">
      <c r="A25" s="167"/>
    </row>
    <row r="26" spans="1:12" x14ac:dyDescent="0.3">
      <c r="A26" s="167"/>
      <c r="F26" s="177">
        <f>+SUM(F2:F2)</f>
        <v>48000</v>
      </c>
      <c r="G26" s="167"/>
      <c r="H26" s="177">
        <f>+SUM(H2:H23)</f>
        <v>70640</v>
      </c>
      <c r="I26" s="177"/>
      <c r="J26" s="177">
        <f>+SUM(J2:J23)</f>
        <v>1897.6</v>
      </c>
      <c r="L26" s="177">
        <f>+SUM(L2:L23)</f>
        <v>31140</v>
      </c>
    </row>
    <row r="27" spans="1:12" x14ac:dyDescent="0.3">
      <c r="A27" s="167"/>
      <c r="D27" t="e">
        <f>+#REF!+D4+D5+D8+(A12*D12)+(A13*D13)+(A16*D16)+(A17*D17)+(A21*D21)</f>
        <v>#REF!</v>
      </c>
      <c r="F27" s="177">
        <f>+F26/1000</f>
        <v>48</v>
      </c>
      <c r="G27" s="167"/>
      <c r="H27" s="177">
        <f>+H26/1000</f>
        <v>70.64</v>
      </c>
      <c r="I27" s="175"/>
      <c r="J27" s="175">
        <f>+J26/30</f>
        <v>63.25333333333333</v>
      </c>
      <c r="L27">
        <f>+L26/1000</f>
        <v>31.14</v>
      </c>
    </row>
    <row r="28" spans="1:12" x14ac:dyDescent="0.3">
      <c r="A28" s="167"/>
      <c r="H28" t="s">
        <v>29</v>
      </c>
      <c r="J28" s="38">
        <v>0.1</v>
      </c>
      <c r="L28" s="9">
        <v>0.1</v>
      </c>
    </row>
    <row r="29" spans="1:12" x14ac:dyDescent="0.3">
      <c r="A29" s="167"/>
      <c r="H29" s="178" t="s">
        <v>30</v>
      </c>
      <c r="J29" s="179">
        <f>+J27*(1+J28)</f>
        <v>69.578666666666663</v>
      </c>
      <c r="K29" t="s">
        <v>31</v>
      </c>
      <c r="L29" s="179">
        <f>+L27*(1+L28)</f>
        <v>34.254000000000005</v>
      </c>
    </row>
    <row r="30" spans="1:12" x14ac:dyDescent="0.3">
      <c r="A30" s="167"/>
      <c r="E30">
        <f>14000/(51.2)</f>
        <v>273.4375</v>
      </c>
      <c r="H30" s="178" t="s">
        <v>32</v>
      </c>
      <c r="J30" s="10">
        <f>+J29*30</f>
        <v>2087.3599999999997</v>
      </c>
      <c r="K30" t="s">
        <v>33</v>
      </c>
    </row>
    <row r="31" spans="1:12" x14ac:dyDescent="0.3">
      <c r="A31" s="167"/>
      <c r="E31">
        <f>+E30*1.25</f>
        <v>341.796875</v>
      </c>
      <c r="H31" s="6"/>
    </row>
    <row r="32" spans="1:12" x14ac:dyDescent="0.3">
      <c r="A32" s="167"/>
      <c r="H32" s="6"/>
    </row>
    <row r="33" spans="2:13" x14ac:dyDescent="0.3">
      <c r="B33" t="s">
        <v>34</v>
      </c>
      <c r="D33">
        <f>+D34*D35</f>
        <v>14.883999999999999</v>
      </c>
    </row>
    <row r="34" spans="2:13" x14ac:dyDescent="0.3">
      <c r="B34" t="s">
        <v>35</v>
      </c>
      <c r="D34">
        <v>6.1</v>
      </c>
      <c r="G34" s="6" t="s">
        <v>36</v>
      </c>
      <c r="H34" s="8">
        <f>+(H37/(H38*H39))*1000</f>
        <v>16136.054421768706</v>
      </c>
      <c r="I34" t="s">
        <v>37</v>
      </c>
      <c r="K34" s="216" t="s">
        <v>38</v>
      </c>
      <c r="L34" s="216"/>
      <c r="M34" s="216"/>
    </row>
    <row r="35" spans="2:13" x14ac:dyDescent="0.3">
      <c r="B35" t="s">
        <v>39</v>
      </c>
      <c r="D35">
        <v>2.44</v>
      </c>
      <c r="G35" s="6" t="s">
        <v>40</v>
      </c>
      <c r="H35" s="6">
        <f>+ROUNDUP(H34/L36,0)</f>
        <v>24</v>
      </c>
    </row>
    <row r="36" spans="2:13" x14ac:dyDescent="0.3">
      <c r="G36" s="6" t="s">
        <v>41</v>
      </c>
      <c r="H36" s="7">
        <f>+H37/H40</f>
        <v>1.4495555555555555</v>
      </c>
      <c r="I36" t="s">
        <v>42</v>
      </c>
      <c r="K36" t="s">
        <v>43</v>
      </c>
      <c r="L36">
        <v>700</v>
      </c>
      <c r="M36" t="s">
        <v>44</v>
      </c>
    </row>
    <row r="37" spans="2:13" x14ac:dyDescent="0.3">
      <c r="B37" t="s">
        <v>45</v>
      </c>
      <c r="D37">
        <f>+D38*D39</f>
        <v>3.1063519999999998</v>
      </c>
      <c r="G37" t="s">
        <v>46</v>
      </c>
      <c r="H37" s="83">
        <f>+J29</f>
        <v>69.578666666666663</v>
      </c>
      <c r="I37" t="s">
        <v>47</v>
      </c>
      <c r="K37" t="s">
        <v>48</v>
      </c>
      <c r="L37">
        <v>40.99</v>
      </c>
      <c r="M37" t="s">
        <v>49</v>
      </c>
    </row>
    <row r="38" spans="2:13" x14ac:dyDescent="0.3">
      <c r="B38" t="s">
        <v>35</v>
      </c>
      <c r="D38">
        <v>2.3839999999999999</v>
      </c>
      <c r="G38" t="s">
        <v>50</v>
      </c>
      <c r="H38" s="5">
        <v>5.39</v>
      </c>
      <c r="I38" t="s">
        <v>51</v>
      </c>
      <c r="K38" t="s">
        <v>52</v>
      </c>
      <c r="L38" s="11">
        <v>13.54</v>
      </c>
      <c r="M38" t="s">
        <v>53</v>
      </c>
    </row>
    <row r="39" spans="2:13" x14ac:dyDescent="0.3">
      <c r="B39" t="s">
        <v>39</v>
      </c>
      <c r="D39">
        <v>1.3029999999999999</v>
      </c>
      <c r="G39" t="s">
        <v>54</v>
      </c>
      <c r="H39" s="5">
        <v>0.8</v>
      </c>
      <c r="K39" t="s">
        <v>55</v>
      </c>
      <c r="L39">
        <v>49.72</v>
      </c>
      <c r="M39" t="s">
        <v>49</v>
      </c>
    </row>
    <row r="40" spans="2:13" x14ac:dyDescent="0.3">
      <c r="G40" t="s">
        <v>56</v>
      </c>
      <c r="H40" s="1">
        <v>48</v>
      </c>
      <c r="I40" t="s">
        <v>49</v>
      </c>
      <c r="K40" t="s">
        <v>57</v>
      </c>
      <c r="L40" s="11">
        <v>14.12</v>
      </c>
      <c r="M40" t="s">
        <v>53</v>
      </c>
    </row>
    <row r="41" spans="2:13" x14ac:dyDescent="0.3">
      <c r="B41" t="s">
        <v>58</v>
      </c>
      <c r="D41">
        <f>+D33/D37</f>
        <v>4.791472440985439</v>
      </c>
      <c r="G41" s="6" t="s">
        <v>59</v>
      </c>
      <c r="H41" s="8">
        <f>+H35*L36</f>
        <v>16800</v>
      </c>
      <c r="I41" t="s">
        <v>37</v>
      </c>
      <c r="K41" s="6" t="s">
        <v>60</v>
      </c>
    </row>
    <row r="42" spans="2:13" x14ac:dyDescent="0.3">
      <c r="B42" t="s">
        <v>61</v>
      </c>
      <c r="D42">
        <v>700</v>
      </c>
      <c r="G42" s="6" t="s">
        <v>62</v>
      </c>
      <c r="H42">
        <f>+H43*1.4</f>
        <v>8400</v>
      </c>
      <c r="I42" t="s">
        <v>37</v>
      </c>
      <c r="K42" t="s">
        <v>63</v>
      </c>
      <c r="L42">
        <v>2.2999999999999998</v>
      </c>
      <c r="M42" t="s">
        <v>64</v>
      </c>
    </row>
    <row r="43" spans="2:13" x14ac:dyDescent="0.3">
      <c r="B43" t="s">
        <v>65</v>
      </c>
      <c r="D43">
        <f>+D42*4</f>
        <v>2800</v>
      </c>
      <c r="G43" s="6" t="s">
        <v>66</v>
      </c>
      <c r="H43">
        <v>6000</v>
      </c>
      <c r="I43" t="s">
        <v>67</v>
      </c>
      <c r="K43" t="s">
        <v>68</v>
      </c>
      <c r="L43">
        <v>31</v>
      </c>
      <c r="M43" t="s">
        <v>69</v>
      </c>
    </row>
    <row r="44" spans="2:13" x14ac:dyDescent="0.3">
      <c r="G44" s="6"/>
      <c r="K44" t="s">
        <v>70</v>
      </c>
      <c r="L44">
        <f>1.134+0.02</f>
        <v>1.1539999999999999</v>
      </c>
      <c r="M44" t="s">
        <v>64</v>
      </c>
    </row>
    <row r="45" spans="2:13" x14ac:dyDescent="0.3">
      <c r="G45" s="6"/>
      <c r="H45" s="17"/>
      <c r="I45" s="10"/>
      <c r="K45" t="s">
        <v>71</v>
      </c>
      <c r="L45">
        <f>+(L42*(L44+0.03+0.03))</f>
        <v>2.7921999999999998</v>
      </c>
      <c r="M45" t="s">
        <v>72</v>
      </c>
    </row>
  </sheetData>
  <autoFilter ref="A1:L23" xr:uid="{5C0058C9-2074-46B4-9140-03A14BF5FADB}">
    <filterColumn colId="10">
      <filters>
        <filter val="1"/>
      </filters>
    </filterColumn>
  </autoFilter>
  <mergeCells count="1">
    <mergeCell ref="K34:M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F7EF-09B9-4C4A-A03A-5DAA1DDD21E6}">
  <dimension ref="A1:AB56"/>
  <sheetViews>
    <sheetView topLeftCell="B19" zoomScale="94" zoomScaleNormal="94" workbookViewId="0">
      <selection activeCell="J52" sqref="J52"/>
    </sheetView>
  </sheetViews>
  <sheetFormatPr baseColWidth="10" defaultColWidth="11.44140625" defaultRowHeight="14.4" x14ac:dyDescent="0.3"/>
  <cols>
    <col min="1" max="1" width="52.44140625" customWidth="1"/>
    <col min="2" max="2" width="14.5546875" bestFit="1" customWidth="1"/>
    <col min="3" max="3" width="24.44140625" bestFit="1" customWidth="1"/>
    <col min="4" max="4" width="9" bestFit="1" customWidth="1"/>
    <col min="5" max="5" width="5.21875" bestFit="1" customWidth="1"/>
    <col min="6" max="6" width="8.44140625" customWidth="1"/>
    <col min="7" max="7" width="5" bestFit="1" customWidth="1"/>
    <col min="8" max="8" width="7.44140625" bestFit="1" customWidth="1"/>
    <col min="9" max="9" width="14.21875" bestFit="1" customWidth="1"/>
    <col min="10" max="10" width="10.44140625" bestFit="1" customWidth="1"/>
    <col min="11" max="12" width="5" bestFit="1" customWidth="1"/>
    <col min="13" max="13" width="34.44140625" bestFit="1" customWidth="1"/>
    <col min="14" max="14" width="15.5546875" bestFit="1" customWidth="1"/>
    <col min="15" max="16" width="12.5546875" bestFit="1" customWidth="1"/>
    <col min="17" max="17" width="11.5546875" bestFit="1" customWidth="1"/>
    <col min="18" max="18" width="12.5546875" bestFit="1" customWidth="1"/>
    <col min="19" max="19" width="11.5546875" bestFit="1" customWidth="1"/>
    <col min="20" max="21" width="12.5546875" bestFit="1" customWidth="1"/>
    <col min="22" max="23" width="11.5546875" bestFit="1" customWidth="1"/>
    <col min="24" max="24" width="12.5546875" bestFit="1" customWidth="1"/>
    <col min="25" max="25" width="11.5546875" bestFit="1" customWidth="1"/>
    <col min="26" max="28" width="12.5546875" bestFit="1" customWidth="1"/>
    <col min="29" max="29" width="11.5546875" bestFit="1" customWidth="1"/>
  </cols>
  <sheetData>
    <row r="1" spans="1:28" x14ac:dyDescent="0.3">
      <c r="A1" s="6" t="s">
        <v>73</v>
      </c>
      <c r="C1" t="s">
        <v>74</v>
      </c>
      <c r="D1">
        <v>6826712</v>
      </c>
    </row>
    <row r="2" spans="1:28" x14ac:dyDescent="0.3">
      <c r="A2" t="s">
        <v>75</v>
      </c>
    </row>
    <row r="3" spans="1:28" x14ac:dyDescent="0.3">
      <c r="A3" s="14"/>
    </row>
    <row r="4" spans="1:28" x14ac:dyDescent="0.3">
      <c r="A4" s="14"/>
      <c r="B4" s="162">
        <f>+D1</f>
        <v>6826712</v>
      </c>
      <c r="C4" s="162" t="s">
        <v>11</v>
      </c>
      <c r="D4" s="162"/>
      <c r="E4" s="162"/>
      <c r="F4" s="162"/>
      <c r="G4" s="162"/>
    </row>
    <row r="5" spans="1:28" x14ac:dyDescent="0.3">
      <c r="A5" s="14">
        <v>45870</v>
      </c>
      <c r="B5" s="12">
        <v>2142</v>
      </c>
      <c r="C5" s="12">
        <f>+B5</f>
        <v>2142</v>
      </c>
      <c r="H5" s="14"/>
      <c r="I5" s="14"/>
      <c r="J5" s="14"/>
      <c r="K5" s="14"/>
      <c r="L5" s="14"/>
      <c r="M5" s="14"/>
      <c r="N5" s="14">
        <v>45870</v>
      </c>
      <c r="O5" s="14">
        <v>45901</v>
      </c>
      <c r="P5" s="14">
        <v>45931</v>
      </c>
      <c r="Q5" s="14">
        <v>45962</v>
      </c>
      <c r="R5" s="14">
        <v>45992</v>
      </c>
      <c r="S5" s="14">
        <v>46023</v>
      </c>
      <c r="T5" s="14">
        <v>46054</v>
      </c>
      <c r="U5" s="14">
        <v>46082</v>
      </c>
      <c r="V5" s="14">
        <v>46113</v>
      </c>
      <c r="W5" s="14">
        <v>46143</v>
      </c>
      <c r="X5" s="14">
        <v>46174</v>
      </c>
      <c r="Y5" s="14">
        <v>46204</v>
      </c>
      <c r="Z5" s="14">
        <v>46235</v>
      </c>
      <c r="AA5" t="s">
        <v>76</v>
      </c>
      <c r="AB5" t="s">
        <v>77</v>
      </c>
    </row>
    <row r="6" spans="1:28" x14ac:dyDescent="0.3">
      <c r="A6" s="14">
        <v>45901</v>
      </c>
      <c r="B6" s="12">
        <v>2063</v>
      </c>
      <c r="C6" s="12">
        <f t="shared" ref="C6:C17" si="0">+B6</f>
        <v>2063</v>
      </c>
      <c r="G6" t="s">
        <v>78</v>
      </c>
      <c r="H6" s="14"/>
      <c r="I6" t="s">
        <v>79</v>
      </c>
      <c r="M6" t="s">
        <v>80</v>
      </c>
      <c r="N6" s="12">
        <v>2142</v>
      </c>
      <c r="O6" s="12">
        <v>2063</v>
      </c>
      <c r="P6" s="12">
        <v>1931</v>
      </c>
      <c r="Q6" s="12">
        <v>1439</v>
      </c>
      <c r="R6" s="12">
        <v>1428</v>
      </c>
      <c r="S6" s="12">
        <v>1562</v>
      </c>
      <c r="T6" s="12">
        <v>1231</v>
      </c>
      <c r="U6" s="12">
        <v>1361</v>
      </c>
      <c r="V6" s="12">
        <v>1712</v>
      </c>
      <c r="W6" s="12">
        <v>1565</v>
      </c>
      <c r="X6" s="12">
        <v>2143</v>
      </c>
      <c r="Y6" s="12">
        <v>2131</v>
      </c>
      <c r="Z6" s="12">
        <v>2409</v>
      </c>
      <c r="AA6" s="12">
        <f>+AVERAGE(N6:Z6)</f>
        <v>1778.2307692307693</v>
      </c>
      <c r="AB6" s="17">
        <f>+AA6/30</f>
        <v>59.274358974358975</v>
      </c>
    </row>
    <row r="7" spans="1:28" x14ac:dyDescent="0.3">
      <c r="A7" s="14">
        <v>45931</v>
      </c>
      <c r="B7" s="12">
        <v>1931</v>
      </c>
      <c r="C7" s="12">
        <f t="shared" si="0"/>
        <v>1931</v>
      </c>
      <c r="H7" s="10"/>
      <c r="I7" s="10"/>
      <c r="J7" s="10"/>
      <c r="K7" s="10"/>
      <c r="L7" s="10"/>
      <c r="M7" s="10" t="s">
        <v>81</v>
      </c>
      <c r="N7" s="30">
        <f>+(N6*Tarifas!X7)/1000*1.2</f>
        <v>2331.9182879999998</v>
      </c>
      <c r="O7" s="30">
        <f>+(O6*Tarifas!Y7)/1000*1.2</f>
        <v>2335.6295759999998</v>
      </c>
      <c r="P7" s="30">
        <f>+(P6*Tarifas!Z7)/1000*1.2</f>
        <v>2186.2781999999997</v>
      </c>
      <c r="Q7" s="30">
        <f>+(Q6*Tarifas!AA7)/1000*1.2</f>
        <v>1629.1667279999999</v>
      </c>
      <c r="R7" s="30">
        <f>+(R6*Tarifas!AB7)/1000*1.2</f>
        <v>1616.7130560000001</v>
      </c>
      <c r="S7" s="30">
        <f>+(S6*Tarifas!AC7)/1000*1.2</f>
        <v>1758.4871039999998</v>
      </c>
      <c r="T7" s="30">
        <f>+(T6*Tarifas!AD7)/1000*1.2</f>
        <v>1308.3708119999999</v>
      </c>
      <c r="U7" s="30">
        <f>+(U6*Tarifas!AE7)/1000*1.2</f>
        <v>1446.5252399999999</v>
      </c>
      <c r="V7" s="30">
        <f>+(V6*Tarifas!AF7)/1000*1.2</f>
        <v>1633.2479999999998</v>
      </c>
      <c r="W7" s="30">
        <f>+(W6*Tarifas!AG7)/1000*1.2</f>
        <v>1493.01</v>
      </c>
      <c r="X7" s="30">
        <f>+(X6*Tarifas!AH7)/1000*1.2</f>
        <v>2046.8135879999998</v>
      </c>
      <c r="Y7" s="30">
        <f>+(Y6*Tarifas!AI7)/1000*1.2</f>
        <v>2035.3521959999998</v>
      </c>
      <c r="Z7" s="30">
        <f>+(Z6*Tarifas!AJ7)/1000*1.2</f>
        <v>2300.874444</v>
      </c>
      <c r="AA7" s="31"/>
    </row>
    <row r="8" spans="1:28" x14ac:dyDescent="0.3">
      <c r="A8" s="14">
        <v>45962</v>
      </c>
      <c r="B8" s="12">
        <v>1439</v>
      </c>
      <c r="C8" s="12">
        <f t="shared" si="0"/>
        <v>1439</v>
      </c>
      <c r="M8" t="s">
        <v>82</v>
      </c>
      <c r="N8" s="10">
        <f>+Producción!J8</f>
        <v>2150.5786302000006</v>
      </c>
      <c r="O8" s="10">
        <f>+Producción!K8</f>
        <v>1982.6360400000001</v>
      </c>
      <c r="P8" s="10">
        <f>+Producción!L8</f>
        <v>2360.8296480999998</v>
      </c>
      <c r="Q8" s="10">
        <f>+Producción!M8</f>
        <v>2144.5575689999996</v>
      </c>
      <c r="R8" s="10">
        <f>+Producción!N8</f>
        <v>2079.2997071</v>
      </c>
      <c r="S8" s="10">
        <f>+Producción!O8</f>
        <v>2090.0679030000001</v>
      </c>
      <c r="T8" s="10">
        <f>+Producción!P8</f>
        <v>2224.0865339000002</v>
      </c>
      <c r="U8" s="10">
        <f>+Producción!Q8</f>
        <v>2191.4520427799998</v>
      </c>
      <c r="V8" s="10">
        <f>+Producción!R8</f>
        <v>2050.8448751999999</v>
      </c>
      <c r="W8" s="10">
        <f>+Producción!S8</f>
        <v>1848.9862815599997</v>
      </c>
      <c r="X8" s="10">
        <f>+Producción!T8</f>
        <v>1767.0660480000001</v>
      </c>
      <c r="Y8" s="10">
        <f>+Producción!U8</f>
        <v>1867.9423078799998</v>
      </c>
      <c r="Z8" s="10">
        <f>+Producción!V8</f>
        <v>2146.1896942200001</v>
      </c>
      <c r="AA8" s="31">
        <f>+AVERAGE(P8:Z8)</f>
        <v>2070.1202373400001</v>
      </c>
    </row>
    <row r="9" spans="1:28" x14ac:dyDescent="0.3">
      <c r="A9" s="14">
        <v>45992</v>
      </c>
      <c r="B9" s="12">
        <v>1428</v>
      </c>
      <c r="C9" s="12">
        <f t="shared" si="0"/>
        <v>1428</v>
      </c>
      <c r="M9" t="s">
        <v>83</v>
      </c>
      <c r="N9" s="38">
        <f>+N8/N6</f>
        <v>1.0040049627450982</v>
      </c>
      <c r="O9" s="38">
        <f t="shared" ref="O9:Z9" si="1">+O8/O6</f>
        <v>0.96104509936984983</v>
      </c>
      <c r="P9" s="38">
        <f t="shared" si="1"/>
        <v>1.2225943283790781</v>
      </c>
      <c r="Q9" s="38">
        <f t="shared" si="1"/>
        <v>1.490311027797081</v>
      </c>
      <c r="R9" s="38">
        <f t="shared" si="1"/>
        <v>1.4560922318627452</v>
      </c>
      <c r="S9" s="38">
        <f t="shared" si="1"/>
        <v>1.3380716408450706</v>
      </c>
      <c r="T9" s="38">
        <f t="shared" si="1"/>
        <v>1.8067315466287572</v>
      </c>
      <c r="U9" s="38">
        <f t="shared" si="1"/>
        <v>1.6101778418662747</v>
      </c>
      <c r="V9" s="38">
        <f t="shared" si="1"/>
        <v>1.1979234084112149</v>
      </c>
      <c r="W9" s="38">
        <f t="shared" si="1"/>
        <v>1.1814608827859423</v>
      </c>
      <c r="X9" s="38">
        <f t="shared" si="1"/>
        <v>0.82457585067662165</v>
      </c>
      <c r="Y9" s="38">
        <f t="shared" si="1"/>
        <v>0.87655669069920217</v>
      </c>
      <c r="Z9" s="38">
        <f t="shared" si="1"/>
        <v>0.89090481287671242</v>
      </c>
      <c r="AA9" s="38">
        <f>+AA8/AA6</f>
        <v>1.1641460001479431</v>
      </c>
    </row>
    <row r="10" spans="1:28" x14ac:dyDescent="0.3">
      <c r="A10" s="14">
        <v>46023</v>
      </c>
      <c r="B10" s="12">
        <v>1562</v>
      </c>
      <c r="C10" s="12">
        <f t="shared" si="0"/>
        <v>1562</v>
      </c>
    </row>
    <row r="11" spans="1:28" x14ac:dyDescent="0.3">
      <c r="A11" s="14">
        <v>46054</v>
      </c>
      <c r="B11" s="12">
        <v>1231</v>
      </c>
      <c r="C11" s="12">
        <f t="shared" si="0"/>
        <v>1231</v>
      </c>
      <c r="T11" s="31"/>
    </row>
    <row r="12" spans="1:28" x14ac:dyDescent="0.3">
      <c r="A12" s="14">
        <v>46082</v>
      </c>
      <c r="B12" s="12">
        <v>1361</v>
      </c>
      <c r="C12" s="12">
        <f t="shared" si="0"/>
        <v>1361</v>
      </c>
    </row>
    <row r="13" spans="1:28" x14ac:dyDescent="0.3">
      <c r="A13" s="14">
        <v>46113</v>
      </c>
      <c r="B13" s="12">
        <v>1712</v>
      </c>
      <c r="C13" s="12">
        <f t="shared" si="0"/>
        <v>1712</v>
      </c>
    </row>
    <row r="14" spans="1:28" x14ac:dyDescent="0.3">
      <c r="A14" s="14">
        <v>46143</v>
      </c>
      <c r="B14" s="12">
        <v>1565</v>
      </c>
      <c r="C14" s="12">
        <f t="shared" si="0"/>
        <v>1565</v>
      </c>
    </row>
    <row r="15" spans="1:28" x14ac:dyDescent="0.3">
      <c r="A15" s="14">
        <v>46174</v>
      </c>
      <c r="B15" s="12">
        <v>2143</v>
      </c>
      <c r="C15" s="12">
        <f t="shared" si="0"/>
        <v>2143</v>
      </c>
    </row>
    <row r="16" spans="1:28" x14ac:dyDescent="0.3">
      <c r="A16" s="14">
        <v>46204</v>
      </c>
      <c r="B16" s="12">
        <v>2131</v>
      </c>
      <c r="C16" s="12">
        <f t="shared" si="0"/>
        <v>2131</v>
      </c>
    </row>
    <row r="17" spans="1:8" x14ac:dyDescent="0.3">
      <c r="A17" s="14">
        <v>46235</v>
      </c>
      <c r="B17" s="12">
        <v>2409</v>
      </c>
      <c r="C17" s="12">
        <f t="shared" si="0"/>
        <v>2409</v>
      </c>
    </row>
    <row r="18" spans="1:8" x14ac:dyDescent="0.3">
      <c r="A18" t="s">
        <v>84</v>
      </c>
      <c r="B18" s="12">
        <f>+AVERAGE(B7:B17)</f>
        <v>1719.2727272727273</v>
      </c>
      <c r="C18" s="12">
        <v>1849.3076923076924</v>
      </c>
      <c r="D18" s="12"/>
      <c r="E18" s="12"/>
      <c r="F18" s="12"/>
      <c r="G18" s="12"/>
    </row>
    <row r="19" spans="1:8" x14ac:dyDescent="0.3">
      <c r="A19" t="s">
        <v>85</v>
      </c>
      <c r="B19" s="12">
        <f>+B18/30</f>
        <v>57.309090909090905</v>
      </c>
      <c r="C19" s="11">
        <f>+C18/30</f>
        <v>61.643589743589743</v>
      </c>
      <c r="D19" s="11"/>
      <c r="E19" s="11"/>
      <c r="F19" s="11"/>
      <c r="G19" s="11"/>
    </row>
    <row r="20" spans="1:8" x14ac:dyDescent="0.3">
      <c r="A20" t="s">
        <v>86</v>
      </c>
      <c r="B20" s="9">
        <v>1.2</v>
      </c>
      <c r="C20" s="9">
        <v>1.2</v>
      </c>
      <c r="D20" s="10"/>
      <c r="E20" s="10"/>
      <c r="F20" s="10"/>
      <c r="G20" s="10"/>
    </row>
    <row r="21" spans="1:8" x14ac:dyDescent="0.3">
      <c r="A21" t="s">
        <v>65</v>
      </c>
      <c r="B21" s="10">
        <f>+(B19*B20*1000)/(J44*Cálculos!D6)</f>
        <v>15943.796543487424</v>
      </c>
      <c r="C21" s="10">
        <f>+(C20*1000)/(J44*Cálculos!D6)</f>
        <v>278.20710973724886</v>
      </c>
      <c r="D21" s="10"/>
      <c r="E21" s="11"/>
      <c r="F21" s="11"/>
      <c r="G21" s="11"/>
      <c r="H21" t="s">
        <v>87</v>
      </c>
    </row>
    <row r="22" spans="1:8" x14ac:dyDescent="0.3">
      <c r="A22" t="s">
        <v>88</v>
      </c>
      <c r="C22" s="12">
        <v>10</v>
      </c>
      <c r="D22" s="12"/>
      <c r="E22" s="11"/>
      <c r="F22" s="11"/>
      <c r="G22" s="11"/>
      <c r="H22" t="s">
        <v>89</v>
      </c>
    </row>
    <row r="23" spans="1:8" x14ac:dyDescent="0.3">
      <c r="C23" s="11"/>
      <c r="D23" s="11"/>
      <c r="E23" s="11"/>
      <c r="F23" s="11"/>
      <c r="G23" s="11"/>
      <c r="H23" t="s">
        <v>90</v>
      </c>
    </row>
    <row r="24" spans="1:8" x14ac:dyDescent="0.3">
      <c r="C24" s="11"/>
      <c r="D24" s="11"/>
      <c r="E24" s="11"/>
      <c r="F24" s="11"/>
      <c r="G24" s="11"/>
      <c r="H24" t="s">
        <v>91</v>
      </c>
    </row>
    <row r="25" spans="1:8" x14ac:dyDescent="0.3">
      <c r="C25" s="163"/>
      <c r="D25" s="163"/>
      <c r="E25" s="163"/>
      <c r="F25" s="163"/>
      <c r="G25" s="163"/>
      <c r="H25" t="s">
        <v>92</v>
      </c>
    </row>
    <row r="26" spans="1:8" x14ac:dyDescent="0.3">
      <c r="B26" s="164" t="s">
        <v>93</v>
      </c>
      <c r="C26" s="165"/>
      <c r="D26" s="165"/>
      <c r="E26" s="165"/>
      <c r="F26" s="165"/>
      <c r="G26" s="165"/>
      <c r="H26" s="165" t="s">
        <v>11</v>
      </c>
    </row>
    <row r="27" spans="1:8" x14ac:dyDescent="0.3">
      <c r="B27" t="s">
        <v>94</v>
      </c>
      <c r="C27" s="10"/>
      <c r="D27" s="10"/>
      <c r="E27" s="10"/>
      <c r="F27" s="10"/>
      <c r="G27" s="10"/>
      <c r="H27" s="10">
        <f>+SUM(C27:G27)</f>
        <v>0</v>
      </c>
    </row>
    <row r="28" spans="1:8" x14ac:dyDescent="0.3">
      <c r="B28" t="s">
        <v>95</v>
      </c>
      <c r="C28" s="10"/>
      <c r="D28" s="10"/>
      <c r="E28" s="10"/>
      <c r="F28" s="10"/>
      <c r="G28" s="10"/>
      <c r="H28" s="10">
        <f>+SUM(C28:G28)</f>
        <v>0</v>
      </c>
    </row>
    <row r="29" spans="1:8" x14ac:dyDescent="0.3">
      <c r="A29" t="s">
        <v>96</v>
      </c>
      <c r="B29" t="s">
        <v>97</v>
      </c>
      <c r="C29" s="10"/>
      <c r="D29" s="10"/>
      <c r="E29" s="10"/>
      <c r="F29" s="10"/>
      <c r="G29" s="10"/>
      <c r="H29" s="10">
        <f>+SUM(C29:G29)</f>
        <v>0</v>
      </c>
    </row>
    <row r="30" spans="1:8" x14ac:dyDescent="0.3">
      <c r="C30">
        <f>12*610</f>
        <v>7320</v>
      </c>
      <c r="D30">
        <f>24*610</f>
        <v>14640</v>
      </c>
      <c r="E30">
        <f t="shared" ref="E30:H30" si="2">+E28/610</f>
        <v>0</v>
      </c>
      <c r="F30">
        <f>12*610</f>
        <v>7320</v>
      </c>
      <c r="G30">
        <f t="shared" si="2"/>
        <v>0</v>
      </c>
      <c r="H30">
        <f t="shared" si="2"/>
        <v>0</v>
      </c>
    </row>
    <row r="31" spans="1:8" x14ac:dyDescent="0.3">
      <c r="A31" t="s">
        <v>98</v>
      </c>
      <c r="B31" t="s">
        <v>99</v>
      </c>
      <c r="C31" t="s">
        <v>100</v>
      </c>
    </row>
    <row r="32" spans="1:8" x14ac:dyDescent="0.3">
      <c r="A32" t="s">
        <v>101</v>
      </c>
      <c r="B32" t="s">
        <v>102</v>
      </c>
    </row>
    <row r="33" spans="1:10" x14ac:dyDescent="0.3">
      <c r="A33" t="s">
        <v>103</v>
      </c>
      <c r="B33" t="s">
        <v>104</v>
      </c>
      <c r="C33">
        <v>48</v>
      </c>
    </row>
    <row r="34" spans="1:10" x14ac:dyDescent="0.3">
      <c r="A34" t="s">
        <v>105</v>
      </c>
      <c r="B34" t="s">
        <v>106</v>
      </c>
    </row>
    <row r="37" spans="1:10" x14ac:dyDescent="0.3">
      <c r="A37" t="s">
        <v>107</v>
      </c>
    </row>
    <row r="39" spans="1:10" x14ac:dyDescent="0.3">
      <c r="A39" t="s">
        <v>108</v>
      </c>
      <c r="B39" s="4">
        <v>10.5831</v>
      </c>
    </row>
    <row r="40" spans="1:10" x14ac:dyDescent="0.3">
      <c r="A40" t="s">
        <v>109</v>
      </c>
      <c r="B40" s="4">
        <v>-74.482100000000003</v>
      </c>
    </row>
    <row r="43" spans="1:10" x14ac:dyDescent="0.3">
      <c r="A43" t="s">
        <v>110</v>
      </c>
    </row>
    <row r="44" spans="1:10" x14ac:dyDescent="0.3">
      <c r="I44" t="s">
        <v>111</v>
      </c>
      <c r="J44" s="3">
        <f>+AVERAGE(A56:O56)</f>
        <v>5.3916666666666666</v>
      </c>
    </row>
    <row r="45" spans="1:10" x14ac:dyDescent="0.3">
      <c r="I45" t="s">
        <v>112</v>
      </c>
      <c r="J45">
        <f>+MAX(A56:O56)</f>
        <v>6.04</v>
      </c>
    </row>
    <row r="46" spans="1:10" x14ac:dyDescent="0.3">
      <c r="I46" t="s">
        <v>113</v>
      </c>
      <c r="J46">
        <f>+MIN(A56:O56)</f>
        <v>4.72</v>
      </c>
    </row>
    <row r="47" spans="1:10" x14ac:dyDescent="0.3">
      <c r="I47" t="s">
        <v>54</v>
      </c>
      <c r="J47">
        <v>0.8</v>
      </c>
    </row>
    <row r="50" spans="1:12" x14ac:dyDescent="0.3">
      <c r="I50" t="s">
        <v>108</v>
      </c>
      <c r="J50" s="4">
        <v>10.5831</v>
      </c>
    </row>
    <row r="51" spans="1:12" x14ac:dyDescent="0.3">
      <c r="I51" t="s">
        <v>109</v>
      </c>
      <c r="J51" s="4">
        <v>-74.482100000000003</v>
      </c>
    </row>
    <row r="55" spans="1:12" x14ac:dyDescent="0.3">
      <c r="A55" t="s">
        <v>114</v>
      </c>
      <c r="B55" t="s">
        <v>115</v>
      </c>
      <c r="C55" t="s">
        <v>116</v>
      </c>
      <c r="D55" t="s">
        <v>117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</row>
    <row r="56" spans="1:12" x14ac:dyDescent="0.3">
      <c r="A56">
        <v>5.69</v>
      </c>
      <c r="B56">
        <v>6.04</v>
      </c>
      <c r="C56">
        <v>5.87</v>
      </c>
      <c r="D56">
        <v>5.51</v>
      </c>
      <c r="E56">
        <v>5.17</v>
      </c>
      <c r="F56">
        <v>5.37</v>
      </c>
      <c r="G56">
        <v>5.53</v>
      </c>
      <c r="H56">
        <v>5.46</v>
      </c>
      <c r="I56">
        <v>5.28</v>
      </c>
      <c r="J56">
        <v>4.84</v>
      </c>
      <c r="K56">
        <v>4.72</v>
      </c>
      <c r="L56">
        <v>5.22</v>
      </c>
    </row>
  </sheetData>
  <phoneticPr fontId="3" type="noConversion"/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F37321A9-9455-4FAA-8EBA-93D8BF3859DB}">
          <xm:f>#REF!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E19F-3F0A-4266-920B-CCC15E2BC33D}">
  <dimension ref="A1:O162"/>
  <sheetViews>
    <sheetView tabSelected="1" topLeftCell="B1" zoomScale="110" zoomScaleNormal="110" workbookViewId="0">
      <selection activeCell="D4" sqref="D4"/>
    </sheetView>
  </sheetViews>
  <sheetFormatPr baseColWidth="10" defaultColWidth="11.44140625" defaultRowHeight="14.4" x14ac:dyDescent="0.3"/>
  <cols>
    <col min="1" max="1" width="2.77734375" bestFit="1" customWidth="1"/>
    <col min="2" max="2" width="48.5546875" customWidth="1"/>
    <col min="3" max="3" width="16.21875" customWidth="1"/>
    <col min="5" max="5" width="9.5546875" bestFit="1" customWidth="1"/>
    <col min="6" max="6" width="40.21875" bestFit="1" customWidth="1"/>
    <col min="7" max="7" width="21.5546875" bestFit="1" customWidth="1"/>
    <col min="13" max="13" width="46.5546875" bestFit="1" customWidth="1"/>
  </cols>
  <sheetData>
    <row r="1" spans="1:15" x14ac:dyDescent="0.3">
      <c r="A1" t="s">
        <v>126</v>
      </c>
      <c r="B1" s="6" t="s">
        <v>127</v>
      </c>
      <c r="C1" s="6" t="s">
        <v>36</v>
      </c>
      <c r="D1" s="8">
        <f>+(D4/(D5*D6))*1000</f>
        <v>15943.796543487422</v>
      </c>
      <c r="E1" t="s">
        <v>37</v>
      </c>
      <c r="G1" s="216" t="s">
        <v>38</v>
      </c>
      <c r="H1" s="216"/>
      <c r="I1" s="216"/>
      <c r="J1" s="44"/>
      <c r="K1" s="44"/>
      <c r="M1" s="216" t="s">
        <v>128</v>
      </c>
      <c r="N1" s="216"/>
      <c r="O1" s="216"/>
    </row>
    <row r="2" spans="1:15" x14ac:dyDescent="0.3">
      <c r="C2" s="6" t="s">
        <v>40</v>
      </c>
      <c r="D2" s="6">
        <f>+ROUND(D1/H3,0)</f>
        <v>22</v>
      </c>
      <c r="E2" s="12">
        <f>+D1/H3</f>
        <v>21.991443508258513</v>
      </c>
      <c r="F2">
        <f>43*730</f>
        <v>31390</v>
      </c>
    </row>
    <row r="3" spans="1:15" x14ac:dyDescent="0.3">
      <c r="C3" s="6" t="s">
        <v>41</v>
      </c>
      <c r="D3" s="7">
        <f>+D4/D7</f>
        <v>1.4327272727272726</v>
      </c>
      <c r="E3" t="s">
        <v>42</v>
      </c>
      <c r="G3" t="s">
        <v>43</v>
      </c>
      <c r="H3">
        <v>725</v>
      </c>
      <c r="I3" t="s">
        <v>44</v>
      </c>
      <c r="M3" t="s">
        <v>129</v>
      </c>
      <c r="N3" s="9">
        <v>0.7</v>
      </c>
    </row>
    <row r="4" spans="1:15" x14ac:dyDescent="0.3">
      <c r="C4" t="s">
        <v>46</v>
      </c>
      <c r="D4" s="83">
        <f>+Datos2!B19*Datos2!B20</f>
        <v>68.770909090909086</v>
      </c>
      <c r="E4" t="s">
        <v>47</v>
      </c>
      <c r="G4" t="s">
        <v>48</v>
      </c>
      <c r="H4">
        <v>40.99</v>
      </c>
      <c r="I4" t="s">
        <v>49</v>
      </c>
      <c r="M4" t="s">
        <v>130</v>
      </c>
      <c r="N4" s="9">
        <v>0.15</v>
      </c>
    </row>
    <row r="5" spans="1:15" x14ac:dyDescent="0.3">
      <c r="C5" t="s">
        <v>50</v>
      </c>
      <c r="D5" s="5">
        <f>+Datos2!J44</f>
        <v>5.3916666666666666</v>
      </c>
      <c r="E5" t="s">
        <v>51</v>
      </c>
      <c r="G5" t="s">
        <v>52</v>
      </c>
      <c r="H5" s="11">
        <v>13.54</v>
      </c>
      <c r="I5" t="s">
        <v>53</v>
      </c>
      <c r="M5" t="s">
        <v>49</v>
      </c>
      <c r="N5">
        <v>6</v>
      </c>
      <c r="O5" t="s">
        <v>49</v>
      </c>
    </row>
    <row r="6" spans="1:15" x14ac:dyDescent="0.3">
      <c r="C6" t="s">
        <v>54</v>
      </c>
      <c r="D6" s="5">
        <v>0.8</v>
      </c>
      <c r="G6" t="s">
        <v>55</v>
      </c>
      <c r="H6">
        <v>49.72</v>
      </c>
      <c r="I6" t="s">
        <v>49</v>
      </c>
      <c r="M6" t="s">
        <v>87</v>
      </c>
      <c r="N6">
        <v>300</v>
      </c>
      <c r="O6" t="s">
        <v>42</v>
      </c>
    </row>
    <row r="7" spans="1:15" x14ac:dyDescent="0.3">
      <c r="C7" t="s">
        <v>56</v>
      </c>
      <c r="D7" s="1">
        <f>+Datos2!C33</f>
        <v>48</v>
      </c>
      <c r="E7" t="s">
        <v>49</v>
      </c>
      <c r="G7" t="s">
        <v>57</v>
      </c>
      <c r="H7" s="11">
        <v>14.12</v>
      </c>
      <c r="I7" t="s">
        <v>53</v>
      </c>
      <c r="M7" t="s">
        <v>131</v>
      </c>
      <c r="N7">
        <v>1</v>
      </c>
    </row>
    <row r="8" spans="1:15" x14ac:dyDescent="0.3">
      <c r="C8" s="6" t="s">
        <v>132</v>
      </c>
      <c r="D8" s="6">
        <f>+D2*H3</f>
        <v>15950</v>
      </c>
      <c r="E8">
        <f>+E2*H3</f>
        <v>15943.796543487422</v>
      </c>
      <c r="G8" s="6" t="s">
        <v>60</v>
      </c>
    </row>
    <row r="9" spans="1:15" x14ac:dyDescent="0.3">
      <c r="C9" s="6" t="s">
        <v>133</v>
      </c>
      <c r="D9">
        <f>+(D22*B24)</f>
        <v>15600</v>
      </c>
      <c r="G9" t="s">
        <v>63</v>
      </c>
      <c r="H9">
        <v>2.2999999999999998</v>
      </c>
      <c r="I9" t="s">
        <v>64</v>
      </c>
    </row>
    <row r="10" spans="1:15" x14ac:dyDescent="0.3">
      <c r="C10" s="6" t="s">
        <v>134</v>
      </c>
      <c r="D10">
        <f>+(D23*B24)</f>
        <v>12000</v>
      </c>
      <c r="G10" t="s">
        <v>68</v>
      </c>
      <c r="H10">
        <v>31</v>
      </c>
      <c r="I10" t="s">
        <v>69</v>
      </c>
    </row>
    <row r="11" spans="1:15" x14ac:dyDescent="0.3">
      <c r="C11" s="6"/>
      <c r="G11" t="s">
        <v>70</v>
      </c>
      <c r="H11">
        <f>1.134+0.02</f>
        <v>1.1539999999999999</v>
      </c>
      <c r="I11" t="s">
        <v>64</v>
      </c>
    </row>
    <row r="12" spans="1:15" x14ac:dyDescent="0.3">
      <c r="B12" t="s">
        <v>135</v>
      </c>
      <c r="C12" s="6"/>
      <c r="D12" s="17"/>
      <c r="E12" s="10"/>
      <c r="G12" t="s">
        <v>71</v>
      </c>
      <c r="H12">
        <v>3.1</v>
      </c>
      <c r="I12" t="s">
        <v>72</v>
      </c>
      <c r="M12" t="s">
        <v>136</v>
      </c>
      <c r="N12" t="s">
        <v>137</v>
      </c>
    </row>
    <row r="13" spans="1:15" x14ac:dyDescent="0.3">
      <c r="B13" s="1" t="s">
        <v>138</v>
      </c>
      <c r="C13" s="6"/>
      <c r="M13" t="s">
        <v>139</v>
      </c>
      <c r="N13" t="s">
        <v>137</v>
      </c>
    </row>
    <row r="14" spans="1:15" x14ac:dyDescent="0.3">
      <c r="B14" s="2" t="s">
        <v>140</v>
      </c>
    </row>
    <row r="15" spans="1:15" x14ac:dyDescent="0.3">
      <c r="B15" s="2" t="s">
        <v>141</v>
      </c>
    </row>
    <row r="16" spans="1:15" x14ac:dyDescent="0.3">
      <c r="B16" t="s">
        <v>142</v>
      </c>
      <c r="G16" s="216" t="s">
        <v>143</v>
      </c>
      <c r="H16" s="216"/>
    </row>
    <row r="17" spans="1:12" x14ac:dyDescent="0.3">
      <c r="B17" t="s">
        <v>144</v>
      </c>
      <c r="G17" t="s">
        <v>145</v>
      </c>
      <c r="H17">
        <v>75</v>
      </c>
    </row>
    <row r="18" spans="1:12" x14ac:dyDescent="0.3">
      <c r="G18" t="s">
        <v>146</v>
      </c>
      <c r="H18">
        <v>25</v>
      </c>
    </row>
    <row r="19" spans="1:12" x14ac:dyDescent="0.3">
      <c r="G19" t="s">
        <v>147</v>
      </c>
      <c r="H19">
        <f>+H17-H18</f>
        <v>50</v>
      </c>
    </row>
    <row r="20" spans="1:12" x14ac:dyDescent="0.3">
      <c r="G20" s="216" t="s">
        <v>148</v>
      </c>
      <c r="H20" s="216"/>
    </row>
    <row r="21" spans="1:12" x14ac:dyDescent="0.3">
      <c r="A21" t="s">
        <v>149</v>
      </c>
      <c r="B21" s="6" t="s">
        <v>150</v>
      </c>
      <c r="C21" t="s">
        <v>151</v>
      </c>
      <c r="D21" s="9">
        <v>0.3</v>
      </c>
      <c r="G21" t="s">
        <v>152</v>
      </c>
      <c r="H21" s="16">
        <v>-3.5000000000000001E-3</v>
      </c>
    </row>
    <row r="22" spans="1:12" x14ac:dyDescent="0.3">
      <c r="B22" t="s">
        <v>153</v>
      </c>
      <c r="C22" t="s">
        <v>154</v>
      </c>
      <c r="D22" s="12">
        <f>+D23*(1+D21)</f>
        <v>15600</v>
      </c>
      <c r="E22" t="s">
        <v>44</v>
      </c>
      <c r="G22" t="s">
        <v>155</v>
      </c>
      <c r="H22" s="36">
        <f>+H21*H19</f>
        <v>-0.17500000000000002</v>
      </c>
    </row>
    <row r="23" spans="1:12" x14ac:dyDescent="0.3">
      <c r="B23" t="s">
        <v>0</v>
      </c>
      <c r="C23" t="s">
        <v>156</v>
      </c>
      <c r="D23">
        <v>12000</v>
      </c>
      <c r="E23" t="s">
        <v>44</v>
      </c>
      <c r="G23" t="s">
        <v>157</v>
      </c>
      <c r="H23" s="12">
        <f>+H3*(100%+H22)</f>
        <v>598.125</v>
      </c>
      <c r="I23" t="s">
        <v>44</v>
      </c>
    </row>
    <row r="24" spans="1:12" x14ac:dyDescent="0.3">
      <c r="B24">
        <v>1</v>
      </c>
      <c r="C24" t="s">
        <v>158</v>
      </c>
      <c r="D24">
        <v>30</v>
      </c>
      <c r="E24" t="s">
        <v>53</v>
      </c>
      <c r="G24" s="216" t="s">
        <v>159</v>
      </c>
      <c r="H24" s="216"/>
    </row>
    <row r="25" spans="1:12" x14ac:dyDescent="0.3">
      <c r="B25" t="s">
        <v>160</v>
      </c>
      <c r="C25" t="s">
        <v>161</v>
      </c>
      <c r="D25">
        <v>37.5</v>
      </c>
      <c r="E25" t="s">
        <v>53</v>
      </c>
      <c r="G25" t="s">
        <v>162</v>
      </c>
      <c r="H25" s="45">
        <v>-2.7499999999999998E-3</v>
      </c>
    </row>
    <row r="26" spans="1:12" x14ac:dyDescent="0.3">
      <c r="B26" s="12">
        <f>+ROUND(D2/(D30*B24),0)</f>
        <v>4</v>
      </c>
      <c r="C26" t="s">
        <v>163</v>
      </c>
      <c r="D26">
        <v>370</v>
      </c>
      <c r="E26" t="s">
        <v>49</v>
      </c>
      <c r="G26" t="s">
        <v>164</v>
      </c>
      <c r="H26" s="36">
        <f>+H25*H19</f>
        <v>-0.13749999999999998</v>
      </c>
    </row>
    <row r="27" spans="1:12" x14ac:dyDescent="0.3">
      <c r="C27" t="s">
        <v>165</v>
      </c>
      <c r="D27" s="12">
        <f>D23/(D29*1.732)</f>
        <v>31.492756665966827</v>
      </c>
      <c r="E27" t="s">
        <v>53</v>
      </c>
      <c r="G27" t="s">
        <v>55</v>
      </c>
      <c r="H27" s="12">
        <f>+H6*(100%+H26)</f>
        <v>42.883499999999998</v>
      </c>
      <c r="I27" t="s">
        <v>49</v>
      </c>
      <c r="J27" t="s">
        <v>48</v>
      </c>
      <c r="K27">
        <f>+H4*(100%+H26)</f>
        <v>35.353875000000002</v>
      </c>
      <c r="L27" t="s">
        <v>49</v>
      </c>
    </row>
    <row r="28" spans="1:12" x14ac:dyDescent="0.3">
      <c r="C28" t="s">
        <v>166</v>
      </c>
      <c r="D28">
        <v>96</v>
      </c>
      <c r="E28" t="s">
        <v>53</v>
      </c>
      <c r="H28" s="12"/>
    </row>
    <row r="29" spans="1:12" x14ac:dyDescent="0.3">
      <c r="C29" t="s">
        <v>167</v>
      </c>
      <c r="D29">
        <v>220</v>
      </c>
      <c r="E29" t="s">
        <v>49</v>
      </c>
      <c r="G29" s="216" t="s">
        <v>168</v>
      </c>
      <c r="H29" s="216"/>
    </row>
    <row r="30" spans="1:12" x14ac:dyDescent="0.3">
      <c r="C30" t="s">
        <v>169</v>
      </c>
      <c r="D30" s="12">
        <v>6</v>
      </c>
      <c r="E30" t="s">
        <v>53</v>
      </c>
      <c r="G30" t="s">
        <v>170</v>
      </c>
      <c r="H30" s="45">
        <v>4.4999999999999999E-4</v>
      </c>
    </row>
    <row r="31" spans="1:12" x14ac:dyDescent="0.3">
      <c r="C31" t="s">
        <v>171</v>
      </c>
      <c r="D31" s="12">
        <v>2</v>
      </c>
      <c r="G31" t="s">
        <v>172</v>
      </c>
      <c r="H31" s="36">
        <f>+H30*H19</f>
        <v>2.2499999999999999E-2</v>
      </c>
    </row>
    <row r="32" spans="1:12" x14ac:dyDescent="0.3">
      <c r="D32" s="12"/>
      <c r="G32" t="s">
        <v>57</v>
      </c>
      <c r="H32" s="3">
        <f>+H7*(100%+H31)</f>
        <v>14.4377</v>
      </c>
      <c r="I32" t="s">
        <v>173</v>
      </c>
      <c r="J32" t="s">
        <v>52</v>
      </c>
      <c r="K32">
        <f>+H5*(100%+H31)</f>
        <v>13.844649999999998</v>
      </c>
    </row>
    <row r="33" spans="1:12" x14ac:dyDescent="0.3">
      <c r="C33" t="s">
        <v>151</v>
      </c>
      <c r="D33" s="9">
        <v>0.35</v>
      </c>
      <c r="H33" s="3"/>
    </row>
    <row r="34" spans="1:12" x14ac:dyDescent="0.3">
      <c r="B34" t="s">
        <v>174</v>
      </c>
      <c r="C34" t="s">
        <v>154</v>
      </c>
      <c r="D34" s="12">
        <f>+D35*(1+D33)</f>
        <v>8100.0000000000009</v>
      </c>
      <c r="E34" t="s">
        <v>44</v>
      </c>
      <c r="H34" s="3"/>
    </row>
    <row r="35" spans="1:12" x14ac:dyDescent="0.3">
      <c r="B35" t="s">
        <v>0</v>
      </c>
      <c r="C35" t="s">
        <v>156</v>
      </c>
      <c r="D35">
        <v>6000</v>
      </c>
      <c r="E35" t="s">
        <v>44</v>
      </c>
      <c r="H35" s="3"/>
    </row>
    <row r="36" spans="1:12" x14ac:dyDescent="0.3">
      <c r="B36">
        <v>1</v>
      </c>
      <c r="C36" t="s">
        <v>158</v>
      </c>
      <c r="D36">
        <v>0</v>
      </c>
      <c r="E36" t="s">
        <v>53</v>
      </c>
      <c r="H36" s="3"/>
    </row>
    <row r="37" spans="1:12" x14ac:dyDescent="0.3">
      <c r="B37" t="s">
        <v>160</v>
      </c>
      <c r="C37" t="s">
        <v>161</v>
      </c>
      <c r="D37">
        <v>0</v>
      </c>
      <c r="E37" t="s">
        <v>53</v>
      </c>
      <c r="H37" s="3"/>
    </row>
    <row r="38" spans="1:12" x14ac:dyDescent="0.3">
      <c r="B38" s="11">
        <v>0</v>
      </c>
      <c r="C38" t="s">
        <v>163</v>
      </c>
      <c r="D38">
        <v>0</v>
      </c>
      <c r="E38" t="s">
        <v>49</v>
      </c>
      <c r="H38" s="3"/>
    </row>
    <row r="39" spans="1:12" x14ac:dyDescent="0.3">
      <c r="C39" t="s">
        <v>165</v>
      </c>
      <c r="D39" s="12">
        <v>0</v>
      </c>
      <c r="E39" t="s">
        <v>53</v>
      </c>
      <c r="H39" s="3"/>
    </row>
    <row r="40" spans="1:12" x14ac:dyDescent="0.3">
      <c r="C40" t="s">
        <v>166</v>
      </c>
      <c r="D40">
        <v>0</v>
      </c>
      <c r="E40" t="s">
        <v>53</v>
      </c>
      <c r="H40" s="3"/>
    </row>
    <row r="41" spans="1:12" x14ac:dyDescent="0.3">
      <c r="C41" t="s">
        <v>167</v>
      </c>
      <c r="D41">
        <v>0</v>
      </c>
      <c r="E41" t="s">
        <v>49</v>
      </c>
      <c r="H41" s="3"/>
    </row>
    <row r="42" spans="1:12" x14ac:dyDescent="0.3">
      <c r="C42" t="s">
        <v>169</v>
      </c>
      <c r="D42" s="12">
        <v>0</v>
      </c>
      <c r="E42" t="s">
        <v>53</v>
      </c>
      <c r="H42" s="3"/>
    </row>
    <row r="43" spans="1:12" x14ac:dyDescent="0.3">
      <c r="C43" t="s">
        <v>171</v>
      </c>
      <c r="D43" s="12">
        <v>0</v>
      </c>
      <c r="H43" s="3"/>
    </row>
    <row r="44" spans="1:12" x14ac:dyDescent="0.3">
      <c r="D44" s="12"/>
      <c r="H44" s="45"/>
    </row>
    <row r="45" spans="1:12" x14ac:dyDescent="0.3">
      <c r="A45" t="s">
        <v>175</v>
      </c>
      <c r="B45" s="6" t="s">
        <v>176</v>
      </c>
    </row>
    <row r="47" spans="1:12" x14ac:dyDescent="0.3">
      <c r="B47" t="s">
        <v>177</v>
      </c>
      <c r="C47" s="12">
        <f>+H12*D2</f>
        <v>68.2</v>
      </c>
      <c r="D47" t="s">
        <v>72</v>
      </c>
    </row>
    <row r="48" spans="1:12" x14ac:dyDescent="0.3">
      <c r="L48" t="s">
        <v>53</v>
      </c>
    </row>
    <row r="49" spans="1:5" x14ac:dyDescent="0.3">
      <c r="A49" t="s">
        <v>178</v>
      </c>
      <c r="B49" s="6" t="s">
        <v>179</v>
      </c>
    </row>
    <row r="50" spans="1:5" x14ac:dyDescent="0.3">
      <c r="B50" s="6" t="s">
        <v>180</v>
      </c>
      <c r="C50" t="s">
        <v>159</v>
      </c>
      <c r="D50" s="10">
        <f>+B52*H27</f>
        <v>85.766999999999996</v>
      </c>
      <c r="E50" t="s">
        <v>49</v>
      </c>
    </row>
    <row r="51" spans="1:5" x14ac:dyDescent="0.3">
      <c r="B51" t="s">
        <v>181</v>
      </c>
      <c r="C51" t="s">
        <v>168</v>
      </c>
      <c r="D51" s="3">
        <f>+H32</f>
        <v>14.4377</v>
      </c>
      <c r="E51" t="s">
        <v>53</v>
      </c>
    </row>
    <row r="52" spans="1:5" x14ac:dyDescent="0.3">
      <c r="B52" s="11">
        <f>+ROUND(D2/(D30*D31*B24),0)</f>
        <v>2</v>
      </c>
      <c r="C52" t="s">
        <v>148</v>
      </c>
      <c r="D52" s="10">
        <f>+D50*D51</f>
        <v>1238.2782158999999</v>
      </c>
      <c r="E52" t="s">
        <v>44</v>
      </c>
    </row>
    <row r="54" spans="1:5" x14ac:dyDescent="0.3">
      <c r="B54" s="6" t="s">
        <v>182</v>
      </c>
      <c r="C54" t="s">
        <v>183</v>
      </c>
      <c r="D54" s="10">
        <f>+B56*H27</f>
        <v>0</v>
      </c>
      <c r="E54" t="s">
        <v>49</v>
      </c>
    </row>
    <row r="55" spans="1:5" x14ac:dyDescent="0.3">
      <c r="B55" t="s">
        <v>181</v>
      </c>
      <c r="C55" t="s">
        <v>184</v>
      </c>
      <c r="D55" s="3">
        <f>+H32</f>
        <v>14.4377</v>
      </c>
      <c r="E55" t="s">
        <v>53</v>
      </c>
    </row>
    <row r="56" spans="1:5" x14ac:dyDescent="0.3">
      <c r="B56" s="11">
        <f>+B38</f>
        <v>0</v>
      </c>
      <c r="C56" t="s">
        <v>148</v>
      </c>
      <c r="D56" s="10">
        <f>+D54*D55</f>
        <v>0</v>
      </c>
      <c r="E56" t="s">
        <v>44</v>
      </c>
    </row>
    <row r="58" spans="1:5" x14ac:dyDescent="0.3">
      <c r="B58" s="6" t="s">
        <v>185</v>
      </c>
      <c r="C58" t="s">
        <v>183</v>
      </c>
      <c r="D58" s="10">
        <f>+D50</f>
        <v>85.766999999999996</v>
      </c>
      <c r="E58" t="s">
        <v>49</v>
      </c>
    </row>
    <row r="59" spans="1:5" x14ac:dyDescent="0.3">
      <c r="B59" t="s">
        <v>186</v>
      </c>
      <c r="C59" t="s">
        <v>184</v>
      </c>
      <c r="D59" s="3">
        <f>+D51*B60</f>
        <v>173.25239999999999</v>
      </c>
      <c r="E59" t="s">
        <v>53</v>
      </c>
    </row>
    <row r="60" spans="1:5" x14ac:dyDescent="0.3">
      <c r="B60" s="11">
        <f>+D30*D31*B24</f>
        <v>12</v>
      </c>
      <c r="C60" t="s">
        <v>148</v>
      </c>
      <c r="D60" s="10">
        <f>+D58*D59</f>
        <v>14859.338590799998</v>
      </c>
      <c r="E60" t="s">
        <v>44</v>
      </c>
    </row>
    <row r="62" spans="1:5" x14ac:dyDescent="0.3">
      <c r="B62" s="6" t="s">
        <v>187</v>
      </c>
      <c r="C62" t="s">
        <v>183</v>
      </c>
      <c r="D62" s="10">
        <f>+D54</f>
        <v>0</v>
      </c>
      <c r="E62" t="s">
        <v>49</v>
      </c>
    </row>
    <row r="63" spans="1:5" x14ac:dyDescent="0.3">
      <c r="B63" t="s">
        <v>186</v>
      </c>
      <c r="C63" t="s">
        <v>184</v>
      </c>
      <c r="D63" s="3">
        <f>+D55*B64</f>
        <v>0</v>
      </c>
      <c r="E63" t="s">
        <v>53</v>
      </c>
    </row>
    <row r="64" spans="1:5" x14ac:dyDescent="0.3">
      <c r="B64">
        <f>+D42*B36</f>
        <v>0</v>
      </c>
      <c r="C64" t="s">
        <v>148</v>
      </c>
      <c r="D64" s="10">
        <f>+D62*D63</f>
        <v>0</v>
      </c>
      <c r="E64" t="s">
        <v>44</v>
      </c>
    </row>
    <row r="66" spans="1:7" x14ac:dyDescent="0.3">
      <c r="A66" t="s">
        <v>188</v>
      </c>
      <c r="B66" s="6" t="s">
        <v>189</v>
      </c>
    </row>
    <row r="67" spans="1:7" x14ac:dyDescent="0.3">
      <c r="B67" s="6" t="s">
        <v>190</v>
      </c>
    </row>
    <row r="68" spans="1:7" x14ac:dyDescent="0.3">
      <c r="B68" s="6" t="s">
        <v>191</v>
      </c>
      <c r="C68" t="s">
        <v>0</v>
      </c>
      <c r="D68">
        <f>2*B64+2*B60</f>
        <v>24</v>
      </c>
      <c r="G68" t="s">
        <v>192</v>
      </c>
    </row>
    <row r="69" spans="1:7" x14ac:dyDescent="0.3">
      <c r="B69" t="s">
        <v>193</v>
      </c>
      <c r="C69" t="s">
        <v>194</v>
      </c>
      <c r="D69">
        <f>1.2*B56*H6</f>
        <v>0</v>
      </c>
      <c r="E69" t="s">
        <v>49</v>
      </c>
      <c r="F69" t="s">
        <v>195</v>
      </c>
    </row>
    <row r="70" spans="1:7" x14ac:dyDescent="0.3">
      <c r="B70" t="s">
        <v>196</v>
      </c>
      <c r="C70" t="s">
        <v>197</v>
      </c>
      <c r="D70" s="3">
        <f>1.56*H7</f>
        <v>22.027200000000001</v>
      </c>
      <c r="E70" t="s">
        <v>53</v>
      </c>
      <c r="F70" t="s">
        <v>198</v>
      </c>
    </row>
    <row r="72" spans="1:7" x14ac:dyDescent="0.3">
      <c r="B72" s="6" t="s">
        <v>199</v>
      </c>
      <c r="C72" t="s">
        <v>0</v>
      </c>
      <c r="D72">
        <f>1*B64+1*B60</f>
        <v>12</v>
      </c>
      <c r="F72" t="s">
        <v>200</v>
      </c>
      <c r="G72" t="s">
        <v>201</v>
      </c>
    </row>
    <row r="73" spans="1:7" x14ac:dyDescent="0.3">
      <c r="B73" t="s">
        <v>202</v>
      </c>
      <c r="C73" t="s">
        <v>203</v>
      </c>
      <c r="D73">
        <f>1.1*B52*H6</f>
        <v>109.384</v>
      </c>
      <c r="E73" t="s">
        <v>49</v>
      </c>
      <c r="F73" t="s">
        <v>195</v>
      </c>
    </row>
    <row r="74" spans="1:7" x14ac:dyDescent="0.3">
      <c r="F74" t="s">
        <v>198</v>
      </c>
    </row>
    <row r="76" spans="1:7" x14ac:dyDescent="0.3">
      <c r="B76" s="6" t="s">
        <v>204</v>
      </c>
      <c r="C76" t="s">
        <v>0</v>
      </c>
      <c r="D76">
        <f>+D30*B24+D42*B36</f>
        <v>6</v>
      </c>
      <c r="F76" t="s">
        <v>205</v>
      </c>
      <c r="G76" t="s">
        <v>201</v>
      </c>
    </row>
    <row r="77" spans="1:7" x14ac:dyDescent="0.3">
      <c r="B77" t="s">
        <v>206</v>
      </c>
      <c r="C77" t="s">
        <v>207</v>
      </c>
      <c r="D77" s="3">
        <f>1.2*B52*H6</f>
        <v>119.32799999999999</v>
      </c>
      <c r="E77" t="s">
        <v>49</v>
      </c>
      <c r="G77" t="s">
        <v>208</v>
      </c>
    </row>
    <row r="78" spans="1:7" x14ac:dyDescent="0.3">
      <c r="B78" t="s">
        <v>209</v>
      </c>
      <c r="C78" t="s">
        <v>210</v>
      </c>
      <c r="D78" s="3">
        <f>1.25*H7</f>
        <v>17.649999999999999</v>
      </c>
      <c r="E78" t="s">
        <v>53</v>
      </c>
    </row>
    <row r="79" spans="1:7" x14ac:dyDescent="0.3">
      <c r="B79" t="s">
        <v>211</v>
      </c>
      <c r="C79" t="s">
        <v>197</v>
      </c>
      <c r="D79" s="3">
        <f>1.25*D78</f>
        <v>22.0625</v>
      </c>
      <c r="E79" t="s">
        <v>53</v>
      </c>
    </row>
    <row r="81" spans="2:6" x14ac:dyDescent="0.3">
      <c r="B81" s="6" t="s">
        <v>212</v>
      </c>
    </row>
    <row r="82" spans="2:6" x14ac:dyDescent="0.3">
      <c r="B82" s="6" t="s">
        <v>213</v>
      </c>
      <c r="C82" t="s">
        <v>214</v>
      </c>
    </row>
    <row r="83" spans="2:6" x14ac:dyDescent="0.3">
      <c r="B83" t="s">
        <v>215</v>
      </c>
      <c r="C83" t="s">
        <v>207</v>
      </c>
      <c r="D83">
        <f>1.2*D29</f>
        <v>264</v>
      </c>
      <c r="E83" t="s">
        <v>49</v>
      </c>
    </row>
    <row r="84" spans="2:6" x14ac:dyDescent="0.3">
      <c r="B84" t="s">
        <v>216</v>
      </c>
      <c r="C84" t="s">
        <v>210</v>
      </c>
      <c r="D84" s="3">
        <f>1.15*D28</f>
        <v>110.39999999999999</v>
      </c>
      <c r="E84" t="s">
        <v>53</v>
      </c>
      <c r="F84" t="s">
        <v>217</v>
      </c>
    </row>
    <row r="85" spans="2:6" x14ac:dyDescent="0.3">
      <c r="D85" s="3"/>
    </row>
    <row r="87" spans="2:6" x14ac:dyDescent="0.3">
      <c r="B87" s="6" t="s">
        <v>218</v>
      </c>
    </row>
    <row r="88" spans="2:6" x14ac:dyDescent="0.3">
      <c r="B88" t="s">
        <v>219</v>
      </c>
      <c r="D88">
        <f>1.1*D29</f>
        <v>242.00000000000003</v>
      </c>
      <c r="E88" t="s">
        <v>49</v>
      </c>
      <c r="F88" t="s">
        <v>195</v>
      </c>
    </row>
    <row r="90" spans="2:6" x14ac:dyDescent="0.3">
      <c r="B90" t="s">
        <v>220</v>
      </c>
    </row>
    <row r="93" spans="2:6" x14ac:dyDescent="0.3">
      <c r="B93" s="6" t="s">
        <v>221</v>
      </c>
    </row>
    <row r="95" spans="2:6" x14ac:dyDescent="0.3">
      <c r="B95" s="6" t="s">
        <v>222</v>
      </c>
      <c r="D95" s="47" t="s">
        <v>223</v>
      </c>
      <c r="E95" t="s">
        <v>11</v>
      </c>
    </row>
    <row r="96" spans="2:6" x14ac:dyDescent="0.3">
      <c r="B96" t="s">
        <v>224</v>
      </c>
      <c r="C96" t="s">
        <v>225</v>
      </c>
      <c r="D96" s="12">
        <f>3*D2</f>
        <v>66</v>
      </c>
      <c r="E96" s="12">
        <f>+D96*1.1</f>
        <v>72.600000000000009</v>
      </c>
      <c r="F96" s="12"/>
    </row>
    <row r="97" spans="2:6" x14ac:dyDescent="0.3">
      <c r="C97" t="s">
        <v>226</v>
      </c>
      <c r="D97" s="12">
        <f>3*D2</f>
        <v>66</v>
      </c>
      <c r="E97" s="12">
        <f>+D97*1.1</f>
        <v>72.600000000000009</v>
      </c>
      <c r="F97" s="12"/>
    </row>
    <row r="98" spans="2:6" x14ac:dyDescent="0.3">
      <c r="B98" s="6" t="s">
        <v>227</v>
      </c>
      <c r="C98" t="s">
        <v>228</v>
      </c>
      <c r="D98" s="12">
        <f>2.5*D2</f>
        <v>55</v>
      </c>
      <c r="E98" s="12">
        <f>+D98*1.1</f>
        <v>60.500000000000007</v>
      </c>
    </row>
    <row r="99" spans="2:6" x14ac:dyDescent="0.3">
      <c r="B99" t="s">
        <v>229</v>
      </c>
      <c r="D99" s="3"/>
    </row>
    <row r="100" spans="2:6" x14ac:dyDescent="0.3">
      <c r="B100" t="s">
        <v>230</v>
      </c>
    </row>
    <row r="101" spans="2:6" x14ac:dyDescent="0.3">
      <c r="B101" t="s">
        <v>231</v>
      </c>
    </row>
    <row r="102" spans="2:6" x14ac:dyDescent="0.3">
      <c r="D102" s="3"/>
    </row>
    <row r="103" spans="2:6" x14ac:dyDescent="0.3">
      <c r="B103" t="s">
        <v>232</v>
      </c>
      <c r="C103">
        <f>+H17</f>
        <v>75</v>
      </c>
      <c r="D103" s="48" t="s">
        <v>233</v>
      </c>
    </row>
    <row r="104" spans="2:6" x14ac:dyDescent="0.3">
      <c r="B104" t="s">
        <v>234</v>
      </c>
      <c r="C104" s="9">
        <v>2.1999999999999999E-2</v>
      </c>
      <c r="D104" s="3"/>
    </row>
    <row r="105" spans="2:6" x14ac:dyDescent="0.3">
      <c r="B105" t="s">
        <v>235</v>
      </c>
      <c r="C105" s="46">
        <f>+D50*C104</f>
        <v>1.8868739999999997</v>
      </c>
      <c r="D105" t="s">
        <v>49</v>
      </c>
    </row>
    <row r="106" spans="2:6" x14ac:dyDescent="0.3">
      <c r="B106" t="s">
        <v>236</v>
      </c>
      <c r="C106" s="46">
        <v>0.03</v>
      </c>
      <c r="D106" t="s">
        <v>237</v>
      </c>
    </row>
    <row r="107" spans="2:6" x14ac:dyDescent="0.3">
      <c r="B107" t="s">
        <v>238</v>
      </c>
      <c r="C107" s="49">
        <f>1.25*(1.25*D51)</f>
        <v>22.55890625</v>
      </c>
      <c r="D107" t="s">
        <v>53</v>
      </c>
    </row>
    <row r="108" spans="2:6" x14ac:dyDescent="0.3">
      <c r="B108" t="s">
        <v>90</v>
      </c>
      <c r="C108" s="46">
        <f>+(C105)/(2*C106*C107)</f>
        <v>1.3940347839337288</v>
      </c>
      <c r="D108" t="s">
        <v>239</v>
      </c>
    </row>
    <row r="109" spans="2:6" x14ac:dyDescent="0.3">
      <c r="B109" t="s">
        <v>240</v>
      </c>
      <c r="C109">
        <v>3.2299999999999998E-3</v>
      </c>
    </row>
    <row r="110" spans="2:6" x14ac:dyDescent="0.3">
      <c r="B110" t="s">
        <v>241</v>
      </c>
      <c r="C110" s="46">
        <f>+C103-20</f>
        <v>55</v>
      </c>
      <c r="D110" t="s">
        <v>233</v>
      </c>
    </row>
    <row r="111" spans="2:6" x14ac:dyDescent="0.3">
      <c r="B111" t="s">
        <v>91</v>
      </c>
      <c r="C111" s="49">
        <f>+(C108)/(1+(C109*C110))</f>
        <v>1.1837428641223866</v>
      </c>
      <c r="D111" t="s">
        <v>239</v>
      </c>
    </row>
    <row r="112" spans="2:6" x14ac:dyDescent="0.3">
      <c r="B112" t="s">
        <v>242</v>
      </c>
      <c r="C112" s="50">
        <v>12</v>
      </c>
    </row>
    <row r="113" spans="2:4" x14ac:dyDescent="0.3">
      <c r="B113" t="s">
        <v>243</v>
      </c>
      <c r="C113" s="54">
        <f>2*B64+2*B60</f>
        <v>24</v>
      </c>
    </row>
    <row r="114" spans="2:4" x14ac:dyDescent="0.3">
      <c r="C114" s="50"/>
    </row>
    <row r="115" spans="2:4" x14ac:dyDescent="0.3">
      <c r="B115" s="6" t="s">
        <v>244</v>
      </c>
    </row>
    <row r="116" spans="2:4" x14ac:dyDescent="0.3">
      <c r="B116" s="6" t="s">
        <v>245</v>
      </c>
    </row>
    <row r="117" spans="2:4" x14ac:dyDescent="0.3">
      <c r="B117" t="s">
        <v>246</v>
      </c>
    </row>
    <row r="118" spans="2:4" x14ac:dyDescent="0.3">
      <c r="B118" t="s">
        <v>232</v>
      </c>
      <c r="C118">
        <f>+H17</f>
        <v>75</v>
      </c>
      <c r="D118" s="48" t="s">
        <v>233</v>
      </c>
    </row>
    <row r="119" spans="2:4" x14ac:dyDescent="0.3">
      <c r="B119" t="s">
        <v>234</v>
      </c>
      <c r="C119" s="9">
        <v>0.01</v>
      </c>
      <c r="D119" s="3"/>
    </row>
    <row r="120" spans="2:4" x14ac:dyDescent="0.3">
      <c r="B120" t="s">
        <v>235</v>
      </c>
      <c r="C120" s="46">
        <f>+D29*C119</f>
        <v>2.2000000000000002</v>
      </c>
      <c r="D120" t="s">
        <v>49</v>
      </c>
    </row>
    <row r="121" spans="2:4" x14ac:dyDescent="0.3">
      <c r="B121" t="s">
        <v>236</v>
      </c>
      <c r="C121" s="46">
        <v>5.0000000000000001E-3</v>
      </c>
      <c r="D121" t="s">
        <v>237</v>
      </c>
    </row>
    <row r="122" spans="2:4" x14ac:dyDescent="0.3">
      <c r="B122" t="s">
        <v>238</v>
      </c>
      <c r="C122" s="49">
        <f>(1.25*D28)</f>
        <v>120</v>
      </c>
      <c r="D122" t="s">
        <v>53</v>
      </c>
    </row>
    <row r="123" spans="2:4" x14ac:dyDescent="0.3">
      <c r="B123" t="s">
        <v>90</v>
      </c>
      <c r="C123" s="46">
        <f>+(C120)/(2*C121*C122)</f>
        <v>1.8333333333333335</v>
      </c>
      <c r="D123" t="s">
        <v>239</v>
      </c>
    </row>
    <row r="124" spans="2:4" x14ac:dyDescent="0.3">
      <c r="B124" t="s">
        <v>240</v>
      </c>
      <c r="C124">
        <v>3.2299999999999998E-3</v>
      </c>
    </row>
    <row r="125" spans="2:4" x14ac:dyDescent="0.3">
      <c r="B125" t="s">
        <v>241</v>
      </c>
      <c r="C125" s="46">
        <f>+C118-20</f>
        <v>55</v>
      </c>
      <c r="D125" t="s">
        <v>233</v>
      </c>
    </row>
    <row r="126" spans="2:4" x14ac:dyDescent="0.3">
      <c r="B126" t="s">
        <v>91</v>
      </c>
      <c r="C126" s="49">
        <f>+(C123)/(1+(C124*C125))</f>
        <v>1.5567726687329286</v>
      </c>
      <c r="D126" t="s">
        <v>239</v>
      </c>
    </row>
    <row r="127" spans="2:4" x14ac:dyDescent="0.3">
      <c r="B127" t="s">
        <v>242</v>
      </c>
      <c r="C127" s="54">
        <v>2</v>
      </c>
    </row>
    <row r="129" spans="2:4" x14ac:dyDescent="0.3">
      <c r="B129" s="6" t="s">
        <v>247</v>
      </c>
    </row>
    <row r="131" spans="2:4" x14ac:dyDescent="0.3">
      <c r="B131" s="6" t="s">
        <v>245</v>
      </c>
    </row>
    <row r="132" spans="2:4" x14ac:dyDescent="0.3">
      <c r="B132" t="s">
        <v>246</v>
      </c>
    </row>
    <row r="133" spans="2:4" x14ac:dyDescent="0.3">
      <c r="B133" t="s">
        <v>232</v>
      </c>
      <c r="C133">
        <f>H17</f>
        <v>75</v>
      </c>
      <c r="D133" s="48" t="s">
        <v>233</v>
      </c>
    </row>
    <row r="134" spans="2:4" x14ac:dyDescent="0.3">
      <c r="B134" t="s">
        <v>234</v>
      </c>
      <c r="C134" s="9">
        <v>0.02</v>
      </c>
      <c r="D134" s="3"/>
    </row>
    <row r="135" spans="2:4" x14ac:dyDescent="0.3">
      <c r="B135" t="s">
        <v>235</v>
      </c>
      <c r="C135" s="46">
        <f>+D29*C134</f>
        <v>4.4000000000000004</v>
      </c>
      <c r="D135" t="s">
        <v>49</v>
      </c>
    </row>
    <row r="136" spans="2:4" x14ac:dyDescent="0.3">
      <c r="B136" t="s">
        <v>236</v>
      </c>
      <c r="C136" s="46">
        <v>1.4999999999999999E-2</v>
      </c>
      <c r="D136" t="s">
        <v>237</v>
      </c>
    </row>
    <row r="137" spans="2:4" x14ac:dyDescent="0.3">
      <c r="B137" t="s">
        <v>238</v>
      </c>
      <c r="C137" s="108">
        <f>(1.25*D27)*B24</f>
        <v>39.365945832458536</v>
      </c>
      <c r="D137" t="s">
        <v>53</v>
      </c>
    </row>
    <row r="138" spans="2:4" x14ac:dyDescent="0.3">
      <c r="B138" t="s">
        <v>90</v>
      </c>
      <c r="C138" s="46">
        <f>+(C135)/(2*C136*C137)</f>
        <v>3.7257244444444444</v>
      </c>
      <c r="D138" t="s">
        <v>239</v>
      </c>
    </row>
    <row r="139" spans="2:4" x14ac:dyDescent="0.3">
      <c r="B139" t="s">
        <v>240</v>
      </c>
      <c r="C139">
        <v>3.2299999999999998E-3</v>
      </c>
    </row>
    <row r="140" spans="2:4" x14ac:dyDescent="0.3">
      <c r="B140" t="s">
        <v>241</v>
      </c>
      <c r="C140" s="46">
        <f>+C133-20</f>
        <v>55</v>
      </c>
      <c r="D140" t="s">
        <v>233</v>
      </c>
    </row>
    <row r="141" spans="2:4" x14ac:dyDescent="0.3">
      <c r="B141" t="s">
        <v>91</v>
      </c>
      <c r="C141" s="49">
        <f>+(C138)/(1+(C139*C140))</f>
        <v>3.1636941743679734</v>
      </c>
      <c r="D141" t="s">
        <v>239</v>
      </c>
    </row>
    <row r="142" spans="2:4" x14ac:dyDescent="0.3">
      <c r="B142" t="s">
        <v>242</v>
      </c>
      <c r="C142" s="50" t="s">
        <v>248</v>
      </c>
      <c r="D142" t="s">
        <v>249</v>
      </c>
    </row>
    <row r="143" spans="2:4" x14ac:dyDescent="0.3">
      <c r="C143" t="s">
        <v>250</v>
      </c>
      <c r="D143" t="s">
        <v>251</v>
      </c>
    </row>
    <row r="146" spans="2:3" x14ac:dyDescent="0.3">
      <c r="B146" t="s">
        <v>252</v>
      </c>
      <c r="C146" s="12">
        <f>+D30*D31</f>
        <v>12</v>
      </c>
    </row>
    <row r="147" spans="2:3" x14ac:dyDescent="0.3">
      <c r="B147" t="s">
        <v>153</v>
      </c>
      <c r="C147">
        <f>+B24</f>
        <v>1</v>
      </c>
    </row>
    <row r="148" spans="2:3" x14ac:dyDescent="0.3">
      <c r="B148" t="s">
        <v>253</v>
      </c>
      <c r="C148">
        <f>+C146*C147</f>
        <v>12</v>
      </c>
    </row>
    <row r="150" spans="2:3" x14ac:dyDescent="0.3">
      <c r="B150" t="s">
        <v>254</v>
      </c>
      <c r="C150" s="12">
        <f>+D42</f>
        <v>0</v>
      </c>
    </row>
    <row r="151" spans="2:3" x14ac:dyDescent="0.3">
      <c r="B151" t="s">
        <v>174</v>
      </c>
      <c r="C151">
        <f>+B36</f>
        <v>1</v>
      </c>
    </row>
    <row r="152" spans="2:3" x14ac:dyDescent="0.3">
      <c r="B152" t="s">
        <v>255</v>
      </c>
      <c r="C152">
        <f>+C150*C151</f>
        <v>0</v>
      </c>
    </row>
    <row r="154" spans="2:3" x14ac:dyDescent="0.3">
      <c r="B154" t="s">
        <v>256</v>
      </c>
      <c r="C154">
        <f>+C148+C152</f>
        <v>12</v>
      </c>
    </row>
    <row r="155" spans="2:3" x14ac:dyDescent="0.3">
      <c r="B155" t="s">
        <v>257</v>
      </c>
      <c r="C155">
        <f>+C154</f>
        <v>12</v>
      </c>
    </row>
    <row r="157" spans="2:3" x14ac:dyDescent="0.3">
      <c r="B157" t="s">
        <v>258</v>
      </c>
    </row>
    <row r="158" spans="2:3" x14ac:dyDescent="0.3">
      <c r="B158" t="s">
        <v>191</v>
      </c>
      <c r="C158">
        <f>+C148*2</f>
        <v>24</v>
      </c>
    </row>
    <row r="159" spans="2:3" x14ac:dyDescent="0.3">
      <c r="B159" t="s">
        <v>199</v>
      </c>
      <c r="C159">
        <f>+C155</f>
        <v>12</v>
      </c>
    </row>
    <row r="160" spans="2:3" x14ac:dyDescent="0.3">
      <c r="B160" t="s">
        <v>259</v>
      </c>
      <c r="C160">
        <f>+C158+C159</f>
        <v>36</v>
      </c>
    </row>
    <row r="161" spans="2:3" x14ac:dyDescent="0.3">
      <c r="B161" t="s">
        <v>260</v>
      </c>
      <c r="C161">
        <v>18</v>
      </c>
    </row>
    <row r="162" spans="2:3" x14ac:dyDescent="0.3">
      <c r="B162" t="s">
        <v>261</v>
      </c>
      <c r="C162">
        <f>+C160/C161</f>
        <v>2</v>
      </c>
    </row>
  </sheetData>
  <mergeCells count="6">
    <mergeCell ref="G29:H29"/>
    <mergeCell ref="G1:I1"/>
    <mergeCell ref="M1:O1"/>
    <mergeCell ref="G20:H20"/>
    <mergeCell ref="G16:H16"/>
    <mergeCell ref="G24:H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CDAC-1533-48EB-9F1D-47C73F874DFF}">
  <dimension ref="B9:H24"/>
  <sheetViews>
    <sheetView zoomScale="66" workbookViewId="0">
      <selection activeCell="U22" sqref="U22"/>
    </sheetView>
  </sheetViews>
  <sheetFormatPr baseColWidth="10" defaultColWidth="11.44140625" defaultRowHeight="14.4" x14ac:dyDescent="0.3"/>
  <sheetData>
    <row r="9" spans="8:8" ht="18" x14ac:dyDescent="0.35">
      <c r="H9" s="155"/>
    </row>
    <row r="18" spans="2:3" x14ac:dyDescent="0.3">
      <c r="C18" s="12"/>
    </row>
    <row r="21" spans="2:3" x14ac:dyDescent="0.3">
      <c r="B21" s="12"/>
    </row>
    <row r="22" spans="2:3" x14ac:dyDescent="0.3">
      <c r="B22" s="12"/>
    </row>
    <row r="24" spans="2:3" x14ac:dyDescent="0.3">
      <c r="B24" s="38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F504-A669-4294-8AE9-B4F7660E45C1}">
  <dimension ref="A3:K37"/>
  <sheetViews>
    <sheetView showGridLines="0" topLeftCell="B1" workbookViewId="0">
      <selection activeCell="D9" sqref="D9"/>
    </sheetView>
  </sheetViews>
  <sheetFormatPr baseColWidth="10" defaultColWidth="11.44140625" defaultRowHeight="14.4" x14ac:dyDescent="0.3"/>
  <cols>
    <col min="1" max="1" width="46" bestFit="1" customWidth="1"/>
    <col min="2" max="2" width="29.44140625" bestFit="1" customWidth="1"/>
    <col min="3" max="3" width="32" bestFit="1" customWidth="1"/>
    <col min="4" max="4" width="22.21875" customWidth="1"/>
    <col min="5" max="5" width="23.77734375" customWidth="1"/>
    <col min="6" max="6" width="23.5546875" customWidth="1"/>
    <col min="7" max="7" width="12.5546875" customWidth="1"/>
    <col min="8" max="8" width="18.77734375" customWidth="1"/>
    <col min="9" max="9" width="16.21875" customWidth="1"/>
  </cols>
  <sheetData>
    <row r="3" spans="1:11" ht="18" x14ac:dyDescent="0.35">
      <c r="A3" s="205" t="s">
        <v>1073</v>
      </c>
      <c r="B3" s="206" t="s">
        <v>262</v>
      </c>
      <c r="C3" s="206" t="s">
        <v>263</v>
      </c>
      <c r="D3" s="207" t="s">
        <v>1074</v>
      </c>
      <c r="E3" s="207" t="s">
        <v>1075</v>
      </c>
      <c r="G3" s="173" t="s">
        <v>1</v>
      </c>
      <c r="H3" s="173" t="s">
        <v>262</v>
      </c>
      <c r="I3" s="173" t="s">
        <v>263</v>
      </c>
    </row>
    <row r="4" spans="1:11" ht="18" x14ac:dyDescent="0.35">
      <c r="A4" s="208" t="s">
        <v>264</v>
      </c>
      <c r="B4" s="209">
        <v>19286571.030303031</v>
      </c>
      <c r="C4" s="210">
        <v>19370171.030303031</v>
      </c>
      <c r="D4" s="211">
        <f>+B4</f>
        <v>19286571.030303031</v>
      </c>
      <c r="E4" s="211">
        <f>D4</f>
        <v>19286571.030303031</v>
      </c>
      <c r="G4" s="167" t="s">
        <v>265</v>
      </c>
      <c r="H4" s="174" t="e">
        <f>+#REF!</f>
        <v>#REF!</v>
      </c>
      <c r="I4" s="174" t="e">
        <f>+#REF!</f>
        <v>#REF!</v>
      </c>
      <c r="K4">
        <v>12176683</v>
      </c>
    </row>
    <row r="5" spans="1:11" ht="18" x14ac:dyDescent="0.35">
      <c r="A5" s="208" t="s">
        <v>267</v>
      </c>
      <c r="B5" s="212">
        <v>8206074.586457856</v>
      </c>
      <c r="C5" s="210">
        <v>9278591.4579407722</v>
      </c>
      <c r="D5" s="211">
        <f t="shared" ref="D5:D11" si="0">+B5</f>
        <v>8206074.586457856</v>
      </c>
      <c r="E5" s="211">
        <f t="shared" ref="E5" si="1">+C5</f>
        <v>9278591.4579407722</v>
      </c>
      <c r="F5" s="193">
        <f>B5/2</f>
        <v>4103037.293228928</v>
      </c>
      <c r="G5" s="173" t="s">
        <v>1</v>
      </c>
      <c r="H5" s="173" t="s">
        <v>262</v>
      </c>
      <c r="I5" s="173" t="s">
        <v>263</v>
      </c>
      <c r="K5" s="33">
        <f>E4-K4</f>
        <v>7109888.0303030312</v>
      </c>
    </row>
    <row r="6" spans="1:11" ht="18" x14ac:dyDescent="0.35">
      <c r="A6" s="208" t="s">
        <v>273</v>
      </c>
      <c r="B6" s="209">
        <v>5151515.1515151523</v>
      </c>
      <c r="C6" s="210">
        <v>6130303.0303030303</v>
      </c>
      <c r="D6" s="213">
        <f>C6/1.19</f>
        <v>5151515.1515151514</v>
      </c>
      <c r="E6" s="211">
        <f>D6*1.19</f>
        <v>6130303.0303030303</v>
      </c>
      <c r="F6" s="197"/>
      <c r="G6" t="s">
        <v>11</v>
      </c>
      <c r="H6" s="33" t="e">
        <f>+D13+H4</f>
        <v>#REF!</v>
      </c>
      <c r="I6" s="33" t="e">
        <f>+E13+I4</f>
        <v>#REF!</v>
      </c>
    </row>
    <row r="7" spans="1:11" ht="18" x14ac:dyDescent="0.35">
      <c r="A7" s="208" t="s">
        <v>268</v>
      </c>
      <c r="B7" s="209">
        <v>4909090.9090909101</v>
      </c>
      <c r="C7" s="210">
        <v>4969401.5151515165</v>
      </c>
      <c r="D7" s="211">
        <f t="shared" si="0"/>
        <v>4909090.9090909101</v>
      </c>
      <c r="E7" s="211">
        <f>+C22</f>
        <v>4950730.5194805199</v>
      </c>
    </row>
    <row r="8" spans="1:11" ht="18" x14ac:dyDescent="0.35">
      <c r="A8" s="208" t="s">
        <v>269</v>
      </c>
      <c r="B8" s="209">
        <v>3576900</v>
      </c>
      <c r="C8" s="210">
        <v>4256511</v>
      </c>
      <c r="D8" s="211">
        <f t="shared" si="0"/>
        <v>3576900</v>
      </c>
      <c r="E8" s="211">
        <f t="shared" ref="E8:E11" si="2">D8*1.19</f>
        <v>4256511</v>
      </c>
    </row>
    <row r="9" spans="1:11" ht="18" x14ac:dyDescent="0.35">
      <c r="A9" s="208" t="s">
        <v>272</v>
      </c>
      <c r="B9" s="209">
        <v>1969696.96969697</v>
      </c>
      <c r="C9" s="210">
        <v>2343939.393939394</v>
      </c>
      <c r="D9" s="211">
        <f t="shared" si="0"/>
        <v>1969696.96969697</v>
      </c>
      <c r="E9" s="211">
        <f t="shared" si="2"/>
        <v>2343939.393939394</v>
      </c>
      <c r="G9" s="196">
        <f>E12-D12</f>
        <v>3636191.724296771</v>
      </c>
    </row>
    <row r="10" spans="1:11" ht="18" x14ac:dyDescent="0.35">
      <c r="A10" s="208" t="s">
        <v>270</v>
      </c>
      <c r="B10" s="209">
        <v>1666666.666666667</v>
      </c>
      <c r="C10" s="210">
        <v>1983333.3333333337</v>
      </c>
      <c r="D10" s="211">
        <f t="shared" si="0"/>
        <v>1666666.666666667</v>
      </c>
      <c r="E10" s="211">
        <f t="shared" si="2"/>
        <v>1983333.3333333337</v>
      </c>
      <c r="G10" s="193">
        <f>D12/2</f>
        <v>22837803.111410744</v>
      </c>
    </row>
    <row r="11" spans="1:11" ht="18" x14ac:dyDescent="0.35">
      <c r="A11" s="208" t="s">
        <v>271</v>
      </c>
      <c r="B11" s="209">
        <v>909090.90909090918</v>
      </c>
      <c r="C11" s="210">
        <v>1081818.1818181819</v>
      </c>
      <c r="D11" s="211">
        <f t="shared" si="0"/>
        <v>909090.90909090918</v>
      </c>
      <c r="E11" s="211">
        <f t="shared" si="2"/>
        <v>1081818.1818181819</v>
      </c>
      <c r="G11" s="193">
        <f>D12/5</f>
        <v>9135121.2445642985</v>
      </c>
    </row>
    <row r="12" spans="1:11" ht="18" x14ac:dyDescent="0.35">
      <c r="A12" s="205" t="s">
        <v>274</v>
      </c>
      <c r="B12" s="214">
        <v>45675606.222821489</v>
      </c>
      <c r="C12" s="214">
        <v>49414068.942789257</v>
      </c>
      <c r="D12" s="215">
        <f>+SUM(D3:D11)</f>
        <v>45675606.222821489</v>
      </c>
      <c r="E12" s="215">
        <f>+SUM(E3:E11)</f>
        <v>49311797.94711826</v>
      </c>
    </row>
    <row r="13" spans="1:11" x14ac:dyDescent="0.3">
      <c r="D13" s="204"/>
      <c r="E13" s="204"/>
      <c r="F13" s="33">
        <f>E14/4</f>
        <v>0</v>
      </c>
    </row>
    <row r="14" spans="1:11" x14ac:dyDescent="0.3">
      <c r="D14" s="186"/>
      <c r="E14" s="186"/>
    </row>
    <row r="16" spans="1:11" x14ac:dyDescent="0.3">
      <c r="A16" t="s">
        <v>275</v>
      </c>
      <c r="C16" s="194">
        <f>+B7</f>
        <v>4909090.9090909101</v>
      </c>
    </row>
    <row r="17" spans="1:9" x14ac:dyDescent="0.3">
      <c r="A17" t="s">
        <v>276</v>
      </c>
      <c r="B17" s="9">
        <f>+SUM(B18:B20)</f>
        <v>0.12000000000000001</v>
      </c>
      <c r="C17" s="195">
        <f>+C16/(1+SUM(B18:B20))</f>
        <v>4383116.8831168832</v>
      </c>
    </row>
    <row r="18" spans="1:9" x14ac:dyDescent="0.3">
      <c r="A18" t="s">
        <v>277</v>
      </c>
      <c r="B18" s="9">
        <v>0.05</v>
      </c>
      <c r="C18" s="195">
        <f>+C17*B18</f>
        <v>219155.84415584418</v>
      </c>
      <c r="E18" s="33"/>
      <c r="F18" s="168" t="s">
        <v>278</v>
      </c>
      <c r="G18" s="168" t="s">
        <v>279</v>
      </c>
      <c r="H18" s="168" t="s">
        <v>280</v>
      </c>
      <c r="I18" s="168" t="s">
        <v>281</v>
      </c>
    </row>
    <row r="19" spans="1:9" x14ac:dyDescent="0.3">
      <c r="A19" t="s">
        <v>282</v>
      </c>
      <c r="B19" s="9">
        <v>0.02</v>
      </c>
      <c r="C19" s="195">
        <f>+C17*B19</f>
        <v>87662.337662337668</v>
      </c>
      <c r="F19" s="169" t="s">
        <v>283</v>
      </c>
      <c r="G19" s="170">
        <v>0.35</v>
      </c>
      <c r="H19" s="171">
        <f>+$D$12*G19</f>
        <v>15986462.17798752</v>
      </c>
      <c r="I19" s="171">
        <f>$E$12*G19</f>
        <v>17259129.281491391</v>
      </c>
    </row>
    <row r="20" spans="1:9" x14ac:dyDescent="0.3">
      <c r="A20" t="s">
        <v>284</v>
      </c>
      <c r="B20" s="9">
        <v>0.05</v>
      </c>
      <c r="C20" s="30">
        <f>+C17*B20</f>
        <v>219155.84415584418</v>
      </c>
      <c r="F20" s="169" t="s">
        <v>285</v>
      </c>
      <c r="G20" s="170">
        <v>0.25</v>
      </c>
      <c r="H20" s="171">
        <f t="shared" ref="H20:H22" si="3">+$D$12*G20</f>
        <v>11418901.555705372</v>
      </c>
      <c r="I20" s="171">
        <f t="shared" ref="I20:I22" si="4">$E$12*G20</f>
        <v>12327949.486779565</v>
      </c>
    </row>
    <row r="21" spans="1:9" x14ac:dyDescent="0.3">
      <c r="A21" t="s">
        <v>286</v>
      </c>
      <c r="B21" s="9">
        <v>0.19</v>
      </c>
      <c r="C21" s="30">
        <f>+C20*B21</f>
        <v>41639.610389610396</v>
      </c>
      <c r="F21" s="169" t="s">
        <v>287</v>
      </c>
      <c r="G21" s="170">
        <v>0.2</v>
      </c>
      <c r="H21" s="171">
        <f t="shared" si="3"/>
        <v>9135121.2445642985</v>
      </c>
      <c r="I21" s="171">
        <f t="shared" si="4"/>
        <v>9862359.5894236527</v>
      </c>
    </row>
    <row r="22" spans="1:9" x14ac:dyDescent="0.3">
      <c r="C22" s="33">
        <f>+SUM(C17:C21)</f>
        <v>4950730.5194805199</v>
      </c>
      <c r="F22" s="169" t="s">
        <v>288</v>
      </c>
      <c r="G22" s="170">
        <v>0.2</v>
      </c>
      <c r="H22" s="171">
        <f t="shared" si="3"/>
        <v>9135121.2445642985</v>
      </c>
      <c r="I22" s="171">
        <f t="shared" si="4"/>
        <v>9862359.5894236527</v>
      </c>
    </row>
    <row r="25" spans="1:9" x14ac:dyDescent="0.3">
      <c r="E25" s="33">
        <f>E14-D14</f>
        <v>0</v>
      </c>
      <c r="F25" s="35">
        <f>+SUM(I19:I22)</f>
        <v>49311797.947118267</v>
      </c>
    </row>
    <row r="26" spans="1:9" x14ac:dyDescent="0.3">
      <c r="E26" s="33">
        <f>D14/2</f>
        <v>0</v>
      </c>
      <c r="F26" s="35"/>
    </row>
    <row r="27" spans="1:9" x14ac:dyDescent="0.3">
      <c r="E27" s="33">
        <f>D14/5</f>
        <v>0</v>
      </c>
    </row>
    <row r="28" spans="1:9" x14ac:dyDescent="0.3">
      <c r="B28" s="33">
        <v>25384067.692307692</v>
      </c>
    </row>
    <row r="29" spans="1:9" x14ac:dyDescent="0.3">
      <c r="B29" s="33">
        <v>20513846.153846152</v>
      </c>
    </row>
    <row r="30" spans="1:9" x14ac:dyDescent="0.3">
      <c r="B30" s="33">
        <v>14948373.040129282</v>
      </c>
    </row>
    <row r="31" spans="1:9" x14ac:dyDescent="0.3">
      <c r="B31" s="33">
        <v>9200000</v>
      </c>
    </row>
    <row r="32" spans="1:9" x14ac:dyDescent="0.3">
      <c r="B32" s="33">
        <v>3962104.6153846155</v>
      </c>
    </row>
    <row r="33" spans="2:2" x14ac:dyDescent="0.3">
      <c r="B33" s="33">
        <v>2738461.5384615385</v>
      </c>
    </row>
    <row r="34" spans="2:2" x14ac:dyDescent="0.3">
      <c r="B34" s="33">
        <v>2615384.6153846155</v>
      </c>
    </row>
    <row r="35" spans="2:2" x14ac:dyDescent="0.3">
      <c r="B35" s="33">
        <v>2000000</v>
      </c>
    </row>
    <row r="36" spans="2:2" x14ac:dyDescent="0.3">
      <c r="B36" s="33">
        <v>1846153.846153846</v>
      </c>
    </row>
    <row r="37" spans="2:2" x14ac:dyDescent="0.3">
      <c r="B37" s="33">
        <f>SUM(B28:B36)</f>
        <v>83208391.501667723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6A04-7BF5-4287-9C29-D0A52C6693A3}">
  <dimension ref="A1:AG195"/>
  <sheetViews>
    <sheetView zoomScale="70" zoomScaleNormal="70" workbookViewId="0">
      <pane xSplit="1" ySplit="1" topLeftCell="B121" activePane="bottomRight" state="frozen"/>
      <selection pane="topRight" activeCell="B1" sqref="B1"/>
      <selection pane="bottomLeft" activeCell="A10" sqref="A10"/>
      <selection pane="bottomRight" activeCell="B11" sqref="B11"/>
    </sheetView>
  </sheetViews>
  <sheetFormatPr baseColWidth="10" defaultColWidth="11.44140625" defaultRowHeight="14.4" x14ac:dyDescent="0.3"/>
  <cols>
    <col min="2" max="2" width="68.77734375" customWidth="1"/>
    <col min="3" max="3" width="15.44140625" bestFit="1" customWidth="1"/>
    <col min="4" max="4" width="11.21875" customWidth="1"/>
    <col min="5" max="5" width="10.77734375" customWidth="1"/>
    <col min="6" max="6" width="13.5546875" bestFit="1" customWidth="1"/>
    <col min="7" max="7" width="16.44140625" bestFit="1" customWidth="1"/>
    <col min="8" max="8" width="21" bestFit="1" customWidth="1"/>
    <col min="9" max="9" width="16.44140625" bestFit="1" customWidth="1"/>
    <col min="10" max="10" width="14.44140625" bestFit="1" customWidth="1"/>
    <col min="11" max="11" width="14.77734375" bestFit="1" customWidth="1"/>
    <col min="12" max="13" width="14.77734375" customWidth="1"/>
    <col min="14" max="14" width="37.44140625" bestFit="1" customWidth="1"/>
    <col min="15" max="15" width="13.5546875" hidden="1" customWidth="1"/>
    <col min="16" max="20" width="19" hidden="1" customWidth="1"/>
    <col min="21" max="22" width="25.5546875" hidden="1" customWidth="1"/>
    <col min="23" max="23" width="14.5546875" hidden="1" customWidth="1"/>
    <col min="24" max="25" width="13.44140625" hidden="1" customWidth="1"/>
    <col min="26" max="26" width="12.5546875" hidden="1" customWidth="1"/>
    <col min="27" max="27" width="15.77734375" bestFit="1" customWidth="1"/>
    <col min="28" max="28" width="14.21875" bestFit="1" customWidth="1"/>
    <col min="30" max="30" width="15.77734375" customWidth="1"/>
    <col min="33" max="33" width="16.5546875" customWidth="1"/>
  </cols>
  <sheetData>
    <row r="1" spans="1:28" x14ac:dyDescent="0.3">
      <c r="C1" s="118" t="s">
        <v>289</v>
      </c>
      <c r="D1" s="118" t="s">
        <v>290</v>
      </c>
      <c r="Q1" t="s">
        <v>291</v>
      </c>
      <c r="S1">
        <f>10*12</f>
        <v>120</v>
      </c>
      <c r="T1" t="s">
        <v>292</v>
      </c>
    </row>
    <row r="2" spans="1:28" x14ac:dyDescent="0.3">
      <c r="B2" s="118" t="s">
        <v>293</v>
      </c>
      <c r="C2" s="9">
        <v>0.34</v>
      </c>
      <c r="D2" s="9">
        <f>1-C2</f>
        <v>0.65999999999999992</v>
      </c>
    </row>
    <row r="3" spans="1:28" x14ac:dyDescent="0.3">
      <c r="B3" s="118" t="s">
        <v>294</v>
      </c>
      <c r="C3" s="9">
        <v>0.34</v>
      </c>
      <c r="D3" s="9">
        <f t="shared" ref="D3:D5" si="0">1-C3</f>
        <v>0.65999999999999992</v>
      </c>
      <c r="F3">
        <f>12000/(1.73*220)</f>
        <v>31.529164477141354</v>
      </c>
      <c r="G3">
        <f>F3*1.25</f>
        <v>39.411455596426691</v>
      </c>
      <c r="H3">
        <f>360000/730</f>
        <v>493.15068493150687</v>
      </c>
      <c r="L3" s="30"/>
      <c r="M3" s="30"/>
    </row>
    <row r="4" spans="1:28" x14ac:dyDescent="0.3">
      <c r="B4" s="118" t="s">
        <v>295</v>
      </c>
      <c r="C4" s="9">
        <v>0.34</v>
      </c>
      <c r="D4" s="9">
        <f t="shared" si="0"/>
        <v>0.65999999999999992</v>
      </c>
      <c r="J4">
        <v>4000</v>
      </c>
      <c r="L4" s="33"/>
      <c r="M4" s="33"/>
    </row>
    <row r="5" spans="1:28" x14ac:dyDescent="0.3">
      <c r="B5" s="118" t="s">
        <v>296</v>
      </c>
      <c r="C5" s="9">
        <v>0.34</v>
      </c>
      <c r="D5" s="9">
        <f t="shared" si="0"/>
        <v>0.65999999999999992</v>
      </c>
      <c r="F5" s="33">
        <f>I26+I30+I41+I54+I83</f>
        <v>2839947.5378151261</v>
      </c>
      <c r="L5" s="38"/>
      <c r="M5" s="38"/>
    </row>
    <row r="6" spans="1:28" x14ac:dyDescent="0.3">
      <c r="B6" s="118" t="s">
        <v>297</v>
      </c>
      <c r="C6" s="9">
        <v>0.34</v>
      </c>
      <c r="D6" s="9">
        <f>1-C6</f>
        <v>0.65999999999999992</v>
      </c>
    </row>
    <row r="7" spans="1:28" x14ac:dyDescent="0.3">
      <c r="I7" s="33"/>
    </row>
    <row r="8" spans="1:28" x14ac:dyDescent="0.3">
      <c r="A8" s="119" t="s">
        <v>298</v>
      </c>
      <c r="B8" s="119" t="s">
        <v>1</v>
      </c>
      <c r="C8" s="119" t="s">
        <v>299</v>
      </c>
      <c r="D8" s="119" t="s">
        <v>300</v>
      </c>
      <c r="E8" s="119" t="s">
        <v>301</v>
      </c>
      <c r="F8" s="119" t="s">
        <v>302</v>
      </c>
      <c r="G8" s="119" t="s">
        <v>303</v>
      </c>
      <c r="H8" s="119" t="s">
        <v>304</v>
      </c>
      <c r="I8" s="120" t="s">
        <v>305</v>
      </c>
      <c r="J8" s="119" t="s">
        <v>306</v>
      </c>
      <c r="K8" s="119" t="s">
        <v>307</v>
      </c>
      <c r="L8" s="120" t="s">
        <v>308</v>
      </c>
      <c r="M8" s="119" t="s">
        <v>309</v>
      </c>
      <c r="N8" s="119" t="s">
        <v>310</v>
      </c>
      <c r="O8" s="67" t="s">
        <v>311</v>
      </c>
      <c r="P8" s="67" t="s">
        <v>312</v>
      </c>
      <c r="Q8" s="67" t="s">
        <v>313</v>
      </c>
      <c r="R8" s="71" t="s">
        <v>314</v>
      </c>
      <c r="S8" s="71" t="s">
        <v>315</v>
      </c>
      <c r="T8" s="71" t="s">
        <v>316</v>
      </c>
    </row>
    <row r="9" spans="1:28" x14ac:dyDescent="0.3">
      <c r="A9" s="52">
        <v>1</v>
      </c>
      <c r="B9" s="19" t="s">
        <v>317</v>
      </c>
      <c r="C9" s="20"/>
      <c r="D9" s="20"/>
      <c r="E9" s="20"/>
      <c r="F9" s="20"/>
      <c r="G9" s="121"/>
      <c r="H9" s="20"/>
      <c r="I9" s="122">
        <f>+SUM(I10:I15)</f>
        <v>13333036.879999999</v>
      </c>
      <c r="J9" s="122">
        <f>+SUM(J10:J15)</f>
        <v>13502953.879999999</v>
      </c>
      <c r="K9" s="20"/>
      <c r="L9" s="122">
        <f>+SUM(L10:L15)</f>
        <v>20201571.030303031</v>
      </c>
      <c r="M9" s="122">
        <f>+SUM(M10:M15)</f>
        <v>20459021.030303031</v>
      </c>
      <c r="N9" s="20"/>
      <c r="O9" s="38">
        <f>+K9/$K$117</f>
        <v>0</v>
      </c>
      <c r="P9" s="10">
        <f>+H9/$C$180</f>
        <v>0</v>
      </c>
      <c r="Q9" s="10">
        <f>+K9/$C$180</f>
        <v>0</v>
      </c>
      <c r="R9" s="10"/>
      <c r="S9" s="10"/>
      <c r="T9" s="10"/>
      <c r="V9" t="s">
        <v>318</v>
      </c>
      <c r="W9" t="s">
        <v>319</v>
      </c>
      <c r="X9" t="s">
        <v>320</v>
      </c>
      <c r="Y9" t="s">
        <v>321</v>
      </c>
      <c r="Z9" t="s">
        <v>322</v>
      </c>
      <c r="AA9" s="33">
        <f>+M9</f>
        <v>20459021.030303031</v>
      </c>
      <c r="AB9" s="33">
        <f>+J9</f>
        <v>13502953.879999999</v>
      </c>
    </row>
    <row r="10" spans="1:28" x14ac:dyDescent="0.3">
      <c r="A10" s="22" t="s">
        <v>323</v>
      </c>
      <c r="B10" s="20" t="s">
        <v>1071</v>
      </c>
      <c r="C10" s="20" t="s">
        <v>299</v>
      </c>
      <c r="D10" s="20">
        <f>+Cálculos!D2</f>
        <v>22</v>
      </c>
      <c r="E10" s="20">
        <v>0</v>
      </c>
      <c r="F10" s="76">
        <f>+D10+E10</f>
        <v>22</v>
      </c>
      <c r="G10" s="123">
        <v>0</v>
      </c>
      <c r="H10" s="64">
        <f>370000</f>
        <v>370000</v>
      </c>
      <c r="I10" s="64">
        <f>+H10*F10</f>
        <v>8140000</v>
      </c>
      <c r="J10" s="64">
        <f>+I10*(1+G10)</f>
        <v>8140000</v>
      </c>
      <c r="K10" s="23">
        <f>+H10/$D$2</f>
        <v>560606.06060606067</v>
      </c>
      <c r="L10" s="64">
        <f t="shared" ref="L10:L15" si="1">+K10*F10</f>
        <v>12333333.333333334</v>
      </c>
      <c r="M10" s="24">
        <f>+L10*(1+G10)</f>
        <v>12333333.333333334</v>
      </c>
      <c r="N10" s="124" t="s">
        <v>264</v>
      </c>
      <c r="R10">
        <f>20*12</f>
        <v>240</v>
      </c>
      <c r="S10" s="30">
        <f>+IF(R10=0,0,H10/R10)</f>
        <v>1541.6666666666667</v>
      </c>
      <c r="T10" s="30">
        <f>+IF(R10=0,0,K10/R10)</f>
        <v>2335.8585858585861</v>
      </c>
      <c r="U10" t="s">
        <v>324</v>
      </c>
      <c r="V10" s="28">
        <v>123655</v>
      </c>
      <c r="W10" s="28">
        <f>+V10*1.19</f>
        <v>147149.44999999998</v>
      </c>
      <c r="X10">
        <v>0.52</v>
      </c>
      <c r="Y10" s="30">
        <f>+V10*X10</f>
        <v>64300.600000000006</v>
      </c>
      <c r="Z10" s="30">
        <f>+W10*X10</f>
        <v>76517.713999999993</v>
      </c>
    </row>
    <row r="11" spans="1:28" x14ac:dyDescent="0.3">
      <c r="A11" s="22" t="s">
        <v>325</v>
      </c>
      <c r="B11" s="124" t="s">
        <v>1072</v>
      </c>
      <c r="C11" s="20" t="s">
        <v>299</v>
      </c>
      <c r="D11" s="20">
        <v>1</v>
      </c>
      <c r="E11" s="20">
        <v>0</v>
      </c>
      <c r="F11" s="76">
        <f t="shared" ref="F11:F14" si="2">+D11+E11</f>
        <v>1</v>
      </c>
      <c r="G11" s="123">
        <v>0</v>
      </c>
      <c r="H11" s="157">
        <v>4298736.88</v>
      </c>
      <c r="I11" s="64">
        <f>+H11*F11</f>
        <v>4298736.88</v>
      </c>
      <c r="J11" s="64">
        <f t="shared" ref="J11:J76" si="3">+I11*(1+G11)</f>
        <v>4298736.88</v>
      </c>
      <c r="K11" s="23">
        <f t="shared" ref="K11:K15" si="4">+H11/$D$2</f>
        <v>6513237.6969696973</v>
      </c>
      <c r="L11" s="64">
        <f t="shared" si="1"/>
        <v>6513237.6969696973</v>
      </c>
      <c r="M11" s="24">
        <f t="shared" ref="M11:M14" si="5">+L11*(1+G11)</f>
        <v>6513237.6969696973</v>
      </c>
      <c r="N11" s="124" t="s">
        <v>264</v>
      </c>
      <c r="R11">
        <f t="shared" ref="R11:R14" si="6">20*12</f>
        <v>240</v>
      </c>
      <c r="S11" s="30">
        <f t="shared" ref="S11:S78" si="7">+IF(R11=0,0,H11/R11)</f>
        <v>17911.403666666665</v>
      </c>
      <c r="T11" s="30">
        <f t="shared" ref="T11:T78" si="8">+IF(R11=0,0,K11/R11)</f>
        <v>27138.490404040404</v>
      </c>
      <c r="U11" t="s">
        <v>326</v>
      </c>
      <c r="V11" s="28">
        <v>5668</v>
      </c>
      <c r="W11" s="28">
        <f t="shared" ref="W11:W16" si="9">+V11*1.19</f>
        <v>6744.92</v>
      </c>
      <c r="X11" s="3">
        <v>2.0169999999999999</v>
      </c>
      <c r="Y11" s="30">
        <f t="shared" ref="Y11:Y16" si="10">+V11*X11</f>
        <v>11432.356</v>
      </c>
      <c r="Z11" s="30">
        <f t="shared" ref="Z11" si="11">+W11*X11</f>
        <v>13604.503639999999</v>
      </c>
    </row>
    <row r="12" spans="1:28" x14ac:dyDescent="0.3">
      <c r="A12" s="22" t="s">
        <v>327</v>
      </c>
      <c r="B12" s="20" t="s">
        <v>328</v>
      </c>
      <c r="C12" s="20" t="s">
        <v>299</v>
      </c>
      <c r="D12" s="20">
        <v>1</v>
      </c>
      <c r="E12" s="20">
        <v>0</v>
      </c>
      <c r="F12" s="76">
        <f t="shared" si="2"/>
        <v>1</v>
      </c>
      <c r="G12" s="123">
        <v>0.19</v>
      </c>
      <c r="H12" s="128">
        <f>88*3300</f>
        <v>290400</v>
      </c>
      <c r="I12" s="64">
        <f>+H12*F12</f>
        <v>290400</v>
      </c>
      <c r="J12" s="64">
        <f t="shared" si="3"/>
        <v>345576</v>
      </c>
      <c r="K12" s="23">
        <f>+H12/$D$2</f>
        <v>440000.00000000006</v>
      </c>
      <c r="L12" s="64">
        <f t="shared" si="1"/>
        <v>440000.00000000006</v>
      </c>
      <c r="M12" s="24">
        <f t="shared" si="5"/>
        <v>523600.00000000006</v>
      </c>
      <c r="N12" s="124" t="s">
        <v>264</v>
      </c>
      <c r="R12">
        <f t="shared" si="6"/>
        <v>240</v>
      </c>
      <c r="S12" s="30">
        <f>+IF(R12=0,0,H12/R12)</f>
        <v>1210</v>
      </c>
      <c r="T12" s="30">
        <f t="shared" si="8"/>
        <v>1833.3333333333335</v>
      </c>
      <c r="V12" s="28"/>
      <c r="W12" s="28"/>
      <c r="X12" s="3"/>
      <c r="Y12" s="30"/>
      <c r="Z12" s="30"/>
    </row>
    <row r="13" spans="1:28" ht="28.8" x14ac:dyDescent="0.3">
      <c r="A13" s="22" t="s">
        <v>329</v>
      </c>
      <c r="B13" s="26" t="s">
        <v>330</v>
      </c>
      <c r="C13" s="20" t="s">
        <v>299</v>
      </c>
      <c r="D13" s="20">
        <v>0</v>
      </c>
      <c r="E13" s="20">
        <v>0</v>
      </c>
      <c r="F13" s="76">
        <f t="shared" si="2"/>
        <v>0</v>
      </c>
      <c r="G13" s="123">
        <v>0.19</v>
      </c>
      <c r="H13" s="64">
        <v>6667000</v>
      </c>
      <c r="I13" s="64">
        <f t="shared" ref="I13:I15" si="12">+H13*F13</f>
        <v>0</v>
      </c>
      <c r="J13" s="64">
        <f t="shared" si="3"/>
        <v>0</v>
      </c>
      <c r="K13" s="23">
        <f t="shared" si="4"/>
        <v>10101515.151515152</v>
      </c>
      <c r="L13" s="64">
        <f>+K13*F13</f>
        <v>0</v>
      </c>
      <c r="M13" s="24">
        <f t="shared" si="5"/>
        <v>0</v>
      </c>
      <c r="N13" s="124" t="s">
        <v>266</v>
      </c>
      <c r="R13">
        <f t="shared" si="6"/>
        <v>240</v>
      </c>
      <c r="S13" s="30">
        <f t="shared" si="7"/>
        <v>27779.166666666668</v>
      </c>
      <c r="T13" s="30">
        <f t="shared" si="8"/>
        <v>42089.646464646466</v>
      </c>
      <c r="U13" t="s">
        <v>331</v>
      </c>
      <c r="V13" s="28">
        <v>5668</v>
      </c>
      <c r="W13" s="28">
        <f t="shared" si="9"/>
        <v>6744.92</v>
      </c>
      <c r="X13" s="3">
        <v>0.36699999999999999</v>
      </c>
      <c r="Y13" s="30">
        <f t="shared" si="10"/>
        <v>2080.1559999999999</v>
      </c>
      <c r="Z13" s="30">
        <f t="shared" ref="Z13:Z18" si="13">+W13*X13</f>
        <v>2475.38564</v>
      </c>
    </row>
    <row r="14" spans="1:28" x14ac:dyDescent="0.3">
      <c r="A14" s="22" t="s">
        <v>332</v>
      </c>
      <c r="B14" s="20" t="s">
        <v>333</v>
      </c>
      <c r="C14" s="20" t="s">
        <v>299</v>
      </c>
      <c r="D14" s="20">
        <v>0</v>
      </c>
      <c r="E14" s="20">
        <v>0</v>
      </c>
      <c r="F14" s="76">
        <f t="shared" si="2"/>
        <v>0</v>
      </c>
      <c r="G14" s="123">
        <v>0.19</v>
      </c>
      <c r="H14" s="64">
        <v>4784000</v>
      </c>
      <c r="I14" s="64">
        <f t="shared" si="12"/>
        <v>0</v>
      </c>
      <c r="J14" s="64">
        <f t="shared" si="3"/>
        <v>0</v>
      </c>
      <c r="K14" s="23">
        <f t="shared" si="4"/>
        <v>7248484.8484848496</v>
      </c>
      <c r="L14" s="64">
        <f t="shared" si="1"/>
        <v>0</v>
      </c>
      <c r="M14" s="24">
        <f t="shared" si="5"/>
        <v>0</v>
      </c>
      <c r="N14" s="124" t="s">
        <v>267</v>
      </c>
      <c r="R14">
        <f t="shared" si="6"/>
        <v>240</v>
      </c>
      <c r="S14" s="30">
        <f t="shared" si="7"/>
        <v>19933.333333333332</v>
      </c>
      <c r="T14" s="30">
        <f t="shared" si="8"/>
        <v>30202.020202020205</v>
      </c>
      <c r="U14" t="s">
        <v>334</v>
      </c>
      <c r="V14" s="28">
        <v>1030</v>
      </c>
      <c r="W14" s="28">
        <f t="shared" si="9"/>
        <v>1225.7</v>
      </c>
      <c r="X14">
        <v>0.5</v>
      </c>
      <c r="Y14" s="30">
        <f t="shared" si="10"/>
        <v>515</v>
      </c>
      <c r="Z14" s="30">
        <f t="shared" si="13"/>
        <v>612.85</v>
      </c>
    </row>
    <row r="15" spans="1:28" x14ac:dyDescent="0.3">
      <c r="A15" s="125" t="s">
        <v>335</v>
      </c>
      <c r="B15" s="124" t="s">
        <v>336</v>
      </c>
      <c r="C15" s="20" t="s">
        <v>299</v>
      </c>
      <c r="D15" s="20">
        <v>3</v>
      </c>
      <c r="E15" s="20">
        <v>0</v>
      </c>
      <c r="F15" s="76">
        <f>+D15+E15</f>
        <v>3</v>
      </c>
      <c r="G15" s="123">
        <v>0.19</v>
      </c>
      <c r="H15" s="64">
        <f>61*3300</f>
        <v>201300</v>
      </c>
      <c r="I15" s="64">
        <f t="shared" si="12"/>
        <v>603900</v>
      </c>
      <c r="J15" s="64">
        <f>+I15*(1+G15)</f>
        <v>718641</v>
      </c>
      <c r="K15" s="23">
        <f t="shared" si="4"/>
        <v>305000.00000000006</v>
      </c>
      <c r="L15" s="64">
        <f t="shared" si="1"/>
        <v>915000.00000000023</v>
      </c>
      <c r="M15" s="24">
        <f>+L15*(1+G15)</f>
        <v>1088850.0000000002</v>
      </c>
      <c r="N15" s="124" t="s">
        <v>267</v>
      </c>
      <c r="S15" s="30"/>
      <c r="T15" s="30"/>
      <c r="V15" s="28"/>
      <c r="W15" s="28"/>
      <c r="Y15" s="30"/>
      <c r="Z15" s="30"/>
    </row>
    <row r="16" spans="1:28" x14ac:dyDescent="0.3">
      <c r="A16" s="52">
        <v>2</v>
      </c>
      <c r="B16" s="19" t="s">
        <v>337</v>
      </c>
      <c r="C16" s="20"/>
      <c r="D16" s="20"/>
      <c r="E16" s="20"/>
      <c r="F16" s="76"/>
      <c r="G16" s="126"/>
      <c r="H16" s="64"/>
      <c r="I16" s="21">
        <f>+SUM(I17:I25)</f>
        <v>2360754</v>
      </c>
      <c r="J16" s="21">
        <f>+SUM(J17:J25)</f>
        <v>2809297.26</v>
      </c>
      <c r="K16" s="23">
        <v>0</v>
      </c>
      <c r="L16" s="21">
        <f>+SUM(L17:L25)</f>
        <v>3576900</v>
      </c>
      <c r="M16" s="21">
        <f>+SUM(M17:M25)</f>
        <v>4256511</v>
      </c>
      <c r="N16" s="20"/>
      <c r="O16" s="38">
        <f>+K16/$K$117</f>
        <v>0</v>
      </c>
      <c r="P16" s="10">
        <f>+H16/$C$180</f>
        <v>0</v>
      </c>
      <c r="Q16" s="10">
        <f>+K16/$C$180</f>
        <v>0</v>
      </c>
      <c r="R16" s="10"/>
      <c r="S16" s="30">
        <f>+IF(R16=0,0,H16/R16)</f>
        <v>0</v>
      </c>
      <c r="T16" s="30">
        <f t="shared" si="8"/>
        <v>0</v>
      </c>
      <c r="U16" t="s">
        <v>338</v>
      </c>
      <c r="V16" s="28">
        <v>5744</v>
      </c>
      <c r="W16" s="28">
        <f t="shared" si="9"/>
        <v>6835.36</v>
      </c>
      <c r="X16">
        <v>0.183</v>
      </c>
      <c r="Y16" s="30">
        <f t="shared" si="10"/>
        <v>1051.152</v>
      </c>
      <c r="Z16" s="30">
        <f t="shared" si="13"/>
        <v>1250.8708799999999</v>
      </c>
      <c r="AA16" s="33">
        <f>+M16</f>
        <v>4256511</v>
      </c>
      <c r="AB16" s="33">
        <f>+J16</f>
        <v>2809297.26</v>
      </c>
    </row>
    <row r="17" spans="1:33" x14ac:dyDescent="0.3">
      <c r="A17" s="125" t="s">
        <v>339</v>
      </c>
      <c r="B17" s="20" t="s">
        <v>340</v>
      </c>
      <c r="C17" s="20" t="s">
        <v>299</v>
      </c>
      <c r="D17" s="76">
        <f>0.61*D10</f>
        <v>13.42</v>
      </c>
      <c r="E17" s="76">
        <f>0.61*E10</f>
        <v>0</v>
      </c>
      <c r="F17" s="76">
        <f>+D17+E17</f>
        <v>13.42</v>
      </c>
      <c r="G17" s="123">
        <v>0.19</v>
      </c>
      <c r="H17" s="64">
        <v>100000</v>
      </c>
      <c r="I17" s="64">
        <f>+H17*F17</f>
        <v>1342000</v>
      </c>
      <c r="J17" s="64">
        <f t="shared" si="3"/>
        <v>1596980</v>
      </c>
      <c r="K17" s="23">
        <f t="shared" ref="K17:K25" si="14">+H17/$D$2</f>
        <v>151515.15151515152</v>
      </c>
      <c r="L17" s="64">
        <f t="shared" ref="L17:L25" si="15">+K17*F17</f>
        <v>2033333.3333333335</v>
      </c>
      <c r="M17" s="24">
        <f t="shared" ref="M17:M25" si="16">+L17*(1+G17)</f>
        <v>2419666.6666666665</v>
      </c>
      <c r="N17" s="124" t="s">
        <v>269</v>
      </c>
      <c r="R17">
        <v>0</v>
      </c>
      <c r="S17" s="30">
        <f t="shared" si="7"/>
        <v>0</v>
      </c>
      <c r="T17" s="30">
        <f t="shared" si="8"/>
        <v>0</v>
      </c>
      <c r="U17" t="s">
        <v>341</v>
      </c>
      <c r="V17" s="28">
        <v>15457</v>
      </c>
      <c r="W17" s="28">
        <f>+V17*1.19</f>
        <v>18393.829999999998</v>
      </c>
      <c r="X17">
        <v>0.5</v>
      </c>
      <c r="Y17" s="30">
        <f>+V17*X17</f>
        <v>7728.5</v>
      </c>
      <c r="Z17" s="30">
        <f t="shared" si="13"/>
        <v>9196.9149999999991</v>
      </c>
    </row>
    <row r="18" spans="1:33" x14ac:dyDescent="0.3">
      <c r="A18" s="125" t="s">
        <v>342</v>
      </c>
      <c r="B18" s="20" t="s">
        <v>343</v>
      </c>
      <c r="C18" s="20" t="s">
        <v>299</v>
      </c>
      <c r="D18" s="76">
        <f>0.33*D10</f>
        <v>7.2600000000000007</v>
      </c>
      <c r="E18" s="76">
        <f>0.33*E10</f>
        <v>0</v>
      </c>
      <c r="F18" s="76">
        <f t="shared" ref="F18:F38" si="17">+D18+E18</f>
        <v>7.2600000000000007</v>
      </c>
      <c r="G18" s="123">
        <v>0.19</v>
      </c>
      <c r="H18" s="64">
        <v>6900</v>
      </c>
      <c r="I18" s="64">
        <f>+H18*F18</f>
        <v>50094.000000000007</v>
      </c>
      <c r="J18" s="64">
        <f>+I18*(1+G18)</f>
        <v>59611.860000000008</v>
      </c>
      <c r="K18" s="23">
        <f t="shared" si="14"/>
        <v>10454.545454545456</v>
      </c>
      <c r="L18" s="64">
        <f t="shared" si="15"/>
        <v>75900.000000000015</v>
      </c>
      <c r="M18" s="24">
        <f t="shared" si="16"/>
        <v>90321.000000000015</v>
      </c>
      <c r="N18" s="124" t="s">
        <v>269</v>
      </c>
      <c r="O18" s="38"/>
      <c r="P18" s="10">
        <f>+H18/$C$180</f>
        <v>0.43277019881556689</v>
      </c>
      <c r="Q18" s="10">
        <f>+K18/$C$180</f>
        <v>0.65571242244782868</v>
      </c>
      <c r="R18">
        <v>0</v>
      </c>
      <c r="S18" s="30">
        <f t="shared" si="7"/>
        <v>0</v>
      </c>
      <c r="T18" s="30">
        <f t="shared" si="8"/>
        <v>0</v>
      </c>
      <c r="U18" t="s">
        <v>344</v>
      </c>
      <c r="V18" s="28">
        <v>5733</v>
      </c>
      <c r="W18" s="28">
        <f>+V18*1.19</f>
        <v>6822.2699999999995</v>
      </c>
      <c r="X18" s="3">
        <v>0.46</v>
      </c>
      <c r="Y18" s="30">
        <f>+V18*X18</f>
        <v>2637.1800000000003</v>
      </c>
      <c r="Z18" s="30">
        <f t="shared" si="13"/>
        <v>3138.2442000000001</v>
      </c>
    </row>
    <row r="19" spans="1:33" x14ac:dyDescent="0.3">
      <c r="A19" s="125" t="s">
        <v>345</v>
      </c>
      <c r="B19" s="20" t="s">
        <v>346</v>
      </c>
      <c r="C19" s="20" t="s">
        <v>299</v>
      </c>
      <c r="D19" s="76">
        <f>1.5*D10</f>
        <v>33</v>
      </c>
      <c r="E19" s="76">
        <f>2*E10</f>
        <v>0</v>
      </c>
      <c r="F19" s="76">
        <f t="shared" si="17"/>
        <v>33</v>
      </c>
      <c r="G19" s="123">
        <v>0.19</v>
      </c>
      <c r="H19" s="64">
        <v>3500</v>
      </c>
      <c r="I19" s="64">
        <f>+H19*F19</f>
        <v>115500</v>
      </c>
      <c r="J19" s="64">
        <f t="shared" si="3"/>
        <v>137445</v>
      </c>
      <c r="K19" s="23">
        <f t="shared" si="14"/>
        <v>5303.0303030303039</v>
      </c>
      <c r="L19" s="64">
        <f t="shared" si="15"/>
        <v>175000.00000000003</v>
      </c>
      <c r="M19" s="24">
        <f t="shared" si="16"/>
        <v>208250.00000000003</v>
      </c>
      <c r="N19" s="124" t="s">
        <v>269</v>
      </c>
      <c r="R19">
        <v>0</v>
      </c>
      <c r="S19" s="30">
        <f t="shared" si="7"/>
        <v>0</v>
      </c>
      <c r="T19" s="30">
        <f t="shared" si="8"/>
        <v>0</v>
      </c>
      <c r="U19" t="s">
        <v>347</v>
      </c>
      <c r="V19" s="28">
        <v>123655</v>
      </c>
      <c r="W19" s="28">
        <f>+V19*1.19</f>
        <v>147149.44999999998</v>
      </c>
      <c r="X19">
        <v>0.8</v>
      </c>
      <c r="Y19" s="30">
        <f>+V19*X19</f>
        <v>98924</v>
      </c>
      <c r="Z19" s="30">
        <f>+W19*X19</f>
        <v>117719.56</v>
      </c>
    </row>
    <row r="20" spans="1:33" x14ac:dyDescent="0.3">
      <c r="A20" s="125" t="s">
        <v>348</v>
      </c>
      <c r="B20" s="20" t="s">
        <v>349</v>
      </c>
      <c r="C20" s="20" t="s">
        <v>299</v>
      </c>
      <c r="D20" s="76">
        <f>1*D10</f>
        <v>22</v>
      </c>
      <c r="E20" s="76">
        <f>0.94*E10</f>
        <v>0</v>
      </c>
      <c r="F20" s="76">
        <f>+D20+E20</f>
        <v>22</v>
      </c>
      <c r="G20" s="123">
        <v>0.19</v>
      </c>
      <c r="H20" s="64">
        <v>3500</v>
      </c>
      <c r="I20" s="64">
        <f t="shared" ref="I20:I82" si="18">+H20*F20</f>
        <v>77000</v>
      </c>
      <c r="J20" s="64">
        <f t="shared" si="3"/>
        <v>91630</v>
      </c>
      <c r="K20" s="23">
        <f t="shared" si="14"/>
        <v>5303.0303030303039</v>
      </c>
      <c r="L20" s="64">
        <f t="shared" si="15"/>
        <v>116666.66666666669</v>
      </c>
      <c r="M20" s="24">
        <f t="shared" si="16"/>
        <v>138833.33333333334</v>
      </c>
      <c r="N20" s="124" t="s">
        <v>269</v>
      </c>
      <c r="R20">
        <v>0</v>
      </c>
      <c r="S20" s="30">
        <f t="shared" si="7"/>
        <v>0</v>
      </c>
      <c r="T20" s="30">
        <f t="shared" si="8"/>
        <v>0</v>
      </c>
      <c r="U20" t="s">
        <v>350</v>
      </c>
      <c r="V20" s="28">
        <v>50000</v>
      </c>
      <c r="W20" s="28">
        <f>+V20*1.19</f>
        <v>59500</v>
      </c>
      <c r="X20">
        <f>8/5</f>
        <v>1.6</v>
      </c>
      <c r="Y20" s="30">
        <f>+V20*X20</f>
        <v>80000</v>
      </c>
      <c r="Z20" s="30">
        <f>+W20*X20</f>
        <v>95200</v>
      </c>
      <c r="AD20" t="s">
        <v>351</v>
      </c>
      <c r="AE20" s="33">
        <f>+I26+I30+I41+I54+I83+I134</f>
        <v>2889947.5378151261</v>
      </c>
      <c r="AG20" s="192">
        <v>6715625</v>
      </c>
    </row>
    <row r="21" spans="1:33" x14ac:dyDescent="0.3">
      <c r="A21" s="125" t="s">
        <v>352</v>
      </c>
      <c r="B21" s="20" t="s">
        <v>353</v>
      </c>
      <c r="C21" s="20" t="s">
        <v>299</v>
      </c>
      <c r="D21" s="76">
        <f>+D19</f>
        <v>33</v>
      </c>
      <c r="E21" s="76">
        <f>0.5*E10</f>
        <v>0</v>
      </c>
      <c r="F21" s="76">
        <f t="shared" si="17"/>
        <v>33</v>
      </c>
      <c r="G21" s="123">
        <v>0.19</v>
      </c>
      <c r="H21" s="64">
        <v>700</v>
      </c>
      <c r="I21" s="64">
        <f t="shared" si="18"/>
        <v>23100</v>
      </c>
      <c r="J21" s="64">
        <f t="shared" si="3"/>
        <v>27489</v>
      </c>
      <c r="K21" s="23">
        <f t="shared" si="14"/>
        <v>1060.6060606060607</v>
      </c>
      <c r="L21" s="64">
        <f t="shared" si="15"/>
        <v>35000.000000000007</v>
      </c>
      <c r="M21" s="24">
        <f t="shared" si="16"/>
        <v>41650.000000000007</v>
      </c>
      <c r="N21" s="124" t="s">
        <v>269</v>
      </c>
      <c r="R21">
        <v>0</v>
      </c>
      <c r="S21" s="30">
        <f t="shared" si="7"/>
        <v>0</v>
      </c>
      <c r="T21" s="30">
        <f t="shared" si="8"/>
        <v>0</v>
      </c>
      <c r="Y21" s="30">
        <f>+SUM(Y10:Y20)</f>
        <v>268668.94400000002</v>
      </c>
      <c r="Z21" s="30">
        <f>+SUM(Z10:Z20)</f>
        <v>319716.04336000001</v>
      </c>
      <c r="AD21" t="s">
        <v>354</v>
      </c>
      <c r="AE21" s="33">
        <f>+J26+J30+J41+J54+J83+J134</f>
        <v>3439037.5699999994</v>
      </c>
      <c r="AG21" s="192">
        <v>7991595</v>
      </c>
    </row>
    <row r="22" spans="1:33" x14ac:dyDescent="0.3">
      <c r="A22" s="125" t="s">
        <v>355</v>
      </c>
      <c r="B22" s="20" t="s">
        <v>356</v>
      </c>
      <c r="C22" s="20" t="s">
        <v>299</v>
      </c>
      <c r="D22" s="76">
        <f>0.5*D10</f>
        <v>11</v>
      </c>
      <c r="E22" s="76">
        <f t="shared" ref="E22:F22" si="19">0.94*E10</f>
        <v>0</v>
      </c>
      <c r="F22" s="76">
        <f t="shared" si="19"/>
        <v>20.68</v>
      </c>
      <c r="G22" s="123">
        <v>0.19</v>
      </c>
      <c r="H22" s="64">
        <v>4500</v>
      </c>
      <c r="I22" s="64">
        <f t="shared" si="18"/>
        <v>93060</v>
      </c>
      <c r="J22" s="64">
        <f t="shared" si="3"/>
        <v>110741.4</v>
      </c>
      <c r="K22" s="23">
        <f t="shared" si="14"/>
        <v>6818.1818181818189</v>
      </c>
      <c r="L22" s="64">
        <f t="shared" si="15"/>
        <v>141000</v>
      </c>
      <c r="M22" s="24">
        <f t="shared" si="16"/>
        <v>167790</v>
      </c>
      <c r="N22" s="124" t="s">
        <v>269</v>
      </c>
      <c r="O22" s="38"/>
      <c r="P22" s="10">
        <f>+H22/$C$180</f>
        <v>0.28224143401015234</v>
      </c>
      <c r="Q22" s="10">
        <f>+K22/$C$180</f>
        <v>0.42763853637901872</v>
      </c>
      <c r="R22">
        <v>0</v>
      </c>
      <c r="S22" s="30">
        <f t="shared" si="7"/>
        <v>0</v>
      </c>
      <c r="T22" s="30">
        <f t="shared" si="8"/>
        <v>0</v>
      </c>
      <c r="X22" t="s">
        <v>357</v>
      </c>
      <c r="Y22">
        <v>1</v>
      </c>
      <c r="Z22">
        <v>1</v>
      </c>
    </row>
    <row r="23" spans="1:33" x14ac:dyDescent="0.3">
      <c r="A23" s="125" t="s">
        <v>358</v>
      </c>
      <c r="B23" s="20" t="s">
        <v>359</v>
      </c>
      <c r="C23" s="20" t="s">
        <v>299</v>
      </c>
      <c r="D23" s="76">
        <f>2*D10</f>
        <v>44</v>
      </c>
      <c r="E23" s="76">
        <f>1.79*E10</f>
        <v>0</v>
      </c>
      <c r="F23" s="76">
        <f t="shared" si="17"/>
        <v>44</v>
      </c>
      <c r="G23" s="123">
        <v>0.19</v>
      </c>
      <c r="H23" s="64">
        <v>15000</v>
      </c>
      <c r="I23" s="64">
        <f>+H23*F23</f>
        <v>660000</v>
      </c>
      <c r="J23" s="64">
        <f t="shared" si="3"/>
        <v>785400</v>
      </c>
      <c r="K23" s="23">
        <f t="shared" si="14"/>
        <v>22727.272727272732</v>
      </c>
      <c r="L23" s="64">
        <f t="shared" si="15"/>
        <v>1000000.0000000002</v>
      </c>
      <c r="M23" s="24">
        <f t="shared" si="16"/>
        <v>1190000.0000000002</v>
      </c>
      <c r="N23" s="124" t="s">
        <v>269</v>
      </c>
      <c r="R23">
        <v>0</v>
      </c>
      <c r="S23" s="30">
        <f t="shared" si="7"/>
        <v>0</v>
      </c>
      <c r="T23" s="30">
        <f t="shared" si="8"/>
        <v>0</v>
      </c>
      <c r="Y23" s="30">
        <f>+Y21*Y22</f>
        <v>268668.94400000002</v>
      </c>
      <c r="Z23" s="30">
        <f>+Z21*Z22</f>
        <v>319716.04336000001</v>
      </c>
    </row>
    <row r="24" spans="1:33" x14ac:dyDescent="0.3">
      <c r="A24" s="125" t="s">
        <v>360</v>
      </c>
      <c r="B24" s="20" t="s">
        <v>361</v>
      </c>
      <c r="C24" s="20" t="s">
        <v>299</v>
      </c>
      <c r="D24" s="76">
        <v>0</v>
      </c>
      <c r="E24" s="76">
        <f>1.8*E11</f>
        <v>0</v>
      </c>
      <c r="F24" s="76">
        <f t="shared" si="17"/>
        <v>0</v>
      </c>
      <c r="G24" s="123">
        <v>0.19</v>
      </c>
      <c r="H24" s="64">
        <v>25000</v>
      </c>
      <c r="I24" s="64">
        <f>+H24*F24</f>
        <v>0</v>
      </c>
      <c r="J24" s="64">
        <f t="shared" si="3"/>
        <v>0</v>
      </c>
      <c r="K24" s="23">
        <f t="shared" si="14"/>
        <v>37878.78787878788</v>
      </c>
      <c r="L24" s="64">
        <f t="shared" si="15"/>
        <v>0</v>
      </c>
      <c r="M24" s="24">
        <f t="shared" si="16"/>
        <v>0</v>
      </c>
      <c r="N24" s="124" t="s">
        <v>269</v>
      </c>
      <c r="S24" s="30"/>
      <c r="T24" s="30"/>
      <c r="Y24" s="30"/>
      <c r="Z24" s="30"/>
    </row>
    <row r="25" spans="1:33" x14ac:dyDescent="0.3">
      <c r="A25" s="125" t="s">
        <v>362</v>
      </c>
      <c r="B25" s="20" t="s">
        <v>340</v>
      </c>
      <c r="C25" s="20" t="s">
        <v>299</v>
      </c>
      <c r="D25" s="76">
        <v>0</v>
      </c>
      <c r="E25" s="76">
        <f>0.61*E18</f>
        <v>0</v>
      </c>
      <c r="F25" s="76">
        <f>+D25+E25</f>
        <v>0</v>
      </c>
      <c r="G25" s="123">
        <v>0.19</v>
      </c>
      <c r="H25" s="64">
        <v>115141</v>
      </c>
      <c r="I25" s="64">
        <f>+H25*F25</f>
        <v>0</v>
      </c>
      <c r="J25" s="64">
        <f t="shared" si="3"/>
        <v>0</v>
      </c>
      <c r="K25" s="23">
        <f t="shared" si="14"/>
        <v>174456.06060606064</v>
      </c>
      <c r="L25" s="64">
        <f t="shared" si="15"/>
        <v>0</v>
      </c>
      <c r="M25" s="24">
        <f t="shared" si="16"/>
        <v>0</v>
      </c>
      <c r="N25" s="124" t="s">
        <v>269</v>
      </c>
      <c r="S25" s="30"/>
      <c r="T25" s="30"/>
      <c r="Y25" s="30"/>
      <c r="Z25" s="30"/>
    </row>
    <row r="26" spans="1:33" x14ac:dyDescent="0.3">
      <c r="A26" s="52">
        <v>3</v>
      </c>
      <c r="B26" s="19" t="s">
        <v>363</v>
      </c>
      <c r="C26" s="20"/>
      <c r="D26" s="20"/>
      <c r="E26" s="20"/>
      <c r="F26" s="76"/>
      <c r="G26" s="123">
        <v>0.19</v>
      </c>
      <c r="H26" s="64"/>
      <c r="I26" s="122">
        <f>+SUM(I27:I29)</f>
        <v>344000</v>
      </c>
      <c r="J26" s="122">
        <f>+SUM(J27:J29)</f>
        <v>409360</v>
      </c>
      <c r="K26" s="23"/>
      <c r="L26" s="21">
        <f>+SUM(L27:L29)</f>
        <v>521212.12121212133</v>
      </c>
      <c r="M26" s="21">
        <f>+SUM(M27:M29)</f>
        <v>620242.42424242431</v>
      </c>
      <c r="N26" s="20"/>
      <c r="P26" s="33">
        <f>+I26+I30+I41+I47+I54+I83</f>
        <v>2839947.5378151261</v>
      </c>
      <c r="R26">
        <v>0</v>
      </c>
      <c r="S26" s="30">
        <f t="shared" si="7"/>
        <v>0</v>
      </c>
      <c r="T26" s="30">
        <f t="shared" si="8"/>
        <v>0</v>
      </c>
      <c r="Z26" s="30"/>
      <c r="AA26" s="33">
        <f>+M26</f>
        <v>620242.42424242431</v>
      </c>
      <c r="AB26" s="33">
        <f>+J26</f>
        <v>409360</v>
      </c>
    </row>
    <row r="27" spans="1:33" x14ac:dyDescent="0.3">
      <c r="A27" s="22" t="s">
        <v>364</v>
      </c>
      <c r="B27" s="127" t="s">
        <v>365</v>
      </c>
      <c r="C27" s="20" t="s">
        <v>299</v>
      </c>
      <c r="D27" s="76">
        <v>1</v>
      </c>
      <c r="E27" s="76">
        <v>0</v>
      </c>
      <c r="F27" s="76">
        <f t="shared" si="17"/>
        <v>1</v>
      </c>
      <c r="G27" s="123">
        <v>0.19</v>
      </c>
      <c r="H27" s="64">
        <v>150000</v>
      </c>
      <c r="I27" s="64">
        <f>+H27*F27</f>
        <v>150000</v>
      </c>
      <c r="J27" s="64">
        <f t="shared" si="3"/>
        <v>178500</v>
      </c>
      <c r="K27" s="128">
        <f>+H27/$D$3</f>
        <v>227272.72727272729</v>
      </c>
      <c r="L27" s="64">
        <f>+K27*D27</f>
        <v>227272.72727272729</v>
      </c>
      <c r="M27" s="24">
        <f>+L27*(1+G27)</f>
        <v>270454.54545454547</v>
      </c>
      <c r="N27" s="124" t="s">
        <v>267</v>
      </c>
      <c r="R27">
        <v>0</v>
      </c>
      <c r="S27" s="30">
        <f t="shared" si="7"/>
        <v>0</v>
      </c>
      <c r="T27" s="30">
        <f t="shared" si="8"/>
        <v>0</v>
      </c>
      <c r="Z27" s="30"/>
    </row>
    <row r="28" spans="1:33" x14ac:dyDescent="0.3">
      <c r="A28" s="22" t="s">
        <v>366</v>
      </c>
      <c r="B28" s="127" t="s">
        <v>367</v>
      </c>
      <c r="C28" s="20" t="s">
        <v>299</v>
      </c>
      <c r="D28" s="76">
        <v>2</v>
      </c>
      <c r="E28" s="76">
        <v>0</v>
      </c>
      <c r="F28" s="76">
        <f t="shared" si="17"/>
        <v>2</v>
      </c>
      <c r="G28" s="123">
        <v>0.19</v>
      </c>
      <c r="H28" s="64">
        <v>60000</v>
      </c>
      <c r="I28" s="64">
        <f>+H28*F28</f>
        <v>120000</v>
      </c>
      <c r="J28" s="64">
        <f t="shared" si="3"/>
        <v>142800</v>
      </c>
      <c r="K28" s="128">
        <f t="shared" ref="K28:K29" si="20">+H28/$D$3</f>
        <v>90909.090909090926</v>
      </c>
      <c r="L28" s="64">
        <f>+K28*D28</f>
        <v>181818.18181818185</v>
      </c>
      <c r="M28" s="24">
        <f t="shared" ref="M28:M29" si="21">+L28*(1+G28)</f>
        <v>216363.63636363638</v>
      </c>
      <c r="N28" s="124" t="s">
        <v>267</v>
      </c>
      <c r="O28" s="38"/>
      <c r="P28" s="10">
        <f>+H28/$C$180</f>
        <v>3.7632191201353642</v>
      </c>
      <c r="Q28" s="10">
        <f>+K28/$C$180</f>
        <v>5.7018471517202505</v>
      </c>
      <c r="R28">
        <v>0</v>
      </c>
      <c r="S28" s="30">
        <f t="shared" si="7"/>
        <v>0</v>
      </c>
      <c r="T28" s="30">
        <f t="shared" si="8"/>
        <v>0</v>
      </c>
    </row>
    <row r="29" spans="1:33" x14ac:dyDescent="0.3">
      <c r="A29" s="22" t="s">
        <v>368</v>
      </c>
      <c r="B29" s="127" t="s">
        <v>369</v>
      </c>
      <c r="C29" s="20" t="s">
        <v>299</v>
      </c>
      <c r="D29" s="76">
        <v>2</v>
      </c>
      <c r="E29" s="76">
        <v>0</v>
      </c>
      <c r="F29" s="76">
        <f t="shared" si="17"/>
        <v>2</v>
      </c>
      <c r="G29" s="123">
        <v>0.19</v>
      </c>
      <c r="H29" s="64">
        <v>37000</v>
      </c>
      <c r="I29" s="64">
        <f>+H29*F29</f>
        <v>74000</v>
      </c>
      <c r="J29" s="64">
        <f t="shared" si="3"/>
        <v>88060</v>
      </c>
      <c r="K29" s="128">
        <f t="shared" si="20"/>
        <v>56060.606060606071</v>
      </c>
      <c r="L29" s="64">
        <f>+K29*D29</f>
        <v>112121.21212121214</v>
      </c>
      <c r="M29" s="24">
        <f t="shared" si="21"/>
        <v>133424.24242424243</v>
      </c>
      <c r="N29" s="124" t="s">
        <v>267</v>
      </c>
      <c r="R29">
        <v>0</v>
      </c>
      <c r="S29" s="30">
        <f t="shared" si="7"/>
        <v>0</v>
      </c>
      <c r="T29" s="30">
        <f t="shared" si="8"/>
        <v>0</v>
      </c>
    </row>
    <row r="30" spans="1:33" x14ac:dyDescent="0.3">
      <c r="A30" s="52">
        <v>4</v>
      </c>
      <c r="B30" s="19" t="s">
        <v>370</v>
      </c>
      <c r="C30" s="20"/>
      <c r="D30" s="20"/>
      <c r="E30" s="20"/>
      <c r="F30" s="76"/>
      <c r="G30" s="123">
        <v>0.19</v>
      </c>
      <c r="H30" s="64"/>
      <c r="I30" s="122">
        <f>+SUM(I31:I40)</f>
        <v>397400</v>
      </c>
      <c r="J30" s="122">
        <f>+SUM(J31:J40)</f>
        <v>472906</v>
      </c>
      <c r="K30" s="24"/>
      <c r="L30" s="122">
        <f>+SUM(L31:L40)</f>
        <v>602121.21212121216</v>
      </c>
      <c r="M30" s="122">
        <f>+SUM(M31:M40)</f>
        <v>716524.24242424243</v>
      </c>
      <c r="N30" s="20"/>
      <c r="S30" s="30">
        <f t="shared" si="7"/>
        <v>0</v>
      </c>
      <c r="T30" s="30">
        <f t="shared" si="8"/>
        <v>0</v>
      </c>
      <c r="AA30" s="33">
        <f>+M30</f>
        <v>716524.24242424243</v>
      </c>
      <c r="AB30" s="33">
        <f>+J30</f>
        <v>472906</v>
      </c>
    </row>
    <row r="31" spans="1:33" x14ac:dyDescent="0.3">
      <c r="A31" s="22" t="s">
        <v>371</v>
      </c>
      <c r="B31" s="127" t="s">
        <v>365</v>
      </c>
      <c r="C31" s="20" t="s">
        <v>299</v>
      </c>
      <c r="D31" s="160">
        <v>1</v>
      </c>
      <c r="E31" s="20">
        <v>0</v>
      </c>
      <c r="F31" s="76">
        <f t="shared" si="17"/>
        <v>1</v>
      </c>
      <c r="G31" s="123">
        <v>0.19</v>
      </c>
      <c r="H31" s="129">
        <v>150000</v>
      </c>
      <c r="I31" s="64">
        <f>+H31*F31</f>
        <v>150000</v>
      </c>
      <c r="J31" s="64">
        <f t="shared" si="3"/>
        <v>178500</v>
      </c>
      <c r="K31" s="128">
        <f t="shared" ref="K31:K40" si="22">+H31/$D$3</f>
        <v>227272.72727272729</v>
      </c>
      <c r="L31" s="64">
        <f t="shared" ref="L31:L40" si="23">+K31*F31</f>
        <v>227272.72727272729</v>
      </c>
      <c r="M31" s="24">
        <f t="shared" ref="M31:M40" si="24">+L31*(1+G31)</f>
        <v>270454.54545454547</v>
      </c>
      <c r="N31" s="124" t="s">
        <v>267</v>
      </c>
      <c r="S31" s="30"/>
      <c r="T31" s="30"/>
    </row>
    <row r="32" spans="1:33" x14ac:dyDescent="0.3">
      <c r="A32" s="22" t="s">
        <v>372</v>
      </c>
      <c r="B32" s="127" t="s">
        <v>373</v>
      </c>
      <c r="C32" s="20" t="s">
        <v>299</v>
      </c>
      <c r="D32" s="160">
        <v>0</v>
      </c>
      <c r="E32" s="20">
        <v>0</v>
      </c>
      <c r="F32" s="76">
        <f t="shared" si="17"/>
        <v>0</v>
      </c>
      <c r="G32" s="123">
        <v>0.19</v>
      </c>
      <c r="H32" s="129">
        <v>195000</v>
      </c>
      <c r="I32" s="64">
        <f>+H32*F32</f>
        <v>0</v>
      </c>
      <c r="J32" s="64">
        <f t="shared" si="3"/>
        <v>0</v>
      </c>
      <c r="K32" s="128">
        <f t="shared" si="22"/>
        <v>295454.54545454547</v>
      </c>
      <c r="L32" s="64">
        <f t="shared" si="23"/>
        <v>0</v>
      </c>
      <c r="M32" s="24">
        <f t="shared" si="24"/>
        <v>0</v>
      </c>
      <c r="N32" s="124" t="s">
        <v>267</v>
      </c>
      <c r="O32" s="38">
        <f>+K32/$K$117</f>
        <v>4.7305984813565898</v>
      </c>
      <c r="R32">
        <v>0</v>
      </c>
      <c r="S32" s="30">
        <f t="shared" si="7"/>
        <v>0</v>
      </c>
      <c r="T32" s="30">
        <f t="shared" si="8"/>
        <v>0</v>
      </c>
    </row>
    <row r="33" spans="1:28" x14ac:dyDescent="0.3">
      <c r="A33" s="22" t="s">
        <v>374</v>
      </c>
      <c r="B33" s="127" t="s">
        <v>375</v>
      </c>
      <c r="C33" s="20" t="s">
        <v>299</v>
      </c>
      <c r="D33" s="160">
        <v>0</v>
      </c>
      <c r="E33" s="20">
        <v>0</v>
      </c>
      <c r="F33" s="76">
        <f t="shared" si="17"/>
        <v>0</v>
      </c>
      <c r="G33" s="123">
        <v>0.19</v>
      </c>
      <c r="H33" s="129">
        <v>21439</v>
      </c>
      <c r="I33" s="64">
        <f>+H33*F33</f>
        <v>0</v>
      </c>
      <c r="J33" s="64">
        <f t="shared" si="3"/>
        <v>0</v>
      </c>
      <c r="K33" s="128">
        <f t="shared" si="22"/>
        <v>32483.333333333336</v>
      </c>
      <c r="L33" s="64">
        <f t="shared" si="23"/>
        <v>0</v>
      </c>
      <c r="M33" s="24">
        <f t="shared" si="24"/>
        <v>0</v>
      </c>
      <c r="N33" s="124" t="s">
        <v>267</v>
      </c>
      <c r="O33" s="38"/>
      <c r="P33" s="10">
        <f>+H33/$C$180</f>
        <v>1.3446609119430346</v>
      </c>
      <c r="Q33" s="10">
        <f>+K33/$C$180</f>
        <v>2.0373650180955072</v>
      </c>
      <c r="R33" s="10">
        <v>0</v>
      </c>
      <c r="S33" s="30">
        <f t="shared" si="7"/>
        <v>0</v>
      </c>
      <c r="T33" s="30">
        <f t="shared" si="8"/>
        <v>0</v>
      </c>
    </row>
    <row r="34" spans="1:28" x14ac:dyDescent="0.3">
      <c r="A34" s="22" t="s">
        <v>376</v>
      </c>
      <c r="B34" s="127" t="s">
        <v>1069</v>
      </c>
      <c r="C34" s="20" t="s">
        <v>299</v>
      </c>
      <c r="D34" s="160">
        <v>1</v>
      </c>
      <c r="E34" s="20">
        <v>0</v>
      </c>
      <c r="F34" s="76">
        <f t="shared" si="17"/>
        <v>1</v>
      </c>
      <c r="G34" s="123">
        <v>0.19</v>
      </c>
      <c r="H34" s="129">
        <v>19000</v>
      </c>
      <c r="I34" s="64">
        <f t="shared" si="18"/>
        <v>19000</v>
      </c>
      <c r="J34" s="64">
        <f t="shared" si="3"/>
        <v>22610</v>
      </c>
      <c r="K34" s="128">
        <f t="shared" si="22"/>
        <v>28787.878787878792</v>
      </c>
      <c r="L34" s="64">
        <f t="shared" si="23"/>
        <v>28787.878787878792</v>
      </c>
      <c r="M34" s="24">
        <f t="shared" si="24"/>
        <v>34257.57575757576</v>
      </c>
      <c r="N34" s="124" t="s">
        <v>267</v>
      </c>
      <c r="R34">
        <v>0</v>
      </c>
      <c r="S34" s="30">
        <f t="shared" si="7"/>
        <v>0</v>
      </c>
      <c r="T34" s="30">
        <f t="shared" si="8"/>
        <v>0</v>
      </c>
    </row>
    <row r="35" spans="1:28" x14ac:dyDescent="0.3">
      <c r="A35" s="22" t="s">
        <v>377</v>
      </c>
      <c r="B35" s="127" t="s">
        <v>378</v>
      </c>
      <c r="C35" s="20" t="s">
        <v>299</v>
      </c>
      <c r="D35" s="160">
        <v>0</v>
      </c>
      <c r="E35" s="20">
        <v>0</v>
      </c>
      <c r="F35" s="76">
        <f t="shared" si="17"/>
        <v>0</v>
      </c>
      <c r="G35" s="123">
        <v>0.19</v>
      </c>
      <c r="H35" s="129">
        <v>396000</v>
      </c>
      <c r="I35" s="64">
        <f t="shared" si="18"/>
        <v>0</v>
      </c>
      <c r="J35" s="64">
        <f t="shared" si="3"/>
        <v>0</v>
      </c>
      <c r="K35" s="128">
        <f t="shared" si="22"/>
        <v>600000.00000000012</v>
      </c>
      <c r="L35" s="64">
        <f>+K35*F35</f>
        <v>0</v>
      </c>
      <c r="M35" s="24">
        <f t="shared" si="24"/>
        <v>0</v>
      </c>
      <c r="N35" s="124" t="s">
        <v>267</v>
      </c>
      <c r="R35">
        <v>0</v>
      </c>
      <c r="S35" s="30">
        <f t="shared" si="7"/>
        <v>0</v>
      </c>
      <c r="T35" s="30">
        <f t="shared" si="8"/>
        <v>0</v>
      </c>
    </row>
    <row r="36" spans="1:28" x14ac:dyDescent="0.3">
      <c r="A36" s="22" t="s">
        <v>379</v>
      </c>
      <c r="B36" s="127" t="s">
        <v>380</v>
      </c>
      <c r="C36" s="20" t="s">
        <v>299</v>
      </c>
      <c r="D36" s="160">
        <v>1</v>
      </c>
      <c r="E36" s="20">
        <v>0</v>
      </c>
      <c r="F36" s="76">
        <f t="shared" si="17"/>
        <v>1</v>
      </c>
      <c r="G36" s="123">
        <v>0.19</v>
      </c>
      <c r="H36" s="129">
        <v>147000</v>
      </c>
      <c r="I36" s="64">
        <f>+H36*F36</f>
        <v>147000</v>
      </c>
      <c r="J36" s="64">
        <f t="shared" si="3"/>
        <v>174930</v>
      </c>
      <c r="K36" s="128">
        <f t="shared" si="22"/>
        <v>222727.27272727276</v>
      </c>
      <c r="L36" s="64">
        <f t="shared" si="23"/>
        <v>222727.27272727276</v>
      </c>
      <c r="M36" s="24">
        <f t="shared" si="24"/>
        <v>265045.45454545459</v>
      </c>
      <c r="N36" s="124" t="s">
        <v>267</v>
      </c>
      <c r="O36" s="38">
        <f>+K36/$K$117</f>
        <v>3.5661434705611219</v>
      </c>
      <c r="R36">
        <v>0</v>
      </c>
      <c r="S36" s="30">
        <f t="shared" si="7"/>
        <v>0</v>
      </c>
      <c r="T36" s="30">
        <f t="shared" si="8"/>
        <v>0</v>
      </c>
    </row>
    <row r="37" spans="1:28" x14ac:dyDescent="0.3">
      <c r="A37" s="22" t="s">
        <v>381</v>
      </c>
      <c r="B37" s="127" t="s">
        <v>382</v>
      </c>
      <c r="C37" s="20" t="s">
        <v>299</v>
      </c>
      <c r="D37" s="160">
        <v>0</v>
      </c>
      <c r="E37" s="20">
        <v>0</v>
      </c>
      <c r="F37" s="76">
        <f t="shared" si="17"/>
        <v>0</v>
      </c>
      <c r="G37" s="123">
        <v>0.19</v>
      </c>
      <c r="H37" s="129">
        <v>58824</v>
      </c>
      <c r="I37" s="64">
        <f t="shared" si="18"/>
        <v>0</v>
      </c>
      <c r="J37" s="64">
        <f t="shared" si="3"/>
        <v>0</v>
      </c>
      <c r="K37" s="128">
        <f t="shared" si="22"/>
        <v>89127.272727272735</v>
      </c>
      <c r="L37" s="64">
        <f t="shared" si="23"/>
        <v>0</v>
      </c>
      <c r="M37" s="24">
        <f t="shared" si="24"/>
        <v>0</v>
      </c>
      <c r="N37" s="124" t="s">
        <v>267</v>
      </c>
      <c r="R37">
        <v>0</v>
      </c>
      <c r="S37" s="30">
        <f t="shared" si="7"/>
        <v>0</v>
      </c>
      <c r="T37" s="30">
        <f t="shared" si="8"/>
        <v>0</v>
      </c>
    </row>
    <row r="38" spans="1:28" x14ac:dyDescent="0.3">
      <c r="A38" s="22" t="s">
        <v>383</v>
      </c>
      <c r="B38" s="127" t="s">
        <v>1070</v>
      </c>
      <c r="C38" s="20" t="s">
        <v>299</v>
      </c>
      <c r="D38" s="160">
        <v>1</v>
      </c>
      <c r="E38" s="20">
        <v>0</v>
      </c>
      <c r="F38" s="76">
        <f t="shared" si="17"/>
        <v>1</v>
      </c>
      <c r="G38" s="123">
        <v>0.19</v>
      </c>
      <c r="H38" s="129">
        <v>50000</v>
      </c>
      <c r="I38" s="64">
        <f t="shared" si="18"/>
        <v>50000</v>
      </c>
      <c r="J38" s="64">
        <f t="shared" si="3"/>
        <v>59500</v>
      </c>
      <c r="K38" s="128">
        <f t="shared" si="22"/>
        <v>75757.57575757576</v>
      </c>
      <c r="L38" s="64">
        <f t="shared" si="23"/>
        <v>75757.57575757576</v>
      </c>
      <c r="M38" s="24">
        <f t="shared" si="24"/>
        <v>90151.515151515152</v>
      </c>
      <c r="N38" s="124" t="s">
        <v>267</v>
      </c>
      <c r="R38">
        <v>0</v>
      </c>
      <c r="S38" s="30">
        <f t="shared" si="7"/>
        <v>0</v>
      </c>
      <c r="T38" s="30">
        <f t="shared" si="8"/>
        <v>0</v>
      </c>
    </row>
    <row r="39" spans="1:28" x14ac:dyDescent="0.3">
      <c r="A39" s="22" t="s">
        <v>384</v>
      </c>
      <c r="B39" s="127" t="s">
        <v>385</v>
      </c>
      <c r="C39" s="20" t="s">
        <v>299</v>
      </c>
      <c r="D39" s="160">
        <v>0</v>
      </c>
      <c r="E39" s="20">
        <v>0</v>
      </c>
      <c r="F39" s="76">
        <v>0</v>
      </c>
      <c r="G39" s="123">
        <v>0.19</v>
      </c>
      <c r="H39" s="129"/>
      <c r="I39" s="64">
        <f t="shared" si="18"/>
        <v>0</v>
      </c>
      <c r="J39" s="64">
        <f t="shared" si="3"/>
        <v>0</v>
      </c>
      <c r="K39" s="128">
        <f t="shared" si="22"/>
        <v>0</v>
      </c>
      <c r="L39" s="64">
        <f t="shared" si="23"/>
        <v>0</v>
      </c>
      <c r="M39" s="24">
        <f t="shared" si="24"/>
        <v>0</v>
      </c>
      <c r="N39" s="124" t="s">
        <v>267</v>
      </c>
      <c r="R39">
        <v>0</v>
      </c>
      <c r="S39" s="30">
        <f t="shared" si="7"/>
        <v>0</v>
      </c>
      <c r="T39" s="30">
        <f t="shared" si="8"/>
        <v>0</v>
      </c>
    </row>
    <row r="40" spans="1:28" x14ac:dyDescent="0.3">
      <c r="A40" s="125" t="s">
        <v>386</v>
      </c>
      <c r="B40" s="127" t="s">
        <v>387</v>
      </c>
      <c r="C40" s="20" t="s">
        <v>299</v>
      </c>
      <c r="D40" s="160">
        <v>1</v>
      </c>
      <c r="E40" s="20">
        <v>0</v>
      </c>
      <c r="F40" s="76">
        <f>+D40+E40</f>
        <v>1</v>
      </c>
      <c r="G40" s="123">
        <v>0.19</v>
      </c>
      <c r="H40" s="129">
        <v>31400</v>
      </c>
      <c r="I40" s="64">
        <f>+H40*F40</f>
        <v>31400</v>
      </c>
      <c r="J40" s="64">
        <f t="shared" si="3"/>
        <v>37366</v>
      </c>
      <c r="K40" s="128">
        <f t="shared" si="22"/>
        <v>47575.757575757583</v>
      </c>
      <c r="L40" s="64">
        <f t="shared" si="23"/>
        <v>47575.757575757583</v>
      </c>
      <c r="M40" s="24">
        <f t="shared" si="24"/>
        <v>56615.15151515152</v>
      </c>
      <c r="N40" s="124" t="s">
        <v>267</v>
      </c>
      <c r="R40">
        <v>0</v>
      </c>
      <c r="S40" s="30">
        <f t="shared" si="7"/>
        <v>0</v>
      </c>
      <c r="T40" s="30">
        <f t="shared" si="8"/>
        <v>0</v>
      </c>
    </row>
    <row r="41" spans="1:28" x14ac:dyDescent="0.3">
      <c r="A41" s="52">
        <v>5</v>
      </c>
      <c r="B41" s="19" t="s">
        <v>388</v>
      </c>
      <c r="C41" s="19"/>
      <c r="D41" s="19"/>
      <c r="E41" s="19"/>
      <c r="F41" s="130"/>
      <c r="G41" s="126"/>
      <c r="H41" s="122"/>
      <c r="I41" s="21">
        <f>+SUM(I42:I46)</f>
        <v>127300</v>
      </c>
      <c r="J41" s="21">
        <f>+SUM(J42:J46)</f>
        <v>151487</v>
      </c>
      <c r="K41" s="24">
        <v>115842.85714285716</v>
      </c>
      <c r="L41" s="21">
        <f>+SUM(L42:L46)</f>
        <v>192878.7878787879</v>
      </c>
      <c r="M41" s="21">
        <f>+SUM(M42:M46)</f>
        <v>229525.7575757576</v>
      </c>
      <c r="N41" s="20"/>
      <c r="R41">
        <v>0</v>
      </c>
      <c r="S41" s="30">
        <f t="shared" si="7"/>
        <v>0</v>
      </c>
      <c r="T41" s="30">
        <f t="shared" si="8"/>
        <v>0</v>
      </c>
      <c r="AA41" s="33">
        <f>+M41</f>
        <v>229525.7575757576</v>
      </c>
      <c r="AB41" s="33">
        <f>+J41</f>
        <v>151487</v>
      </c>
    </row>
    <row r="42" spans="1:28" x14ac:dyDescent="0.3">
      <c r="A42" s="22" t="s">
        <v>389</v>
      </c>
      <c r="B42" s="127" t="s">
        <v>390</v>
      </c>
      <c r="C42" s="20" t="s">
        <v>299</v>
      </c>
      <c r="D42" s="160">
        <v>0</v>
      </c>
      <c r="E42" s="20">
        <v>0</v>
      </c>
      <c r="F42" s="76">
        <f t="shared" ref="F42:F56" si="25">+D42+E42</f>
        <v>0</v>
      </c>
      <c r="G42" s="123">
        <v>0.19</v>
      </c>
      <c r="H42" s="129">
        <v>47899</v>
      </c>
      <c r="I42" s="64">
        <f>+H42*F42</f>
        <v>0</v>
      </c>
      <c r="J42" s="64">
        <f t="shared" si="3"/>
        <v>0</v>
      </c>
      <c r="K42" s="128">
        <f t="shared" ref="K42:K53" si="26">+H42/$D$3</f>
        <v>72574.242424242431</v>
      </c>
      <c r="L42" s="64">
        <f t="shared" ref="L42:L53" si="27">+K42*F42</f>
        <v>0</v>
      </c>
      <c r="M42" s="24">
        <f t="shared" ref="M42:M53" si="28">+L42*(1+G42)</f>
        <v>0</v>
      </c>
      <c r="N42" s="124" t="s">
        <v>267</v>
      </c>
      <c r="R42">
        <v>0</v>
      </c>
      <c r="S42" s="30">
        <f t="shared" si="7"/>
        <v>0</v>
      </c>
      <c r="T42" s="30">
        <f t="shared" si="8"/>
        <v>0</v>
      </c>
    </row>
    <row r="43" spans="1:28" x14ac:dyDescent="0.3">
      <c r="A43" s="25" t="s">
        <v>391</v>
      </c>
      <c r="B43" s="127" t="s">
        <v>392</v>
      </c>
      <c r="C43" s="20" t="s">
        <v>393</v>
      </c>
      <c r="D43" s="160">
        <v>2</v>
      </c>
      <c r="E43" s="20">
        <v>0</v>
      </c>
      <c r="F43" s="76">
        <f>+D43+E43</f>
        <v>2</v>
      </c>
      <c r="G43" s="123">
        <v>0.19</v>
      </c>
      <c r="H43" s="129">
        <v>35000</v>
      </c>
      <c r="I43" s="64">
        <f t="shared" si="18"/>
        <v>70000</v>
      </c>
      <c r="J43" s="64">
        <f t="shared" si="3"/>
        <v>83300</v>
      </c>
      <c r="K43" s="128">
        <f t="shared" si="26"/>
        <v>53030.303030303039</v>
      </c>
      <c r="L43" s="64">
        <f t="shared" si="27"/>
        <v>106060.60606060608</v>
      </c>
      <c r="M43" s="24">
        <f t="shared" si="28"/>
        <v>126212.12121212123</v>
      </c>
      <c r="N43" s="124" t="s">
        <v>267</v>
      </c>
      <c r="R43">
        <v>0</v>
      </c>
      <c r="S43" s="30">
        <f t="shared" si="7"/>
        <v>0</v>
      </c>
      <c r="T43" s="30">
        <f t="shared" si="8"/>
        <v>0</v>
      </c>
    </row>
    <row r="44" spans="1:28" x14ac:dyDescent="0.3">
      <c r="A44" s="25" t="s">
        <v>394</v>
      </c>
      <c r="B44" s="127" t="s">
        <v>395</v>
      </c>
      <c r="C44" s="20" t="s">
        <v>299</v>
      </c>
      <c r="D44" s="160">
        <v>2</v>
      </c>
      <c r="E44" s="20">
        <v>0</v>
      </c>
      <c r="F44" s="76">
        <f t="shared" si="25"/>
        <v>2</v>
      </c>
      <c r="G44" s="123">
        <v>0.19</v>
      </c>
      <c r="H44" s="64">
        <v>26400</v>
      </c>
      <c r="I44" s="64">
        <f t="shared" si="18"/>
        <v>52800</v>
      </c>
      <c r="J44" s="64">
        <f t="shared" si="3"/>
        <v>62832</v>
      </c>
      <c r="K44" s="128">
        <f t="shared" si="26"/>
        <v>40000.000000000007</v>
      </c>
      <c r="L44" s="64">
        <f t="shared" si="27"/>
        <v>80000.000000000015</v>
      </c>
      <c r="M44" s="24">
        <f t="shared" si="28"/>
        <v>95200.000000000015</v>
      </c>
      <c r="N44" s="124" t="s">
        <v>267</v>
      </c>
      <c r="R44">
        <v>0</v>
      </c>
      <c r="S44" s="30">
        <f t="shared" si="7"/>
        <v>0</v>
      </c>
      <c r="T44" s="30">
        <f t="shared" si="8"/>
        <v>0</v>
      </c>
    </row>
    <row r="45" spans="1:28" x14ac:dyDescent="0.3">
      <c r="A45" s="25" t="s">
        <v>396</v>
      </c>
      <c r="B45" s="127" t="s">
        <v>397</v>
      </c>
      <c r="C45" s="20" t="s">
        <v>299</v>
      </c>
      <c r="D45" s="160">
        <v>2</v>
      </c>
      <c r="E45" s="20">
        <v>0</v>
      </c>
      <c r="F45" s="76">
        <f t="shared" si="25"/>
        <v>2</v>
      </c>
      <c r="G45" s="123">
        <v>0.19</v>
      </c>
      <c r="H45" s="64">
        <v>2250</v>
      </c>
      <c r="I45" s="64">
        <f t="shared" si="18"/>
        <v>4500</v>
      </c>
      <c r="J45" s="64">
        <f t="shared" si="3"/>
        <v>5355</v>
      </c>
      <c r="K45" s="128">
        <f t="shared" si="26"/>
        <v>3409.0909090909095</v>
      </c>
      <c r="L45" s="64">
        <f t="shared" si="27"/>
        <v>6818.1818181818189</v>
      </c>
      <c r="M45" s="24">
        <f t="shared" si="28"/>
        <v>8113.636363636364</v>
      </c>
      <c r="N45" s="124" t="s">
        <v>267</v>
      </c>
      <c r="O45" s="38"/>
      <c r="P45" s="10">
        <f>+H45/$C$180</f>
        <v>0.14112071700507617</v>
      </c>
      <c r="Q45" s="10">
        <f>+K45/$C$180</f>
        <v>0.21381926818950936</v>
      </c>
      <c r="R45" s="10">
        <v>0</v>
      </c>
      <c r="S45" s="30">
        <f t="shared" si="7"/>
        <v>0</v>
      </c>
      <c r="T45" s="30">
        <f t="shared" si="8"/>
        <v>0</v>
      </c>
    </row>
    <row r="46" spans="1:28" x14ac:dyDescent="0.3">
      <c r="A46" s="25" t="s">
        <v>398</v>
      </c>
      <c r="B46" s="127" t="s">
        <v>399</v>
      </c>
      <c r="C46" s="20" t="s">
        <v>299</v>
      </c>
      <c r="D46" s="160">
        <v>0</v>
      </c>
      <c r="E46" s="20">
        <v>0</v>
      </c>
      <c r="F46" s="76">
        <f t="shared" si="25"/>
        <v>0</v>
      </c>
      <c r="G46" s="123">
        <v>0.19</v>
      </c>
      <c r="H46" s="64">
        <v>3300</v>
      </c>
      <c r="I46" s="64">
        <f t="shared" si="18"/>
        <v>0</v>
      </c>
      <c r="J46" s="64">
        <f t="shared" si="3"/>
        <v>0</v>
      </c>
      <c r="K46" s="128">
        <f t="shared" si="26"/>
        <v>5000.0000000000009</v>
      </c>
      <c r="L46" s="64">
        <f t="shared" si="27"/>
        <v>0</v>
      </c>
      <c r="M46" s="24">
        <f t="shared" si="28"/>
        <v>0</v>
      </c>
      <c r="N46" s="124" t="s">
        <v>267</v>
      </c>
      <c r="O46" s="38">
        <f>+K46/$K$117</f>
        <v>8.0056281992188449E-2</v>
      </c>
      <c r="R46">
        <v>0</v>
      </c>
      <c r="S46" s="30">
        <f t="shared" si="7"/>
        <v>0</v>
      </c>
      <c r="T46" s="30">
        <f t="shared" si="8"/>
        <v>0</v>
      </c>
    </row>
    <row r="47" spans="1:28" x14ac:dyDescent="0.3">
      <c r="A47" s="131">
        <v>6</v>
      </c>
      <c r="B47" s="132" t="s">
        <v>400</v>
      </c>
      <c r="C47" s="133"/>
      <c r="D47" s="133"/>
      <c r="E47" s="133"/>
      <c r="F47" s="134"/>
      <c r="G47" s="135"/>
      <c r="H47" s="64"/>
      <c r="I47" s="136">
        <f>+SUM(I48:I53)</f>
        <v>0</v>
      </c>
      <c r="J47" s="136">
        <f>+SUM(J48:J53)</f>
        <v>0</v>
      </c>
      <c r="K47" s="128"/>
      <c r="L47" s="136">
        <f>+SUM(L48:L53)</f>
        <v>0</v>
      </c>
      <c r="M47" s="136">
        <f>+SUM(M48:M53)</f>
        <v>0</v>
      </c>
      <c r="N47" s="20"/>
      <c r="R47">
        <v>0</v>
      </c>
      <c r="S47" s="30">
        <f t="shared" si="7"/>
        <v>0</v>
      </c>
      <c r="T47" s="30">
        <f t="shared" si="8"/>
        <v>0</v>
      </c>
    </row>
    <row r="48" spans="1:28" x14ac:dyDescent="0.3">
      <c r="A48" s="125" t="s">
        <v>401</v>
      </c>
      <c r="B48" s="20" t="s">
        <v>402</v>
      </c>
      <c r="C48" s="20" t="s">
        <v>299</v>
      </c>
      <c r="D48" s="76">
        <v>0</v>
      </c>
      <c r="E48" s="20"/>
      <c r="F48" s="76">
        <f t="shared" si="25"/>
        <v>0</v>
      </c>
      <c r="G48" s="123">
        <v>0.19</v>
      </c>
      <c r="H48" s="64">
        <v>96000</v>
      </c>
      <c r="I48" s="64">
        <f t="shared" si="18"/>
        <v>0</v>
      </c>
      <c r="J48" s="64">
        <f t="shared" si="3"/>
        <v>0</v>
      </c>
      <c r="K48" s="128">
        <f t="shared" si="26"/>
        <v>145454.54545454547</v>
      </c>
      <c r="L48" s="64">
        <f t="shared" si="27"/>
        <v>0</v>
      </c>
      <c r="M48" s="24">
        <f t="shared" si="28"/>
        <v>0</v>
      </c>
      <c r="N48" s="124" t="s">
        <v>267</v>
      </c>
      <c r="O48" s="38"/>
      <c r="P48" s="10">
        <f>+H48/$C$180</f>
        <v>6.0211505922165829</v>
      </c>
      <c r="Q48" s="10">
        <f>+K48/$C$180</f>
        <v>9.1229554427523993</v>
      </c>
      <c r="R48" s="10">
        <v>0</v>
      </c>
      <c r="S48" s="30">
        <f t="shared" si="7"/>
        <v>0</v>
      </c>
      <c r="T48" s="30">
        <f t="shared" si="8"/>
        <v>0</v>
      </c>
    </row>
    <row r="49" spans="1:28" x14ac:dyDescent="0.3">
      <c r="A49" s="137" t="s">
        <v>403</v>
      </c>
      <c r="B49" s="20" t="s">
        <v>404</v>
      </c>
      <c r="C49" s="20" t="s">
        <v>299</v>
      </c>
      <c r="D49" s="76">
        <v>0</v>
      </c>
      <c r="E49" s="20"/>
      <c r="F49" s="76">
        <f t="shared" si="25"/>
        <v>0</v>
      </c>
      <c r="G49" s="123">
        <v>0.19</v>
      </c>
      <c r="H49" s="64">
        <v>14000</v>
      </c>
      <c r="I49" s="64">
        <f t="shared" si="18"/>
        <v>0</v>
      </c>
      <c r="J49" s="64">
        <f t="shared" si="3"/>
        <v>0</v>
      </c>
      <c r="K49" s="128">
        <f t="shared" si="26"/>
        <v>21212.121212121216</v>
      </c>
      <c r="L49" s="64">
        <f t="shared" si="27"/>
        <v>0</v>
      </c>
      <c r="M49" s="24">
        <f t="shared" si="28"/>
        <v>0</v>
      </c>
      <c r="N49" s="124" t="s">
        <v>267</v>
      </c>
      <c r="O49" s="38">
        <f>+K49/$K$117</f>
        <v>0.33963271148201163</v>
      </c>
      <c r="R49">
        <v>0</v>
      </c>
      <c r="S49" s="30">
        <f t="shared" si="7"/>
        <v>0</v>
      </c>
      <c r="T49" s="30">
        <f t="shared" si="8"/>
        <v>0</v>
      </c>
    </row>
    <row r="50" spans="1:28" x14ac:dyDescent="0.3">
      <c r="A50" s="125" t="s">
        <v>405</v>
      </c>
      <c r="B50" s="20" t="s">
        <v>406</v>
      </c>
      <c r="C50" s="20" t="s">
        <v>407</v>
      </c>
      <c r="D50" s="76">
        <v>0</v>
      </c>
      <c r="E50" s="20"/>
      <c r="F50" s="76">
        <f>+D50+E50</f>
        <v>0</v>
      </c>
      <c r="G50" s="123">
        <v>0.19</v>
      </c>
      <c r="H50" s="64">
        <f>133994/1.19/20</f>
        <v>5630</v>
      </c>
      <c r="I50" s="64">
        <f t="shared" si="18"/>
        <v>0</v>
      </c>
      <c r="J50" s="64">
        <f t="shared" si="3"/>
        <v>0</v>
      </c>
      <c r="K50" s="128">
        <f t="shared" si="26"/>
        <v>8530.3030303030318</v>
      </c>
      <c r="L50" s="64">
        <f t="shared" si="27"/>
        <v>0</v>
      </c>
      <c r="M50" s="24">
        <f t="shared" si="28"/>
        <v>0</v>
      </c>
      <c r="N50" s="124" t="s">
        <v>267</v>
      </c>
      <c r="O50" s="38"/>
      <c r="P50" s="10">
        <f>+H50/$C$180</f>
        <v>0.35311539410603504</v>
      </c>
      <c r="Q50" s="10">
        <f>+K50/$C$180</f>
        <v>0.53502332440308342</v>
      </c>
      <c r="R50" s="10">
        <v>0</v>
      </c>
      <c r="S50" s="30">
        <f t="shared" si="7"/>
        <v>0</v>
      </c>
      <c r="T50" s="30">
        <f t="shared" si="8"/>
        <v>0</v>
      </c>
    </row>
    <row r="51" spans="1:28" x14ac:dyDescent="0.3">
      <c r="A51" s="137" t="s">
        <v>408</v>
      </c>
      <c r="B51" s="20" t="s">
        <v>409</v>
      </c>
      <c r="C51" s="20" t="s">
        <v>299</v>
      </c>
      <c r="D51" s="76">
        <v>0</v>
      </c>
      <c r="E51" s="20"/>
      <c r="F51" s="76">
        <f t="shared" si="25"/>
        <v>0</v>
      </c>
      <c r="G51" s="123">
        <v>0.19</v>
      </c>
      <c r="H51" s="64">
        <v>101031</v>
      </c>
      <c r="I51" s="64">
        <f t="shared" si="18"/>
        <v>0</v>
      </c>
      <c r="J51" s="64">
        <f t="shared" si="3"/>
        <v>0</v>
      </c>
      <c r="K51" s="128">
        <f t="shared" si="26"/>
        <v>153077.27272727274</v>
      </c>
      <c r="L51" s="64">
        <f t="shared" si="27"/>
        <v>0</v>
      </c>
      <c r="M51" s="24">
        <f t="shared" si="28"/>
        <v>0</v>
      </c>
      <c r="N51" s="124" t="s">
        <v>267</v>
      </c>
      <c r="R51">
        <v>0</v>
      </c>
      <c r="S51" s="30">
        <f t="shared" si="7"/>
        <v>0</v>
      </c>
      <c r="T51" s="30">
        <f t="shared" si="8"/>
        <v>0</v>
      </c>
    </row>
    <row r="52" spans="1:28" x14ac:dyDescent="0.3">
      <c r="A52" s="125" t="s">
        <v>410</v>
      </c>
      <c r="B52" s="20" t="s">
        <v>411</v>
      </c>
      <c r="C52" s="20" t="s">
        <v>412</v>
      </c>
      <c r="D52" s="76">
        <v>0</v>
      </c>
      <c r="E52" s="20"/>
      <c r="F52" s="76">
        <f t="shared" si="25"/>
        <v>0</v>
      </c>
      <c r="G52" s="123">
        <v>0.19</v>
      </c>
      <c r="H52" s="64">
        <v>12000</v>
      </c>
      <c r="I52" s="64">
        <f t="shared" si="18"/>
        <v>0</v>
      </c>
      <c r="J52" s="64">
        <f t="shared" si="3"/>
        <v>0</v>
      </c>
      <c r="K52" s="128">
        <f t="shared" si="26"/>
        <v>18181.818181818184</v>
      </c>
      <c r="L52" s="64">
        <f t="shared" si="27"/>
        <v>0</v>
      </c>
      <c r="M52" s="24">
        <f t="shared" si="28"/>
        <v>0</v>
      </c>
      <c r="N52" s="124" t="s">
        <v>267</v>
      </c>
      <c r="R52">
        <v>0</v>
      </c>
      <c r="S52" s="30">
        <f t="shared" si="7"/>
        <v>0</v>
      </c>
      <c r="T52" s="30">
        <f t="shared" si="8"/>
        <v>0</v>
      </c>
    </row>
    <row r="53" spans="1:28" x14ac:dyDescent="0.3">
      <c r="A53" s="137" t="s">
        <v>413</v>
      </c>
      <c r="B53" s="20" t="s">
        <v>414</v>
      </c>
      <c r="C53" s="20" t="s">
        <v>299</v>
      </c>
      <c r="D53" s="76">
        <v>0</v>
      </c>
      <c r="E53" s="20"/>
      <c r="F53" s="76">
        <f t="shared" si="25"/>
        <v>0</v>
      </c>
      <c r="G53" s="123">
        <v>0.19</v>
      </c>
      <c r="H53" s="64">
        <v>12500</v>
      </c>
      <c r="I53" s="64">
        <f t="shared" si="18"/>
        <v>0</v>
      </c>
      <c r="J53" s="64">
        <f t="shared" si="3"/>
        <v>0</v>
      </c>
      <c r="K53" s="128">
        <f t="shared" si="26"/>
        <v>18939.39393939394</v>
      </c>
      <c r="L53" s="64">
        <f t="shared" si="27"/>
        <v>0</v>
      </c>
      <c r="M53" s="24">
        <f t="shared" si="28"/>
        <v>0</v>
      </c>
      <c r="N53" s="124" t="s">
        <v>267</v>
      </c>
      <c r="R53">
        <v>0</v>
      </c>
      <c r="S53" s="30">
        <f t="shared" si="7"/>
        <v>0</v>
      </c>
      <c r="T53" s="30">
        <f t="shared" si="8"/>
        <v>0</v>
      </c>
    </row>
    <row r="54" spans="1:28" x14ac:dyDescent="0.3">
      <c r="A54" s="52">
        <v>6</v>
      </c>
      <c r="B54" s="19" t="s">
        <v>415</v>
      </c>
      <c r="C54" s="20"/>
      <c r="D54" s="20"/>
      <c r="E54" s="20"/>
      <c r="F54" s="76"/>
      <c r="G54" s="126"/>
      <c r="H54" s="64"/>
      <c r="I54" s="21">
        <f>+SUM(I55:I82)</f>
        <v>1251183</v>
      </c>
      <c r="J54" s="21">
        <f>+SUM(J55:J82)</f>
        <v>1488907.7699999998</v>
      </c>
      <c r="K54" s="24">
        <v>148081.42857142858</v>
      </c>
      <c r="L54" s="21">
        <f>+SUM(L55:L82)</f>
        <v>1895731.8181818184</v>
      </c>
      <c r="M54" s="21">
        <f>+SUM(M55:M82)</f>
        <v>2255920.8636363642</v>
      </c>
      <c r="N54" s="124"/>
      <c r="R54">
        <v>0</v>
      </c>
      <c r="S54" s="30">
        <f t="shared" si="7"/>
        <v>0</v>
      </c>
      <c r="T54" s="30">
        <f t="shared" si="8"/>
        <v>0</v>
      </c>
      <c r="AA54" s="33">
        <f>+M54</f>
        <v>2255920.8636363642</v>
      </c>
      <c r="AB54" s="33">
        <f>+J54</f>
        <v>1488907.7699999998</v>
      </c>
    </row>
    <row r="55" spans="1:28" x14ac:dyDescent="0.3">
      <c r="A55" s="25" t="s">
        <v>401</v>
      </c>
      <c r="B55" s="138" t="s">
        <v>416</v>
      </c>
      <c r="C55" s="20" t="s">
        <v>393</v>
      </c>
      <c r="D55" s="160">
        <f>+D10*3</f>
        <v>66</v>
      </c>
      <c r="E55" s="76">
        <f>((3.5*E10))</f>
        <v>0</v>
      </c>
      <c r="F55" s="76">
        <f t="shared" si="25"/>
        <v>66</v>
      </c>
      <c r="G55" s="123">
        <v>0.19</v>
      </c>
      <c r="H55" s="64">
        <v>3500</v>
      </c>
      <c r="I55" s="64">
        <f>+H55*F55</f>
        <v>231000</v>
      </c>
      <c r="J55" s="64">
        <f t="shared" si="3"/>
        <v>274890</v>
      </c>
      <c r="K55" s="128">
        <f>+H55/$D$3</f>
        <v>5303.0303030303039</v>
      </c>
      <c r="L55" s="64">
        <f>+K55*F55</f>
        <v>350000.00000000006</v>
      </c>
      <c r="M55" s="24">
        <f>+L55*(1+G55)</f>
        <v>416500.00000000006</v>
      </c>
      <c r="N55" s="124" t="s">
        <v>267</v>
      </c>
      <c r="O55" s="38"/>
      <c r="P55" s="10">
        <f>+H55/$C$180</f>
        <v>0.21952111534122959</v>
      </c>
      <c r="Q55" s="10">
        <f>+K55/$C$180</f>
        <v>0.33260775051701458</v>
      </c>
      <c r="R55" s="10">
        <v>0</v>
      </c>
      <c r="S55" s="30">
        <f t="shared" si="7"/>
        <v>0</v>
      </c>
      <c r="T55" s="30">
        <f t="shared" si="8"/>
        <v>0</v>
      </c>
    </row>
    <row r="56" spans="1:28" x14ac:dyDescent="0.3">
      <c r="A56" s="25" t="s">
        <v>403</v>
      </c>
      <c r="B56" s="138" t="s">
        <v>417</v>
      </c>
      <c r="C56" s="20" t="s">
        <v>393</v>
      </c>
      <c r="D56" s="160">
        <f>+D10*3</f>
        <v>66</v>
      </c>
      <c r="E56" s="76">
        <f>((3.5*E10))</f>
        <v>0</v>
      </c>
      <c r="F56" s="76">
        <f t="shared" si="25"/>
        <v>66</v>
      </c>
      <c r="G56" s="123">
        <v>0.19</v>
      </c>
      <c r="H56" s="64">
        <v>3500</v>
      </c>
      <c r="I56" s="64">
        <f t="shared" si="18"/>
        <v>231000</v>
      </c>
      <c r="J56" s="64">
        <f t="shared" si="3"/>
        <v>274890</v>
      </c>
      <c r="K56" s="128">
        <f t="shared" ref="K56:K82" si="29">+H56/$D$3</f>
        <v>5303.0303030303039</v>
      </c>
      <c r="L56" s="64">
        <f t="shared" ref="L56:L82" si="30">+K56*F56</f>
        <v>350000.00000000006</v>
      </c>
      <c r="M56" s="24">
        <f t="shared" ref="M56:M82" si="31">+L56*(1+G56)</f>
        <v>416500.00000000006</v>
      </c>
      <c r="N56" s="124" t="s">
        <v>267</v>
      </c>
      <c r="R56">
        <v>0</v>
      </c>
      <c r="S56" s="30">
        <f t="shared" si="7"/>
        <v>0</v>
      </c>
      <c r="T56" s="30">
        <f t="shared" si="8"/>
        <v>0</v>
      </c>
    </row>
    <row r="57" spans="1:28" x14ac:dyDescent="0.3">
      <c r="A57" s="25" t="s">
        <v>405</v>
      </c>
      <c r="B57" s="53" t="s">
        <v>418</v>
      </c>
      <c r="C57" s="20" t="s">
        <v>299</v>
      </c>
      <c r="D57" s="160">
        <v>8</v>
      </c>
      <c r="E57" s="76">
        <f>+E29</f>
        <v>0</v>
      </c>
      <c r="F57" s="76">
        <f>+D57+E57</f>
        <v>8</v>
      </c>
      <c r="G57" s="123">
        <v>0.19</v>
      </c>
      <c r="H57" s="64">
        <v>5042</v>
      </c>
      <c r="I57" s="64">
        <f t="shared" si="18"/>
        <v>40336</v>
      </c>
      <c r="J57" s="64">
        <f t="shared" si="3"/>
        <v>47999.839999999997</v>
      </c>
      <c r="K57" s="128">
        <f t="shared" si="29"/>
        <v>7639.3939393939399</v>
      </c>
      <c r="L57" s="64">
        <f t="shared" si="30"/>
        <v>61115.15151515152</v>
      </c>
      <c r="M57" s="24">
        <f t="shared" si="31"/>
        <v>72727.030303030304</v>
      </c>
      <c r="N57" s="124" t="s">
        <v>267</v>
      </c>
      <c r="R57">
        <v>0</v>
      </c>
      <c r="S57" s="30">
        <f t="shared" si="7"/>
        <v>0</v>
      </c>
      <c r="T57" s="30">
        <f t="shared" si="8"/>
        <v>0</v>
      </c>
    </row>
    <row r="58" spans="1:28" x14ac:dyDescent="0.3">
      <c r="A58" s="25" t="s">
        <v>408</v>
      </c>
      <c r="B58" s="26" t="s">
        <v>419</v>
      </c>
      <c r="C58" s="20" t="s">
        <v>393</v>
      </c>
      <c r="D58" s="160">
        <v>0</v>
      </c>
      <c r="E58" s="20"/>
      <c r="F58" s="76">
        <f t="shared" ref="F58:F121" si="32">+D58+E58</f>
        <v>0</v>
      </c>
      <c r="G58" s="123">
        <v>0.19</v>
      </c>
      <c r="H58" s="64"/>
      <c r="I58" s="64">
        <f t="shared" si="18"/>
        <v>0</v>
      </c>
      <c r="J58" s="64">
        <f t="shared" si="3"/>
        <v>0</v>
      </c>
      <c r="K58" s="128">
        <f t="shared" si="29"/>
        <v>0</v>
      </c>
      <c r="L58" s="64">
        <f t="shared" si="30"/>
        <v>0</v>
      </c>
      <c r="M58" s="24">
        <f t="shared" si="31"/>
        <v>0</v>
      </c>
      <c r="N58" s="124" t="s">
        <v>267</v>
      </c>
      <c r="P58" s="10">
        <f>+H58/$C$180</f>
        <v>0</v>
      </c>
      <c r="Q58" s="10">
        <f>+K58/$C$180</f>
        <v>0</v>
      </c>
      <c r="R58" s="10">
        <v>0</v>
      </c>
      <c r="S58" s="30">
        <f t="shared" si="7"/>
        <v>0</v>
      </c>
      <c r="T58" s="30">
        <f t="shared" si="8"/>
        <v>0</v>
      </c>
    </row>
    <row r="59" spans="1:28" x14ac:dyDescent="0.3">
      <c r="A59" s="25" t="s">
        <v>410</v>
      </c>
      <c r="B59" s="26" t="s">
        <v>420</v>
      </c>
      <c r="C59" s="20" t="s">
        <v>393</v>
      </c>
      <c r="D59" s="160">
        <v>0</v>
      </c>
      <c r="E59" s="20"/>
      <c r="F59" s="76">
        <f t="shared" si="32"/>
        <v>0</v>
      </c>
      <c r="G59" s="123">
        <v>0.19</v>
      </c>
      <c r="H59" s="64">
        <v>0</v>
      </c>
      <c r="I59" s="64">
        <f t="shared" si="18"/>
        <v>0</v>
      </c>
      <c r="J59" s="64">
        <f t="shared" si="3"/>
        <v>0</v>
      </c>
      <c r="K59" s="128">
        <f t="shared" si="29"/>
        <v>0</v>
      </c>
      <c r="L59" s="64">
        <f t="shared" si="30"/>
        <v>0</v>
      </c>
      <c r="M59" s="24">
        <f t="shared" si="31"/>
        <v>0</v>
      </c>
      <c r="N59" s="124" t="s">
        <v>267</v>
      </c>
      <c r="R59">
        <v>0</v>
      </c>
      <c r="S59" s="30">
        <f t="shared" si="7"/>
        <v>0</v>
      </c>
      <c r="T59" s="30">
        <f t="shared" si="8"/>
        <v>0</v>
      </c>
    </row>
    <row r="60" spans="1:28" x14ac:dyDescent="0.3">
      <c r="A60" s="25" t="s">
        <v>413</v>
      </c>
      <c r="B60" s="26" t="s">
        <v>421</v>
      </c>
      <c r="C60" s="20" t="s">
        <v>393</v>
      </c>
      <c r="D60" s="160">
        <v>45</v>
      </c>
      <c r="E60" s="20">
        <v>0</v>
      </c>
      <c r="F60" s="76">
        <f t="shared" si="32"/>
        <v>45</v>
      </c>
      <c r="G60" s="123">
        <v>0.19</v>
      </c>
      <c r="H60" s="64">
        <v>3781</v>
      </c>
      <c r="I60" s="64">
        <f t="shared" si="18"/>
        <v>170145</v>
      </c>
      <c r="J60" s="64">
        <f t="shared" si="3"/>
        <v>202472.55</v>
      </c>
      <c r="K60" s="128">
        <f t="shared" si="29"/>
        <v>5728.7878787878799</v>
      </c>
      <c r="L60" s="64">
        <f t="shared" si="30"/>
        <v>257795.45454545459</v>
      </c>
      <c r="M60" s="24">
        <f t="shared" si="31"/>
        <v>306776.59090909094</v>
      </c>
      <c r="N60" s="124" t="s">
        <v>267</v>
      </c>
      <c r="R60">
        <v>0</v>
      </c>
      <c r="S60" s="30">
        <f t="shared" si="7"/>
        <v>0</v>
      </c>
      <c r="T60" s="30">
        <f t="shared" si="8"/>
        <v>0</v>
      </c>
    </row>
    <row r="61" spans="1:28" x14ac:dyDescent="0.3">
      <c r="A61" s="25" t="s">
        <v>422</v>
      </c>
      <c r="B61" s="26" t="s">
        <v>423</v>
      </c>
      <c r="C61" s="20" t="s">
        <v>393</v>
      </c>
      <c r="D61" s="160">
        <f>10*3+15</f>
        <v>45</v>
      </c>
      <c r="E61" s="20">
        <v>0</v>
      </c>
      <c r="F61" s="76">
        <f t="shared" si="32"/>
        <v>45</v>
      </c>
      <c r="G61" s="123">
        <v>0.19</v>
      </c>
      <c r="H61" s="64">
        <v>5630</v>
      </c>
      <c r="I61" s="64">
        <f t="shared" si="18"/>
        <v>253350</v>
      </c>
      <c r="J61" s="64">
        <f t="shared" si="3"/>
        <v>301486.5</v>
      </c>
      <c r="K61" s="128">
        <f t="shared" si="29"/>
        <v>8530.3030303030318</v>
      </c>
      <c r="L61" s="64">
        <f t="shared" si="30"/>
        <v>383863.63636363641</v>
      </c>
      <c r="M61" s="24">
        <f t="shared" si="31"/>
        <v>456797.72727272729</v>
      </c>
      <c r="N61" s="124" t="s">
        <v>267</v>
      </c>
      <c r="R61">
        <v>0</v>
      </c>
      <c r="S61" s="30">
        <f t="shared" si="7"/>
        <v>0</v>
      </c>
      <c r="T61" s="30">
        <f t="shared" si="8"/>
        <v>0</v>
      </c>
    </row>
    <row r="62" spans="1:28" x14ac:dyDescent="0.3">
      <c r="A62" s="25" t="s">
        <v>424</v>
      </c>
      <c r="B62" s="26" t="s">
        <v>425</v>
      </c>
      <c r="C62" s="20" t="s">
        <v>393</v>
      </c>
      <c r="D62" s="160">
        <v>0</v>
      </c>
      <c r="E62" s="20">
        <v>0</v>
      </c>
      <c r="F62" s="76">
        <f t="shared" si="32"/>
        <v>0</v>
      </c>
      <c r="G62" s="123">
        <v>0.19</v>
      </c>
      <c r="H62" s="64">
        <v>7741</v>
      </c>
      <c r="I62" s="64">
        <f t="shared" si="18"/>
        <v>0</v>
      </c>
      <c r="J62" s="64">
        <f t="shared" si="3"/>
        <v>0</v>
      </c>
      <c r="K62" s="128">
        <f t="shared" si="29"/>
        <v>11728.78787878788</v>
      </c>
      <c r="L62" s="64">
        <f t="shared" si="30"/>
        <v>0</v>
      </c>
      <c r="M62" s="24">
        <f t="shared" si="31"/>
        <v>0</v>
      </c>
      <c r="N62" s="124" t="s">
        <v>267</v>
      </c>
      <c r="R62">
        <v>0</v>
      </c>
      <c r="S62" s="30">
        <f t="shared" si="7"/>
        <v>0</v>
      </c>
      <c r="T62" s="30">
        <f t="shared" si="8"/>
        <v>0</v>
      </c>
    </row>
    <row r="63" spans="1:28" x14ac:dyDescent="0.3">
      <c r="A63" s="25" t="s">
        <v>426</v>
      </c>
      <c r="B63" s="26" t="s">
        <v>427</v>
      </c>
      <c r="C63" s="20" t="s">
        <v>393</v>
      </c>
      <c r="D63" s="160">
        <v>0</v>
      </c>
      <c r="E63" s="20">
        <v>0</v>
      </c>
      <c r="F63" s="76">
        <f t="shared" si="32"/>
        <v>0</v>
      </c>
      <c r="G63" s="123">
        <v>0.19</v>
      </c>
      <c r="H63" s="64"/>
      <c r="I63" s="64">
        <f t="shared" si="18"/>
        <v>0</v>
      </c>
      <c r="J63" s="64">
        <f t="shared" si="3"/>
        <v>0</v>
      </c>
      <c r="K63" s="128">
        <f t="shared" si="29"/>
        <v>0</v>
      </c>
      <c r="L63" s="64">
        <f t="shared" si="30"/>
        <v>0</v>
      </c>
      <c r="M63" s="24">
        <f t="shared" si="31"/>
        <v>0</v>
      </c>
      <c r="N63" s="124" t="s">
        <v>267</v>
      </c>
      <c r="R63">
        <v>0</v>
      </c>
      <c r="S63" s="30">
        <f t="shared" si="7"/>
        <v>0</v>
      </c>
      <c r="T63" s="30">
        <f t="shared" si="8"/>
        <v>0</v>
      </c>
    </row>
    <row r="64" spans="1:28" x14ac:dyDescent="0.3">
      <c r="A64" s="25" t="s">
        <v>428</v>
      </c>
      <c r="B64" s="26" t="s">
        <v>429</v>
      </c>
      <c r="C64" s="20" t="s">
        <v>393</v>
      </c>
      <c r="D64" s="160">
        <v>0</v>
      </c>
      <c r="E64" s="20">
        <v>0</v>
      </c>
      <c r="F64" s="76">
        <f t="shared" si="32"/>
        <v>0</v>
      </c>
      <c r="G64" s="123">
        <v>0.19</v>
      </c>
      <c r="H64" s="64">
        <v>18100</v>
      </c>
      <c r="I64" s="64">
        <f t="shared" si="18"/>
        <v>0</v>
      </c>
      <c r="J64" s="64">
        <f t="shared" si="3"/>
        <v>0</v>
      </c>
      <c r="K64" s="128">
        <f t="shared" si="29"/>
        <v>27424.242424242428</v>
      </c>
      <c r="L64" s="64">
        <f t="shared" si="30"/>
        <v>0</v>
      </c>
      <c r="M64" s="24">
        <f t="shared" si="31"/>
        <v>0</v>
      </c>
      <c r="N64" s="124" t="s">
        <v>267</v>
      </c>
      <c r="O64" s="66"/>
      <c r="P64" s="10">
        <f>+H64/$C$180</f>
        <v>1.1352377679075016</v>
      </c>
      <c r="Q64" s="10">
        <f>+K64/$C$180</f>
        <v>1.7200572241022754</v>
      </c>
      <c r="R64" s="10">
        <v>0</v>
      </c>
      <c r="S64" s="30">
        <f t="shared" si="7"/>
        <v>0</v>
      </c>
      <c r="T64" s="30">
        <f t="shared" si="8"/>
        <v>0</v>
      </c>
      <c r="V64" t="s">
        <v>430</v>
      </c>
    </row>
    <row r="65" spans="1:20" x14ac:dyDescent="0.3">
      <c r="A65" s="25" t="s">
        <v>431</v>
      </c>
      <c r="B65" s="26" t="s">
        <v>432</v>
      </c>
      <c r="C65" s="20" t="s">
        <v>393</v>
      </c>
      <c r="D65" s="160">
        <v>0</v>
      </c>
      <c r="E65" s="20">
        <v>0</v>
      </c>
      <c r="F65" s="76">
        <f t="shared" si="32"/>
        <v>0</v>
      </c>
      <c r="G65" s="123">
        <v>0.19</v>
      </c>
      <c r="H65" s="64">
        <v>0</v>
      </c>
      <c r="I65" s="64">
        <f t="shared" si="18"/>
        <v>0</v>
      </c>
      <c r="J65" s="64">
        <f t="shared" si="3"/>
        <v>0</v>
      </c>
      <c r="K65" s="128">
        <f t="shared" si="29"/>
        <v>0</v>
      </c>
      <c r="L65" s="64">
        <f t="shared" si="30"/>
        <v>0</v>
      </c>
      <c r="M65" s="24">
        <f t="shared" si="31"/>
        <v>0</v>
      </c>
      <c r="N65" s="124" t="s">
        <v>267</v>
      </c>
      <c r="O65" s="109"/>
      <c r="P65" s="10"/>
      <c r="Q65" s="10"/>
      <c r="R65" s="10">
        <v>0</v>
      </c>
      <c r="S65" s="30">
        <f t="shared" si="7"/>
        <v>0</v>
      </c>
      <c r="T65" s="30">
        <f t="shared" si="8"/>
        <v>0</v>
      </c>
    </row>
    <row r="66" spans="1:20" x14ac:dyDescent="0.3">
      <c r="A66" s="25" t="s">
        <v>433</v>
      </c>
      <c r="B66" s="26" t="s">
        <v>434</v>
      </c>
      <c r="C66" s="20" t="s">
        <v>393</v>
      </c>
      <c r="D66" s="160">
        <v>0</v>
      </c>
      <c r="E66" s="20">
        <v>0</v>
      </c>
      <c r="F66" s="76">
        <f t="shared" si="32"/>
        <v>0</v>
      </c>
      <c r="G66" s="123">
        <v>0.19</v>
      </c>
      <c r="H66" s="64"/>
      <c r="I66" s="64">
        <f t="shared" si="18"/>
        <v>0</v>
      </c>
      <c r="J66" s="64">
        <f t="shared" si="3"/>
        <v>0</v>
      </c>
      <c r="K66" s="128">
        <f t="shared" si="29"/>
        <v>0</v>
      </c>
      <c r="L66" s="64">
        <f t="shared" si="30"/>
        <v>0</v>
      </c>
      <c r="M66" s="24">
        <f t="shared" si="31"/>
        <v>0</v>
      </c>
      <c r="N66" s="124" t="s">
        <v>267</v>
      </c>
      <c r="O66" s="109"/>
      <c r="P66" s="10"/>
      <c r="Q66" s="10"/>
      <c r="R66" s="10">
        <v>0</v>
      </c>
      <c r="S66" s="30">
        <f t="shared" si="7"/>
        <v>0</v>
      </c>
      <c r="T66" s="30">
        <f t="shared" si="8"/>
        <v>0</v>
      </c>
    </row>
    <row r="67" spans="1:20" x14ac:dyDescent="0.3">
      <c r="A67" s="25" t="s">
        <v>435</v>
      </c>
      <c r="B67" s="26" t="s">
        <v>436</v>
      </c>
      <c r="C67" s="20" t="s">
        <v>393</v>
      </c>
      <c r="D67" s="160">
        <v>0</v>
      </c>
      <c r="E67" s="20">
        <v>0</v>
      </c>
      <c r="F67" s="76">
        <f t="shared" si="32"/>
        <v>0</v>
      </c>
      <c r="G67" s="123">
        <v>0.19</v>
      </c>
      <c r="H67" s="64">
        <v>95000</v>
      </c>
      <c r="I67" s="64">
        <f t="shared" si="18"/>
        <v>0</v>
      </c>
      <c r="J67" s="64">
        <f t="shared" si="3"/>
        <v>0</v>
      </c>
      <c r="K67" s="128">
        <f t="shared" si="29"/>
        <v>143939.39393939395</v>
      </c>
      <c r="L67" s="64">
        <f t="shared" si="30"/>
        <v>0</v>
      </c>
      <c r="M67" s="24">
        <f t="shared" si="31"/>
        <v>0</v>
      </c>
      <c r="N67" s="124" t="s">
        <v>267</v>
      </c>
      <c r="O67" s="109"/>
      <c r="P67" s="10"/>
      <c r="Q67" s="10"/>
      <c r="R67" s="10">
        <v>0</v>
      </c>
      <c r="S67" s="30">
        <f t="shared" si="7"/>
        <v>0</v>
      </c>
      <c r="T67" s="30">
        <f t="shared" si="8"/>
        <v>0</v>
      </c>
    </row>
    <row r="68" spans="1:20" x14ac:dyDescent="0.3">
      <c r="A68" s="25" t="s">
        <v>437</v>
      </c>
      <c r="B68" s="26" t="s">
        <v>438</v>
      </c>
      <c r="C68" s="20" t="s">
        <v>393</v>
      </c>
      <c r="D68" s="160">
        <f>+D55</f>
        <v>66</v>
      </c>
      <c r="E68" s="20">
        <v>0</v>
      </c>
      <c r="F68" s="76">
        <f t="shared" si="32"/>
        <v>66</v>
      </c>
      <c r="G68" s="123">
        <v>0.19</v>
      </c>
      <c r="H68" s="64">
        <v>3781</v>
      </c>
      <c r="I68" s="64">
        <f t="shared" si="18"/>
        <v>249546</v>
      </c>
      <c r="J68" s="64">
        <f t="shared" si="3"/>
        <v>296959.74</v>
      </c>
      <c r="K68" s="128">
        <f t="shared" si="29"/>
        <v>5728.7878787878799</v>
      </c>
      <c r="L68" s="64">
        <f t="shared" si="30"/>
        <v>378100.00000000006</v>
      </c>
      <c r="M68" s="24">
        <f t="shared" si="31"/>
        <v>449939.00000000006</v>
      </c>
      <c r="N68" s="124" t="s">
        <v>267</v>
      </c>
      <c r="O68" s="109"/>
      <c r="P68" s="10"/>
      <c r="Q68" s="10"/>
      <c r="R68" s="10">
        <v>0</v>
      </c>
      <c r="S68" s="30">
        <f t="shared" si="7"/>
        <v>0</v>
      </c>
      <c r="T68" s="30">
        <f t="shared" si="8"/>
        <v>0</v>
      </c>
    </row>
    <row r="69" spans="1:20" x14ac:dyDescent="0.3">
      <c r="A69" s="25" t="s">
        <v>439</v>
      </c>
      <c r="B69" s="26" t="s">
        <v>440</v>
      </c>
      <c r="C69" s="20" t="s">
        <v>393</v>
      </c>
      <c r="D69" s="160">
        <v>10</v>
      </c>
      <c r="E69" s="20">
        <v>0</v>
      </c>
      <c r="F69" s="76">
        <f t="shared" si="32"/>
        <v>10</v>
      </c>
      <c r="G69" s="123">
        <v>0.19</v>
      </c>
      <c r="H69" s="64">
        <v>1500</v>
      </c>
      <c r="I69" s="64">
        <f t="shared" si="18"/>
        <v>15000</v>
      </c>
      <c r="J69" s="64">
        <f t="shared" si="3"/>
        <v>17850</v>
      </c>
      <c r="K69" s="128">
        <f t="shared" si="29"/>
        <v>2272.727272727273</v>
      </c>
      <c r="L69" s="64">
        <f t="shared" si="30"/>
        <v>22727.272727272728</v>
      </c>
      <c r="M69" s="24">
        <f t="shared" si="31"/>
        <v>27045.454545454544</v>
      </c>
      <c r="N69" s="124" t="s">
        <v>267</v>
      </c>
      <c r="O69" s="109"/>
      <c r="P69" s="10"/>
      <c r="Q69" s="10"/>
      <c r="R69" s="10">
        <v>0</v>
      </c>
      <c r="S69" s="30">
        <f t="shared" si="7"/>
        <v>0</v>
      </c>
      <c r="T69" s="30">
        <f t="shared" si="8"/>
        <v>0</v>
      </c>
    </row>
    <row r="70" spans="1:20" x14ac:dyDescent="0.3">
      <c r="A70" s="25" t="s">
        <v>441</v>
      </c>
      <c r="B70" s="26" t="s">
        <v>442</v>
      </c>
      <c r="C70" s="20" t="s">
        <v>393</v>
      </c>
      <c r="D70" s="160">
        <v>0</v>
      </c>
      <c r="E70" s="20">
        <v>0</v>
      </c>
      <c r="F70" s="76">
        <f t="shared" si="32"/>
        <v>0</v>
      </c>
      <c r="G70" s="123">
        <v>0.19</v>
      </c>
      <c r="H70" s="64">
        <v>25704</v>
      </c>
      <c r="I70" s="64">
        <f t="shared" si="18"/>
        <v>0</v>
      </c>
      <c r="J70" s="64">
        <f t="shared" si="3"/>
        <v>0</v>
      </c>
      <c r="K70" s="128">
        <f t="shared" si="29"/>
        <v>38945.454545454551</v>
      </c>
      <c r="L70" s="64">
        <f t="shared" si="30"/>
        <v>0</v>
      </c>
      <c r="M70" s="24">
        <f t="shared" si="31"/>
        <v>0</v>
      </c>
      <c r="N70" s="124" t="s">
        <v>267</v>
      </c>
      <c r="O70" s="109"/>
      <c r="P70" s="10"/>
      <c r="Q70" s="10"/>
      <c r="R70" s="10">
        <v>0</v>
      </c>
      <c r="S70" s="30">
        <f t="shared" si="7"/>
        <v>0</v>
      </c>
      <c r="T70" s="30">
        <f t="shared" si="8"/>
        <v>0</v>
      </c>
    </row>
    <row r="71" spans="1:20" x14ac:dyDescent="0.3">
      <c r="A71" s="25" t="s">
        <v>443</v>
      </c>
      <c r="B71" s="20" t="s">
        <v>444</v>
      </c>
      <c r="C71" s="20" t="s">
        <v>393</v>
      </c>
      <c r="D71" s="160">
        <v>0</v>
      </c>
      <c r="E71" s="20">
        <v>0</v>
      </c>
      <c r="F71" s="76">
        <f t="shared" si="32"/>
        <v>0</v>
      </c>
      <c r="G71" s="123">
        <v>0.19</v>
      </c>
      <c r="H71" s="64">
        <f>(161840/1.19)/80</f>
        <v>1700</v>
      </c>
      <c r="I71" s="64">
        <f t="shared" si="18"/>
        <v>0</v>
      </c>
      <c r="J71" s="64">
        <f t="shared" si="3"/>
        <v>0</v>
      </c>
      <c r="K71" s="128">
        <f t="shared" si="29"/>
        <v>2575.757575757576</v>
      </c>
      <c r="L71" s="64">
        <f t="shared" si="30"/>
        <v>0</v>
      </c>
      <c r="M71" s="24">
        <f t="shared" si="31"/>
        <v>0</v>
      </c>
      <c r="N71" s="124" t="s">
        <v>267</v>
      </c>
      <c r="O71" s="109"/>
      <c r="P71" s="10"/>
      <c r="Q71" s="10"/>
      <c r="R71" s="10">
        <v>0</v>
      </c>
      <c r="S71" s="30">
        <f t="shared" si="7"/>
        <v>0</v>
      </c>
      <c r="T71" s="30">
        <f t="shared" si="8"/>
        <v>0</v>
      </c>
    </row>
    <row r="72" spans="1:20" x14ac:dyDescent="0.3">
      <c r="A72" s="25" t="s">
        <v>445</v>
      </c>
      <c r="B72" s="20" t="s">
        <v>446</v>
      </c>
      <c r="C72" s="20" t="s">
        <v>393</v>
      </c>
      <c r="D72" s="160">
        <v>30</v>
      </c>
      <c r="E72" s="20">
        <v>0</v>
      </c>
      <c r="F72" s="76">
        <f t="shared" si="32"/>
        <v>30</v>
      </c>
      <c r="G72" s="123">
        <v>0.19</v>
      </c>
      <c r="H72" s="64">
        <v>1785</v>
      </c>
      <c r="I72" s="64">
        <f t="shared" si="18"/>
        <v>53550</v>
      </c>
      <c r="J72" s="64">
        <f t="shared" si="3"/>
        <v>63724.5</v>
      </c>
      <c r="K72" s="128">
        <f t="shared" si="29"/>
        <v>2704.545454545455</v>
      </c>
      <c r="L72" s="64">
        <f t="shared" si="30"/>
        <v>81136.363636363647</v>
      </c>
      <c r="M72" s="24">
        <f t="shared" si="31"/>
        <v>96552.272727272735</v>
      </c>
      <c r="N72" s="124" t="s">
        <v>267</v>
      </c>
      <c r="O72" s="109"/>
      <c r="P72" s="10"/>
      <c r="Q72" s="10"/>
      <c r="R72" s="10">
        <v>0</v>
      </c>
      <c r="S72" s="30">
        <f t="shared" si="7"/>
        <v>0</v>
      </c>
      <c r="T72" s="30">
        <f t="shared" si="8"/>
        <v>0</v>
      </c>
    </row>
    <row r="73" spans="1:20" x14ac:dyDescent="0.3">
      <c r="A73" s="25" t="s">
        <v>447</v>
      </c>
      <c r="B73" s="127" t="s">
        <v>448</v>
      </c>
      <c r="C73" s="20" t="s">
        <v>299</v>
      </c>
      <c r="D73" s="160">
        <v>0</v>
      </c>
      <c r="E73" s="20"/>
      <c r="F73" s="76">
        <f t="shared" si="32"/>
        <v>0</v>
      </c>
      <c r="G73" s="123">
        <v>0.19</v>
      </c>
      <c r="H73" s="64">
        <v>2000</v>
      </c>
      <c r="I73" s="64">
        <f t="shared" si="18"/>
        <v>0</v>
      </c>
      <c r="J73" s="64">
        <f t="shared" si="3"/>
        <v>0</v>
      </c>
      <c r="K73" s="128">
        <f t="shared" si="29"/>
        <v>3030.3030303030305</v>
      </c>
      <c r="L73" s="64">
        <f t="shared" si="30"/>
        <v>0</v>
      </c>
      <c r="M73" s="24">
        <f t="shared" si="31"/>
        <v>0</v>
      </c>
      <c r="N73" s="124" t="s">
        <v>267</v>
      </c>
      <c r="O73" s="109"/>
      <c r="P73" s="10"/>
      <c r="Q73" s="10"/>
      <c r="R73" s="10">
        <v>0</v>
      </c>
      <c r="S73" s="30">
        <f t="shared" si="7"/>
        <v>0</v>
      </c>
      <c r="T73" s="30">
        <f t="shared" si="8"/>
        <v>0</v>
      </c>
    </row>
    <row r="74" spans="1:20" x14ac:dyDescent="0.3">
      <c r="A74" s="25" t="s">
        <v>449</v>
      </c>
      <c r="B74" s="127" t="s">
        <v>450</v>
      </c>
      <c r="C74" s="20" t="s">
        <v>299</v>
      </c>
      <c r="D74" s="160">
        <v>0</v>
      </c>
      <c r="E74" s="20"/>
      <c r="F74" s="76">
        <f t="shared" si="32"/>
        <v>0</v>
      </c>
      <c r="G74" s="123">
        <v>0.19</v>
      </c>
      <c r="H74" s="64">
        <v>0</v>
      </c>
      <c r="I74" s="64">
        <f t="shared" si="18"/>
        <v>0</v>
      </c>
      <c r="J74" s="64">
        <f t="shared" si="3"/>
        <v>0</v>
      </c>
      <c r="K74" s="128">
        <f t="shared" si="29"/>
        <v>0</v>
      </c>
      <c r="L74" s="64">
        <f t="shared" si="30"/>
        <v>0</v>
      </c>
      <c r="M74" s="24">
        <f t="shared" si="31"/>
        <v>0</v>
      </c>
      <c r="N74" s="124" t="s">
        <v>267</v>
      </c>
      <c r="O74" s="38">
        <f>+K74/$K$117</f>
        <v>0</v>
      </c>
      <c r="P74" s="10"/>
      <c r="Q74" s="10"/>
      <c r="R74" s="10">
        <v>0</v>
      </c>
      <c r="S74" s="30">
        <f t="shared" si="7"/>
        <v>0</v>
      </c>
      <c r="T74" s="30">
        <f t="shared" si="8"/>
        <v>0</v>
      </c>
    </row>
    <row r="75" spans="1:20" x14ac:dyDescent="0.3">
      <c r="A75" s="25" t="s">
        <v>451</v>
      </c>
      <c r="B75" s="127" t="s">
        <v>452</v>
      </c>
      <c r="C75" s="20" t="s">
        <v>299</v>
      </c>
      <c r="D75" s="160">
        <v>2</v>
      </c>
      <c r="E75" s="20">
        <v>0</v>
      </c>
      <c r="F75" s="76">
        <f t="shared" si="32"/>
        <v>2</v>
      </c>
      <c r="G75" s="123">
        <v>0.19</v>
      </c>
      <c r="H75" s="64">
        <v>1428</v>
      </c>
      <c r="I75" s="64">
        <f t="shared" si="18"/>
        <v>2856</v>
      </c>
      <c r="J75" s="64">
        <f t="shared" si="3"/>
        <v>3398.64</v>
      </c>
      <c r="K75" s="128">
        <f t="shared" si="29"/>
        <v>2163.636363636364</v>
      </c>
      <c r="L75" s="64">
        <f t="shared" si="30"/>
        <v>4327.2727272727279</v>
      </c>
      <c r="M75" s="24">
        <f t="shared" si="31"/>
        <v>5149.454545454546</v>
      </c>
      <c r="N75" s="124" t="s">
        <v>267</v>
      </c>
      <c r="O75" s="109"/>
      <c r="P75" s="10"/>
      <c r="Q75" s="10"/>
      <c r="R75" s="10">
        <v>0</v>
      </c>
      <c r="S75" s="30">
        <f t="shared" si="7"/>
        <v>0</v>
      </c>
      <c r="T75" s="30">
        <f t="shared" si="8"/>
        <v>0</v>
      </c>
    </row>
    <row r="76" spans="1:20" x14ac:dyDescent="0.3">
      <c r="A76" s="25" t="s">
        <v>453</v>
      </c>
      <c r="B76" s="127" t="s">
        <v>454</v>
      </c>
      <c r="C76" s="20" t="s">
        <v>299</v>
      </c>
      <c r="D76" s="160">
        <v>0</v>
      </c>
      <c r="E76" s="20">
        <v>0</v>
      </c>
      <c r="F76" s="76">
        <f t="shared" si="32"/>
        <v>0</v>
      </c>
      <c r="G76" s="123">
        <v>0.19</v>
      </c>
      <c r="H76" s="64">
        <v>1400</v>
      </c>
      <c r="I76" s="64">
        <f t="shared" si="18"/>
        <v>0</v>
      </c>
      <c r="J76" s="64">
        <f t="shared" si="3"/>
        <v>0</v>
      </c>
      <c r="K76" s="128">
        <f t="shared" si="29"/>
        <v>2121.2121212121215</v>
      </c>
      <c r="L76" s="64">
        <f t="shared" si="30"/>
        <v>0</v>
      </c>
      <c r="M76" s="24">
        <f t="shared" si="31"/>
        <v>0</v>
      </c>
      <c r="N76" s="124" t="s">
        <v>267</v>
      </c>
      <c r="O76" s="109"/>
      <c r="P76" s="10"/>
      <c r="Q76" s="10"/>
      <c r="R76" s="10">
        <v>0</v>
      </c>
      <c r="S76" s="30">
        <f t="shared" si="7"/>
        <v>0</v>
      </c>
      <c r="T76" s="30">
        <f t="shared" si="8"/>
        <v>0</v>
      </c>
    </row>
    <row r="77" spans="1:20" x14ac:dyDescent="0.3">
      <c r="A77" s="25" t="s">
        <v>455</v>
      </c>
      <c r="B77" s="127" t="s">
        <v>456</v>
      </c>
      <c r="C77" s="20" t="s">
        <v>299</v>
      </c>
      <c r="D77" s="160">
        <v>2</v>
      </c>
      <c r="E77" s="20">
        <v>0</v>
      </c>
      <c r="F77" s="76">
        <f t="shared" si="32"/>
        <v>2</v>
      </c>
      <c r="G77" s="123">
        <v>0.19</v>
      </c>
      <c r="H77" s="64">
        <v>2200</v>
      </c>
      <c r="I77" s="64">
        <f t="shared" si="18"/>
        <v>4400</v>
      </c>
      <c r="J77" s="64">
        <f t="shared" ref="J77:J82" si="33">+I77*(1+G77)</f>
        <v>5236</v>
      </c>
      <c r="K77" s="128">
        <f t="shared" si="29"/>
        <v>3333.3333333333339</v>
      </c>
      <c r="L77" s="64">
        <f t="shared" si="30"/>
        <v>6666.6666666666679</v>
      </c>
      <c r="M77" s="24">
        <f t="shared" si="31"/>
        <v>7933.3333333333348</v>
      </c>
      <c r="N77" s="124" t="s">
        <v>267</v>
      </c>
      <c r="O77" s="109"/>
      <c r="P77" s="10"/>
      <c r="Q77" s="10"/>
      <c r="R77" s="10">
        <v>0</v>
      </c>
      <c r="S77" s="30">
        <f t="shared" si="7"/>
        <v>0</v>
      </c>
      <c r="T77" s="30">
        <f t="shared" si="8"/>
        <v>0</v>
      </c>
    </row>
    <row r="78" spans="1:20" x14ac:dyDescent="0.3">
      <c r="A78" s="25" t="s">
        <v>457</v>
      </c>
      <c r="B78" s="127" t="s">
        <v>458</v>
      </c>
      <c r="C78" s="20" t="s">
        <v>299</v>
      </c>
      <c r="D78" s="160">
        <v>0</v>
      </c>
      <c r="E78" s="20">
        <v>0</v>
      </c>
      <c r="F78" s="76">
        <f t="shared" si="32"/>
        <v>0</v>
      </c>
      <c r="G78" s="123">
        <v>0.19</v>
      </c>
      <c r="H78" s="64">
        <v>4600</v>
      </c>
      <c r="I78" s="64">
        <f t="shared" si="18"/>
        <v>0</v>
      </c>
      <c r="J78" s="64">
        <f t="shared" si="33"/>
        <v>0</v>
      </c>
      <c r="K78" s="128">
        <f t="shared" si="29"/>
        <v>6969.6969696969709</v>
      </c>
      <c r="L78" s="64">
        <f t="shared" si="30"/>
        <v>0</v>
      </c>
      <c r="M78" s="24">
        <f t="shared" si="31"/>
        <v>0</v>
      </c>
      <c r="N78" s="124" t="s">
        <v>267</v>
      </c>
      <c r="O78" s="109"/>
      <c r="P78" s="10"/>
      <c r="Q78" s="10"/>
      <c r="R78" s="10">
        <v>0</v>
      </c>
      <c r="S78" s="30">
        <f t="shared" si="7"/>
        <v>0</v>
      </c>
      <c r="T78" s="30">
        <f t="shared" si="8"/>
        <v>0</v>
      </c>
    </row>
    <row r="79" spans="1:20" x14ac:dyDescent="0.3">
      <c r="A79" s="25" t="s">
        <v>459</v>
      </c>
      <c r="B79" s="127" t="s">
        <v>460</v>
      </c>
      <c r="C79" s="20" t="s">
        <v>299</v>
      </c>
      <c r="D79" s="160">
        <v>0</v>
      </c>
      <c r="E79" s="20">
        <v>0</v>
      </c>
      <c r="F79" s="76">
        <f t="shared" si="32"/>
        <v>0</v>
      </c>
      <c r="G79" s="123">
        <v>0.19</v>
      </c>
      <c r="H79" s="64">
        <v>3500</v>
      </c>
      <c r="I79" s="64">
        <f t="shared" si="18"/>
        <v>0</v>
      </c>
      <c r="J79" s="64">
        <f t="shared" si="33"/>
        <v>0</v>
      </c>
      <c r="K79" s="128">
        <f t="shared" si="29"/>
        <v>5303.0303030303039</v>
      </c>
      <c r="L79" s="64">
        <f t="shared" si="30"/>
        <v>0</v>
      </c>
      <c r="M79" s="24">
        <f t="shared" si="31"/>
        <v>0</v>
      </c>
      <c r="N79" s="124" t="s">
        <v>267</v>
      </c>
      <c r="O79" s="109"/>
      <c r="P79" s="10"/>
      <c r="Q79" s="10"/>
      <c r="R79" s="10">
        <v>0</v>
      </c>
      <c r="S79" s="30">
        <f t="shared" ref="S79:S116" si="34">+IF(R79=0,0,H79/R79)</f>
        <v>0</v>
      </c>
      <c r="T79" s="30">
        <f t="shared" ref="T79:T116" si="35">+IF(R79=0,0,K79/R79)</f>
        <v>0</v>
      </c>
    </row>
    <row r="80" spans="1:20" x14ac:dyDescent="0.3">
      <c r="A80" s="25" t="s">
        <v>461</v>
      </c>
      <c r="B80" s="127" t="s">
        <v>462</v>
      </c>
      <c r="C80" s="20" t="s">
        <v>299</v>
      </c>
      <c r="D80" s="160">
        <v>0</v>
      </c>
      <c r="E80" s="20">
        <v>0</v>
      </c>
      <c r="F80" s="76">
        <f t="shared" si="32"/>
        <v>0</v>
      </c>
      <c r="G80" s="123">
        <v>0.19</v>
      </c>
      <c r="H80" s="64"/>
      <c r="I80" s="64">
        <f t="shared" si="18"/>
        <v>0</v>
      </c>
      <c r="J80" s="64">
        <f t="shared" si="33"/>
        <v>0</v>
      </c>
      <c r="K80" s="128">
        <f t="shared" si="29"/>
        <v>0</v>
      </c>
      <c r="L80" s="64">
        <f t="shared" si="30"/>
        <v>0</v>
      </c>
      <c r="M80" s="24">
        <f t="shared" si="31"/>
        <v>0</v>
      </c>
      <c r="N80" s="124" t="s">
        <v>267</v>
      </c>
      <c r="O80" s="109"/>
      <c r="P80" s="10"/>
      <c r="Q80" s="10"/>
      <c r="R80" s="10">
        <v>0</v>
      </c>
      <c r="S80" s="30">
        <f t="shared" si="34"/>
        <v>0</v>
      </c>
      <c r="T80" s="30">
        <f t="shared" si="35"/>
        <v>0</v>
      </c>
    </row>
    <row r="81" spans="1:28" x14ac:dyDescent="0.3">
      <c r="A81" s="25" t="s">
        <v>463</v>
      </c>
      <c r="B81" s="127" t="s">
        <v>464</v>
      </c>
      <c r="C81" s="20" t="s">
        <v>299</v>
      </c>
      <c r="D81" s="160">
        <v>0</v>
      </c>
      <c r="E81" s="20">
        <v>0</v>
      </c>
      <c r="F81" s="76">
        <f t="shared" si="32"/>
        <v>0</v>
      </c>
      <c r="G81" s="123">
        <v>0.19</v>
      </c>
      <c r="H81" s="64"/>
      <c r="I81" s="64">
        <f t="shared" si="18"/>
        <v>0</v>
      </c>
      <c r="J81" s="64">
        <f t="shared" si="33"/>
        <v>0</v>
      </c>
      <c r="K81" s="128">
        <f t="shared" si="29"/>
        <v>0</v>
      </c>
      <c r="L81" s="64">
        <f t="shared" si="30"/>
        <v>0</v>
      </c>
      <c r="M81" s="24">
        <f t="shared" si="31"/>
        <v>0</v>
      </c>
      <c r="N81" s="124" t="s">
        <v>267</v>
      </c>
      <c r="O81" s="109"/>
      <c r="P81" s="10"/>
      <c r="Q81" s="10"/>
      <c r="R81" s="10">
        <v>0</v>
      </c>
      <c r="S81" s="30">
        <f t="shared" si="34"/>
        <v>0</v>
      </c>
      <c r="T81" s="30">
        <f t="shared" si="35"/>
        <v>0</v>
      </c>
    </row>
    <row r="82" spans="1:28" x14ac:dyDescent="0.3">
      <c r="A82" s="25" t="s">
        <v>465</v>
      </c>
      <c r="B82" s="127" t="s">
        <v>466</v>
      </c>
      <c r="C82" s="20" t="s">
        <v>299</v>
      </c>
      <c r="D82" s="160">
        <v>0</v>
      </c>
      <c r="E82" s="20">
        <v>0</v>
      </c>
      <c r="F82" s="76">
        <f t="shared" si="32"/>
        <v>0</v>
      </c>
      <c r="G82" s="123">
        <v>0.19</v>
      </c>
      <c r="H82" s="64">
        <v>4600</v>
      </c>
      <c r="I82" s="64">
        <f t="shared" si="18"/>
        <v>0</v>
      </c>
      <c r="J82" s="64">
        <f t="shared" si="33"/>
        <v>0</v>
      </c>
      <c r="K82" s="128">
        <f t="shared" si="29"/>
        <v>6969.6969696969709</v>
      </c>
      <c r="L82" s="64">
        <f t="shared" si="30"/>
        <v>0</v>
      </c>
      <c r="M82" s="24">
        <f t="shared" si="31"/>
        <v>0</v>
      </c>
      <c r="N82" s="124" t="s">
        <v>267</v>
      </c>
      <c r="O82" s="109"/>
      <c r="P82" s="10"/>
      <c r="Q82" s="10"/>
      <c r="R82" s="10">
        <v>0</v>
      </c>
      <c r="S82" s="30">
        <f t="shared" si="34"/>
        <v>0</v>
      </c>
      <c r="T82" s="30">
        <f t="shared" si="35"/>
        <v>0</v>
      </c>
    </row>
    <row r="83" spans="1:28" x14ac:dyDescent="0.3">
      <c r="A83" s="52">
        <v>7</v>
      </c>
      <c r="B83" s="27" t="s">
        <v>467</v>
      </c>
      <c r="C83" s="20"/>
      <c r="D83" s="20"/>
      <c r="E83" s="20"/>
      <c r="F83" s="76"/>
      <c r="G83" s="126"/>
      <c r="H83" s="64"/>
      <c r="I83" s="21">
        <f>+SUM(I84:I133)</f>
        <v>720064.53781512612</v>
      </c>
      <c r="J83" s="21">
        <f>+SUM(J84:J133)</f>
        <v>856876.8</v>
      </c>
      <c r="K83" s="24">
        <v>345862.85714285704</v>
      </c>
      <c r="L83" s="21">
        <f>+SUM(L84:L133)</f>
        <v>1091006.8754774637</v>
      </c>
      <c r="M83" s="21">
        <f>+SUM(M84:M133)</f>
        <v>1298298.1818181819</v>
      </c>
      <c r="N83" s="124"/>
      <c r="O83" s="109"/>
      <c r="P83" s="10"/>
      <c r="Q83" s="10"/>
      <c r="R83" s="10">
        <v>0</v>
      </c>
      <c r="S83" s="30">
        <f t="shared" si="34"/>
        <v>0</v>
      </c>
      <c r="T83" s="30">
        <f t="shared" si="35"/>
        <v>0</v>
      </c>
      <c r="AA83" s="33">
        <f>+M83</f>
        <v>1298298.1818181819</v>
      </c>
      <c r="AB83" s="33">
        <f>+J83</f>
        <v>856876.8</v>
      </c>
    </row>
    <row r="84" spans="1:28" x14ac:dyDescent="0.3">
      <c r="A84" s="25" t="s">
        <v>468</v>
      </c>
      <c r="B84" s="127" t="s">
        <v>469</v>
      </c>
      <c r="C84" s="20" t="s">
        <v>393</v>
      </c>
      <c r="D84" s="160">
        <f>0.2*D10</f>
        <v>4.4000000000000004</v>
      </c>
      <c r="E84" s="76"/>
      <c r="F84" s="76">
        <f t="shared" si="32"/>
        <v>4.4000000000000004</v>
      </c>
      <c r="G84" s="123">
        <v>0.19</v>
      </c>
      <c r="H84" s="64">
        <f>280800/24/1.19</f>
        <v>9831.9327731092435</v>
      </c>
      <c r="I84" s="64">
        <f t="shared" ref="I84:I132" si="36">+H84*F84</f>
        <v>43260.504201680676</v>
      </c>
      <c r="J84" s="64">
        <f t="shared" ref="J84:J132" si="37">+I84*(1+G84)</f>
        <v>51480</v>
      </c>
      <c r="K84" s="128">
        <f t="shared" ref="K84:K132" si="38">+H84/$D$3</f>
        <v>14896.867838044311</v>
      </c>
      <c r="L84" s="64">
        <f t="shared" ref="L84:L132" si="39">+K84*F84</f>
        <v>65546.218487394974</v>
      </c>
      <c r="M84" s="24">
        <f t="shared" ref="M84:M132" si="40">+L84*(1+G84)</f>
        <v>78000.000000000015</v>
      </c>
      <c r="N84" s="124" t="s">
        <v>267</v>
      </c>
      <c r="O84" s="109"/>
      <c r="P84" s="10"/>
      <c r="Q84" s="10"/>
      <c r="R84" s="10">
        <v>0</v>
      </c>
      <c r="S84" s="30">
        <f t="shared" si="34"/>
        <v>0</v>
      </c>
      <c r="T84" s="30">
        <f t="shared" si="35"/>
        <v>0</v>
      </c>
    </row>
    <row r="85" spans="1:28" x14ac:dyDescent="0.3">
      <c r="A85" s="25" t="s">
        <v>470</v>
      </c>
      <c r="B85" s="127" t="s">
        <v>471</v>
      </c>
      <c r="C85" s="20" t="s">
        <v>393</v>
      </c>
      <c r="D85" s="160">
        <f>+D84</f>
        <v>4.4000000000000004</v>
      </c>
      <c r="E85" s="76"/>
      <c r="F85" s="76">
        <f t="shared" si="32"/>
        <v>4.4000000000000004</v>
      </c>
      <c r="G85" s="123">
        <v>0.19</v>
      </c>
      <c r="H85" s="64">
        <f>211728/24/1.19</f>
        <v>7413.4453781512611</v>
      </c>
      <c r="I85" s="64">
        <f t="shared" si="36"/>
        <v>32619.15966386555</v>
      </c>
      <c r="J85" s="64">
        <f t="shared" si="37"/>
        <v>38816.800000000003</v>
      </c>
      <c r="K85" s="128">
        <f t="shared" si="38"/>
        <v>11232.492997198882</v>
      </c>
      <c r="L85" s="64">
        <f t="shared" si="39"/>
        <v>49422.969187675088</v>
      </c>
      <c r="M85" s="24">
        <f t="shared" si="40"/>
        <v>58813.33333333335</v>
      </c>
      <c r="N85" s="124" t="s">
        <v>267</v>
      </c>
      <c r="O85" s="109"/>
      <c r="P85" s="10"/>
      <c r="Q85" s="10"/>
      <c r="R85" s="10">
        <v>0</v>
      </c>
      <c r="S85" s="30">
        <f t="shared" si="34"/>
        <v>0</v>
      </c>
      <c r="T85" s="30">
        <f t="shared" si="35"/>
        <v>0</v>
      </c>
    </row>
    <row r="86" spans="1:28" x14ac:dyDescent="0.3">
      <c r="A86" s="25" t="s">
        <v>472</v>
      </c>
      <c r="B86" s="127" t="s">
        <v>473</v>
      </c>
      <c r="C86" s="20" t="s">
        <v>393</v>
      </c>
      <c r="D86" s="160">
        <v>0</v>
      </c>
      <c r="E86" s="76">
        <f>+E10*3.5</f>
        <v>0</v>
      </c>
      <c r="F86" s="76">
        <f t="shared" si="32"/>
        <v>0</v>
      </c>
      <c r="G86" s="123">
        <v>0.19</v>
      </c>
      <c r="H86" s="64">
        <v>14900</v>
      </c>
      <c r="I86" s="64">
        <f t="shared" si="36"/>
        <v>0</v>
      </c>
      <c r="J86" s="64">
        <f t="shared" si="37"/>
        <v>0</v>
      </c>
      <c r="K86" s="128">
        <f t="shared" si="38"/>
        <v>22575.75757575758</v>
      </c>
      <c r="L86" s="64">
        <f t="shared" si="39"/>
        <v>0</v>
      </c>
      <c r="M86" s="24">
        <f t="shared" si="40"/>
        <v>0</v>
      </c>
      <c r="N86" s="124" t="s">
        <v>267</v>
      </c>
      <c r="O86" s="109"/>
      <c r="P86" s="10"/>
      <c r="Q86" s="10"/>
      <c r="R86" s="10">
        <v>0</v>
      </c>
      <c r="S86" s="30">
        <f t="shared" si="34"/>
        <v>0</v>
      </c>
      <c r="T86" s="30">
        <f t="shared" si="35"/>
        <v>0</v>
      </c>
    </row>
    <row r="87" spans="1:28" x14ac:dyDescent="0.3">
      <c r="A87" s="25" t="s">
        <v>474</v>
      </c>
      <c r="B87" s="127" t="s">
        <v>475</v>
      </c>
      <c r="C87" s="20" t="s">
        <v>393</v>
      </c>
      <c r="D87" s="160">
        <v>0</v>
      </c>
      <c r="E87" s="76">
        <f>+E86/3</f>
        <v>0</v>
      </c>
      <c r="F87" s="76">
        <f t="shared" si="32"/>
        <v>0</v>
      </c>
      <c r="G87" s="123">
        <v>0.19</v>
      </c>
      <c r="H87" s="64">
        <v>13550</v>
      </c>
      <c r="I87" s="64">
        <f t="shared" si="36"/>
        <v>0</v>
      </c>
      <c r="J87" s="64">
        <f t="shared" si="37"/>
        <v>0</v>
      </c>
      <c r="K87" s="128">
        <f t="shared" si="38"/>
        <v>20530.303030303032</v>
      </c>
      <c r="L87" s="64">
        <f t="shared" si="39"/>
        <v>0</v>
      </c>
      <c r="M87" s="24">
        <f t="shared" si="40"/>
        <v>0</v>
      </c>
      <c r="N87" s="124" t="s">
        <v>267</v>
      </c>
      <c r="O87" s="109"/>
      <c r="P87" s="10"/>
      <c r="Q87" s="10"/>
      <c r="R87" s="10">
        <v>0</v>
      </c>
      <c r="S87" s="30">
        <f t="shared" si="34"/>
        <v>0</v>
      </c>
      <c r="T87" s="30">
        <f t="shared" si="35"/>
        <v>0</v>
      </c>
    </row>
    <row r="88" spans="1:28" x14ac:dyDescent="0.3">
      <c r="A88" s="25" t="s">
        <v>476</v>
      </c>
      <c r="B88" s="127" t="s">
        <v>477</v>
      </c>
      <c r="C88" s="20" t="s">
        <v>393</v>
      </c>
      <c r="D88" s="160">
        <v>0</v>
      </c>
      <c r="E88" s="20"/>
      <c r="F88" s="76">
        <f t="shared" si="32"/>
        <v>0</v>
      </c>
      <c r="G88" s="123">
        <v>0.19</v>
      </c>
      <c r="H88" s="64">
        <v>19450</v>
      </c>
      <c r="I88" s="64">
        <f>+H88*F88</f>
        <v>0</v>
      </c>
      <c r="J88" s="64">
        <f>+I88*(1+G88)</f>
        <v>0</v>
      </c>
      <c r="K88" s="128">
        <f>+H88/$D$3</f>
        <v>29469.696969696972</v>
      </c>
      <c r="L88" s="64">
        <f>+K88*F88</f>
        <v>0</v>
      </c>
      <c r="M88" s="24">
        <f>+L88*(1+G88)</f>
        <v>0</v>
      </c>
      <c r="N88" s="124" t="s">
        <v>267</v>
      </c>
      <c r="O88" s="109"/>
      <c r="P88" s="10"/>
      <c r="Q88" s="10"/>
      <c r="R88" s="10">
        <v>0</v>
      </c>
      <c r="S88" s="30">
        <f t="shared" si="34"/>
        <v>0</v>
      </c>
      <c r="T88" s="30">
        <f t="shared" si="35"/>
        <v>0</v>
      </c>
    </row>
    <row r="89" spans="1:28" x14ac:dyDescent="0.3">
      <c r="A89" s="25" t="s">
        <v>478</v>
      </c>
      <c r="B89" s="127" t="s">
        <v>479</v>
      </c>
      <c r="C89" s="20" t="s">
        <v>299</v>
      </c>
      <c r="D89" s="160">
        <v>0</v>
      </c>
      <c r="E89" s="20"/>
      <c r="F89" s="76">
        <f t="shared" si="32"/>
        <v>0</v>
      </c>
      <c r="G89" s="123">
        <v>0.19</v>
      </c>
      <c r="H89" s="64">
        <v>13150</v>
      </c>
      <c r="I89" s="64">
        <f>+H89*F89</f>
        <v>0</v>
      </c>
      <c r="J89" s="64">
        <f>+I89*(1+G89)</f>
        <v>0</v>
      </c>
      <c r="K89" s="128">
        <f>+H89/$D$3</f>
        <v>19924.242424242428</v>
      </c>
      <c r="L89" s="64">
        <f>+K89*F89</f>
        <v>0</v>
      </c>
      <c r="M89" s="24">
        <f>+L89*(1+G89)</f>
        <v>0</v>
      </c>
      <c r="N89" s="124" t="s">
        <v>267</v>
      </c>
      <c r="O89" s="109"/>
      <c r="P89" s="10"/>
      <c r="Q89" s="10"/>
      <c r="R89" s="10">
        <v>0</v>
      </c>
      <c r="S89" s="30">
        <f t="shared" si="34"/>
        <v>0</v>
      </c>
      <c r="T89" s="30">
        <f t="shared" si="35"/>
        <v>0</v>
      </c>
    </row>
    <row r="90" spans="1:28" x14ac:dyDescent="0.3">
      <c r="A90" s="25" t="s">
        <v>480</v>
      </c>
      <c r="B90" s="127" t="s">
        <v>481</v>
      </c>
      <c r="C90" s="20" t="s">
        <v>299</v>
      </c>
      <c r="D90" s="160">
        <v>4</v>
      </c>
      <c r="E90" s="20">
        <v>0</v>
      </c>
      <c r="F90" s="76">
        <f t="shared" si="32"/>
        <v>4</v>
      </c>
      <c r="G90" s="123">
        <v>0.19</v>
      </c>
      <c r="H90" s="64">
        <f>78450/1.19</f>
        <v>65924.369747899167</v>
      </c>
      <c r="I90" s="64">
        <f t="shared" si="36"/>
        <v>263697.47899159667</v>
      </c>
      <c r="J90" s="64">
        <f t="shared" si="37"/>
        <v>313800</v>
      </c>
      <c r="K90" s="128">
        <f t="shared" si="38"/>
        <v>99885.40870893815</v>
      </c>
      <c r="L90" s="64">
        <f t="shared" si="39"/>
        <v>399541.6348357526</v>
      </c>
      <c r="M90" s="24">
        <f t="shared" si="40"/>
        <v>475454.54545454559</v>
      </c>
      <c r="N90" s="124" t="s">
        <v>267</v>
      </c>
      <c r="O90" s="109"/>
      <c r="P90" s="10"/>
      <c r="Q90" s="10"/>
      <c r="R90" s="10">
        <v>0</v>
      </c>
      <c r="S90" s="30">
        <f t="shared" si="34"/>
        <v>0</v>
      </c>
      <c r="T90" s="30">
        <f t="shared" si="35"/>
        <v>0</v>
      </c>
    </row>
    <row r="91" spans="1:28" x14ac:dyDescent="0.3">
      <c r="A91" s="25" t="s">
        <v>482</v>
      </c>
      <c r="B91" s="127" t="s">
        <v>483</v>
      </c>
      <c r="C91" s="20" t="s">
        <v>299</v>
      </c>
      <c r="D91" s="160">
        <v>4</v>
      </c>
      <c r="E91" s="20">
        <v>0</v>
      </c>
      <c r="F91" s="76">
        <f t="shared" si="32"/>
        <v>4</v>
      </c>
      <c r="G91" s="123">
        <v>0.19</v>
      </c>
      <c r="H91" s="64">
        <f>17400/1.19</f>
        <v>14621.848739495799</v>
      </c>
      <c r="I91" s="64">
        <f t="shared" si="36"/>
        <v>58487.394957983197</v>
      </c>
      <c r="J91" s="64">
        <f t="shared" si="37"/>
        <v>69600</v>
      </c>
      <c r="K91" s="128">
        <f t="shared" si="38"/>
        <v>22154.316271963336</v>
      </c>
      <c r="L91" s="64">
        <f t="shared" si="39"/>
        <v>88617.265087853346</v>
      </c>
      <c r="M91" s="24">
        <f t="shared" si="40"/>
        <v>105454.54545454547</v>
      </c>
      <c r="N91" s="124" t="s">
        <v>267</v>
      </c>
      <c r="O91" s="109"/>
      <c r="P91" s="10"/>
      <c r="Q91" s="10"/>
      <c r="R91" s="10">
        <v>0</v>
      </c>
      <c r="S91" s="30">
        <f t="shared" si="34"/>
        <v>0</v>
      </c>
      <c r="T91" s="30">
        <f t="shared" si="35"/>
        <v>0</v>
      </c>
    </row>
    <row r="92" spans="1:28" x14ac:dyDescent="0.3">
      <c r="A92" s="25" t="s">
        <v>484</v>
      </c>
      <c r="B92" s="127" t="s">
        <v>485</v>
      </c>
      <c r="C92" s="20" t="s">
        <v>299</v>
      </c>
      <c r="D92" s="160">
        <v>4</v>
      </c>
      <c r="E92" s="20">
        <v>0</v>
      </c>
      <c r="F92" s="76">
        <f t="shared" si="32"/>
        <v>4</v>
      </c>
      <c r="G92" s="123">
        <v>0.19</v>
      </c>
      <c r="H92" s="64">
        <f>2856/1.19</f>
        <v>2400</v>
      </c>
      <c r="I92" s="64">
        <f t="shared" si="36"/>
        <v>9600</v>
      </c>
      <c r="J92" s="64">
        <f t="shared" si="37"/>
        <v>11424</v>
      </c>
      <c r="K92" s="128">
        <f t="shared" si="38"/>
        <v>3636.3636363636369</v>
      </c>
      <c r="L92" s="64">
        <f t="shared" si="39"/>
        <v>14545.454545454548</v>
      </c>
      <c r="M92" s="24">
        <f t="shared" si="40"/>
        <v>17309.090909090912</v>
      </c>
      <c r="N92" s="124" t="s">
        <v>267</v>
      </c>
      <c r="O92" s="109"/>
      <c r="P92" s="10"/>
      <c r="Q92" s="10"/>
      <c r="R92" s="10">
        <v>0</v>
      </c>
      <c r="S92" s="30">
        <f t="shared" si="34"/>
        <v>0</v>
      </c>
      <c r="T92" s="30">
        <f t="shared" si="35"/>
        <v>0</v>
      </c>
    </row>
    <row r="93" spans="1:28" x14ac:dyDescent="0.3">
      <c r="A93" s="25" t="s">
        <v>486</v>
      </c>
      <c r="B93" s="127" t="s">
        <v>487</v>
      </c>
      <c r="C93" s="20" t="s">
        <v>299</v>
      </c>
      <c r="D93" s="160">
        <v>0</v>
      </c>
      <c r="E93" s="20">
        <v>0</v>
      </c>
      <c r="F93" s="76">
        <f t="shared" si="32"/>
        <v>0</v>
      </c>
      <c r="G93" s="123">
        <v>0.19</v>
      </c>
      <c r="H93" s="64">
        <v>127550</v>
      </c>
      <c r="I93" s="64">
        <f t="shared" si="36"/>
        <v>0</v>
      </c>
      <c r="J93" s="64">
        <f t="shared" si="37"/>
        <v>0</v>
      </c>
      <c r="K93" s="128">
        <f t="shared" si="38"/>
        <v>193257.57575757577</v>
      </c>
      <c r="L93" s="64">
        <f t="shared" si="39"/>
        <v>0</v>
      </c>
      <c r="M93" s="24">
        <f t="shared" si="40"/>
        <v>0</v>
      </c>
      <c r="N93" s="124" t="s">
        <v>267</v>
      </c>
      <c r="O93" s="109"/>
      <c r="P93" s="10"/>
      <c r="Q93" s="10"/>
      <c r="R93" s="10">
        <v>0</v>
      </c>
      <c r="S93" s="30">
        <f t="shared" si="34"/>
        <v>0</v>
      </c>
      <c r="T93" s="30">
        <f t="shared" si="35"/>
        <v>0</v>
      </c>
    </row>
    <row r="94" spans="1:28" x14ac:dyDescent="0.3">
      <c r="A94" s="25" t="s">
        <v>488</v>
      </c>
      <c r="B94" s="127" t="s">
        <v>489</v>
      </c>
      <c r="C94" s="20" t="s">
        <v>299</v>
      </c>
      <c r="D94" s="160">
        <v>0</v>
      </c>
      <c r="E94" s="20">
        <v>0</v>
      </c>
      <c r="F94" s="76">
        <f t="shared" si="32"/>
        <v>0</v>
      </c>
      <c r="G94" s="123">
        <v>0.19</v>
      </c>
      <c r="H94" s="64">
        <v>18300</v>
      </c>
      <c r="I94" s="64">
        <f t="shared" si="36"/>
        <v>0</v>
      </c>
      <c r="J94" s="64">
        <f t="shared" si="37"/>
        <v>0</v>
      </c>
      <c r="K94" s="128">
        <f t="shared" si="38"/>
        <v>27727.272727272732</v>
      </c>
      <c r="L94" s="64">
        <f t="shared" si="39"/>
        <v>0</v>
      </c>
      <c r="M94" s="24">
        <f t="shared" si="40"/>
        <v>0</v>
      </c>
      <c r="N94" s="124" t="s">
        <v>267</v>
      </c>
      <c r="O94" s="109"/>
      <c r="P94" s="10"/>
      <c r="Q94" s="10"/>
      <c r="R94" s="10">
        <v>0</v>
      </c>
      <c r="S94" s="30">
        <f t="shared" si="34"/>
        <v>0</v>
      </c>
      <c r="T94" s="30">
        <f t="shared" si="35"/>
        <v>0</v>
      </c>
    </row>
    <row r="95" spans="1:28" x14ac:dyDescent="0.3">
      <c r="A95" s="25" t="s">
        <v>490</v>
      </c>
      <c r="B95" s="127" t="s">
        <v>491</v>
      </c>
      <c r="C95" s="20" t="s">
        <v>299</v>
      </c>
      <c r="D95" s="160">
        <v>0</v>
      </c>
      <c r="E95" s="20">
        <v>0</v>
      </c>
      <c r="F95" s="76">
        <f t="shared" si="32"/>
        <v>0</v>
      </c>
      <c r="G95" s="123">
        <v>0.19</v>
      </c>
      <c r="H95" s="64">
        <v>3850</v>
      </c>
      <c r="I95" s="64">
        <f t="shared" si="36"/>
        <v>0</v>
      </c>
      <c r="J95" s="64">
        <f t="shared" si="37"/>
        <v>0</v>
      </c>
      <c r="K95" s="128">
        <f t="shared" si="38"/>
        <v>5833.3333333333339</v>
      </c>
      <c r="L95" s="64">
        <f t="shared" si="39"/>
        <v>0</v>
      </c>
      <c r="M95" s="24">
        <f t="shared" si="40"/>
        <v>0</v>
      </c>
      <c r="N95" s="124" t="s">
        <v>267</v>
      </c>
      <c r="O95" s="109"/>
      <c r="P95" s="10"/>
      <c r="Q95" s="10"/>
      <c r="R95" s="10">
        <v>0</v>
      </c>
      <c r="S95" s="30">
        <f t="shared" si="34"/>
        <v>0</v>
      </c>
      <c r="T95" s="30">
        <f t="shared" si="35"/>
        <v>0</v>
      </c>
    </row>
    <row r="96" spans="1:28" x14ac:dyDescent="0.3">
      <c r="A96" s="25" t="s">
        <v>492</v>
      </c>
      <c r="B96" s="127" t="s">
        <v>493</v>
      </c>
      <c r="C96" s="20" t="s">
        <v>299</v>
      </c>
      <c r="D96" s="160">
        <v>0</v>
      </c>
      <c r="E96" s="20"/>
      <c r="F96" s="76">
        <f t="shared" si="32"/>
        <v>0</v>
      </c>
      <c r="G96" s="123">
        <v>0.19</v>
      </c>
      <c r="H96" s="64">
        <v>160600</v>
      </c>
      <c r="I96" s="64">
        <f t="shared" si="36"/>
        <v>0</v>
      </c>
      <c r="J96" s="64">
        <f t="shared" si="37"/>
        <v>0</v>
      </c>
      <c r="K96" s="128">
        <f t="shared" si="38"/>
        <v>243333.33333333337</v>
      </c>
      <c r="L96" s="64">
        <f t="shared" si="39"/>
        <v>0</v>
      </c>
      <c r="M96" s="24">
        <f t="shared" si="40"/>
        <v>0</v>
      </c>
      <c r="N96" s="124" t="s">
        <v>267</v>
      </c>
      <c r="O96" s="109"/>
      <c r="P96" s="10"/>
      <c r="Q96" s="10"/>
      <c r="R96" s="10">
        <v>0</v>
      </c>
      <c r="S96" s="30">
        <f t="shared" si="34"/>
        <v>0</v>
      </c>
      <c r="T96" s="30">
        <f t="shared" si="35"/>
        <v>0</v>
      </c>
    </row>
    <row r="97" spans="1:20" x14ac:dyDescent="0.3">
      <c r="A97" s="25" t="s">
        <v>494</v>
      </c>
      <c r="B97" s="127" t="s">
        <v>495</v>
      </c>
      <c r="C97" s="20" t="s">
        <v>299</v>
      </c>
      <c r="D97" s="160">
        <v>0</v>
      </c>
      <c r="E97" s="76">
        <v>0</v>
      </c>
      <c r="F97" s="76">
        <f t="shared" si="32"/>
        <v>0</v>
      </c>
      <c r="G97" s="123">
        <v>0.19</v>
      </c>
      <c r="H97" s="64">
        <v>28350</v>
      </c>
      <c r="I97" s="64">
        <f t="shared" si="36"/>
        <v>0</v>
      </c>
      <c r="J97" s="64">
        <f t="shared" si="37"/>
        <v>0</v>
      </c>
      <c r="K97" s="128">
        <f t="shared" si="38"/>
        <v>42954.545454545463</v>
      </c>
      <c r="L97" s="64">
        <f t="shared" si="39"/>
        <v>0</v>
      </c>
      <c r="M97" s="24">
        <f t="shared" si="40"/>
        <v>0</v>
      </c>
      <c r="N97" s="124" t="s">
        <v>267</v>
      </c>
      <c r="O97" s="109"/>
      <c r="P97" s="10"/>
      <c r="Q97" s="10"/>
      <c r="R97" s="10">
        <v>0</v>
      </c>
      <c r="S97" s="30">
        <f t="shared" si="34"/>
        <v>0</v>
      </c>
      <c r="T97" s="30">
        <f t="shared" si="35"/>
        <v>0</v>
      </c>
    </row>
    <row r="98" spans="1:20" x14ac:dyDescent="0.3">
      <c r="A98" s="25" t="s">
        <v>496</v>
      </c>
      <c r="B98" s="127" t="s">
        <v>497</v>
      </c>
      <c r="C98" s="20" t="s">
        <v>299</v>
      </c>
      <c r="D98" s="160">
        <v>0</v>
      </c>
      <c r="E98" s="76">
        <v>0</v>
      </c>
      <c r="F98" s="76">
        <f t="shared" si="32"/>
        <v>0</v>
      </c>
      <c r="G98" s="123">
        <v>0.19</v>
      </c>
      <c r="H98" s="64">
        <v>5400</v>
      </c>
      <c r="I98" s="64">
        <f t="shared" si="36"/>
        <v>0</v>
      </c>
      <c r="J98" s="64">
        <f t="shared" si="37"/>
        <v>0</v>
      </c>
      <c r="K98" s="128">
        <f t="shared" si="38"/>
        <v>8181.8181818181829</v>
      </c>
      <c r="L98" s="64">
        <f t="shared" si="39"/>
        <v>0</v>
      </c>
      <c r="M98" s="24">
        <f t="shared" si="40"/>
        <v>0</v>
      </c>
      <c r="N98" s="124" t="s">
        <v>267</v>
      </c>
      <c r="O98" s="38">
        <f>+K98/$K$117</f>
        <v>0.13100118871449018</v>
      </c>
      <c r="P98" s="10"/>
      <c r="Q98" s="10"/>
      <c r="R98" s="10"/>
      <c r="S98" s="30">
        <f t="shared" si="34"/>
        <v>0</v>
      </c>
      <c r="T98" s="30">
        <f t="shared" si="35"/>
        <v>0</v>
      </c>
    </row>
    <row r="99" spans="1:20" x14ac:dyDescent="0.3">
      <c r="A99" s="25" t="s">
        <v>498</v>
      </c>
      <c r="B99" s="127" t="s">
        <v>499</v>
      </c>
      <c r="C99" s="20" t="s">
        <v>299</v>
      </c>
      <c r="D99" s="160">
        <v>4</v>
      </c>
      <c r="E99" s="76">
        <v>0</v>
      </c>
      <c r="F99" s="76">
        <f t="shared" si="32"/>
        <v>4</v>
      </c>
      <c r="G99" s="123">
        <v>0.19</v>
      </c>
      <c r="H99" s="64">
        <v>39850</v>
      </c>
      <c r="I99" s="64">
        <f t="shared" si="36"/>
        <v>159400</v>
      </c>
      <c r="J99" s="64">
        <f t="shared" si="37"/>
        <v>189686</v>
      </c>
      <c r="K99" s="128">
        <f t="shared" si="38"/>
        <v>60378.787878787887</v>
      </c>
      <c r="L99" s="64">
        <f t="shared" si="39"/>
        <v>241515.15151515155</v>
      </c>
      <c r="M99" s="24">
        <f t="shared" si="40"/>
        <v>287403.03030303033</v>
      </c>
      <c r="N99" s="124" t="s">
        <v>267</v>
      </c>
      <c r="O99" s="109"/>
      <c r="P99" s="10"/>
      <c r="Q99" s="10"/>
      <c r="R99" s="10"/>
      <c r="S99" s="30">
        <f t="shared" si="34"/>
        <v>0</v>
      </c>
      <c r="T99" s="30">
        <f t="shared" si="35"/>
        <v>0</v>
      </c>
    </row>
    <row r="100" spans="1:20" x14ac:dyDescent="0.3">
      <c r="A100" s="25" t="s">
        <v>500</v>
      </c>
      <c r="B100" s="127" t="s">
        <v>501</v>
      </c>
      <c r="C100" s="20" t="s">
        <v>299</v>
      </c>
      <c r="D100" s="160">
        <v>4</v>
      </c>
      <c r="E100" s="76">
        <v>0</v>
      </c>
      <c r="F100" s="76">
        <f t="shared" si="32"/>
        <v>4</v>
      </c>
      <c r="G100" s="123">
        <v>0.19</v>
      </c>
      <c r="H100" s="64">
        <v>3150</v>
      </c>
      <c r="I100" s="64">
        <f t="shared" si="36"/>
        <v>12600</v>
      </c>
      <c r="J100" s="64">
        <f t="shared" si="37"/>
        <v>14994</v>
      </c>
      <c r="K100" s="128">
        <f t="shared" si="38"/>
        <v>4772.727272727273</v>
      </c>
      <c r="L100" s="64">
        <f t="shared" si="39"/>
        <v>19090.909090909092</v>
      </c>
      <c r="M100" s="24">
        <f t="shared" si="40"/>
        <v>22718.18181818182</v>
      </c>
      <c r="N100" s="124" t="s">
        <v>267</v>
      </c>
      <c r="O100" s="38">
        <f>+K100/$K$117</f>
        <v>7.6417360083452596E-2</v>
      </c>
      <c r="P100" s="10"/>
      <c r="Q100" s="10"/>
      <c r="R100" s="10"/>
      <c r="S100" s="30">
        <f t="shared" si="34"/>
        <v>0</v>
      </c>
      <c r="T100" s="30">
        <f t="shared" si="35"/>
        <v>0</v>
      </c>
    </row>
    <row r="101" spans="1:20" x14ac:dyDescent="0.3">
      <c r="A101" s="25" t="s">
        <v>502</v>
      </c>
      <c r="B101" s="127" t="s">
        <v>503</v>
      </c>
      <c r="C101" s="20" t="s">
        <v>299</v>
      </c>
      <c r="D101" s="160">
        <v>4</v>
      </c>
      <c r="E101" s="76">
        <v>0</v>
      </c>
      <c r="F101" s="76">
        <f t="shared" si="32"/>
        <v>4</v>
      </c>
      <c r="G101" s="123">
        <v>0.19</v>
      </c>
      <c r="H101" s="64">
        <v>1850</v>
      </c>
      <c r="I101" s="64">
        <f t="shared" si="36"/>
        <v>7400</v>
      </c>
      <c r="J101" s="64">
        <f t="shared" si="37"/>
        <v>8806</v>
      </c>
      <c r="K101" s="128">
        <f t="shared" si="38"/>
        <v>2803.0303030303035</v>
      </c>
      <c r="L101" s="64">
        <f t="shared" si="39"/>
        <v>11212.121212121214</v>
      </c>
      <c r="M101" s="24">
        <f t="shared" si="40"/>
        <v>13342.424242424244</v>
      </c>
      <c r="N101" s="124" t="s">
        <v>267</v>
      </c>
      <c r="O101" s="109"/>
      <c r="P101" s="10"/>
      <c r="Q101" s="10"/>
      <c r="R101" s="10"/>
      <c r="S101" s="30">
        <f t="shared" si="34"/>
        <v>0</v>
      </c>
      <c r="T101" s="30">
        <f t="shared" si="35"/>
        <v>0</v>
      </c>
    </row>
    <row r="102" spans="1:20" x14ac:dyDescent="0.3">
      <c r="A102" s="25" t="s">
        <v>504</v>
      </c>
      <c r="B102" s="127" t="s">
        <v>505</v>
      </c>
      <c r="C102" s="20" t="s">
        <v>299</v>
      </c>
      <c r="D102" s="160">
        <v>0</v>
      </c>
      <c r="E102" s="76">
        <v>0</v>
      </c>
      <c r="F102" s="76">
        <f t="shared" si="32"/>
        <v>0</v>
      </c>
      <c r="G102" s="123">
        <v>0.19</v>
      </c>
      <c r="H102" s="64">
        <v>72300</v>
      </c>
      <c r="I102" s="64">
        <f t="shared" si="36"/>
        <v>0</v>
      </c>
      <c r="J102" s="64">
        <f t="shared" si="37"/>
        <v>0</v>
      </c>
      <c r="K102" s="128">
        <f t="shared" si="38"/>
        <v>109545.45454545456</v>
      </c>
      <c r="L102" s="64">
        <f t="shared" si="39"/>
        <v>0</v>
      </c>
      <c r="M102" s="24">
        <f t="shared" si="40"/>
        <v>0</v>
      </c>
      <c r="N102" s="124" t="s">
        <v>267</v>
      </c>
      <c r="O102" s="109"/>
      <c r="P102" s="10"/>
      <c r="Q102" s="10"/>
      <c r="R102" s="10"/>
      <c r="S102" s="30">
        <f t="shared" si="34"/>
        <v>0</v>
      </c>
      <c r="T102" s="30">
        <f t="shared" si="35"/>
        <v>0</v>
      </c>
    </row>
    <row r="103" spans="1:20" x14ac:dyDescent="0.3">
      <c r="A103" s="25" t="s">
        <v>506</v>
      </c>
      <c r="B103" s="127" t="s">
        <v>507</v>
      </c>
      <c r="C103" s="20" t="s">
        <v>299</v>
      </c>
      <c r="D103" s="160">
        <v>0</v>
      </c>
      <c r="E103" s="76">
        <v>0</v>
      </c>
      <c r="F103" s="76">
        <f t="shared" si="32"/>
        <v>0</v>
      </c>
      <c r="G103" s="123">
        <v>0.19</v>
      </c>
      <c r="H103" s="64">
        <v>8900</v>
      </c>
      <c r="I103" s="64">
        <f t="shared" si="36"/>
        <v>0</v>
      </c>
      <c r="J103" s="64">
        <f t="shared" si="37"/>
        <v>0</v>
      </c>
      <c r="K103" s="128">
        <f t="shared" si="38"/>
        <v>13484.848484848486</v>
      </c>
      <c r="L103" s="64">
        <f t="shared" si="39"/>
        <v>0</v>
      </c>
      <c r="M103" s="24">
        <f t="shared" si="40"/>
        <v>0</v>
      </c>
      <c r="N103" s="124" t="s">
        <v>267</v>
      </c>
      <c r="O103" s="109"/>
      <c r="P103" s="10"/>
      <c r="Q103" s="10"/>
      <c r="R103" s="10"/>
      <c r="S103" s="30">
        <f t="shared" si="34"/>
        <v>0</v>
      </c>
      <c r="T103" s="30">
        <f t="shared" si="35"/>
        <v>0</v>
      </c>
    </row>
    <row r="104" spans="1:20" x14ac:dyDescent="0.3">
      <c r="A104" s="25" t="s">
        <v>508</v>
      </c>
      <c r="B104" s="127" t="s">
        <v>509</v>
      </c>
      <c r="C104" s="20" t="s">
        <v>299</v>
      </c>
      <c r="D104" s="160">
        <v>0</v>
      </c>
      <c r="E104" s="76">
        <v>0</v>
      </c>
      <c r="F104" s="76">
        <f t="shared" si="32"/>
        <v>0</v>
      </c>
      <c r="G104" s="123">
        <v>0.19</v>
      </c>
      <c r="H104" s="64">
        <v>4050</v>
      </c>
      <c r="I104" s="64">
        <f t="shared" si="36"/>
        <v>0</v>
      </c>
      <c r="J104" s="64">
        <f t="shared" si="37"/>
        <v>0</v>
      </c>
      <c r="K104" s="128">
        <f t="shared" si="38"/>
        <v>6136.3636363636369</v>
      </c>
      <c r="L104" s="64">
        <f t="shared" si="39"/>
        <v>0</v>
      </c>
      <c r="M104" s="24">
        <f t="shared" si="40"/>
        <v>0</v>
      </c>
      <c r="N104" s="124" t="s">
        <v>267</v>
      </c>
      <c r="O104" s="109"/>
      <c r="P104" s="10"/>
      <c r="Q104" s="10"/>
      <c r="R104" s="10"/>
      <c r="S104" s="30">
        <f t="shared" si="34"/>
        <v>0</v>
      </c>
      <c r="T104" s="30">
        <f t="shared" si="35"/>
        <v>0</v>
      </c>
    </row>
    <row r="105" spans="1:20" x14ac:dyDescent="0.3">
      <c r="A105" s="25" t="s">
        <v>510</v>
      </c>
      <c r="B105" s="127" t="s">
        <v>511</v>
      </c>
      <c r="C105" s="20" t="s">
        <v>299</v>
      </c>
      <c r="D105" s="160">
        <v>0</v>
      </c>
      <c r="E105" s="76">
        <v>0</v>
      </c>
      <c r="F105" s="76">
        <f t="shared" si="32"/>
        <v>0</v>
      </c>
      <c r="G105" s="123">
        <v>0.19</v>
      </c>
      <c r="H105" s="64">
        <v>106300</v>
      </c>
      <c r="I105" s="64">
        <f t="shared" si="36"/>
        <v>0</v>
      </c>
      <c r="J105" s="64">
        <f t="shared" si="37"/>
        <v>0</v>
      </c>
      <c r="K105" s="128">
        <f t="shared" si="38"/>
        <v>161060.60606060608</v>
      </c>
      <c r="L105" s="64">
        <f t="shared" si="39"/>
        <v>0</v>
      </c>
      <c r="M105" s="24">
        <f t="shared" si="40"/>
        <v>0</v>
      </c>
      <c r="N105" s="124" t="s">
        <v>267</v>
      </c>
      <c r="O105" s="38">
        <f>+K105/$K$117</f>
        <v>2.5787826593241308</v>
      </c>
      <c r="P105" s="10"/>
      <c r="Q105" s="10"/>
      <c r="R105" s="10"/>
      <c r="S105" s="30">
        <f t="shared" si="34"/>
        <v>0</v>
      </c>
      <c r="T105" s="30">
        <f t="shared" si="35"/>
        <v>0</v>
      </c>
    </row>
    <row r="106" spans="1:20" x14ac:dyDescent="0.3">
      <c r="A106" s="25" t="s">
        <v>512</v>
      </c>
      <c r="B106" s="127" t="s">
        <v>513</v>
      </c>
      <c r="C106" s="20" t="s">
        <v>299</v>
      </c>
      <c r="D106" s="160">
        <v>0</v>
      </c>
      <c r="E106" s="76">
        <v>0</v>
      </c>
      <c r="F106" s="76">
        <f t="shared" si="32"/>
        <v>0</v>
      </c>
      <c r="G106" s="123">
        <v>0.19</v>
      </c>
      <c r="H106" s="64">
        <v>12650</v>
      </c>
      <c r="I106" s="64">
        <f t="shared" si="36"/>
        <v>0</v>
      </c>
      <c r="J106" s="64">
        <f t="shared" si="37"/>
        <v>0</v>
      </c>
      <c r="K106" s="128">
        <f t="shared" si="38"/>
        <v>19166.666666666668</v>
      </c>
      <c r="L106" s="64">
        <f t="shared" si="39"/>
        <v>0</v>
      </c>
      <c r="M106" s="24">
        <f t="shared" si="40"/>
        <v>0</v>
      </c>
      <c r="N106" s="124" t="s">
        <v>267</v>
      </c>
      <c r="O106" s="109"/>
      <c r="P106" s="10"/>
      <c r="Q106" s="10"/>
      <c r="R106" s="10">
        <v>240</v>
      </c>
      <c r="S106" s="30">
        <f t="shared" si="34"/>
        <v>52.708333333333336</v>
      </c>
      <c r="T106" s="30">
        <f>+IF(R106=0,0,K106/R106)</f>
        <v>79.861111111111114</v>
      </c>
    </row>
    <row r="107" spans="1:20" x14ac:dyDescent="0.3">
      <c r="A107" s="25" t="s">
        <v>514</v>
      </c>
      <c r="B107" s="127" t="s">
        <v>515</v>
      </c>
      <c r="C107" s="20" t="s">
        <v>299</v>
      </c>
      <c r="D107" s="160">
        <v>0</v>
      </c>
      <c r="E107" s="76">
        <v>0</v>
      </c>
      <c r="F107" s="76">
        <f t="shared" si="32"/>
        <v>0</v>
      </c>
      <c r="G107" s="123">
        <v>0.19</v>
      </c>
      <c r="H107" s="64">
        <v>4900</v>
      </c>
      <c r="I107" s="64">
        <f t="shared" si="36"/>
        <v>0</v>
      </c>
      <c r="J107" s="64">
        <f t="shared" si="37"/>
        <v>0</v>
      </c>
      <c r="K107" s="128">
        <f t="shared" si="38"/>
        <v>7424.2424242424249</v>
      </c>
      <c r="L107" s="64">
        <f t="shared" si="39"/>
        <v>0</v>
      </c>
      <c r="M107" s="24">
        <f t="shared" si="40"/>
        <v>0</v>
      </c>
      <c r="N107" s="124" t="s">
        <v>267</v>
      </c>
      <c r="O107" s="109"/>
      <c r="P107" s="10"/>
      <c r="Q107" s="10"/>
      <c r="R107" s="10"/>
      <c r="S107" s="30">
        <f t="shared" si="34"/>
        <v>0</v>
      </c>
      <c r="T107" s="30">
        <f t="shared" si="35"/>
        <v>0</v>
      </c>
    </row>
    <row r="108" spans="1:20" x14ac:dyDescent="0.3">
      <c r="A108" s="25" t="s">
        <v>516</v>
      </c>
      <c r="B108" s="127" t="s">
        <v>517</v>
      </c>
      <c r="C108" s="20" t="s">
        <v>299</v>
      </c>
      <c r="D108" s="160">
        <v>0</v>
      </c>
      <c r="E108" s="76">
        <v>0</v>
      </c>
      <c r="F108" s="76">
        <f t="shared" si="32"/>
        <v>0</v>
      </c>
      <c r="G108" s="123">
        <v>0.19</v>
      </c>
      <c r="H108" s="64">
        <v>14700</v>
      </c>
      <c r="I108" s="64">
        <f t="shared" si="36"/>
        <v>0</v>
      </c>
      <c r="J108" s="64">
        <f t="shared" si="37"/>
        <v>0</v>
      </c>
      <c r="K108" s="128">
        <f t="shared" si="38"/>
        <v>22272.727272727276</v>
      </c>
      <c r="L108" s="64">
        <f t="shared" si="39"/>
        <v>0</v>
      </c>
      <c r="M108" s="24">
        <f t="shared" si="40"/>
        <v>0</v>
      </c>
      <c r="N108" s="124" t="s">
        <v>267</v>
      </c>
      <c r="O108" s="109"/>
      <c r="P108" s="10"/>
      <c r="Q108" s="10"/>
      <c r="R108" s="10"/>
      <c r="S108" s="30">
        <f t="shared" si="34"/>
        <v>0</v>
      </c>
      <c r="T108" s="30">
        <f t="shared" si="35"/>
        <v>0</v>
      </c>
    </row>
    <row r="109" spans="1:20" x14ac:dyDescent="0.3">
      <c r="A109" s="25" t="s">
        <v>518</v>
      </c>
      <c r="B109" s="127" t="s">
        <v>519</v>
      </c>
      <c r="C109" s="20" t="s">
        <v>299</v>
      </c>
      <c r="D109" s="160">
        <v>0</v>
      </c>
      <c r="E109" s="76">
        <v>0</v>
      </c>
      <c r="F109" s="76">
        <f t="shared" si="32"/>
        <v>0</v>
      </c>
      <c r="G109" s="123">
        <v>0.19</v>
      </c>
      <c r="H109" s="64">
        <v>2650</v>
      </c>
      <c r="I109" s="64">
        <f t="shared" si="36"/>
        <v>0</v>
      </c>
      <c r="J109" s="64">
        <f t="shared" si="37"/>
        <v>0</v>
      </c>
      <c r="K109" s="128">
        <f t="shared" si="38"/>
        <v>4015.1515151515155</v>
      </c>
      <c r="L109" s="64">
        <f t="shared" si="39"/>
        <v>0</v>
      </c>
      <c r="M109" s="24">
        <f t="shared" si="40"/>
        <v>0</v>
      </c>
      <c r="N109" s="124" t="s">
        <v>267</v>
      </c>
      <c r="O109" s="38">
        <f>+K109/$K$117</f>
        <v>6.4287620387666472E-2</v>
      </c>
      <c r="P109" s="10"/>
      <c r="Q109" s="10"/>
      <c r="R109" s="10"/>
      <c r="S109" s="30">
        <f t="shared" si="34"/>
        <v>0</v>
      </c>
      <c r="T109" s="30">
        <f t="shared" si="35"/>
        <v>0</v>
      </c>
    </row>
    <row r="110" spans="1:20" x14ac:dyDescent="0.3">
      <c r="A110" s="25" t="s">
        <v>520</v>
      </c>
      <c r="B110" s="127" t="s">
        <v>521</v>
      </c>
      <c r="C110" s="20" t="s">
        <v>299</v>
      </c>
      <c r="D110" s="160">
        <v>0</v>
      </c>
      <c r="E110" s="76">
        <v>0</v>
      </c>
      <c r="F110" s="76">
        <f t="shared" si="32"/>
        <v>0</v>
      </c>
      <c r="G110" s="123">
        <v>0.19</v>
      </c>
      <c r="H110" s="64">
        <v>3000</v>
      </c>
      <c r="I110" s="64">
        <f t="shared" si="36"/>
        <v>0</v>
      </c>
      <c r="J110" s="64">
        <f t="shared" si="37"/>
        <v>0</v>
      </c>
      <c r="K110" s="128">
        <f t="shared" si="38"/>
        <v>4545.454545454546</v>
      </c>
      <c r="L110" s="64">
        <f t="shared" si="39"/>
        <v>0</v>
      </c>
      <c r="M110" s="24">
        <f t="shared" si="40"/>
        <v>0</v>
      </c>
      <c r="N110" s="124" t="s">
        <v>267</v>
      </c>
      <c r="O110" s="109"/>
      <c r="P110" s="10"/>
      <c r="Q110" s="10"/>
      <c r="R110" s="10"/>
      <c r="S110" s="30">
        <f t="shared" si="34"/>
        <v>0</v>
      </c>
      <c r="T110" s="30">
        <f t="shared" si="35"/>
        <v>0</v>
      </c>
    </row>
    <row r="111" spans="1:20" x14ac:dyDescent="0.3">
      <c r="A111" s="25" t="s">
        <v>522</v>
      </c>
      <c r="B111" s="127" t="s">
        <v>523</v>
      </c>
      <c r="C111" s="20" t="s">
        <v>299</v>
      </c>
      <c r="D111" s="160">
        <v>0</v>
      </c>
      <c r="E111" s="76">
        <v>0</v>
      </c>
      <c r="F111" s="76">
        <f t="shared" si="32"/>
        <v>0</v>
      </c>
      <c r="G111" s="123">
        <v>0.19</v>
      </c>
      <c r="H111" s="64">
        <v>23550</v>
      </c>
      <c r="I111" s="64">
        <f t="shared" si="36"/>
        <v>0</v>
      </c>
      <c r="J111" s="64">
        <f t="shared" si="37"/>
        <v>0</v>
      </c>
      <c r="K111" s="128">
        <f t="shared" si="38"/>
        <v>35681.818181818184</v>
      </c>
      <c r="L111" s="64">
        <f t="shared" si="39"/>
        <v>0</v>
      </c>
      <c r="M111" s="24">
        <f t="shared" si="40"/>
        <v>0</v>
      </c>
      <c r="N111" s="124" t="s">
        <v>267</v>
      </c>
      <c r="O111" s="109"/>
      <c r="P111" s="10"/>
      <c r="Q111" s="10"/>
      <c r="R111" s="10"/>
      <c r="S111" s="30">
        <f t="shared" si="34"/>
        <v>0</v>
      </c>
      <c r="T111" s="30">
        <f t="shared" si="35"/>
        <v>0</v>
      </c>
    </row>
    <row r="112" spans="1:20" x14ac:dyDescent="0.3">
      <c r="A112" s="25" t="s">
        <v>524</v>
      </c>
      <c r="B112" s="127" t="s">
        <v>525</v>
      </c>
      <c r="C112" s="20" t="s">
        <v>299</v>
      </c>
      <c r="D112" s="160">
        <v>0</v>
      </c>
      <c r="E112" s="76">
        <v>0</v>
      </c>
      <c r="F112" s="76">
        <f t="shared" si="32"/>
        <v>0</v>
      </c>
      <c r="G112" s="123">
        <v>0.19</v>
      </c>
      <c r="H112" s="64">
        <v>8300</v>
      </c>
      <c r="I112" s="64">
        <f t="shared" si="36"/>
        <v>0</v>
      </c>
      <c r="J112" s="64">
        <f t="shared" si="37"/>
        <v>0</v>
      </c>
      <c r="K112" s="128">
        <f t="shared" si="38"/>
        <v>12575.757575757578</v>
      </c>
      <c r="L112" s="64">
        <f t="shared" si="39"/>
        <v>0</v>
      </c>
      <c r="M112" s="24">
        <f t="shared" si="40"/>
        <v>0</v>
      </c>
      <c r="N112" s="124" t="s">
        <v>267</v>
      </c>
      <c r="O112" s="38">
        <f>+K112/$K$117</f>
        <v>0.20135367895004974</v>
      </c>
      <c r="P112" s="10"/>
      <c r="Q112" s="10"/>
      <c r="R112" s="10"/>
      <c r="S112" s="30">
        <f t="shared" si="34"/>
        <v>0</v>
      </c>
      <c r="T112" s="30">
        <f t="shared" si="35"/>
        <v>0</v>
      </c>
    </row>
    <row r="113" spans="1:26" x14ac:dyDescent="0.3">
      <c r="A113" s="25" t="s">
        <v>526</v>
      </c>
      <c r="B113" s="127" t="s">
        <v>527</v>
      </c>
      <c r="C113" s="20" t="s">
        <v>299</v>
      </c>
      <c r="D113" s="160">
        <v>0</v>
      </c>
      <c r="E113" s="76">
        <v>0</v>
      </c>
      <c r="F113" s="76">
        <f t="shared" si="32"/>
        <v>0</v>
      </c>
      <c r="G113" s="123">
        <v>0.19</v>
      </c>
      <c r="H113" s="64">
        <v>7500</v>
      </c>
      <c r="I113" s="64">
        <f t="shared" si="36"/>
        <v>0</v>
      </c>
      <c r="J113" s="64">
        <f t="shared" si="37"/>
        <v>0</v>
      </c>
      <c r="K113" s="128">
        <f t="shared" si="38"/>
        <v>11363.636363636366</v>
      </c>
      <c r="L113" s="64">
        <f t="shared" si="39"/>
        <v>0</v>
      </c>
      <c r="M113" s="24">
        <f t="shared" si="40"/>
        <v>0</v>
      </c>
      <c r="N113" s="124" t="s">
        <v>267</v>
      </c>
      <c r="O113" s="38">
        <f>+K113/$K$117</f>
        <v>0.18194609543679194</v>
      </c>
      <c r="P113" s="10"/>
      <c r="Q113" s="10"/>
      <c r="R113" s="10"/>
      <c r="S113" s="30">
        <f t="shared" si="34"/>
        <v>0</v>
      </c>
      <c r="T113" s="30">
        <f t="shared" si="35"/>
        <v>0</v>
      </c>
    </row>
    <row r="114" spans="1:26" x14ac:dyDescent="0.3">
      <c r="A114" s="25" t="s">
        <v>528</v>
      </c>
      <c r="B114" s="127" t="s">
        <v>529</v>
      </c>
      <c r="C114" s="20" t="s">
        <v>299</v>
      </c>
      <c r="D114" s="160">
        <v>0</v>
      </c>
      <c r="E114" s="76">
        <v>0</v>
      </c>
      <c r="F114" s="76">
        <f t="shared" si="32"/>
        <v>0</v>
      </c>
      <c r="G114" s="123">
        <v>0.19</v>
      </c>
      <c r="H114" s="64">
        <v>34100</v>
      </c>
      <c r="I114" s="64">
        <f t="shared" si="36"/>
        <v>0</v>
      </c>
      <c r="J114" s="64">
        <f t="shared" si="37"/>
        <v>0</v>
      </c>
      <c r="K114" s="128">
        <f t="shared" si="38"/>
        <v>51666.666666666672</v>
      </c>
      <c r="L114" s="64">
        <f t="shared" si="39"/>
        <v>0</v>
      </c>
      <c r="M114" s="24">
        <f t="shared" si="40"/>
        <v>0</v>
      </c>
      <c r="N114" s="124" t="s">
        <v>267</v>
      </c>
      <c r="O114" s="38"/>
      <c r="P114" s="10"/>
      <c r="Q114" s="10"/>
      <c r="R114" s="10"/>
      <c r="S114" s="30">
        <f t="shared" si="34"/>
        <v>0</v>
      </c>
      <c r="T114" s="30">
        <f t="shared" si="35"/>
        <v>0</v>
      </c>
    </row>
    <row r="115" spans="1:26" x14ac:dyDescent="0.3">
      <c r="A115" s="25" t="s">
        <v>530</v>
      </c>
      <c r="B115" s="127" t="s">
        <v>531</v>
      </c>
      <c r="C115" s="20" t="s">
        <v>299</v>
      </c>
      <c r="D115" s="160">
        <v>0</v>
      </c>
      <c r="E115" s="20">
        <v>0</v>
      </c>
      <c r="F115" s="76">
        <f t="shared" si="32"/>
        <v>0</v>
      </c>
      <c r="G115" s="123">
        <v>0.19</v>
      </c>
      <c r="H115" s="64">
        <v>17500</v>
      </c>
      <c r="I115" s="64">
        <f t="shared" si="36"/>
        <v>0</v>
      </c>
      <c r="J115" s="64">
        <f t="shared" si="37"/>
        <v>0</v>
      </c>
      <c r="K115" s="128">
        <f t="shared" si="38"/>
        <v>26515.15151515152</v>
      </c>
      <c r="L115" s="64">
        <f t="shared" si="39"/>
        <v>0</v>
      </c>
      <c r="M115" s="24">
        <f t="shared" si="40"/>
        <v>0</v>
      </c>
      <c r="N115" s="124" t="s">
        <v>267</v>
      </c>
      <c r="O115" s="38"/>
      <c r="P115" s="10"/>
      <c r="Q115" s="10"/>
      <c r="R115" s="10"/>
      <c r="S115" s="30">
        <f t="shared" si="34"/>
        <v>0</v>
      </c>
      <c r="T115" s="30">
        <f t="shared" si="35"/>
        <v>0</v>
      </c>
    </row>
    <row r="116" spans="1:26" x14ac:dyDescent="0.3">
      <c r="A116" s="25" t="s">
        <v>532</v>
      </c>
      <c r="B116" s="127" t="s">
        <v>533</v>
      </c>
      <c r="C116" s="20" t="s">
        <v>299</v>
      </c>
      <c r="D116" s="160">
        <v>0</v>
      </c>
      <c r="E116" s="20">
        <v>0</v>
      </c>
      <c r="F116" s="76">
        <f t="shared" si="32"/>
        <v>0</v>
      </c>
      <c r="G116" s="123">
        <v>0.19</v>
      </c>
      <c r="H116" s="64">
        <v>8000</v>
      </c>
      <c r="I116" s="64">
        <f t="shared" si="36"/>
        <v>0</v>
      </c>
      <c r="J116" s="64">
        <f t="shared" si="37"/>
        <v>0</v>
      </c>
      <c r="K116" s="128">
        <f t="shared" si="38"/>
        <v>12121.212121212122</v>
      </c>
      <c r="L116" s="64">
        <f t="shared" si="39"/>
        <v>0</v>
      </c>
      <c r="M116" s="24">
        <f t="shared" si="40"/>
        <v>0</v>
      </c>
      <c r="N116" s="124" t="s">
        <v>267</v>
      </c>
      <c r="O116" s="38">
        <f>+K116/$K$117</f>
        <v>0.19407583513257803</v>
      </c>
      <c r="P116" s="10"/>
      <c r="Q116" s="10"/>
      <c r="R116" s="10"/>
      <c r="S116" s="30">
        <f t="shared" si="34"/>
        <v>0</v>
      </c>
      <c r="T116" s="30">
        <f t="shared" si="35"/>
        <v>0</v>
      </c>
    </row>
    <row r="117" spans="1:26" x14ac:dyDescent="0.3">
      <c r="A117" s="25" t="s">
        <v>534</v>
      </c>
      <c r="B117" s="20" t="s">
        <v>535</v>
      </c>
      <c r="C117" s="20" t="s">
        <v>299</v>
      </c>
      <c r="D117" s="160">
        <v>0</v>
      </c>
      <c r="E117" s="20">
        <v>0</v>
      </c>
      <c r="F117" s="76">
        <f t="shared" si="32"/>
        <v>0</v>
      </c>
      <c r="G117" s="123">
        <v>0.19</v>
      </c>
      <c r="H117" s="64">
        <v>41221</v>
      </c>
      <c r="I117" s="64">
        <f t="shared" si="36"/>
        <v>0</v>
      </c>
      <c r="J117" s="64">
        <f t="shared" si="37"/>
        <v>0</v>
      </c>
      <c r="K117" s="128">
        <f t="shared" si="38"/>
        <v>62456.060606060615</v>
      </c>
      <c r="L117" s="64">
        <f t="shared" si="39"/>
        <v>0</v>
      </c>
      <c r="M117" s="24">
        <f t="shared" si="40"/>
        <v>0</v>
      </c>
      <c r="N117" s="124" t="s">
        <v>267</v>
      </c>
      <c r="O117" s="38">
        <f>+K117/$K$117</f>
        <v>1</v>
      </c>
      <c r="P117" s="10"/>
      <c r="Q117" s="10"/>
      <c r="R117" s="10"/>
      <c r="S117" s="30">
        <f>+SUM(S10:S116)</f>
        <v>68428.278666666665</v>
      </c>
      <c r="T117" s="30">
        <f>+SUM(T10:T116)</f>
        <v>103679.21010101012</v>
      </c>
    </row>
    <row r="118" spans="1:26" x14ac:dyDescent="0.3">
      <c r="A118" s="25" t="s">
        <v>536</v>
      </c>
      <c r="B118" s="20" t="s">
        <v>537</v>
      </c>
      <c r="C118" s="20" t="s">
        <v>299</v>
      </c>
      <c r="D118" s="160">
        <v>0</v>
      </c>
      <c r="E118" s="20">
        <v>0</v>
      </c>
      <c r="F118" s="76">
        <f t="shared" si="32"/>
        <v>0</v>
      </c>
      <c r="G118" s="123">
        <v>0.19</v>
      </c>
      <c r="H118" s="64">
        <v>10000</v>
      </c>
      <c r="I118" s="64">
        <f t="shared" si="36"/>
        <v>0</v>
      </c>
      <c r="J118" s="64">
        <f t="shared" si="37"/>
        <v>0</v>
      </c>
      <c r="K118" s="128">
        <f t="shared" si="38"/>
        <v>15151.515151515154</v>
      </c>
      <c r="L118" s="64">
        <f t="shared" si="39"/>
        <v>0</v>
      </c>
      <c r="M118" s="24">
        <f t="shared" si="40"/>
        <v>0</v>
      </c>
      <c r="N118" s="124" t="s">
        <v>267</v>
      </c>
      <c r="O118" s="109"/>
      <c r="P118" s="10"/>
      <c r="Q118" s="10"/>
      <c r="R118" s="10"/>
      <c r="S118" s="30"/>
      <c r="T118" s="10"/>
    </row>
    <row r="119" spans="1:26" x14ac:dyDescent="0.3">
      <c r="A119" s="25" t="s">
        <v>538</v>
      </c>
      <c r="B119" s="20" t="s">
        <v>539</v>
      </c>
      <c r="C119" s="20" t="s">
        <v>299</v>
      </c>
      <c r="D119" s="160">
        <v>0</v>
      </c>
      <c r="E119" s="20">
        <v>0</v>
      </c>
      <c r="F119" s="76">
        <f t="shared" si="32"/>
        <v>0</v>
      </c>
      <c r="G119" s="123">
        <v>0.19</v>
      </c>
      <c r="H119" s="64">
        <v>10000</v>
      </c>
      <c r="I119" s="64">
        <f t="shared" si="36"/>
        <v>0</v>
      </c>
      <c r="J119" s="64">
        <f t="shared" si="37"/>
        <v>0</v>
      </c>
      <c r="K119" s="128">
        <f t="shared" si="38"/>
        <v>15151.515151515154</v>
      </c>
      <c r="L119" s="64">
        <f t="shared" si="39"/>
        <v>0</v>
      </c>
      <c r="M119" s="24">
        <f t="shared" si="40"/>
        <v>0</v>
      </c>
      <c r="N119" s="124" t="s">
        <v>267</v>
      </c>
      <c r="O119" s="109"/>
      <c r="P119" s="10"/>
      <c r="Q119" s="10"/>
      <c r="R119" s="10"/>
      <c r="S119" s="30"/>
      <c r="T119" s="10"/>
    </row>
    <row r="120" spans="1:26" x14ac:dyDescent="0.3">
      <c r="A120" s="25" t="s">
        <v>540</v>
      </c>
      <c r="B120" s="20" t="s">
        <v>541</v>
      </c>
      <c r="C120" s="20" t="s">
        <v>299</v>
      </c>
      <c r="D120" s="160">
        <v>0</v>
      </c>
      <c r="E120" s="20">
        <v>0</v>
      </c>
      <c r="F120" s="76">
        <f t="shared" si="32"/>
        <v>0</v>
      </c>
      <c r="G120" s="123">
        <v>0.19</v>
      </c>
      <c r="H120" s="64">
        <f>(77845/8)/1.19</f>
        <v>8176.9957983193281</v>
      </c>
      <c r="I120" s="64">
        <f t="shared" si="36"/>
        <v>0</v>
      </c>
      <c r="J120" s="64">
        <f t="shared" si="37"/>
        <v>0</v>
      </c>
      <c r="K120" s="128">
        <f t="shared" si="38"/>
        <v>12389.387573211105</v>
      </c>
      <c r="L120" s="64">
        <f t="shared" si="39"/>
        <v>0</v>
      </c>
      <c r="M120" s="24">
        <f t="shared" si="40"/>
        <v>0</v>
      </c>
      <c r="N120" s="124" t="s">
        <v>267</v>
      </c>
      <c r="R120">
        <v>0</v>
      </c>
      <c r="S120" s="30">
        <f t="shared" ref="S120:S124" si="41">+IF(R120=0,0,H120/R120)</f>
        <v>0</v>
      </c>
      <c r="T120" s="30">
        <f t="shared" ref="T120:T124" si="42">+IF(R120=0,0,K120/R120)</f>
        <v>0</v>
      </c>
      <c r="U120" t="s">
        <v>341</v>
      </c>
      <c r="V120" s="28">
        <v>15457</v>
      </c>
      <c r="W120" s="28">
        <f>+V120*1.19</f>
        <v>18393.829999999998</v>
      </c>
      <c r="X120">
        <v>0.5</v>
      </c>
      <c r="Y120" s="30">
        <f>+V120*X120</f>
        <v>7728.5</v>
      </c>
      <c r="Z120" s="30">
        <f t="shared" ref="Z120" si="43">+W120*X120</f>
        <v>9196.9149999999991</v>
      </c>
    </row>
    <row r="121" spans="1:26" x14ac:dyDescent="0.3">
      <c r="A121" s="25" t="s">
        <v>542</v>
      </c>
      <c r="B121" s="20" t="s">
        <v>543</v>
      </c>
      <c r="C121" s="20" t="s">
        <v>299</v>
      </c>
      <c r="D121" s="160">
        <v>0</v>
      </c>
      <c r="E121" s="20">
        <v>0</v>
      </c>
      <c r="F121" s="76">
        <f t="shared" si="32"/>
        <v>0</v>
      </c>
      <c r="G121" s="123">
        <v>0.19</v>
      </c>
      <c r="H121" s="64">
        <v>10000</v>
      </c>
      <c r="I121" s="64">
        <f t="shared" si="36"/>
        <v>0</v>
      </c>
      <c r="J121" s="64">
        <f t="shared" si="37"/>
        <v>0</v>
      </c>
      <c r="K121" s="128">
        <f t="shared" si="38"/>
        <v>15151.515151515154</v>
      </c>
      <c r="L121" s="64">
        <f t="shared" si="39"/>
        <v>0</v>
      </c>
      <c r="M121" s="24">
        <f t="shared" si="40"/>
        <v>0</v>
      </c>
      <c r="N121" s="124" t="s">
        <v>267</v>
      </c>
      <c r="R121">
        <v>0</v>
      </c>
      <c r="S121" s="30">
        <f t="shared" si="41"/>
        <v>0</v>
      </c>
      <c r="T121" s="30">
        <f t="shared" si="42"/>
        <v>0</v>
      </c>
      <c r="Z121" s="30"/>
    </row>
    <row r="122" spans="1:26" x14ac:dyDescent="0.3">
      <c r="A122" s="25" t="s">
        <v>544</v>
      </c>
      <c r="B122" s="127" t="s">
        <v>545</v>
      </c>
      <c r="C122" s="20" t="s">
        <v>299</v>
      </c>
      <c r="D122" s="160">
        <v>0</v>
      </c>
      <c r="E122" s="76">
        <f>+(E84+E90+E99+E108)/3</f>
        <v>0</v>
      </c>
      <c r="F122" s="76">
        <f t="shared" ref="F122:F146" si="44">+D122+E122</f>
        <v>0</v>
      </c>
      <c r="G122" s="123">
        <v>0.19</v>
      </c>
      <c r="H122" s="64">
        <v>2000</v>
      </c>
      <c r="I122" s="64">
        <f t="shared" si="36"/>
        <v>0</v>
      </c>
      <c r="J122" s="64">
        <f t="shared" si="37"/>
        <v>0</v>
      </c>
      <c r="K122" s="128">
        <f t="shared" si="38"/>
        <v>3030.3030303030305</v>
      </c>
      <c r="L122" s="64">
        <f t="shared" si="39"/>
        <v>0</v>
      </c>
      <c r="M122" s="24">
        <f t="shared" si="40"/>
        <v>0</v>
      </c>
      <c r="N122" s="124" t="s">
        <v>267</v>
      </c>
      <c r="O122" s="38"/>
      <c r="P122" s="10">
        <f>+H122/$C$180</f>
        <v>0.12544063733784547</v>
      </c>
      <c r="Q122" s="10">
        <f>+K122/$C$180</f>
        <v>0.19006157172400831</v>
      </c>
      <c r="R122">
        <v>0</v>
      </c>
      <c r="S122" s="30">
        <f t="shared" si="41"/>
        <v>0</v>
      </c>
      <c r="T122" s="30">
        <f t="shared" si="42"/>
        <v>0</v>
      </c>
    </row>
    <row r="123" spans="1:26" x14ac:dyDescent="0.3">
      <c r="A123" s="25" t="s">
        <v>546</v>
      </c>
      <c r="B123" s="127" t="s">
        <v>547</v>
      </c>
      <c r="C123" s="20"/>
      <c r="D123" s="160">
        <v>0</v>
      </c>
      <c r="E123" s="76">
        <f>+(E86+E93+E102+E111)/3</f>
        <v>0</v>
      </c>
      <c r="F123" s="76">
        <f t="shared" si="44"/>
        <v>0</v>
      </c>
      <c r="G123" s="123">
        <v>0.19</v>
      </c>
      <c r="H123" s="64">
        <v>2000</v>
      </c>
      <c r="I123" s="64"/>
      <c r="J123" s="64"/>
      <c r="K123" s="128"/>
      <c r="L123" s="64"/>
      <c r="M123" s="24"/>
      <c r="N123" s="124" t="s">
        <v>267</v>
      </c>
      <c r="R123">
        <v>0</v>
      </c>
      <c r="S123" s="30">
        <f t="shared" si="41"/>
        <v>0</v>
      </c>
      <c r="T123" s="30">
        <f t="shared" si="42"/>
        <v>0</v>
      </c>
    </row>
    <row r="124" spans="1:26" x14ac:dyDescent="0.3">
      <c r="A124" s="25" t="s">
        <v>548</v>
      </c>
      <c r="B124" s="127" t="s">
        <v>549</v>
      </c>
      <c r="C124" s="20"/>
      <c r="D124" s="160">
        <v>0</v>
      </c>
      <c r="E124" s="76">
        <f>+(E88+E96+E105+E114)/3</f>
        <v>0</v>
      </c>
      <c r="F124" s="76">
        <f t="shared" si="44"/>
        <v>0</v>
      </c>
      <c r="G124" s="123">
        <v>0.19</v>
      </c>
      <c r="H124" s="64">
        <v>2000</v>
      </c>
      <c r="I124" s="64"/>
      <c r="J124" s="64"/>
      <c r="K124" s="128"/>
      <c r="L124" s="64"/>
      <c r="M124" s="24"/>
      <c r="N124" s="124" t="s">
        <v>267</v>
      </c>
      <c r="S124" s="30">
        <f t="shared" si="41"/>
        <v>0</v>
      </c>
      <c r="T124" s="30">
        <f t="shared" si="42"/>
        <v>0</v>
      </c>
    </row>
    <row r="125" spans="1:26" x14ac:dyDescent="0.3">
      <c r="A125" s="25" t="s">
        <v>550</v>
      </c>
      <c r="B125" s="127" t="s">
        <v>551</v>
      </c>
      <c r="C125" s="20" t="s">
        <v>299</v>
      </c>
      <c r="D125" s="160">
        <v>1</v>
      </c>
      <c r="E125" s="20">
        <v>1</v>
      </c>
      <c r="F125" s="76">
        <f t="shared" si="44"/>
        <v>2</v>
      </c>
      <c r="G125" s="123">
        <v>0.19</v>
      </c>
      <c r="H125" s="64">
        <v>7500</v>
      </c>
      <c r="I125" s="64">
        <f t="shared" si="36"/>
        <v>15000</v>
      </c>
      <c r="J125" s="64">
        <f t="shared" si="37"/>
        <v>17850</v>
      </c>
      <c r="K125" s="128">
        <f t="shared" si="38"/>
        <v>11363.636363636366</v>
      </c>
      <c r="L125" s="64">
        <f t="shared" si="39"/>
        <v>22727.272727272732</v>
      </c>
      <c r="M125" s="24">
        <f t="shared" si="40"/>
        <v>27045.454545454548</v>
      </c>
      <c r="N125" s="124" t="s">
        <v>267</v>
      </c>
      <c r="S125" s="30"/>
      <c r="T125" s="30"/>
    </row>
    <row r="126" spans="1:26" x14ac:dyDescent="0.3">
      <c r="A126" s="25" t="s">
        <v>552</v>
      </c>
      <c r="B126" s="127" t="s">
        <v>553</v>
      </c>
      <c r="C126" s="20" t="s">
        <v>299</v>
      </c>
      <c r="D126" s="160">
        <v>1</v>
      </c>
      <c r="E126" s="20">
        <v>1</v>
      </c>
      <c r="F126" s="76">
        <f t="shared" si="44"/>
        <v>2</v>
      </c>
      <c r="G126" s="123">
        <v>0.19</v>
      </c>
      <c r="H126" s="64">
        <v>3500</v>
      </c>
      <c r="I126" s="64">
        <f t="shared" si="36"/>
        <v>7000</v>
      </c>
      <c r="J126" s="64">
        <f t="shared" si="37"/>
        <v>8330</v>
      </c>
      <c r="K126" s="128">
        <f t="shared" si="38"/>
        <v>5303.0303030303039</v>
      </c>
      <c r="L126" s="64">
        <f t="shared" si="39"/>
        <v>10606.060606060608</v>
      </c>
      <c r="M126" s="24">
        <f t="shared" si="40"/>
        <v>12621.212121212122</v>
      </c>
      <c r="N126" s="124" t="s">
        <v>267</v>
      </c>
      <c r="S126" s="30"/>
      <c r="T126" s="30"/>
    </row>
    <row r="127" spans="1:26" x14ac:dyDescent="0.3">
      <c r="A127" s="25" t="s">
        <v>554</v>
      </c>
      <c r="B127" s="127" t="s">
        <v>555</v>
      </c>
      <c r="C127" s="20" t="s">
        <v>299</v>
      </c>
      <c r="D127" s="160">
        <v>1</v>
      </c>
      <c r="E127" s="20">
        <v>1</v>
      </c>
      <c r="F127" s="76">
        <f t="shared" si="44"/>
        <v>2</v>
      </c>
      <c r="G127" s="123">
        <v>0.19</v>
      </c>
      <c r="H127" s="64">
        <v>3500</v>
      </c>
      <c r="I127" s="64">
        <f t="shared" si="36"/>
        <v>7000</v>
      </c>
      <c r="J127" s="64">
        <f t="shared" si="37"/>
        <v>8330</v>
      </c>
      <c r="K127" s="128">
        <f t="shared" si="38"/>
        <v>5303.0303030303039</v>
      </c>
      <c r="L127" s="64">
        <f t="shared" si="39"/>
        <v>10606.060606060608</v>
      </c>
      <c r="M127" s="24">
        <f t="shared" si="40"/>
        <v>12621.212121212122</v>
      </c>
      <c r="N127" s="124" t="s">
        <v>267</v>
      </c>
      <c r="S127" s="30"/>
      <c r="T127" s="30"/>
    </row>
    <row r="128" spans="1:26" x14ac:dyDescent="0.3">
      <c r="A128" s="25" t="s">
        <v>556</v>
      </c>
      <c r="B128" s="127" t="s">
        <v>557</v>
      </c>
      <c r="C128" s="20" t="s">
        <v>299</v>
      </c>
      <c r="D128" s="160">
        <v>1</v>
      </c>
      <c r="E128" s="20">
        <v>1</v>
      </c>
      <c r="F128" s="76">
        <f>+D128+E128</f>
        <v>2</v>
      </c>
      <c r="G128" s="123">
        <v>0.19</v>
      </c>
      <c r="H128" s="64">
        <v>3500</v>
      </c>
      <c r="I128" s="64">
        <f t="shared" si="36"/>
        <v>7000</v>
      </c>
      <c r="J128" s="64">
        <f t="shared" si="37"/>
        <v>8330</v>
      </c>
      <c r="K128" s="128">
        <f t="shared" si="38"/>
        <v>5303.0303030303039</v>
      </c>
      <c r="L128" s="64">
        <f t="shared" si="39"/>
        <v>10606.060606060608</v>
      </c>
      <c r="M128" s="24">
        <f t="shared" si="40"/>
        <v>12621.212121212122</v>
      </c>
      <c r="N128" s="124" t="s">
        <v>267</v>
      </c>
      <c r="O128" s="109" t="s">
        <v>303</v>
      </c>
      <c r="P128" s="30">
        <f>+K117-J117</f>
        <v>62456.060606060615</v>
      </c>
      <c r="Q128" s="10"/>
      <c r="R128" s="10"/>
      <c r="S128" s="30"/>
      <c r="T128" s="10"/>
    </row>
    <row r="129" spans="1:20" x14ac:dyDescent="0.3">
      <c r="A129" s="25" t="s">
        <v>558</v>
      </c>
      <c r="B129" s="127" t="s">
        <v>559</v>
      </c>
      <c r="C129" s="20" t="s">
        <v>299</v>
      </c>
      <c r="D129" s="160">
        <v>100</v>
      </c>
      <c r="E129" s="20">
        <v>0</v>
      </c>
      <c r="F129" s="76">
        <f t="shared" si="44"/>
        <v>100</v>
      </c>
      <c r="G129" s="123">
        <v>0.19</v>
      </c>
      <c r="H129" s="64">
        <v>200</v>
      </c>
      <c r="I129" s="64">
        <f t="shared" si="36"/>
        <v>20000</v>
      </c>
      <c r="J129" s="64">
        <f t="shared" si="37"/>
        <v>23800</v>
      </c>
      <c r="K129" s="128">
        <f t="shared" si="38"/>
        <v>303.03030303030306</v>
      </c>
      <c r="L129" s="64">
        <f t="shared" si="39"/>
        <v>30303.030303030308</v>
      </c>
      <c r="M129" s="24">
        <f t="shared" si="40"/>
        <v>36060.606060606064</v>
      </c>
      <c r="N129" s="124" t="s">
        <v>267</v>
      </c>
      <c r="O129" s="109" t="s">
        <v>560</v>
      </c>
      <c r="P129" s="30">
        <f>+J117*0.5</f>
        <v>0</v>
      </c>
      <c r="Q129" s="10"/>
      <c r="R129" s="10"/>
      <c r="S129" s="30"/>
      <c r="T129" s="10"/>
    </row>
    <row r="130" spans="1:20" x14ac:dyDescent="0.3">
      <c r="A130" s="25" t="s">
        <v>561</v>
      </c>
      <c r="B130" s="127" t="s">
        <v>562</v>
      </c>
      <c r="C130" s="20" t="s">
        <v>299</v>
      </c>
      <c r="D130" s="160">
        <v>1</v>
      </c>
      <c r="E130" s="20">
        <v>0</v>
      </c>
      <c r="F130" s="76">
        <f t="shared" si="44"/>
        <v>1</v>
      </c>
      <c r="G130" s="123">
        <v>0.19</v>
      </c>
      <c r="H130" s="64">
        <v>28000</v>
      </c>
      <c r="I130" s="64">
        <f t="shared" si="36"/>
        <v>28000</v>
      </c>
      <c r="J130" s="64">
        <f t="shared" si="37"/>
        <v>33320</v>
      </c>
      <c r="K130" s="128">
        <f t="shared" si="38"/>
        <v>42424.242424242431</v>
      </c>
      <c r="L130" s="64">
        <f t="shared" si="39"/>
        <v>42424.242424242431</v>
      </c>
      <c r="M130" s="24">
        <f t="shared" si="40"/>
        <v>50484.848484848488</v>
      </c>
      <c r="N130" s="124" t="s">
        <v>267</v>
      </c>
      <c r="O130" s="109"/>
      <c r="P130" s="30"/>
      <c r="Q130" s="10"/>
      <c r="R130" s="10"/>
      <c r="S130" s="30"/>
      <c r="T130" s="10"/>
    </row>
    <row r="131" spans="1:20" x14ac:dyDescent="0.3">
      <c r="A131" s="25" t="s">
        <v>563</v>
      </c>
      <c r="B131" s="127" t="s">
        <v>564</v>
      </c>
      <c r="C131" s="20" t="s">
        <v>299</v>
      </c>
      <c r="D131" s="160">
        <v>1</v>
      </c>
      <c r="E131" s="20">
        <v>0</v>
      </c>
      <c r="F131" s="76">
        <f t="shared" si="44"/>
        <v>1</v>
      </c>
      <c r="G131" s="123">
        <v>0.19</v>
      </c>
      <c r="H131" s="64">
        <v>28000</v>
      </c>
      <c r="I131" s="64">
        <f t="shared" si="36"/>
        <v>28000</v>
      </c>
      <c r="J131" s="64">
        <f t="shared" si="37"/>
        <v>33320</v>
      </c>
      <c r="K131" s="128">
        <f t="shared" si="38"/>
        <v>42424.242424242431</v>
      </c>
      <c r="L131" s="64">
        <f t="shared" si="39"/>
        <v>42424.242424242431</v>
      </c>
      <c r="M131" s="24">
        <f t="shared" si="40"/>
        <v>50484.848484848488</v>
      </c>
      <c r="N131" s="124" t="s">
        <v>267</v>
      </c>
      <c r="O131" s="109"/>
      <c r="P131" s="30"/>
      <c r="Q131" s="10"/>
      <c r="R131" s="10"/>
      <c r="S131" s="30"/>
      <c r="T131" s="10"/>
    </row>
    <row r="132" spans="1:20" x14ac:dyDescent="0.3">
      <c r="A132" s="25" t="s">
        <v>565</v>
      </c>
      <c r="B132" s="20" t="s">
        <v>566</v>
      </c>
      <c r="C132" s="20" t="s">
        <v>299</v>
      </c>
      <c r="D132" s="160">
        <v>2</v>
      </c>
      <c r="E132" s="20">
        <v>0</v>
      </c>
      <c r="F132" s="76">
        <f t="shared" si="44"/>
        <v>2</v>
      </c>
      <c r="G132" s="123">
        <v>0.19</v>
      </c>
      <c r="H132" s="64">
        <f>12495/1.19</f>
        <v>10500</v>
      </c>
      <c r="I132" s="64">
        <f t="shared" si="36"/>
        <v>21000</v>
      </c>
      <c r="J132" s="64">
        <f t="shared" si="37"/>
        <v>24990</v>
      </c>
      <c r="K132" s="128">
        <f t="shared" si="38"/>
        <v>15909.090909090912</v>
      </c>
      <c r="L132" s="64">
        <f t="shared" si="39"/>
        <v>31818.181818181823</v>
      </c>
      <c r="M132" s="24">
        <f t="shared" si="40"/>
        <v>37863.636363636368</v>
      </c>
      <c r="N132" s="124" t="s">
        <v>267</v>
      </c>
      <c r="O132" s="109"/>
      <c r="P132" s="30"/>
      <c r="Q132" s="10"/>
      <c r="R132" s="10"/>
      <c r="S132" s="30"/>
      <c r="T132" s="10"/>
    </row>
    <row r="133" spans="1:20" x14ac:dyDescent="0.3">
      <c r="A133" s="25" t="s">
        <v>567</v>
      </c>
      <c r="B133" s="139" t="s">
        <v>568</v>
      </c>
      <c r="C133" s="140" t="s">
        <v>569</v>
      </c>
      <c r="D133" s="151">
        <v>0.01</v>
      </c>
      <c r="E133" s="151">
        <v>0</v>
      </c>
      <c r="F133" s="51">
        <v>0</v>
      </c>
      <c r="G133" s="141">
        <v>0.19</v>
      </c>
      <c r="H133" s="142"/>
      <c r="I133" s="143">
        <f>+SUM(I9+I16+I26+I30+I41+I54+SUM(I84:I132))*F133</f>
        <v>0</v>
      </c>
      <c r="J133" s="143">
        <f>+I133*(1+G133)</f>
        <v>0</v>
      </c>
      <c r="K133" s="144"/>
      <c r="L133" s="152">
        <f>+I133/D3</f>
        <v>0</v>
      </c>
      <c r="M133" s="144">
        <f>+L133*(1+G133)</f>
        <v>0</v>
      </c>
      <c r="N133" s="124" t="s">
        <v>267</v>
      </c>
      <c r="O133" s="109"/>
      <c r="P133" s="30"/>
      <c r="Q133" s="10"/>
      <c r="R133" s="10"/>
      <c r="S133" s="30"/>
      <c r="T133" s="10"/>
    </row>
    <row r="134" spans="1:20" x14ac:dyDescent="0.3">
      <c r="A134" s="52">
        <v>8</v>
      </c>
      <c r="B134" s="27" t="s">
        <v>570</v>
      </c>
      <c r="C134" s="20"/>
      <c r="D134" s="20"/>
      <c r="E134" s="20"/>
      <c r="F134" s="76"/>
      <c r="G134" s="126"/>
      <c r="H134" s="64"/>
      <c r="I134" s="122">
        <f>+SUM(I135)</f>
        <v>50000</v>
      </c>
      <c r="J134" s="122">
        <f>+SUM(J135)</f>
        <v>59500</v>
      </c>
      <c r="K134" s="23"/>
      <c r="L134" s="21">
        <f>+SUM(L135)</f>
        <v>75757.57575757576</v>
      </c>
      <c r="M134" s="21">
        <f>+SUM(M135)</f>
        <v>90151.515151515152</v>
      </c>
      <c r="N134" s="20"/>
      <c r="O134" s="109"/>
      <c r="P134" s="30"/>
      <c r="Q134" s="10"/>
      <c r="R134" s="10"/>
      <c r="S134" s="30"/>
      <c r="T134" s="10"/>
    </row>
    <row r="135" spans="1:20" ht="43.2" x14ac:dyDescent="0.3">
      <c r="A135" s="22"/>
      <c r="B135" s="26" t="s">
        <v>571</v>
      </c>
      <c r="C135" s="20" t="s">
        <v>572</v>
      </c>
      <c r="D135" s="20">
        <v>1</v>
      </c>
      <c r="E135" s="20">
        <v>0</v>
      </c>
      <c r="F135" s="76">
        <f t="shared" si="44"/>
        <v>1</v>
      </c>
      <c r="G135" s="123">
        <v>0.19</v>
      </c>
      <c r="H135" s="64">
        <v>50000</v>
      </c>
      <c r="I135" s="64">
        <f t="shared" ref="I135" si="45">+H135*F135</f>
        <v>50000</v>
      </c>
      <c r="J135" s="64">
        <f t="shared" ref="J135" si="46">+I135*(1+G135)</f>
        <v>59500</v>
      </c>
      <c r="K135" s="128">
        <f>+H135/$D$4</f>
        <v>75757.57575757576</v>
      </c>
      <c r="L135" s="64">
        <f>+K135*F135</f>
        <v>75757.57575757576</v>
      </c>
      <c r="M135" s="24">
        <f t="shared" ref="M135" si="47">+L135*(1+G135)</f>
        <v>90151.515151515152</v>
      </c>
      <c r="N135" s="140" t="s">
        <v>268</v>
      </c>
      <c r="O135" s="109"/>
      <c r="P135" s="30"/>
      <c r="Q135" s="10"/>
      <c r="R135" s="10"/>
      <c r="S135" s="30"/>
      <c r="T135" s="10"/>
    </row>
    <row r="136" spans="1:20" x14ac:dyDescent="0.3">
      <c r="A136" s="52">
        <v>8</v>
      </c>
      <c r="B136" s="27" t="s">
        <v>573</v>
      </c>
      <c r="C136" s="20"/>
      <c r="D136" s="20"/>
      <c r="E136" s="20"/>
      <c r="F136" s="76"/>
      <c r="G136" s="126"/>
      <c r="H136" s="64"/>
      <c r="I136" s="122">
        <f>+SUM(I137:I140)</f>
        <v>4000000</v>
      </c>
      <c r="J136" s="122">
        <f>+SUM(J137:J140)</f>
        <v>4760000</v>
      </c>
      <c r="K136" s="55"/>
      <c r="L136" s="122">
        <f>+SUM(L137:L140)</f>
        <v>6060606.0606060615</v>
      </c>
      <c r="M136" s="55">
        <f>+SUM(M137:M140)</f>
        <v>7212121.2121212119</v>
      </c>
      <c r="N136" s="20"/>
      <c r="O136" s="109"/>
      <c r="P136" s="30"/>
      <c r="Q136" s="10"/>
      <c r="R136" s="10"/>
      <c r="S136" s="30"/>
      <c r="T136" s="10"/>
    </row>
    <row r="137" spans="1:20" x14ac:dyDescent="0.3">
      <c r="A137" s="25" t="s">
        <v>574</v>
      </c>
      <c r="B137" s="139" t="s">
        <v>575</v>
      </c>
      <c r="C137" s="61" t="s">
        <v>572</v>
      </c>
      <c r="D137" s="61"/>
      <c r="E137" s="61"/>
      <c r="F137" s="76">
        <v>1</v>
      </c>
      <c r="G137" s="145">
        <v>0.19</v>
      </c>
      <c r="H137" s="64">
        <v>900000</v>
      </c>
      <c r="I137" s="64">
        <f t="shared" ref="I137:I140" si="48">+H137*F137</f>
        <v>900000</v>
      </c>
      <c r="J137" s="64">
        <f t="shared" ref="J137:J140" si="49">+I137*(1+G137)</f>
        <v>1071000</v>
      </c>
      <c r="K137" s="128">
        <f>+H137/$D$5</f>
        <v>1363636.3636363638</v>
      </c>
      <c r="L137" s="64">
        <f t="shared" ref="L137:L140" si="50">+K137*F137</f>
        <v>1363636.3636363638</v>
      </c>
      <c r="M137" s="24">
        <f t="shared" ref="M137:M140" si="51">+L137*(1+G137)</f>
        <v>1622727.2727272727</v>
      </c>
      <c r="N137" s="124" t="s">
        <v>273</v>
      </c>
      <c r="O137" s="109"/>
      <c r="P137" s="30"/>
      <c r="Q137" s="10"/>
      <c r="R137" s="10"/>
      <c r="S137" s="30"/>
      <c r="T137" s="10"/>
    </row>
    <row r="138" spans="1:20" x14ac:dyDescent="0.3">
      <c r="A138" s="25" t="s">
        <v>576</v>
      </c>
      <c r="B138" s="139" t="s">
        <v>577</v>
      </c>
      <c r="C138" s="61" t="s">
        <v>572</v>
      </c>
      <c r="D138" s="61"/>
      <c r="E138" s="61"/>
      <c r="F138" s="76">
        <v>1</v>
      </c>
      <c r="G138" s="145">
        <v>0.19</v>
      </c>
      <c r="H138" s="64">
        <v>2500000</v>
      </c>
      <c r="I138" s="64">
        <f t="shared" si="48"/>
        <v>2500000</v>
      </c>
      <c r="J138" s="64">
        <f t="shared" si="49"/>
        <v>2975000</v>
      </c>
      <c r="K138" s="128">
        <f t="shared" ref="K138:K140" si="52">+H138/$D$5</f>
        <v>3787878.7878787885</v>
      </c>
      <c r="L138" s="64">
        <f t="shared" si="50"/>
        <v>3787878.7878787885</v>
      </c>
      <c r="M138" s="24">
        <f t="shared" si="51"/>
        <v>4507575.7575757578</v>
      </c>
      <c r="N138" s="124" t="s">
        <v>273</v>
      </c>
      <c r="O138" s="109"/>
      <c r="P138" s="30"/>
      <c r="Q138" s="10"/>
      <c r="R138" s="10"/>
      <c r="S138" s="30"/>
      <c r="T138" s="10"/>
    </row>
    <row r="139" spans="1:20" x14ac:dyDescent="0.3">
      <c r="A139" s="25" t="s">
        <v>578</v>
      </c>
      <c r="B139" s="26" t="s">
        <v>579</v>
      </c>
      <c r="C139" s="61" t="s">
        <v>580</v>
      </c>
      <c r="D139" s="61"/>
      <c r="E139" s="61"/>
      <c r="F139" s="76">
        <v>1</v>
      </c>
      <c r="G139" s="145">
        <v>0.19</v>
      </c>
      <c r="H139" s="146">
        <v>600000</v>
      </c>
      <c r="I139" s="64">
        <f t="shared" si="48"/>
        <v>600000</v>
      </c>
      <c r="J139" s="64">
        <f t="shared" si="49"/>
        <v>714000</v>
      </c>
      <c r="K139" s="128">
        <f t="shared" si="52"/>
        <v>909090.90909090918</v>
      </c>
      <c r="L139" s="64">
        <f t="shared" si="50"/>
        <v>909090.90909090918</v>
      </c>
      <c r="M139" s="24">
        <f t="shared" si="51"/>
        <v>1081818.1818181819</v>
      </c>
      <c r="N139" s="124" t="s">
        <v>271</v>
      </c>
      <c r="O139" s="109"/>
      <c r="P139" s="30"/>
      <c r="Q139" s="10"/>
      <c r="R139" s="10"/>
      <c r="S139" s="30"/>
      <c r="T139" s="10"/>
    </row>
    <row r="140" spans="1:20" x14ac:dyDescent="0.3">
      <c r="A140" s="25" t="s">
        <v>581</v>
      </c>
      <c r="B140" s="26" t="s">
        <v>582</v>
      </c>
      <c r="C140" s="61" t="s">
        <v>580</v>
      </c>
      <c r="D140" s="61"/>
      <c r="E140" s="61"/>
      <c r="F140" s="76">
        <v>0</v>
      </c>
      <c r="G140" s="145">
        <v>0.19</v>
      </c>
      <c r="H140" s="146">
        <v>850000</v>
      </c>
      <c r="I140" s="64">
        <f t="shared" si="48"/>
        <v>0</v>
      </c>
      <c r="J140" s="64">
        <f t="shared" si="49"/>
        <v>0</v>
      </c>
      <c r="K140" s="128">
        <f t="shared" si="52"/>
        <v>1287878.7878787881</v>
      </c>
      <c r="L140" s="64">
        <f t="shared" si="50"/>
        <v>0</v>
      </c>
      <c r="M140" s="24">
        <f t="shared" si="51"/>
        <v>0</v>
      </c>
      <c r="N140" s="124" t="s">
        <v>271</v>
      </c>
      <c r="O140" s="109"/>
      <c r="P140" s="30"/>
      <c r="Q140" s="10"/>
      <c r="R140" s="10"/>
      <c r="S140" s="30"/>
      <c r="T140" s="10"/>
    </row>
    <row r="141" spans="1:20" x14ac:dyDescent="0.3">
      <c r="A141" s="52">
        <v>9</v>
      </c>
      <c r="B141" s="27" t="s">
        <v>295</v>
      </c>
      <c r="C141" s="20"/>
      <c r="D141" s="20"/>
      <c r="E141" s="20"/>
      <c r="F141" s="76"/>
      <c r="G141" s="126"/>
      <c r="H141" s="146"/>
      <c r="I141" s="122">
        <f>+SUM(I142:I144)</f>
        <v>3190000</v>
      </c>
      <c r="J141" s="122">
        <f>+SUM(J142:J144)</f>
        <v>3220305</v>
      </c>
      <c r="K141" s="55"/>
      <c r="L141" s="122">
        <f>+SUM(L142:L144)</f>
        <v>4833333.333333334</v>
      </c>
      <c r="M141" s="122">
        <f>+SUM(M142:M144)</f>
        <v>4879250.0000000009</v>
      </c>
      <c r="N141" s="20"/>
      <c r="O141" s="109"/>
      <c r="P141" s="30"/>
      <c r="Q141" s="10"/>
      <c r="R141" s="10"/>
      <c r="S141" s="30"/>
      <c r="T141" s="10"/>
    </row>
    <row r="142" spans="1:20" x14ac:dyDescent="0.3">
      <c r="A142" s="137" t="s">
        <v>583</v>
      </c>
      <c r="B142" s="26" t="s">
        <v>584</v>
      </c>
      <c r="C142" s="20" t="s">
        <v>572</v>
      </c>
      <c r="D142" s="20">
        <f>+Cálculos!D8</f>
        <v>15950</v>
      </c>
      <c r="E142" s="20">
        <v>0</v>
      </c>
      <c r="F142" s="76">
        <f t="shared" si="44"/>
        <v>15950</v>
      </c>
      <c r="G142" s="123">
        <v>0.19</v>
      </c>
      <c r="H142" s="64">
        <v>200</v>
      </c>
      <c r="I142" s="64">
        <f>+H142*F142</f>
        <v>3190000</v>
      </c>
      <c r="J142" s="24">
        <f>+I142+(I142*5%*19%)</f>
        <v>3220305</v>
      </c>
      <c r="K142" s="128">
        <f>+H142/$D$4</f>
        <v>303.03030303030306</v>
      </c>
      <c r="L142" s="64">
        <f t="shared" ref="L142:L144" si="53">+K142*F142</f>
        <v>4833333.333333334</v>
      </c>
      <c r="M142" s="24">
        <f>+L142+(L142*5%*19%)</f>
        <v>4879250.0000000009</v>
      </c>
      <c r="N142" s="140" t="s">
        <v>268</v>
      </c>
      <c r="O142" s="109"/>
      <c r="P142" s="30"/>
      <c r="Q142" s="10"/>
      <c r="R142" s="10"/>
      <c r="S142" s="30"/>
      <c r="T142" s="10"/>
    </row>
    <row r="143" spans="1:20" x14ac:dyDescent="0.3">
      <c r="A143" s="137" t="s">
        <v>585</v>
      </c>
      <c r="B143" s="26" t="s">
        <v>586</v>
      </c>
      <c r="C143" s="20" t="s">
        <v>572</v>
      </c>
      <c r="D143" s="20">
        <v>0</v>
      </c>
      <c r="E143" s="20">
        <v>0</v>
      </c>
      <c r="F143" s="76">
        <f t="shared" si="44"/>
        <v>0</v>
      </c>
      <c r="G143" s="123"/>
      <c r="H143" s="64">
        <v>200000</v>
      </c>
      <c r="I143" s="64">
        <f t="shared" ref="I143:I144" si="54">+H143*F143</f>
        <v>0</v>
      </c>
      <c r="J143" s="64">
        <f t="shared" ref="J143:J144" si="55">+I143*(1+G143)</f>
        <v>0</v>
      </c>
      <c r="K143" s="128">
        <f t="shared" ref="K143:K144" si="56">+H143/$D$4</f>
        <v>303030.30303030304</v>
      </c>
      <c r="L143" s="64">
        <f t="shared" si="53"/>
        <v>0</v>
      </c>
      <c r="M143" s="24">
        <f t="shared" ref="M143:M144" si="57">+L143*(1+G143)</f>
        <v>0</v>
      </c>
      <c r="N143" s="140" t="s">
        <v>268</v>
      </c>
      <c r="O143" s="109"/>
      <c r="P143" s="30"/>
      <c r="Q143" s="10"/>
      <c r="R143" s="10"/>
      <c r="S143" s="30"/>
      <c r="T143" s="10"/>
    </row>
    <row r="144" spans="1:20" x14ac:dyDescent="0.3">
      <c r="A144" s="137" t="s">
        <v>587</v>
      </c>
      <c r="B144" s="26" t="s">
        <v>588</v>
      </c>
      <c r="C144" s="20" t="s">
        <v>572</v>
      </c>
      <c r="D144" s="20">
        <v>0</v>
      </c>
      <c r="E144" s="20">
        <v>0</v>
      </c>
      <c r="F144" s="76">
        <v>0</v>
      </c>
      <c r="G144" s="123"/>
      <c r="H144" s="64">
        <v>500000</v>
      </c>
      <c r="I144" s="64">
        <f t="shared" si="54"/>
        <v>0</v>
      </c>
      <c r="J144" s="64">
        <f t="shared" si="55"/>
        <v>0</v>
      </c>
      <c r="K144" s="128">
        <f t="shared" si="56"/>
        <v>757575.75757575769</v>
      </c>
      <c r="L144" s="64">
        <f t="shared" si="53"/>
        <v>0</v>
      </c>
      <c r="M144" s="24">
        <f t="shared" si="57"/>
        <v>0</v>
      </c>
      <c r="N144" s="140" t="s">
        <v>268</v>
      </c>
      <c r="O144" s="109"/>
      <c r="P144" s="30"/>
      <c r="Q144" s="10"/>
      <c r="R144" s="10"/>
      <c r="S144" s="30"/>
      <c r="T144" s="10"/>
    </row>
    <row r="145" spans="1:30" x14ac:dyDescent="0.3">
      <c r="A145" s="52">
        <v>10</v>
      </c>
      <c r="B145" s="27" t="s">
        <v>589</v>
      </c>
      <c r="C145" s="20"/>
      <c r="D145" s="20"/>
      <c r="E145" s="20"/>
      <c r="F145" s="76"/>
      <c r="G145" s="123"/>
      <c r="H145" s="64"/>
      <c r="I145" s="122">
        <f>+SUM(I146:I147)</f>
        <v>2400000</v>
      </c>
      <c r="J145" s="122">
        <f>+SUM(J146:J147)</f>
        <v>2856000</v>
      </c>
      <c r="K145" s="23"/>
      <c r="L145" s="122">
        <f>+SUM(L146:L147)</f>
        <v>3636363.6363636367</v>
      </c>
      <c r="M145" s="55">
        <f>+SUM(M146:M147)</f>
        <v>4327272.7272727275</v>
      </c>
      <c r="N145" s="20"/>
      <c r="O145" s="109"/>
      <c r="P145" s="30"/>
      <c r="Q145" s="10"/>
      <c r="R145" s="10"/>
      <c r="S145" s="30"/>
      <c r="T145" s="10"/>
      <c r="AA145" s="33">
        <f>+M145</f>
        <v>4327272.7272727275</v>
      </c>
      <c r="AB145" s="33">
        <f>+J145</f>
        <v>2856000</v>
      </c>
    </row>
    <row r="146" spans="1:30" x14ac:dyDescent="0.3">
      <c r="A146" s="25" t="s">
        <v>587</v>
      </c>
      <c r="B146" s="26" t="s">
        <v>590</v>
      </c>
      <c r="C146" s="61" t="s">
        <v>299</v>
      </c>
      <c r="D146" s="61">
        <v>1</v>
      </c>
      <c r="E146" s="61">
        <v>0</v>
      </c>
      <c r="F146" s="76">
        <f t="shared" si="44"/>
        <v>1</v>
      </c>
      <c r="G146" s="145">
        <v>0.19</v>
      </c>
      <c r="H146" s="146">
        <v>1300000</v>
      </c>
      <c r="I146" s="64">
        <f>+H146*F146</f>
        <v>1300000</v>
      </c>
      <c r="J146" s="64">
        <f t="shared" ref="J146:J147" si="58">+I146*(1+G146)</f>
        <v>1547000</v>
      </c>
      <c r="K146" s="128">
        <f>+H146/$D$5</f>
        <v>1969696.96969697</v>
      </c>
      <c r="L146" s="64">
        <f t="shared" ref="L146:L147" si="59">+K146*F146</f>
        <v>1969696.96969697</v>
      </c>
      <c r="M146" s="24">
        <f t="shared" ref="M146:M147" si="60">+L146*(1+G146)</f>
        <v>2343939.393939394</v>
      </c>
      <c r="N146" s="124" t="s">
        <v>272</v>
      </c>
      <c r="O146" s="109"/>
      <c r="P146" s="30"/>
      <c r="Q146" s="10"/>
      <c r="R146" s="10"/>
      <c r="S146" s="30"/>
      <c r="T146" s="10"/>
    </row>
    <row r="147" spans="1:30" ht="28.8" x14ac:dyDescent="0.3">
      <c r="A147" s="25" t="s">
        <v>591</v>
      </c>
      <c r="B147" s="26" t="s">
        <v>592</v>
      </c>
      <c r="C147" s="61" t="s">
        <v>572</v>
      </c>
      <c r="D147" s="61">
        <v>0</v>
      </c>
      <c r="E147" s="61">
        <v>0</v>
      </c>
      <c r="F147" s="172">
        <v>1</v>
      </c>
      <c r="G147" s="145">
        <v>0.19</v>
      </c>
      <c r="H147" s="146">
        <v>1100000</v>
      </c>
      <c r="I147" s="146">
        <f>+H147*F147</f>
        <v>1100000</v>
      </c>
      <c r="J147" s="146">
        <f t="shared" si="58"/>
        <v>1309000</v>
      </c>
      <c r="K147" s="147">
        <f>+H147/$D$2</f>
        <v>1666666.666666667</v>
      </c>
      <c r="L147" s="146">
        <f t="shared" si="59"/>
        <v>1666666.666666667</v>
      </c>
      <c r="M147" s="63">
        <f t="shared" si="60"/>
        <v>1983333.3333333337</v>
      </c>
      <c r="N147" s="140" t="s">
        <v>270</v>
      </c>
      <c r="O147" s="109"/>
      <c r="P147" s="30"/>
      <c r="Q147" s="10"/>
      <c r="R147" s="10"/>
      <c r="S147" s="30"/>
      <c r="T147" s="10"/>
    </row>
    <row r="148" spans="1:30" x14ac:dyDescent="0.3">
      <c r="A148" s="25"/>
      <c r="B148" s="26" t="s">
        <v>593</v>
      </c>
      <c r="C148" s="61"/>
      <c r="D148" s="61"/>
      <c r="E148" s="61"/>
      <c r="F148" s="61"/>
      <c r="G148" s="145"/>
      <c r="H148" s="146"/>
      <c r="I148" s="148">
        <f>+I9+I16+I26+I30+I41+I54+I83+I134+I136+I141+I145</f>
        <v>28173738.417815126</v>
      </c>
      <c r="J148" s="148">
        <f>+J9+J16+J26+J30+J41+J54+J83+J134+J136+J141+J145</f>
        <v>30587593.710000001</v>
      </c>
      <c r="K148" s="110"/>
      <c r="L148" s="148">
        <f>+L9+L16+L26+L30+L41+L54+L83+L134+L136+L141+L145+L47</f>
        <v>42687482.451235041</v>
      </c>
      <c r="M148" s="110">
        <f>+M9+M16+M26+M30+M41+M54+M83+M134+M136+M141+M145+M47</f>
        <v>46344838.954545461</v>
      </c>
      <c r="N148" s="20"/>
      <c r="O148" s="109"/>
      <c r="P148" s="30"/>
      <c r="Q148" s="10"/>
      <c r="R148" s="10"/>
      <c r="S148" s="30"/>
      <c r="T148" s="10"/>
      <c r="AA148" s="110">
        <f>+AA9+AA16+AA26+AA30+AA41+AA54+AA83+AA134+AA136+AA141+AA145+AA47</f>
        <v>34163316.227272734</v>
      </c>
      <c r="AB148" s="110">
        <f>+AB9+AB16+AB26+AB30+AB41+AB54+AB83+AB134+AB136+AB141+AB145+AB47</f>
        <v>22547788.710000001</v>
      </c>
    </row>
    <row r="149" spans="1:30" x14ac:dyDescent="0.3">
      <c r="A149" s="25"/>
      <c r="B149" s="26" t="s">
        <v>594</v>
      </c>
      <c r="C149" s="61" t="s">
        <v>572</v>
      </c>
      <c r="D149" s="61"/>
      <c r="E149" s="61"/>
      <c r="F149" s="82"/>
      <c r="G149" s="145">
        <v>0.19</v>
      </c>
      <c r="H149" s="149">
        <v>0.03</v>
      </c>
      <c r="I149" s="64">
        <f>+I148*H149</f>
        <v>845212.15253445378</v>
      </c>
      <c r="J149" s="64">
        <f t="shared" ref="J149" si="61">+I149*(1+G149)</f>
        <v>1005802.461516</v>
      </c>
      <c r="K149" s="62"/>
      <c r="L149" s="146">
        <f>+I149/D5</f>
        <v>1280624.4735370514</v>
      </c>
      <c r="M149" s="62">
        <f>+L149</f>
        <v>1280624.4735370514</v>
      </c>
      <c r="N149" s="140" t="s">
        <v>267</v>
      </c>
      <c r="O149" s="109"/>
      <c r="P149" s="30"/>
      <c r="Q149" s="10"/>
      <c r="R149" s="10"/>
      <c r="S149" s="30"/>
      <c r="T149" s="10"/>
      <c r="AA149" s="30"/>
      <c r="AB149" s="30">
        <f>+AA149</f>
        <v>0</v>
      </c>
    </row>
    <row r="150" spans="1:30" x14ac:dyDescent="0.3">
      <c r="A150" s="22"/>
      <c r="B150" s="139" t="s">
        <v>595</v>
      </c>
      <c r="C150" s="61"/>
      <c r="D150" s="61"/>
      <c r="E150" s="61"/>
      <c r="F150" s="82"/>
      <c r="G150" s="145">
        <v>0.19</v>
      </c>
      <c r="H150" s="149">
        <v>0.03</v>
      </c>
      <c r="I150" s="64">
        <f>+I148*H150</f>
        <v>845212.15253445378</v>
      </c>
      <c r="J150" s="64">
        <f>+I150*(1+G150)</f>
        <v>1005802.461516</v>
      </c>
      <c r="K150" s="62"/>
      <c r="L150" s="146">
        <f>+I150/D5</f>
        <v>1280624.4735370514</v>
      </c>
      <c r="M150" s="62">
        <f>+L150</f>
        <v>1280624.4735370514</v>
      </c>
      <c r="N150" s="140" t="s">
        <v>267</v>
      </c>
      <c r="O150" s="109"/>
      <c r="P150" s="30"/>
      <c r="Q150" s="10"/>
      <c r="R150" s="10"/>
      <c r="S150" s="30"/>
      <c r="T150" s="10"/>
      <c r="AA150" s="30"/>
      <c r="AB150" s="30">
        <f>+AA150</f>
        <v>0</v>
      </c>
    </row>
    <row r="151" spans="1:30" x14ac:dyDescent="0.3">
      <c r="A151" s="22"/>
      <c r="B151" s="139" t="s">
        <v>282</v>
      </c>
      <c r="C151" s="61" t="s">
        <v>569</v>
      </c>
      <c r="D151" s="82">
        <v>0.01</v>
      </c>
      <c r="E151" s="82">
        <v>0.01</v>
      </c>
      <c r="F151" s="82">
        <f>+D151+E151</f>
        <v>0.02</v>
      </c>
      <c r="G151" s="145">
        <v>0.19</v>
      </c>
      <c r="H151" s="149">
        <v>0.01</v>
      </c>
      <c r="I151" s="64">
        <f>+I148*H151</f>
        <v>281737.38417815126</v>
      </c>
      <c r="J151" s="64">
        <f>+I151*(1+G151)</f>
        <v>335267.48717199999</v>
      </c>
      <c r="K151" s="62"/>
      <c r="L151" s="146">
        <f>+I151/D3</f>
        <v>426874.82451235043</v>
      </c>
      <c r="M151" s="62">
        <f>+L151*(1+G151)</f>
        <v>507981.04116969701</v>
      </c>
      <c r="N151" s="140" t="s">
        <v>267</v>
      </c>
      <c r="O151" s="109"/>
      <c r="P151" s="30"/>
      <c r="Q151" s="10"/>
      <c r="R151" s="10"/>
      <c r="S151" s="30"/>
      <c r="T151" s="10"/>
    </row>
    <row r="152" spans="1:30" x14ac:dyDescent="0.3">
      <c r="A152" s="20"/>
      <c r="B152" s="27" t="s">
        <v>11</v>
      </c>
      <c r="C152" s="19"/>
      <c r="D152" s="19"/>
      <c r="E152" s="19"/>
      <c r="F152" s="19"/>
      <c r="G152" s="78"/>
      <c r="H152" s="20"/>
      <c r="I152" s="122">
        <f>+I148+I149+I150+I151</f>
        <v>30145900.107062187</v>
      </c>
      <c r="J152" s="122">
        <f>+J148+J149+J150+J151</f>
        <v>32934466.120204002</v>
      </c>
      <c r="K152" s="20"/>
      <c r="L152" s="122">
        <f>+L148+L149+L150+L151</f>
        <v>45675606.222821489</v>
      </c>
      <c r="M152" s="122">
        <f>+M148+M149+M150+M151</f>
        <v>49414068.942789257</v>
      </c>
      <c r="N152" s="20"/>
      <c r="O152" s="109"/>
      <c r="P152" s="109"/>
      <c r="Q152" s="10"/>
      <c r="R152" s="10"/>
      <c r="S152" s="30"/>
      <c r="T152" s="10"/>
      <c r="AA152" s="122">
        <f>+AA148+AA149+AA150+AA151</f>
        <v>34163316.227272734</v>
      </c>
      <c r="AB152" s="122">
        <f>+AB148+AB149+AB150+AB151</f>
        <v>22547788.710000001</v>
      </c>
    </row>
    <row r="153" spans="1:30" x14ac:dyDescent="0.3">
      <c r="I153" s="33">
        <f>+M152*1.5%</f>
        <v>741211.03414183878</v>
      </c>
      <c r="L153" s="30">
        <f>+L152/F142</f>
        <v>2863.6743713367705</v>
      </c>
      <c r="M153" s="30">
        <f>+M152/F142</f>
        <v>3098.0607487642169</v>
      </c>
      <c r="O153" s="156"/>
      <c r="P153" s="30"/>
      <c r="Q153" s="10"/>
      <c r="R153" s="10"/>
      <c r="S153" s="30"/>
      <c r="T153" s="10"/>
      <c r="AA153" s="38">
        <f>+J152/M152</f>
        <v>0.66649978082830919</v>
      </c>
      <c r="AC153">
        <f>+L152*70%</f>
        <v>31972924.355975039</v>
      </c>
      <c r="AD153">
        <f>+M152*70%</f>
        <v>34589848.259952478</v>
      </c>
    </row>
    <row r="154" spans="1:30" x14ac:dyDescent="0.3">
      <c r="I154">
        <v>98683872.146034673</v>
      </c>
      <c r="J154">
        <v>108830148.59278221</v>
      </c>
      <c r="K154" s="33"/>
      <c r="L154" s="33">
        <v>132689300.50349891</v>
      </c>
      <c r="M154" s="33">
        <v>144782478.48983249</v>
      </c>
      <c r="O154" s="156">
        <f>+L152*1.5%</f>
        <v>685134.09334232227</v>
      </c>
      <c r="P154" s="30"/>
      <c r="Q154" s="10"/>
      <c r="R154" s="10"/>
      <c r="S154" s="30"/>
      <c r="T154" s="10"/>
      <c r="AA154" s="33">
        <f>+M152*0.6</f>
        <v>29648441.365673553</v>
      </c>
      <c r="AB154" s="17">
        <f>+M152*1.5%</f>
        <v>741211.03414183878</v>
      </c>
    </row>
    <row r="155" spans="1:30" x14ac:dyDescent="0.3">
      <c r="A155" s="20"/>
      <c r="B155" s="119" t="s">
        <v>596</v>
      </c>
      <c r="C155" s="119" t="s">
        <v>299</v>
      </c>
      <c r="D155" s="119" t="s">
        <v>300</v>
      </c>
      <c r="E155" s="119" t="s">
        <v>301</v>
      </c>
      <c r="F155" s="119" t="s">
        <v>302</v>
      </c>
      <c r="G155" s="119" t="s">
        <v>303</v>
      </c>
      <c r="H155" s="119" t="s">
        <v>304</v>
      </c>
      <c r="I155" s="120" t="s">
        <v>305</v>
      </c>
      <c r="J155" s="119" t="s">
        <v>306</v>
      </c>
      <c r="K155" s="119" t="s">
        <v>307</v>
      </c>
      <c r="L155" s="120" t="s">
        <v>308</v>
      </c>
      <c r="M155" s="119" t="s">
        <v>309</v>
      </c>
      <c r="N155" s="119" t="s">
        <v>310</v>
      </c>
      <c r="O155" s="109"/>
      <c r="P155" s="30"/>
      <c r="Q155" s="10"/>
      <c r="R155" s="10"/>
      <c r="S155" s="30"/>
      <c r="T155" s="10"/>
      <c r="AA155" s="33">
        <f>+M152-L152</f>
        <v>3738462.7199677676</v>
      </c>
    </row>
    <row r="156" spans="1:30" x14ac:dyDescent="0.3">
      <c r="A156" s="133">
        <v>1</v>
      </c>
      <c r="B156" s="133" t="s">
        <v>597</v>
      </c>
      <c r="C156" s="133"/>
      <c r="D156" s="133"/>
      <c r="E156" s="133"/>
      <c r="F156" s="133"/>
      <c r="G156" s="133"/>
      <c r="H156" s="133"/>
      <c r="I156" s="150">
        <f>+SUM(I157:I158)</f>
        <v>0</v>
      </c>
      <c r="J156" s="150">
        <f>+SUM(J157:J158)</f>
        <v>0</v>
      </c>
      <c r="K156" s="133"/>
      <c r="L156" s="150">
        <f>+SUM(L157:L158)</f>
        <v>0</v>
      </c>
      <c r="M156" s="150">
        <f>+SUM(M157:M158)</f>
        <v>0</v>
      </c>
      <c r="N156" s="20"/>
      <c r="O156" s="109"/>
      <c r="P156" s="30"/>
      <c r="Q156" s="10"/>
      <c r="R156" s="10"/>
      <c r="S156" s="30"/>
      <c r="T156" s="10"/>
      <c r="AA156" s="28">
        <f>+L152/2</f>
        <v>22837803.111410744</v>
      </c>
    </row>
    <row r="157" spans="1:30" ht="57.6" x14ac:dyDescent="0.3">
      <c r="A157" s="125" t="s">
        <v>325</v>
      </c>
      <c r="B157" s="26" t="s">
        <v>598</v>
      </c>
      <c r="C157" s="20" t="s">
        <v>299</v>
      </c>
      <c r="D157" s="124">
        <v>0</v>
      </c>
      <c r="E157" s="124">
        <v>0</v>
      </c>
      <c r="F157" s="76">
        <f>+D157</f>
        <v>0</v>
      </c>
      <c r="G157" s="123">
        <v>0.19</v>
      </c>
      <c r="H157" s="64">
        <v>22500000</v>
      </c>
      <c r="I157" s="64">
        <f>+H157*F157</f>
        <v>0</v>
      </c>
      <c r="J157" s="64">
        <f t="shared" ref="J157:J158" si="62">+I157*(1+G157)</f>
        <v>0</v>
      </c>
      <c r="K157" s="23">
        <f>+H157/$D$3</f>
        <v>34090909.090909094</v>
      </c>
      <c r="L157" s="23">
        <f t="shared" ref="L157:L158" si="63">+K157*F157</f>
        <v>0</v>
      </c>
      <c r="M157" s="24">
        <f t="shared" ref="M157:M158" si="64">+L157*(1+G157)</f>
        <v>0</v>
      </c>
      <c r="N157" s="124" t="s">
        <v>599</v>
      </c>
      <c r="O157" s="109"/>
      <c r="P157" s="30"/>
      <c r="Q157" s="10"/>
      <c r="R157" s="10"/>
      <c r="S157" s="30"/>
      <c r="T157" s="10"/>
      <c r="AA157">
        <f>+L152/5</f>
        <v>9135121.2445642985</v>
      </c>
    </row>
    <row r="158" spans="1:30" ht="28.8" x14ac:dyDescent="0.3">
      <c r="A158" s="125" t="s">
        <v>327</v>
      </c>
      <c r="B158" s="26" t="s">
        <v>600</v>
      </c>
      <c r="C158" s="20" t="s">
        <v>299</v>
      </c>
      <c r="D158" s="124">
        <v>0</v>
      </c>
      <c r="E158" s="124">
        <v>0</v>
      </c>
      <c r="F158" s="76">
        <f>+D158</f>
        <v>0</v>
      </c>
      <c r="G158" s="123">
        <v>0.19</v>
      </c>
      <c r="H158" s="64">
        <v>4700000</v>
      </c>
      <c r="I158" s="64">
        <f>+H158*F158</f>
        <v>0</v>
      </c>
      <c r="J158" s="64">
        <f t="shared" si="62"/>
        <v>0</v>
      </c>
      <c r="K158" s="23">
        <f>+H158/$D$3</f>
        <v>7121212.121212122</v>
      </c>
      <c r="L158" s="23">
        <f t="shared" si="63"/>
        <v>0</v>
      </c>
      <c r="M158" s="24">
        <f t="shared" si="64"/>
        <v>0</v>
      </c>
      <c r="N158" s="124" t="s">
        <v>599</v>
      </c>
      <c r="O158" s="109"/>
      <c r="P158" s="30"/>
      <c r="Q158" s="10"/>
      <c r="R158" s="10"/>
      <c r="S158" s="30"/>
      <c r="T158" s="10"/>
    </row>
    <row r="159" spans="1:30" x14ac:dyDescent="0.3">
      <c r="A159" s="217" t="s">
        <v>593</v>
      </c>
      <c r="B159" s="217"/>
      <c r="C159" s="217"/>
      <c r="D159" s="217"/>
      <c r="E159" s="217"/>
      <c r="F159" s="217"/>
      <c r="G159" s="217"/>
      <c r="H159" s="20"/>
      <c r="I159" s="21">
        <f>+I156</f>
        <v>0</v>
      </c>
      <c r="J159" s="21">
        <f>+J156</f>
        <v>0</v>
      </c>
      <c r="K159" s="20"/>
      <c r="L159" s="21">
        <f>+L156</f>
        <v>0</v>
      </c>
      <c r="M159" s="21">
        <f>+M156</f>
        <v>0</v>
      </c>
      <c r="N159" s="124" t="s">
        <v>599</v>
      </c>
      <c r="O159" s="109"/>
      <c r="P159" s="30"/>
      <c r="Q159" s="10"/>
      <c r="R159" s="10"/>
      <c r="S159" s="30"/>
      <c r="T159" s="10"/>
    </row>
    <row r="160" spans="1:30" x14ac:dyDescent="0.3">
      <c r="B160" s="37"/>
      <c r="C160" s="6"/>
      <c r="D160" s="6"/>
      <c r="E160" s="6"/>
      <c r="F160" s="6"/>
      <c r="G160" s="111"/>
      <c r="H160" s="115"/>
      <c r="J160" s="59"/>
      <c r="K160" s="59"/>
      <c r="L160" s="59"/>
      <c r="M160" s="59"/>
      <c r="N160" s="59"/>
      <c r="O160" s="109"/>
      <c r="P160" s="30"/>
      <c r="Q160" s="10"/>
      <c r="R160" s="10"/>
      <c r="S160" s="30"/>
      <c r="T160" s="10"/>
    </row>
    <row r="161" spans="2:23" x14ac:dyDescent="0.3">
      <c r="B161" s="37"/>
      <c r="C161" s="6"/>
      <c r="D161" s="6"/>
      <c r="E161" s="6"/>
      <c r="F161" s="6"/>
      <c r="G161" s="111"/>
      <c r="H161" s="115"/>
      <c r="I161" s="59">
        <f>+I152+I159</f>
        <v>30145900.107062187</v>
      </c>
      <c r="J161" s="59">
        <f>+J152+J159</f>
        <v>32934466.120204002</v>
      </c>
      <c r="K161" s="59"/>
      <c r="L161" s="59">
        <f>+L152+L159</f>
        <v>45675606.222821489</v>
      </c>
      <c r="M161" s="59">
        <f>+M152+M159</f>
        <v>49414068.942789257</v>
      </c>
      <c r="N161" s="59"/>
      <c r="O161" s="109" t="s">
        <v>601</v>
      </c>
      <c r="P161" s="30">
        <f>+M152-L152</f>
        <v>3738462.7199677676</v>
      </c>
      <c r="Q161" s="10"/>
      <c r="R161" s="10"/>
      <c r="S161" s="30"/>
      <c r="T161" s="10"/>
    </row>
    <row r="162" spans="2:23" x14ac:dyDescent="0.3">
      <c r="B162" s="37"/>
      <c r="C162" s="6"/>
      <c r="D162" s="6"/>
      <c r="E162" s="6"/>
      <c r="F162" s="6"/>
      <c r="G162" s="111"/>
      <c r="H162" s="115"/>
      <c r="J162" s="59"/>
      <c r="K162" s="59"/>
      <c r="L162" s="59"/>
      <c r="M162" s="59"/>
      <c r="N162" s="59"/>
      <c r="O162" s="109" t="s">
        <v>602</v>
      </c>
      <c r="P162" s="30">
        <f>+L152*0.5</f>
        <v>22837803.111410744</v>
      </c>
      <c r="Q162" s="10"/>
      <c r="R162" s="10"/>
      <c r="S162" s="30"/>
      <c r="T162" s="10"/>
    </row>
    <row r="163" spans="2:23" x14ac:dyDescent="0.3">
      <c r="B163" s="37"/>
      <c r="C163" s="6" t="s">
        <v>603</v>
      </c>
      <c r="D163" s="6">
        <v>2000</v>
      </c>
      <c r="E163" s="6"/>
      <c r="F163" s="6"/>
      <c r="G163" s="59"/>
      <c r="H163" s="59"/>
      <c r="J163" s="59"/>
      <c r="K163" s="59"/>
      <c r="L163" s="59"/>
      <c r="M163" s="59"/>
      <c r="N163" s="59"/>
      <c r="O163" s="109" t="s">
        <v>604</v>
      </c>
      <c r="P163" s="30">
        <f>+L152/5</f>
        <v>9135121.2445642985</v>
      </c>
      <c r="Q163" s="10"/>
      <c r="R163" s="10"/>
      <c r="S163" s="30"/>
      <c r="T163" s="10"/>
    </row>
    <row r="164" spans="2:23" x14ac:dyDescent="0.3">
      <c r="B164" s="37"/>
      <c r="C164" s="6"/>
      <c r="D164" s="6">
        <f>4*620</f>
        <v>2480</v>
      </c>
      <c r="E164" s="6"/>
      <c r="F164" s="6"/>
      <c r="G164" s="59"/>
      <c r="H164" s="59"/>
      <c r="J164" s="59"/>
      <c r="K164" s="59"/>
      <c r="L164" s="59"/>
      <c r="M164" s="59"/>
      <c r="N164" s="59"/>
      <c r="O164" s="109"/>
      <c r="P164" s="10"/>
      <c r="Q164" s="10"/>
      <c r="R164" s="10"/>
      <c r="S164" s="30"/>
      <c r="T164" s="10"/>
    </row>
    <row r="165" spans="2:23" x14ac:dyDescent="0.3">
      <c r="B165" s="37"/>
      <c r="C165" s="6" t="s">
        <v>603</v>
      </c>
      <c r="D165" s="12">
        <f>+Cálculos!D8/'Capex GoodWe'!D164</f>
        <v>6.431451612903226</v>
      </c>
      <c r="E165" s="113">
        <v>1060000</v>
      </c>
      <c r="F165" s="33">
        <f>+D165*E165</f>
        <v>6817338.7096774196</v>
      </c>
      <c r="G165" s="59"/>
      <c r="H165" s="59"/>
      <c r="I165" s="28"/>
      <c r="J165" s="59"/>
      <c r="K165" s="59"/>
      <c r="L165" s="59"/>
      <c r="M165" s="59"/>
      <c r="N165" s="59"/>
      <c r="O165" s="109"/>
      <c r="P165" s="10"/>
      <c r="Q165" s="10"/>
      <c r="R165" s="10"/>
      <c r="S165" s="30"/>
      <c r="T165" s="10"/>
    </row>
    <row r="166" spans="2:23" x14ac:dyDescent="0.3">
      <c r="B166" s="56"/>
      <c r="C166" t="s">
        <v>605</v>
      </c>
      <c r="D166" s="12">
        <f>+D165</f>
        <v>6.431451612903226</v>
      </c>
      <c r="E166" s="117">
        <v>18000</v>
      </c>
      <c r="F166" s="33">
        <f t="shared" ref="F166:F167" si="65">+D166*E166</f>
        <v>115766.12903225806</v>
      </c>
      <c r="G166" s="57">
        <f>+G64/C180</f>
        <v>1.1916860547095321E-5</v>
      </c>
      <c r="H166" s="57">
        <f>+H64/C180</f>
        <v>1.1352377679075016</v>
      </c>
      <c r="I166" s="9"/>
      <c r="J166" s="57">
        <f>+J64/C180</f>
        <v>0</v>
      </c>
      <c r="K166" s="57">
        <f>+K64/C180</f>
        <v>1.7200572241022754</v>
      </c>
      <c r="L166" s="57"/>
      <c r="M166" s="57"/>
      <c r="N166" s="57"/>
      <c r="R166" t="s">
        <v>606</v>
      </c>
      <c r="S166" s="30">
        <f>+S64</f>
        <v>0</v>
      </c>
      <c r="T166" s="30">
        <f>+T64</f>
        <v>0</v>
      </c>
      <c r="V166" t="s">
        <v>607</v>
      </c>
      <c r="W166" s="16">
        <v>0.187</v>
      </c>
    </row>
    <row r="167" spans="2:23" x14ac:dyDescent="0.3">
      <c r="B167" s="56"/>
      <c r="C167" s="6" t="s">
        <v>608</v>
      </c>
      <c r="D167" s="12">
        <f>+D166</f>
        <v>6.431451612903226</v>
      </c>
      <c r="E167" s="113">
        <v>110000</v>
      </c>
      <c r="F167" s="33">
        <f t="shared" si="65"/>
        <v>707459.67741935491</v>
      </c>
      <c r="G167" s="9"/>
      <c r="H167" s="57">
        <f>+H166-G166</f>
        <v>1.1352258510469546</v>
      </c>
      <c r="I167" s="9"/>
      <c r="J167" s="57"/>
      <c r="K167" s="57"/>
      <c r="L167" s="57"/>
      <c r="M167" s="57"/>
      <c r="N167" s="57"/>
      <c r="O167" s="33">
        <f>+K64-J64</f>
        <v>27424.242424242428</v>
      </c>
      <c r="R167" t="s">
        <v>609</v>
      </c>
      <c r="S167" s="30">
        <f t="shared" ref="S167:T169" si="66">+S166*1.1</f>
        <v>0</v>
      </c>
      <c r="T167" s="30">
        <f t="shared" si="66"/>
        <v>0</v>
      </c>
      <c r="W167" s="16"/>
    </row>
    <row r="168" spans="2:23" x14ac:dyDescent="0.3">
      <c r="B168" s="56" t="s">
        <v>610</v>
      </c>
      <c r="C168" s="6" t="s">
        <v>611</v>
      </c>
      <c r="D168">
        <v>1</v>
      </c>
      <c r="E168" s="113">
        <v>986000</v>
      </c>
      <c r="F168" s="33">
        <f>+D168*E168</f>
        <v>986000</v>
      </c>
      <c r="G168" s="9"/>
      <c r="H168" s="57">
        <f>+H64*0%</f>
        <v>0</v>
      </c>
      <c r="I168" s="9"/>
      <c r="J168" s="57"/>
      <c r="K168">
        <v>0</v>
      </c>
      <c r="O168" s="33"/>
      <c r="R168" t="s">
        <v>612</v>
      </c>
      <c r="S168" s="30">
        <f t="shared" si="66"/>
        <v>0</v>
      </c>
      <c r="T168" s="30">
        <f t="shared" si="66"/>
        <v>0</v>
      </c>
      <c r="V168" t="s">
        <v>613</v>
      </c>
      <c r="W168">
        <v>5</v>
      </c>
    </row>
    <row r="169" spans="2:23" x14ac:dyDescent="0.3">
      <c r="B169" s="56" t="s">
        <v>614</v>
      </c>
      <c r="C169" s="6" t="s">
        <v>615</v>
      </c>
      <c r="D169">
        <v>6</v>
      </c>
      <c r="E169" s="113">
        <v>13000</v>
      </c>
      <c r="F169" s="33">
        <f>+D169*E169</f>
        <v>78000</v>
      </c>
      <c r="G169" s="9"/>
      <c r="H169" s="57">
        <f>+H64-H168</f>
        <v>18100</v>
      </c>
      <c r="I169" s="9"/>
      <c r="J169" s="57"/>
      <c r="K169" s="33">
        <f>+K64-K168</f>
        <v>27424.242424242428</v>
      </c>
      <c r="L169" s="33"/>
      <c r="M169" s="33"/>
      <c r="N169" s="33"/>
      <c r="R169" t="s">
        <v>616</v>
      </c>
      <c r="S169" s="30">
        <f t="shared" si="66"/>
        <v>0</v>
      </c>
      <c r="T169" s="30">
        <f t="shared" si="66"/>
        <v>0</v>
      </c>
    </row>
    <row r="170" spans="2:23" x14ac:dyDescent="0.3">
      <c r="B170" s="56"/>
      <c r="E170" s="9" t="s">
        <v>617</v>
      </c>
      <c r="F170" s="33">
        <f>+SUM(F165:F169)</f>
        <v>8704564.5161290318</v>
      </c>
      <c r="G170" s="9"/>
      <c r="H170" s="57"/>
      <c r="I170" s="9"/>
      <c r="J170" s="57"/>
      <c r="R170" t="s">
        <v>618</v>
      </c>
      <c r="S170" s="28"/>
    </row>
    <row r="171" spans="2:23" x14ac:dyDescent="0.3">
      <c r="B171" s="56"/>
      <c r="E171" s="9" t="s">
        <v>619</v>
      </c>
      <c r="F171" s="33">
        <f>-G32</f>
        <v>-0.19</v>
      </c>
      <c r="G171" s="9"/>
      <c r="H171" s="57"/>
      <c r="I171" s="9"/>
      <c r="J171" s="57"/>
      <c r="S171" s="28"/>
    </row>
    <row r="172" spans="2:23" x14ac:dyDescent="0.3">
      <c r="B172" s="56"/>
      <c r="E172" s="9" t="s">
        <v>620</v>
      </c>
      <c r="F172" s="33">
        <f>+F170+F171</f>
        <v>8704564.3261290323</v>
      </c>
      <c r="G172" s="9"/>
      <c r="H172" s="57"/>
      <c r="I172" s="9"/>
      <c r="J172" s="57"/>
      <c r="S172" s="28"/>
    </row>
    <row r="173" spans="2:23" x14ac:dyDescent="0.3">
      <c r="B173" s="56"/>
      <c r="E173" s="9" t="s">
        <v>621</v>
      </c>
      <c r="F173" s="33">
        <f>+G11+G13</f>
        <v>0.19</v>
      </c>
      <c r="G173" s="9"/>
      <c r="H173" s="57"/>
      <c r="I173" s="9"/>
      <c r="J173" s="57"/>
      <c r="S173" s="28"/>
    </row>
    <row r="174" spans="2:23" x14ac:dyDescent="0.3">
      <c r="B174" s="56"/>
      <c r="E174" s="9" t="s">
        <v>622</v>
      </c>
      <c r="F174" s="33">
        <f>+F172-F173</f>
        <v>8704564.1361290328</v>
      </c>
      <c r="G174" s="9"/>
      <c r="H174" s="57"/>
      <c r="I174" s="9"/>
      <c r="J174" s="57"/>
      <c r="S174" s="28"/>
    </row>
    <row r="175" spans="2:23" x14ac:dyDescent="0.3">
      <c r="B175" s="37" t="s">
        <v>623</v>
      </c>
      <c r="F175" s="30" t="e">
        <f>+F174/E1</f>
        <v>#DIV/0!</v>
      </c>
      <c r="G175" s="28"/>
      <c r="H175" s="57"/>
      <c r="I175" s="9"/>
      <c r="J175" s="57"/>
      <c r="K175" s="28"/>
      <c r="L175" s="28"/>
      <c r="M175" s="28"/>
      <c r="N175" s="28"/>
      <c r="V175" t="s">
        <v>624</v>
      </c>
      <c r="W175" s="30">
        <v>54132000</v>
      </c>
    </row>
    <row r="176" spans="2:23" x14ac:dyDescent="0.3">
      <c r="B176">
        <v>0.5</v>
      </c>
      <c r="C176" t="s">
        <v>625</v>
      </c>
      <c r="D176" t="s">
        <v>626</v>
      </c>
      <c r="F176" s="9"/>
      <c r="G176" s="9"/>
      <c r="H176" s="57"/>
      <c r="I176" s="9"/>
      <c r="J176" s="57"/>
      <c r="K176" s="17">
        <f>+K166*57000</f>
        <v>98043.261773829698</v>
      </c>
      <c r="L176" s="17"/>
      <c r="M176" s="17"/>
      <c r="N176" s="17"/>
      <c r="V176" t="s">
        <v>627</v>
      </c>
      <c r="W176" s="30">
        <v>1522000</v>
      </c>
    </row>
    <row r="177" spans="2:25" x14ac:dyDescent="0.3">
      <c r="B177">
        <v>0.47399999999999998</v>
      </c>
      <c r="C177" t="s">
        <v>625</v>
      </c>
      <c r="D177" t="s">
        <v>628</v>
      </c>
      <c r="F177" s="9"/>
      <c r="G177" s="9"/>
      <c r="H177" s="58"/>
      <c r="J177" s="58"/>
      <c r="W177" s="32">
        <f>+PMT(W166,W168,W175)</f>
        <v>-17585452.002735924</v>
      </c>
    </row>
    <row r="178" spans="2:25" x14ac:dyDescent="0.3">
      <c r="B178" s="46">
        <v>0.9</v>
      </c>
      <c r="C178" t="s">
        <v>625</v>
      </c>
      <c r="D178" t="s">
        <v>629</v>
      </c>
      <c r="H178" s="59"/>
      <c r="J178" s="59"/>
      <c r="W178">
        <f>+W177/12</f>
        <v>-1465454.3335613271</v>
      </c>
    </row>
    <row r="179" spans="2:25" x14ac:dyDescent="0.3">
      <c r="H179" s="30"/>
      <c r="J179" s="30"/>
      <c r="V179" s="30"/>
      <c r="W179" s="33"/>
      <c r="X179" s="33"/>
      <c r="Y179" s="33"/>
    </row>
    <row r="180" spans="2:25" x14ac:dyDescent="0.3">
      <c r="B180" t="s">
        <v>630</v>
      </c>
      <c r="C180">
        <f>+Cálculos!E8</f>
        <v>15943.796543487422</v>
      </c>
      <c r="V180" s="30"/>
      <c r="W180" s="33"/>
      <c r="X180" s="33"/>
      <c r="Y180" s="33"/>
    </row>
    <row r="181" spans="2:25" x14ac:dyDescent="0.3">
      <c r="B181" t="s">
        <v>629</v>
      </c>
      <c r="C181" s="60">
        <f>B178*C180</f>
        <v>14349.41688913868</v>
      </c>
      <c r="E181" s="30">
        <f>+C181*4000</f>
        <v>57397667.55655472</v>
      </c>
      <c r="F181" s="33"/>
    </row>
    <row r="182" spans="2:25" x14ac:dyDescent="0.3">
      <c r="B182" t="s">
        <v>626</v>
      </c>
      <c r="C182" s="60">
        <f>B176*C180</f>
        <v>7971.8982717437111</v>
      </c>
      <c r="E182" s="30">
        <f>+C182*4000</f>
        <v>31887593.086974844</v>
      </c>
      <c r="J182" s="28"/>
    </row>
    <row r="183" spans="2:25" x14ac:dyDescent="0.3">
      <c r="B183" t="s">
        <v>631</v>
      </c>
      <c r="C183" s="60">
        <f>B177*C180</f>
        <v>7557.3595616130378</v>
      </c>
      <c r="E183" s="30">
        <f>+C183*4000</f>
        <v>30229438.246452153</v>
      </c>
    </row>
    <row r="184" spans="2:25" x14ac:dyDescent="0.3">
      <c r="B184" t="s">
        <v>632</v>
      </c>
      <c r="C184" s="60">
        <f>+C182-C183</f>
        <v>414.53871013067328</v>
      </c>
      <c r="E184" s="30">
        <f>+E182-E183</f>
        <v>1658154.8405226916</v>
      </c>
    </row>
    <row r="186" spans="2:25" x14ac:dyDescent="0.3">
      <c r="B186" s="6" t="s">
        <v>633</v>
      </c>
      <c r="H186" t="s">
        <v>634</v>
      </c>
      <c r="J186" t="s">
        <v>635</v>
      </c>
    </row>
    <row r="187" spans="2:25" x14ac:dyDescent="0.3">
      <c r="B187" t="s">
        <v>607</v>
      </c>
      <c r="C187" s="9">
        <v>0.2</v>
      </c>
      <c r="F187" s="9"/>
      <c r="K187" s="9">
        <v>0.2</v>
      </c>
      <c r="L187" s="9"/>
      <c r="M187" s="9"/>
      <c r="N187" s="9"/>
    </row>
    <row r="188" spans="2:25" x14ac:dyDescent="0.3">
      <c r="B188" t="s">
        <v>636</v>
      </c>
      <c r="C188">
        <v>4</v>
      </c>
      <c r="D188" t="s">
        <v>637</v>
      </c>
      <c r="K188">
        <v>4</v>
      </c>
      <c r="O188" s="32" t="s">
        <v>637</v>
      </c>
      <c r="P188" s="32"/>
      <c r="Q188" s="32"/>
      <c r="R188" s="32"/>
      <c r="S188" s="32"/>
      <c r="T188" s="32"/>
    </row>
    <row r="189" spans="2:25" x14ac:dyDescent="0.3">
      <c r="B189" t="s">
        <v>638</v>
      </c>
      <c r="H189" s="32">
        <f>+PMT(C187,C188,-H169,0)</f>
        <v>6991.8330849478407</v>
      </c>
      <c r="J189" s="32">
        <f>+PMT(K187,K188,-K64,0)</f>
        <v>10593.686492345216</v>
      </c>
    </row>
    <row r="190" spans="2:25" x14ac:dyDescent="0.3">
      <c r="B190" t="s">
        <v>639</v>
      </c>
      <c r="H190" s="28">
        <f>+H189/12</f>
        <v>582.65275707898672</v>
      </c>
      <c r="J190" s="30">
        <f>+J189/12</f>
        <v>882.80720769543461</v>
      </c>
      <c r="K190" s="32"/>
      <c r="L190" s="32"/>
      <c r="M190" s="32"/>
      <c r="N190" s="32"/>
    </row>
    <row r="191" spans="2:25" x14ac:dyDescent="0.3">
      <c r="B191" t="s">
        <v>640</v>
      </c>
      <c r="H191" s="32">
        <f>+PMT(0,C188,-H169,0)</f>
        <v>4525</v>
      </c>
      <c r="J191" s="32">
        <f>+PMT(0,C188,-K64,0)</f>
        <v>6856.0606060606069</v>
      </c>
    </row>
    <row r="192" spans="2:25" x14ac:dyDescent="0.3">
      <c r="B192" t="s">
        <v>641</v>
      </c>
      <c r="H192" s="28">
        <f>+H191/12</f>
        <v>377.08333333333331</v>
      </c>
      <c r="J192" s="28">
        <f>+J191/12</f>
        <v>571.33838383838395</v>
      </c>
    </row>
    <row r="193" spans="2:10" x14ac:dyDescent="0.3">
      <c r="B193" t="s">
        <v>642</v>
      </c>
      <c r="H193" s="41">
        <f>+H190-H192</f>
        <v>205.56942374565341</v>
      </c>
      <c r="J193" s="41">
        <f>+J190-J192</f>
        <v>311.46882385705067</v>
      </c>
    </row>
    <row r="194" spans="2:10" x14ac:dyDescent="0.3">
      <c r="B194" t="s">
        <v>643</v>
      </c>
      <c r="C194" s="30">
        <v>200000</v>
      </c>
    </row>
    <row r="195" spans="2:10" x14ac:dyDescent="0.3">
      <c r="B195" t="s">
        <v>644</v>
      </c>
      <c r="C195" s="30">
        <v>25000</v>
      </c>
    </row>
  </sheetData>
  <autoFilter ref="A8:Z153" xr:uid="{3D99E0E3-F1E7-462C-8F9B-F22A603E923B}"/>
  <mergeCells count="1">
    <mergeCell ref="A159:G15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2E7F-9A5D-425F-9948-BD9C25DF1675}">
  <dimension ref="B2:O11"/>
  <sheetViews>
    <sheetView workbookViewId="0">
      <selection activeCell="O11" sqref="O11"/>
    </sheetView>
  </sheetViews>
  <sheetFormatPr baseColWidth="10" defaultColWidth="11.44140625" defaultRowHeight="14.4" x14ac:dyDescent="0.3"/>
  <cols>
    <col min="2" max="2" width="32.77734375" customWidth="1"/>
  </cols>
  <sheetData>
    <row r="2" spans="2:15" x14ac:dyDescent="0.3">
      <c r="B2" s="184"/>
      <c r="C2" s="20" t="s">
        <v>645</v>
      </c>
      <c r="D2" s="20" t="s">
        <v>646</v>
      </c>
      <c r="E2" s="20" t="s">
        <v>647</v>
      </c>
      <c r="F2" s="20" t="s">
        <v>648</v>
      </c>
      <c r="G2" s="20" t="s">
        <v>649</v>
      </c>
      <c r="H2" s="20" t="s">
        <v>650</v>
      </c>
      <c r="I2" s="20" t="s">
        <v>651</v>
      </c>
      <c r="J2" s="20" t="s">
        <v>652</v>
      </c>
      <c r="K2" s="20" t="s">
        <v>653</v>
      </c>
      <c r="L2" s="20" t="s">
        <v>654</v>
      </c>
      <c r="M2" s="20" t="s">
        <v>655</v>
      </c>
      <c r="N2" s="20" t="s">
        <v>656</v>
      </c>
      <c r="O2" s="20" t="s">
        <v>657</v>
      </c>
    </row>
    <row r="3" spans="2:15" x14ac:dyDescent="0.3">
      <c r="B3" s="185" t="s">
        <v>658</v>
      </c>
      <c r="C3" s="183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2:15" x14ac:dyDescent="0.3">
      <c r="B4" s="20" t="s">
        <v>659</v>
      </c>
      <c r="C4" s="20"/>
      <c r="D4" s="183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2:15" x14ac:dyDescent="0.3">
      <c r="B5" s="20" t="s">
        <v>660</v>
      </c>
      <c r="C5" s="20"/>
      <c r="D5" s="183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2:15" x14ac:dyDescent="0.3">
      <c r="B6" s="20" t="s">
        <v>661</v>
      </c>
      <c r="C6" s="20"/>
      <c r="D6" s="20"/>
      <c r="E6" s="183"/>
      <c r="F6" s="20"/>
      <c r="G6" s="202"/>
      <c r="H6" s="20"/>
      <c r="I6" s="20"/>
      <c r="J6" s="20"/>
      <c r="K6" s="20"/>
      <c r="L6" s="20"/>
      <c r="M6" s="20"/>
      <c r="N6" s="20"/>
      <c r="O6" s="20"/>
    </row>
    <row r="7" spans="2:15" x14ac:dyDescent="0.3">
      <c r="B7" s="20" t="s">
        <v>662</v>
      </c>
      <c r="C7" s="20"/>
      <c r="D7" s="20"/>
      <c r="E7" s="183"/>
      <c r="F7" s="199"/>
      <c r="G7" s="198"/>
      <c r="H7" s="201"/>
      <c r="I7" s="20"/>
      <c r="J7" s="20"/>
      <c r="K7" s="20"/>
      <c r="L7" s="20"/>
      <c r="M7" s="20"/>
      <c r="N7" s="20"/>
      <c r="O7" s="20"/>
    </row>
    <row r="8" spans="2:15" x14ac:dyDescent="0.3">
      <c r="B8" s="20" t="s">
        <v>663</v>
      </c>
      <c r="C8" s="20"/>
      <c r="D8" s="20"/>
      <c r="E8" s="20"/>
      <c r="F8" s="200"/>
      <c r="G8" s="198"/>
      <c r="H8" s="201"/>
      <c r="I8" s="20"/>
      <c r="J8" s="20"/>
      <c r="K8" s="20"/>
      <c r="L8" s="20"/>
      <c r="M8" s="20"/>
      <c r="N8" s="20"/>
      <c r="O8" s="20"/>
    </row>
    <row r="9" spans="2:15" x14ac:dyDescent="0.3">
      <c r="B9" s="20" t="s">
        <v>664</v>
      </c>
      <c r="C9" s="20"/>
      <c r="D9" s="20"/>
      <c r="E9" s="20"/>
      <c r="F9" s="200"/>
      <c r="G9" s="198"/>
      <c r="H9" s="201"/>
      <c r="I9" s="20"/>
      <c r="J9" s="20"/>
      <c r="K9" s="20"/>
      <c r="L9" s="20"/>
      <c r="M9" s="20"/>
      <c r="N9" s="20"/>
      <c r="O9" s="20"/>
    </row>
    <row r="10" spans="2:15" x14ac:dyDescent="0.3">
      <c r="B10" s="20" t="s">
        <v>665</v>
      </c>
      <c r="C10" s="20"/>
      <c r="D10" s="20"/>
      <c r="E10" s="20"/>
      <c r="F10" s="199"/>
      <c r="G10" s="198"/>
      <c r="H10" s="201"/>
      <c r="I10" s="20"/>
      <c r="J10" s="183"/>
      <c r="K10" s="20"/>
      <c r="L10" s="20"/>
      <c r="M10" s="20"/>
      <c r="N10" s="20"/>
      <c r="O10" s="20"/>
    </row>
    <row r="11" spans="2:15" x14ac:dyDescent="0.3">
      <c r="B11" s="20" t="s">
        <v>666</v>
      </c>
      <c r="C11" s="20"/>
      <c r="D11" s="20"/>
      <c r="E11" s="20"/>
      <c r="F11" s="20"/>
      <c r="G11" s="203"/>
      <c r="H11" s="20"/>
      <c r="I11" s="20"/>
      <c r="J11" s="20"/>
      <c r="K11" s="20"/>
      <c r="L11" s="20"/>
      <c r="M11" s="20"/>
      <c r="N11" s="183"/>
      <c r="O11" s="20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AAD-0C4F-49FF-84AE-7877197A1C95}">
  <dimension ref="B2:H15"/>
  <sheetViews>
    <sheetView workbookViewId="0">
      <selection activeCell="P10" sqref="P10"/>
    </sheetView>
  </sheetViews>
  <sheetFormatPr baseColWidth="10" defaultColWidth="11.44140625" defaultRowHeight="14.4" x14ac:dyDescent="0.3"/>
  <cols>
    <col min="2" max="2" width="33" bestFit="1" customWidth="1"/>
    <col min="3" max="8" width="5.77734375" bestFit="1" customWidth="1"/>
  </cols>
  <sheetData>
    <row r="2" spans="2:8" x14ac:dyDescent="0.3">
      <c r="B2" s="191" t="s">
        <v>1</v>
      </c>
      <c r="C2" s="191" t="s">
        <v>645</v>
      </c>
      <c r="D2" s="191" t="s">
        <v>646</v>
      </c>
      <c r="E2" s="191" t="s">
        <v>647</v>
      </c>
      <c r="F2" s="191" t="s">
        <v>648</v>
      </c>
      <c r="G2" s="191" t="s">
        <v>649</v>
      </c>
      <c r="H2" s="191" t="s">
        <v>650</v>
      </c>
    </row>
    <row r="3" spans="2:8" x14ac:dyDescent="0.3">
      <c r="B3" s="20" t="s">
        <v>659</v>
      </c>
      <c r="C3" s="183"/>
      <c r="D3" s="20"/>
      <c r="E3" s="20"/>
      <c r="F3" s="20"/>
      <c r="G3" s="20"/>
      <c r="H3" s="20"/>
    </row>
    <row r="4" spans="2:8" x14ac:dyDescent="0.3">
      <c r="B4" s="20" t="s">
        <v>667</v>
      </c>
      <c r="C4" s="20"/>
      <c r="D4" s="183"/>
      <c r="E4" s="20"/>
      <c r="F4" s="20"/>
      <c r="G4" s="20"/>
      <c r="H4" s="20"/>
    </row>
    <row r="5" spans="2:8" x14ac:dyDescent="0.3">
      <c r="B5" s="20" t="s">
        <v>668</v>
      </c>
      <c r="C5" s="20"/>
      <c r="D5" s="183"/>
      <c r="E5" s="20"/>
      <c r="F5" s="20"/>
      <c r="G5" s="20"/>
      <c r="H5" s="20"/>
    </row>
    <row r="6" spans="2:8" x14ac:dyDescent="0.3">
      <c r="B6" s="20" t="s">
        <v>669</v>
      </c>
      <c r="C6" s="20"/>
      <c r="D6" s="183"/>
      <c r="E6" s="183"/>
      <c r="F6" s="20"/>
      <c r="G6" s="20"/>
      <c r="H6" s="20"/>
    </row>
    <row r="7" spans="2:8" x14ac:dyDescent="0.3">
      <c r="B7" s="20" t="s">
        <v>670</v>
      </c>
      <c r="C7" s="20"/>
      <c r="D7" s="20"/>
      <c r="E7" s="183"/>
      <c r="F7" s="183"/>
      <c r="G7" s="20"/>
      <c r="H7" s="20"/>
    </row>
    <row r="8" spans="2:8" x14ac:dyDescent="0.3">
      <c r="B8" s="20" t="s">
        <v>671</v>
      </c>
      <c r="C8" s="20"/>
      <c r="D8" s="20"/>
      <c r="E8" s="183"/>
      <c r="F8" s="183"/>
      <c r="G8" s="183"/>
      <c r="H8" s="20"/>
    </row>
    <row r="9" spans="2:8" x14ac:dyDescent="0.3">
      <c r="B9" s="20" t="s">
        <v>672</v>
      </c>
      <c r="C9" s="20"/>
      <c r="D9" s="20"/>
      <c r="E9" s="183"/>
      <c r="F9" s="20"/>
      <c r="G9" s="20"/>
      <c r="H9" s="20"/>
    </row>
    <row r="10" spans="2:8" x14ac:dyDescent="0.3">
      <c r="B10" s="20" t="s">
        <v>673</v>
      </c>
      <c r="C10" s="20"/>
      <c r="D10" s="20"/>
      <c r="E10" s="183"/>
      <c r="F10" s="20"/>
      <c r="G10" s="20"/>
      <c r="H10" s="20"/>
    </row>
    <row r="11" spans="2:8" x14ac:dyDescent="0.3">
      <c r="B11" s="20" t="s">
        <v>674</v>
      </c>
      <c r="C11" s="20"/>
      <c r="D11" s="20"/>
      <c r="E11" s="20"/>
      <c r="F11" s="183"/>
      <c r="G11" s="20"/>
      <c r="H11" s="20"/>
    </row>
    <row r="12" spans="2:8" x14ac:dyDescent="0.3">
      <c r="B12" s="20" t="s">
        <v>675</v>
      </c>
      <c r="C12" s="20"/>
      <c r="D12" s="20"/>
      <c r="E12" s="20"/>
      <c r="F12" s="20"/>
      <c r="G12" s="183"/>
      <c r="H12" s="20"/>
    </row>
    <row r="13" spans="2:8" x14ac:dyDescent="0.3">
      <c r="B13" s="20" t="s">
        <v>676</v>
      </c>
      <c r="C13" s="20"/>
      <c r="D13" s="20"/>
      <c r="E13" s="20"/>
      <c r="F13" s="20"/>
      <c r="G13" s="183"/>
      <c r="H13" s="20"/>
    </row>
    <row r="14" spans="2:8" x14ac:dyDescent="0.3">
      <c r="B14" s="20" t="s">
        <v>677</v>
      </c>
      <c r="C14" s="20"/>
      <c r="D14" s="20"/>
      <c r="E14" s="20"/>
      <c r="F14" s="20"/>
      <c r="G14" s="20"/>
      <c r="H14" s="183"/>
    </row>
    <row r="15" spans="2:8" x14ac:dyDescent="0.3">
      <c r="B15" s="20" t="s">
        <v>678</v>
      </c>
      <c r="C15" s="20"/>
      <c r="D15" s="20"/>
      <c r="E15" s="20"/>
      <c r="F15" s="20"/>
      <c r="G15" s="20"/>
      <c r="H15" s="183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E2CB-AEF2-406B-95E6-BE9F624CB0F7}">
  <dimension ref="A1:I27"/>
  <sheetViews>
    <sheetView workbookViewId="0">
      <selection activeCell="B4" sqref="B4"/>
    </sheetView>
  </sheetViews>
  <sheetFormatPr baseColWidth="10" defaultColWidth="11.44140625" defaultRowHeight="14.4" x14ac:dyDescent="0.3"/>
  <cols>
    <col min="1" max="1" width="27.5546875" bestFit="1" customWidth="1"/>
    <col min="2" max="2" width="11.77734375" bestFit="1" customWidth="1"/>
    <col min="3" max="3" width="11.44140625" bestFit="1" customWidth="1"/>
    <col min="6" max="6" width="11.44140625" bestFit="1" customWidth="1"/>
    <col min="7" max="7" width="18.77734375" bestFit="1" customWidth="1"/>
  </cols>
  <sheetData>
    <row r="1" spans="1:9" x14ac:dyDescent="0.3">
      <c r="A1" t="s">
        <v>679</v>
      </c>
    </row>
    <row r="2" spans="1:9" x14ac:dyDescent="0.3">
      <c r="A2" t="s">
        <v>680</v>
      </c>
      <c r="B2" s="12" t="e">
        <f>+#REF!</f>
        <v>#REF!</v>
      </c>
      <c r="C2" t="s">
        <v>681</v>
      </c>
      <c r="D2" t="s">
        <v>682</v>
      </c>
      <c r="E2" t="s">
        <v>683</v>
      </c>
      <c r="F2" t="s">
        <v>684</v>
      </c>
    </row>
    <row r="3" spans="1:9" x14ac:dyDescent="0.3">
      <c r="A3" t="s">
        <v>685</v>
      </c>
      <c r="B3">
        <v>3.5</v>
      </c>
      <c r="C3" t="e">
        <f>+B2*B3</f>
        <v>#REF!</v>
      </c>
      <c r="D3">
        <v>2</v>
      </c>
      <c r="E3">
        <f>8*D3</f>
        <v>16</v>
      </c>
      <c r="F3" s="12" t="e">
        <f>+C3/E3</f>
        <v>#REF!</v>
      </c>
      <c r="H3" t="s">
        <v>686</v>
      </c>
      <c r="I3">
        <f>44*4.3</f>
        <v>189.2</v>
      </c>
    </row>
    <row r="4" spans="1:9" x14ac:dyDescent="0.3">
      <c r="A4" t="s">
        <v>687</v>
      </c>
      <c r="B4" s="12" t="e">
        <f>+B2</f>
        <v>#REF!</v>
      </c>
      <c r="C4" t="s">
        <v>681</v>
      </c>
      <c r="D4" t="s">
        <v>682</v>
      </c>
      <c r="E4" t="s">
        <v>683</v>
      </c>
      <c r="F4" t="s">
        <v>684</v>
      </c>
    </row>
    <row r="5" spans="1:9" x14ac:dyDescent="0.3">
      <c r="A5" t="s">
        <v>688</v>
      </c>
      <c r="C5">
        <f>+F5*8*D5</f>
        <v>32</v>
      </c>
      <c r="D5">
        <v>2</v>
      </c>
      <c r="F5">
        <v>2</v>
      </c>
    </row>
    <row r="6" spans="1:9" x14ac:dyDescent="0.3">
      <c r="A6" t="s">
        <v>689</v>
      </c>
      <c r="C6">
        <f>+F6*8*D6</f>
        <v>16</v>
      </c>
      <c r="D6">
        <v>2</v>
      </c>
      <c r="F6">
        <v>1</v>
      </c>
    </row>
    <row r="7" spans="1:9" x14ac:dyDescent="0.3">
      <c r="A7" t="s">
        <v>690</v>
      </c>
      <c r="C7" t="e">
        <f>+C3+C5+C6</f>
        <v>#REF!</v>
      </c>
      <c r="D7">
        <v>3</v>
      </c>
      <c r="E7">
        <v>8</v>
      </c>
      <c r="F7" s="12" t="e">
        <f>+(C7)/(D7*E7)</f>
        <v>#REF!</v>
      </c>
    </row>
    <row r="9" spans="1:9" x14ac:dyDescent="0.3">
      <c r="B9" s="6" t="s">
        <v>691</v>
      </c>
      <c r="C9" s="6" t="s">
        <v>692</v>
      </c>
      <c r="D9" s="6" t="s">
        <v>693</v>
      </c>
      <c r="E9" s="6" t="s">
        <v>694</v>
      </c>
      <c r="F9" s="6" t="s">
        <v>695</v>
      </c>
      <c r="G9" s="6" t="s">
        <v>11</v>
      </c>
    </row>
    <row r="10" spans="1:9" x14ac:dyDescent="0.3">
      <c r="A10" t="s">
        <v>696</v>
      </c>
      <c r="B10" s="30">
        <f>2200000+250000+300000</f>
        <v>2750000</v>
      </c>
      <c r="C10">
        <v>1.5</v>
      </c>
      <c r="D10" s="30">
        <f>+B10*C10</f>
        <v>4125000</v>
      </c>
      <c r="E10" s="30">
        <f>+D10/I3</f>
        <v>21802.325581395351</v>
      </c>
      <c r="F10" t="e">
        <f>+C7</f>
        <v>#REF!</v>
      </c>
      <c r="G10" s="30" t="e">
        <f t="shared" ref="G10:G16" si="0">+E10*F10</f>
        <v>#REF!</v>
      </c>
      <c r="I10">
        <v>150000</v>
      </c>
    </row>
    <row r="11" spans="1:9" x14ac:dyDescent="0.3">
      <c r="A11" t="s">
        <v>697</v>
      </c>
      <c r="B11" s="30">
        <v>0</v>
      </c>
      <c r="C11">
        <v>1.47</v>
      </c>
      <c r="D11" s="30">
        <f t="shared" ref="D11:D21" si="1">+B11*C11</f>
        <v>0</v>
      </c>
      <c r="E11" s="30">
        <f>+D11/I3</f>
        <v>0</v>
      </c>
      <c r="F11">
        <f>+C8</f>
        <v>0</v>
      </c>
      <c r="G11" s="30">
        <f t="shared" si="0"/>
        <v>0</v>
      </c>
      <c r="I11">
        <f>114*3</f>
        <v>342</v>
      </c>
    </row>
    <row r="12" spans="1:9" x14ac:dyDescent="0.3">
      <c r="A12" t="s">
        <v>698</v>
      </c>
      <c r="B12" s="30">
        <v>0</v>
      </c>
      <c r="C12">
        <v>1.47</v>
      </c>
      <c r="D12" s="30">
        <f t="shared" si="1"/>
        <v>0</v>
      </c>
      <c r="E12" s="30">
        <f>+D12/I3</f>
        <v>0</v>
      </c>
      <c r="F12">
        <v>1.5</v>
      </c>
      <c r="G12" s="30">
        <f t="shared" si="0"/>
        <v>0</v>
      </c>
      <c r="I12">
        <f>+I10/I11</f>
        <v>438.59649122807019</v>
      </c>
    </row>
    <row r="13" spans="1:9" x14ac:dyDescent="0.3">
      <c r="A13" t="s">
        <v>699</v>
      </c>
      <c r="B13" s="30">
        <v>3300000</v>
      </c>
      <c r="C13">
        <v>1.5</v>
      </c>
      <c r="D13" s="30">
        <f t="shared" si="1"/>
        <v>4950000</v>
      </c>
      <c r="E13" s="30">
        <f>+D13/I3</f>
        <v>26162.79069767442</v>
      </c>
      <c r="F13" t="e">
        <f>+F10*40%</f>
        <v>#REF!</v>
      </c>
      <c r="G13" s="30" t="e">
        <f t="shared" si="0"/>
        <v>#REF!</v>
      </c>
      <c r="I13">
        <f>+I12*277</f>
        <v>121491.22807017545</v>
      </c>
    </row>
    <row r="14" spans="1:9" x14ac:dyDescent="0.3">
      <c r="A14" t="s">
        <v>700</v>
      </c>
      <c r="B14" s="30">
        <v>25000</v>
      </c>
      <c r="C14">
        <f>+D7</f>
        <v>3</v>
      </c>
      <c r="D14" s="30">
        <f t="shared" si="1"/>
        <v>75000</v>
      </c>
      <c r="E14" s="30">
        <f>+D14</f>
        <v>75000</v>
      </c>
      <c r="F14" s="12" t="e">
        <f>+F7</f>
        <v>#REF!</v>
      </c>
      <c r="G14" s="30" t="e">
        <f t="shared" si="0"/>
        <v>#REF!</v>
      </c>
    </row>
    <row r="15" spans="1:9" x14ac:dyDescent="0.3">
      <c r="A15" t="s">
        <v>615</v>
      </c>
      <c r="B15" s="30">
        <f>4000000/12</f>
        <v>333333.33333333331</v>
      </c>
      <c r="C15">
        <v>1</v>
      </c>
      <c r="D15" s="30">
        <f t="shared" si="1"/>
        <v>333333.33333333331</v>
      </c>
      <c r="E15" s="30">
        <f>+D15/I3</f>
        <v>1761.8040873854827</v>
      </c>
      <c r="F15" t="e">
        <f>+F10</f>
        <v>#REF!</v>
      </c>
      <c r="G15" s="30" t="e">
        <f t="shared" si="0"/>
        <v>#REF!</v>
      </c>
    </row>
    <row r="16" spans="1:9" x14ac:dyDescent="0.3">
      <c r="A16" t="s">
        <v>701</v>
      </c>
      <c r="B16" s="30">
        <f>9*20000</f>
        <v>180000</v>
      </c>
      <c r="C16">
        <v>0</v>
      </c>
      <c r="D16" s="30">
        <f t="shared" si="1"/>
        <v>0</v>
      </c>
      <c r="E16" s="33">
        <f>+D16</f>
        <v>0</v>
      </c>
      <c r="F16">
        <v>1</v>
      </c>
      <c r="G16" s="30">
        <f t="shared" si="0"/>
        <v>0</v>
      </c>
    </row>
    <row r="17" spans="1:7" x14ac:dyDescent="0.3">
      <c r="A17" t="s">
        <v>702</v>
      </c>
      <c r="B17" s="30">
        <v>200000</v>
      </c>
      <c r="C17">
        <v>0</v>
      </c>
      <c r="D17" s="30">
        <f t="shared" si="1"/>
        <v>0</v>
      </c>
      <c r="E17" s="33">
        <v>0</v>
      </c>
      <c r="F17">
        <v>5</v>
      </c>
      <c r="G17" s="30">
        <f>+D17*F17</f>
        <v>0</v>
      </c>
    </row>
    <row r="18" spans="1:7" x14ac:dyDescent="0.3">
      <c r="A18" t="s">
        <v>703</v>
      </c>
      <c r="B18" s="30">
        <v>60000</v>
      </c>
      <c r="C18">
        <v>1</v>
      </c>
      <c r="D18" s="30">
        <f t="shared" si="1"/>
        <v>60000</v>
      </c>
      <c r="E18" s="33">
        <f>+D18</f>
        <v>60000</v>
      </c>
      <c r="F18" s="12" t="e">
        <f>+F7</f>
        <v>#REF!</v>
      </c>
      <c r="G18" s="30" t="e">
        <f>+E18*F18</f>
        <v>#REF!</v>
      </c>
    </row>
    <row r="19" spans="1:7" x14ac:dyDescent="0.3">
      <c r="A19" t="s">
        <v>704</v>
      </c>
      <c r="B19" s="30">
        <v>10000</v>
      </c>
      <c r="C19">
        <f>+D7</f>
        <v>3</v>
      </c>
      <c r="D19" s="30">
        <f t="shared" si="1"/>
        <v>30000</v>
      </c>
      <c r="E19" s="33">
        <f>+D19</f>
        <v>30000</v>
      </c>
      <c r="F19" s="12" t="e">
        <f>+F7</f>
        <v>#REF!</v>
      </c>
      <c r="G19" s="30" t="e">
        <f>+E19*F19</f>
        <v>#REF!</v>
      </c>
    </row>
    <row r="20" spans="1:7" x14ac:dyDescent="0.3">
      <c r="A20" t="s">
        <v>705</v>
      </c>
      <c r="B20" s="30">
        <v>355000</v>
      </c>
      <c r="C20">
        <v>1</v>
      </c>
      <c r="D20" s="30">
        <f t="shared" si="1"/>
        <v>355000</v>
      </c>
      <c r="E20" s="10">
        <f>+D20/(6*180)</f>
        <v>328.7037037037037</v>
      </c>
      <c r="F20" t="e">
        <f>+F10</f>
        <v>#REF!</v>
      </c>
      <c r="G20" s="30" t="e">
        <f>+E20*F20</f>
        <v>#REF!</v>
      </c>
    </row>
    <row r="21" spans="1:7" x14ac:dyDescent="0.3">
      <c r="A21" t="s">
        <v>706</v>
      </c>
      <c r="B21" s="30">
        <v>350000</v>
      </c>
      <c r="C21">
        <v>1</v>
      </c>
      <c r="D21" s="30">
        <f t="shared" si="1"/>
        <v>350000</v>
      </c>
      <c r="G21" s="30">
        <f>+D21</f>
        <v>350000</v>
      </c>
    </row>
    <row r="22" spans="1:7" x14ac:dyDescent="0.3">
      <c r="A22" s="158" t="s">
        <v>707</v>
      </c>
      <c r="B22" s="159"/>
      <c r="C22" s="158"/>
      <c r="D22" s="159"/>
      <c r="E22" s="158"/>
      <c r="F22" s="158"/>
      <c r="G22" s="159">
        <f>+D22*E22*F22</f>
        <v>0</v>
      </c>
    </row>
    <row r="23" spans="1:7" x14ac:dyDescent="0.3">
      <c r="A23" t="s">
        <v>708</v>
      </c>
      <c r="B23" s="30">
        <v>1642850</v>
      </c>
      <c r="C23" s="158">
        <v>18</v>
      </c>
      <c r="D23" s="30">
        <f>+B23/C23</f>
        <v>91269.444444444438</v>
      </c>
      <c r="E23" s="12">
        <f>+D23/I3</f>
        <v>482.39664082687335</v>
      </c>
      <c r="F23" t="e">
        <f>+F10</f>
        <v>#REF!</v>
      </c>
      <c r="G23" s="30" t="e">
        <f>+E23*F23</f>
        <v>#REF!</v>
      </c>
    </row>
    <row r="24" spans="1:7" x14ac:dyDescent="0.3">
      <c r="B24" s="30"/>
      <c r="D24" s="30"/>
      <c r="G24" s="30"/>
    </row>
    <row r="25" spans="1:7" x14ac:dyDescent="0.3">
      <c r="G25" s="33" t="e">
        <f>+SUM(G10:G24)</f>
        <v>#REF!</v>
      </c>
    </row>
    <row r="26" spans="1:7" x14ac:dyDescent="0.3">
      <c r="G26" t="e">
        <f>+#REF!</f>
        <v>#REF!</v>
      </c>
    </row>
    <row r="27" spans="1:7" x14ac:dyDescent="0.3">
      <c r="G27" t="e">
        <f>+G25/G26</f>
        <v>#REF!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2E3B-A81E-4F6A-88B5-F49FE552BF22}">
  <sheetPr>
    <tabColor theme="4"/>
    <pageSetUpPr fitToPage="1"/>
  </sheetPr>
  <dimension ref="B1:BS369"/>
  <sheetViews>
    <sheetView showGridLines="0" zoomScaleNormal="100" workbookViewId="0">
      <pane ySplit="9" topLeftCell="A13" activePane="bottomLeft" state="frozenSplit"/>
      <selection pane="bottomLeft" activeCell="D6" sqref="D6"/>
    </sheetView>
  </sheetViews>
  <sheetFormatPr baseColWidth="10" defaultColWidth="10.77734375" defaultRowHeight="14.4" x14ac:dyDescent="0.25"/>
  <cols>
    <col min="1" max="1" width="3.44140625" style="88" customWidth="1"/>
    <col min="2" max="2" width="6.21875" style="106" bestFit="1" customWidth="1"/>
    <col min="3" max="3" width="12.77734375" style="98" bestFit="1" customWidth="1"/>
    <col min="4" max="4" width="16.5546875" style="98" bestFit="1" customWidth="1"/>
    <col min="5" max="6" width="12.21875" style="98" bestFit="1" customWidth="1"/>
    <col min="7" max="7" width="11.44140625" style="98" bestFit="1" customWidth="1"/>
    <col min="8" max="8" width="16.5546875" style="98" bestFit="1" customWidth="1"/>
    <col min="9" max="9" width="3.44140625" style="88" customWidth="1"/>
    <col min="10" max="10" width="10.44140625" style="88" bestFit="1" customWidth="1"/>
    <col min="11" max="11" width="12.5546875" style="88" bestFit="1" customWidth="1"/>
    <col min="12" max="50" width="16.44140625" style="88" bestFit="1" customWidth="1"/>
    <col min="51" max="69" width="15.44140625" style="88" bestFit="1" customWidth="1"/>
    <col min="70" max="71" width="14.44140625" style="88" bestFit="1" customWidth="1"/>
    <col min="72" max="16384" width="10.77734375" style="88"/>
  </cols>
  <sheetData>
    <row r="1" spans="2:71" ht="60.75" customHeight="1" x14ac:dyDescent="0.3">
      <c r="B1" s="219" t="s">
        <v>709</v>
      </c>
      <c r="C1" s="219"/>
      <c r="D1" s="219"/>
      <c r="E1" s="219"/>
      <c r="F1" s="219"/>
      <c r="G1" s="219"/>
      <c r="H1" s="219"/>
    </row>
    <row r="2" spans="2:71" ht="17.25" customHeight="1" x14ac:dyDescent="0.3">
      <c r="B2" s="102"/>
      <c r="C2" s="89"/>
      <c r="D2" s="89"/>
      <c r="E2" s="89"/>
      <c r="F2" s="89"/>
      <c r="G2" s="89"/>
      <c r="H2" s="89"/>
      <c r="L2" s="103" cm="1">
        <f t="array" aca="1" ref="L2:BS2" ca="1">+TRANSPOSE(B10:B69)</f>
        <v>1</v>
      </c>
      <c r="M2" s="103">
        <f ca="1"/>
        <v>2</v>
      </c>
      <c r="N2" s="103">
        <f ca="1"/>
        <v>3</v>
      </c>
      <c r="O2" s="103">
        <f ca="1"/>
        <v>4</v>
      </c>
      <c r="P2" s="103">
        <f ca="1"/>
        <v>5</v>
      </c>
      <c r="Q2" s="103">
        <f ca="1"/>
        <v>6</v>
      </c>
      <c r="R2" s="103">
        <f ca="1"/>
        <v>7</v>
      </c>
      <c r="S2" s="103">
        <f ca="1"/>
        <v>8</v>
      </c>
      <c r="T2" s="103">
        <f ca="1"/>
        <v>9</v>
      </c>
      <c r="U2" s="103">
        <f ca="1"/>
        <v>10</v>
      </c>
      <c r="V2" s="103">
        <f ca="1"/>
        <v>11</v>
      </c>
      <c r="W2" s="103">
        <f ca="1"/>
        <v>12</v>
      </c>
      <c r="X2" s="103">
        <f ca="1"/>
        <v>13</v>
      </c>
      <c r="Y2" s="103">
        <f ca="1"/>
        <v>14</v>
      </c>
      <c r="Z2" s="103">
        <f ca="1"/>
        <v>15</v>
      </c>
      <c r="AA2" s="103">
        <f ca="1"/>
        <v>16</v>
      </c>
      <c r="AB2" s="103">
        <f ca="1"/>
        <v>17</v>
      </c>
      <c r="AC2" s="103">
        <f ca="1"/>
        <v>18</v>
      </c>
      <c r="AD2" s="103">
        <f ca="1"/>
        <v>19</v>
      </c>
      <c r="AE2" s="103">
        <f ca="1"/>
        <v>20</v>
      </c>
      <c r="AF2" s="103">
        <f ca="1"/>
        <v>21</v>
      </c>
      <c r="AG2" s="103">
        <f ca="1"/>
        <v>22</v>
      </c>
      <c r="AH2" s="103">
        <f ca="1"/>
        <v>23</v>
      </c>
      <c r="AI2" s="103">
        <f ca="1"/>
        <v>24</v>
      </c>
      <c r="AJ2" s="103">
        <f ca="1"/>
        <v>25</v>
      </c>
      <c r="AK2" s="103">
        <f ca="1"/>
        <v>26</v>
      </c>
      <c r="AL2" s="103">
        <f ca="1"/>
        <v>27</v>
      </c>
      <c r="AM2" s="103">
        <f ca="1"/>
        <v>28</v>
      </c>
      <c r="AN2" s="103">
        <f ca="1"/>
        <v>29</v>
      </c>
      <c r="AO2" s="103">
        <f ca="1"/>
        <v>30</v>
      </c>
      <c r="AP2" s="103">
        <f ca="1"/>
        <v>31</v>
      </c>
      <c r="AQ2" s="103">
        <f ca="1"/>
        <v>32</v>
      </c>
      <c r="AR2" s="103">
        <f ca="1"/>
        <v>33</v>
      </c>
      <c r="AS2" s="103">
        <f ca="1"/>
        <v>34</v>
      </c>
      <c r="AT2" s="103">
        <f ca="1"/>
        <v>35</v>
      </c>
      <c r="AU2" s="103">
        <f ca="1"/>
        <v>36</v>
      </c>
      <c r="AV2" s="103">
        <f ca="1"/>
        <v>37</v>
      </c>
      <c r="AW2" s="103">
        <f ca="1"/>
        <v>38</v>
      </c>
      <c r="AX2" s="103">
        <f ca="1"/>
        <v>39</v>
      </c>
      <c r="AY2" s="103">
        <f ca="1"/>
        <v>40</v>
      </c>
      <c r="AZ2" s="103">
        <f ca="1"/>
        <v>41</v>
      </c>
      <c r="BA2" s="103">
        <f ca="1"/>
        <v>42</v>
      </c>
      <c r="BB2" s="103">
        <f ca="1"/>
        <v>43</v>
      </c>
      <c r="BC2" s="103">
        <f ca="1"/>
        <v>44</v>
      </c>
      <c r="BD2" s="103">
        <f ca="1"/>
        <v>45</v>
      </c>
      <c r="BE2" s="103">
        <f ca="1"/>
        <v>46</v>
      </c>
      <c r="BF2" s="103">
        <f ca="1"/>
        <v>47</v>
      </c>
      <c r="BG2" s="103">
        <f ca="1"/>
        <v>48</v>
      </c>
      <c r="BH2" s="103">
        <f ca="1"/>
        <v>49</v>
      </c>
      <c r="BI2" s="103">
        <f ca="1"/>
        <v>50</v>
      </c>
      <c r="BJ2" s="103">
        <f ca="1"/>
        <v>51</v>
      </c>
      <c r="BK2" s="103">
        <f ca="1"/>
        <v>52</v>
      </c>
      <c r="BL2" s="103">
        <f ca="1"/>
        <v>53</v>
      </c>
      <c r="BM2" s="103">
        <f ca="1"/>
        <v>54</v>
      </c>
      <c r="BN2" s="103">
        <f ca="1"/>
        <v>55</v>
      </c>
      <c r="BO2" s="103">
        <f ca="1"/>
        <v>56</v>
      </c>
      <c r="BP2" s="103">
        <f ca="1"/>
        <v>57</v>
      </c>
      <c r="BQ2" s="103">
        <f ca="1"/>
        <v>58</v>
      </c>
      <c r="BR2" s="103">
        <f ca="1"/>
        <v>59</v>
      </c>
      <c r="BS2" s="103">
        <f ca="1"/>
        <v>60</v>
      </c>
    </row>
    <row r="3" spans="2:71" ht="20.100000000000001" customHeight="1" thickBot="1" x14ac:dyDescent="0.35">
      <c r="B3" s="220" t="s">
        <v>710</v>
      </c>
      <c r="C3" s="220"/>
      <c r="D3" s="220"/>
      <c r="E3" s="88"/>
      <c r="F3" s="220" t="s">
        <v>711</v>
      </c>
      <c r="G3" s="220"/>
      <c r="H3" s="220"/>
      <c r="K3" s="88" t="s">
        <v>640</v>
      </c>
      <c r="L3" s="107" cm="1">
        <f t="array" aca="1" ref="L3:BS3" ca="1">+TRANSPOSE(F10:F69)</f>
        <v>420908.54724635184</v>
      </c>
      <c r="M3" s="88">
        <f ca="1"/>
        <v>429677.47531398409</v>
      </c>
      <c r="N3" s="88">
        <f ca="1"/>
        <v>438629.08938302542</v>
      </c>
      <c r="O3" s="88">
        <f ca="1"/>
        <v>447767.19541183842</v>
      </c>
      <c r="P3" s="88">
        <f ca="1"/>
        <v>457095.67864958511</v>
      </c>
      <c r="Q3" s="88">
        <f ca="1"/>
        <v>466618.50528811809</v>
      </c>
      <c r="R3" s="88">
        <f ca="1"/>
        <v>476339.72414828721</v>
      </c>
      <c r="S3" s="88">
        <f ca="1"/>
        <v>486263.46840137651</v>
      </c>
      <c r="T3" s="88">
        <f ca="1"/>
        <v>496393.95732640527</v>
      </c>
      <c r="U3" s="88">
        <f ca="1"/>
        <v>506735.49810403865</v>
      </c>
      <c r="V3" s="88">
        <f ca="1"/>
        <v>517292.48764787277</v>
      </c>
      <c r="W3" s="88">
        <f ca="1"/>
        <v>528069.41447387019</v>
      </c>
      <c r="X3" s="88">
        <f ca="1"/>
        <v>539070.86060874234</v>
      </c>
      <c r="Y3" s="88">
        <f ca="1"/>
        <v>550301.5035380912</v>
      </c>
      <c r="Z3" s="88">
        <f ca="1"/>
        <v>561766.1181951348</v>
      </c>
      <c r="AA3" s="88">
        <f ca="1"/>
        <v>573469.57899086678</v>
      </c>
      <c r="AB3" s="88">
        <f ca="1"/>
        <v>585416.86188650981</v>
      </c>
      <c r="AC3" s="88">
        <f ca="1"/>
        <v>597613.04650914553</v>
      </c>
      <c r="AD3" s="88">
        <f ca="1"/>
        <v>610063.31831141934</v>
      </c>
      <c r="AE3" s="88">
        <f ca="1"/>
        <v>622772.97077624057</v>
      </c>
      <c r="AF3" s="88">
        <f ca="1"/>
        <v>635747.40766741219</v>
      </c>
      <c r="AG3" s="88">
        <f ca="1"/>
        <v>648992.14532715001</v>
      </c>
      <c r="AH3" s="88">
        <f ca="1"/>
        <v>662512.81502146565</v>
      </c>
      <c r="AI3" s="88">
        <f ca="1"/>
        <v>676315.16533441283</v>
      </c>
      <c r="AJ3" s="88">
        <f ca="1"/>
        <v>690405.06461221306</v>
      </c>
      <c r="AK3" s="88">
        <f ca="1"/>
        <v>704788.50345830084</v>
      </c>
      <c r="AL3" s="88">
        <f ca="1"/>
        <v>719471.59728034877</v>
      </c>
      <c r="AM3" s="88">
        <f ca="1"/>
        <v>734460.58889035613</v>
      </c>
      <c r="AN3" s="88">
        <f ca="1"/>
        <v>749761.85115890508</v>
      </c>
      <c r="AO3" s="88">
        <f ca="1"/>
        <v>765381.88972471561</v>
      </c>
      <c r="AP3" s="88">
        <f ca="1"/>
        <v>781327.34576064732</v>
      </c>
      <c r="AQ3" s="88">
        <f ca="1"/>
        <v>797604.9987973274</v>
      </c>
      <c r="AR3" s="88">
        <f ca="1"/>
        <v>814221.76960560493</v>
      </c>
      <c r="AS3" s="88">
        <f ca="1"/>
        <v>831184.72313905519</v>
      </c>
      <c r="AT3" s="88">
        <f ca="1"/>
        <v>848501.07153778546</v>
      </c>
      <c r="AU3" s="88">
        <f ca="1"/>
        <v>866178.1771948227</v>
      </c>
      <c r="AV3" s="88">
        <f ca="1"/>
        <v>884223.55588638142</v>
      </c>
      <c r="AW3" s="88">
        <f ca="1"/>
        <v>902644.87996734772</v>
      </c>
      <c r="AX3" s="88">
        <f ca="1"/>
        <v>921449.98163333407</v>
      </c>
      <c r="AY3" s="88">
        <f ca="1"/>
        <v>940646.85625069519</v>
      </c>
      <c r="AZ3" s="88">
        <f ca="1"/>
        <v>960243.66575591825</v>
      </c>
      <c r="BA3" s="88">
        <f ca="1"/>
        <v>980248.74212583306</v>
      </c>
      <c r="BB3" s="88">
        <f ca="1"/>
        <v>1000670.5909201212</v>
      </c>
      <c r="BC3" s="88">
        <f ca="1"/>
        <v>1021517.8948976237</v>
      </c>
      <c r="BD3" s="88">
        <f ca="1"/>
        <v>1042799.5177079909</v>
      </c>
      <c r="BE3" s="88">
        <f ca="1"/>
        <v>1064524.5076602406</v>
      </c>
      <c r="BF3" s="88">
        <f ca="1"/>
        <v>1086702.101569829</v>
      </c>
      <c r="BG3" s="88">
        <f ca="1"/>
        <v>1109341.728685867</v>
      </c>
      <c r="BH3" s="88">
        <f ca="1"/>
        <v>1132453.0147001562</v>
      </c>
      <c r="BI3" s="88">
        <f ca="1"/>
        <v>1156045.7858397425</v>
      </c>
      <c r="BJ3" s="88">
        <f ca="1"/>
        <v>1180130.0730447373</v>
      </c>
      <c r="BK3" s="88">
        <f ca="1"/>
        <v>1204716.1162331693</v>
      </c>
      <c r="BL3" s="88">
        <f ca="1"/>
        <v>1229814.3686546935</v>
      </c>
      <c r="BM3" s="88">
        <f ca="1"/>
        <v>1255435.5013349997</v>
      </c>
      <c r="BN3" s="88">
        <f ca="1"/>
        <v>1281590.4076128122</v>
      </c>
      <c r="BO3" s="88">
        <f ca="1"/>
        <v>1308290.2077714126</v>
      </c>
      <c r="BP3" s="88">
        <f ca="1"/>
        <v>1335546.2537666503</v>
      </c>
      <c r="BQ3" s="88">
        <f ca="1"/>
        <v>1363370.1340534554</v>
      </c>
      <c r="BR3" s="88">
        <f ca="1"/>
        <v>1391773.6785129025</v>
      </c>
      <c r="BS3" s="88">
        <f ca="1"/>
        <v>1420768.9634819212</v>
      </c>
    </row>
    <row r="4" spans="2:71" ht="20.100000000000001" customHeight="1" thickTop="1" x14ac:dyDescent="0.3">
      <c r="B4" s="221" t="s">
        <v>712</v>
      </c>
      <c r="C4" s="221"/>
      <c r="D4" s="90">
        <f>+'Capex GoodWe'!M152</f>
        <v>49414068.942789257</v>
      </c>
      <c r="E4" s="88"/>
      <c r="F4" s="221" t="s">
        <v>713</v>
      </c>
      <c r="G4" s="221"/>
      <c r="H4" s="91">
        <f ca="1">IFERROR(IF(PréstamoPagado,PagoMensual,""), "")</f>
        <v>1450368.3168877945</v>
      </c>
      <c r="K4" s="88" t="s">
        <v>642</v>
      </c>
      <c r="L4" s="107" cm="1">
        <f t="array" aca="1" ref="L4:BS4" ca="1">+TRANSPOSE(G10:G69)</f>
        <v>1029459.7696414428</v>
      </c>
      <c r="M4" s="88">
        <f ca="1"/>
        <v>1020690.8415738107</v>
      </c>
      <c r="N4" s="88">
        <f ca="1"/>
        <v>1011739.2275047691</v>
      </c>
      <c r="O4" s="88">
        <f ca="1"/>
        <v>1002601.1214759562</v>
      </c>
      <c r="P4" s="88">
        <f ca="1"/>
        <v>993272.63823820942</v>
      </c>
      <c r="Q4" s="88">
        <f ca="1"/>
        <v>983749.8115996765</v>
      </c>
      <c r="R4" s="88">
        <f ca="1"/>
        <v>974028.59273950732</v>
      </c>
      <c r="S4" s="88">
        <f ca="1"/>
        <v>964104.84848641814</v>
      </c>
      <c r="T4" s="88">
        <f ca="1"/>
        <v>953974.35956138931</v>
      </c>
      <c r="U4" s="88">
        <f ca="1"/>
        <v>943632.818783756</v>
      </c>
      <c r="V4" s="88">
        <f ca="1"/>
        <v>933075.82923992176</v>
      </c>
      <c r="W4" s="88">
        <f ca="1"/>
        <v>922298.90241392434</v>
      </c>
      <c r="X4" s="88">
        <f ca="1"/>
        <v>911297.45627905219</v>
      </c>
      <c r="Y4" s="88">
        <f ca="1"/>
        <v>900066.81334970344</v>
      </c>
      <c r="Z4" s="88">
        <f ca="1"/>
        <v>888602.19869265985</v>
      </c>
      <c r="AA4" s="88">
        <f ca="1"/>
        <v>876898.73789692787</v>
      </c>
      <c r="AB4" s="88">
        <f ca="1"/>
        <v>864951.45500128483</v>
      </c>
      <c r="AC4" s="88">
        <f ca="1"/>
        <v>852755.27037864923</v>
      </c>
      <c r="AD4" s="88">
        <f ca="1"/>
        <v>840304.99857637519</v>
      </c>
      <c r="AE4" s="88">
        <f ca="1"/>
        <v>827595.3461115543</v>
      </c>
      <c r="AF4" s="88">
        <f ca="1"/>
        <v>814620.90922038234</v>
      </c>
      <c r="AG4" s="88">
        <f ca="1"/>
        <v>801376.17156064475</v>
      </c>
      <c r="AH4" s="88">
        <f ca="1"/>
        <v>787855.501866329</v>
      </c>
      <c r="AI4" s="88">
        <f ca="1"/>
        <v>774053.15155338182</v>
      </c>
      <c r="AJ4" s="88">
        <f ca="1"/>
        <v>759963.25227558159</v>
      </c>
      <c r="AK4" s="88">
        <f ca="1"/>
        <v>745579.81342949369</v>
      </c>
      <c r="AL4" s="88">
        <f ca="1"/>
        <v>730896.71960744588</v>
      </c>
      <c r="AM4" s="88">
        <f ca="1"/>
        <v>715907.72799743852</v>
      </c>
      <c r="AN4" s="88">
        <f ca="1"/>
        <v>700606.46572888945</v>
      </c>
      <c r="AO4" s="88">
        <f ca="1"/>
        <v>684986.42716307892</v>
      </c>
      <c r="AP4" s="88">
        <f ca="1"/>
        <v>669040.97112714732</v>
      </c>
      <c r="AQ4" s="88">
        <f ca="1"/>
        <v>652763.31809046736</v>
      </c>
      <c r="AR4" s="88">
        <f ca="1"/>
        <v>636146.54728218948</v>
      </c>
      <c r="AS4" s="88">
        <f ca="1"/>
        <v>619183.59374873957</v>
      </c>
      <c r="AT4" s="88">
        <f ca="1"/>
        <v>601867.24535000906</v>
      </c>
      <c r="AU4" s="88">
        <f ca="1"/>
        <v>584190.13969297195</v>
      </c>
      <c r="AV4" s="88">
        <f ca="1"/>
        <v>566144.76100141322</v>
      </c>
      <c r="AW4" s="88">
        <f ca="1"/>
        <v>547723.43692044681</v>
      </c>
      <c r="AX4" s="88">
        <f ca="1"/>
        <v>528918.33525446034</v>
      </c>
      <c r="AY4" s="88">
        <f ca="1"/>
        <v>509721.46063709934</v>
      </c>
      <c r="AZ4" s="88">
        <f ca="1"/>
        <v>490124.65113187651</v>
      </c>
      <c r="BA4" s="88">
        <f ca="1"/>
        <v>470119.57476196164</v>
      </c>
      <c r="BB4" s="88">
        <f ca="1"/>
        <v>449697.72596767341</v>
      </c>
      <c r="BC4" s="88">
        <f ca="1"/>
        <v>428850.42199017084</v>
      </c>
      <c r="BD4" s="88">
        <f ca="1"/>
        <v>407568.79917980364</v>
      </c>
      <c r="BE4" s="88">
        <f ca="1"/>
        <v>385843.80922755389</v>
      </c>
      <c r="BF4" s="88">
        <f ca="1"/>
        <v>363666.2153179656</v>
      </c>
      <c r="BG4" s="88">
        <f ca="1"/>
        <v>341026.58820192743</v>
      </c>
      <c r="BH4" s="88">
        <f ca="1"/>
        <v>317915.30218763853</v>
      </c>
      <c r="BI4" s="88">
        <f ca="1"/>
        <v>294322.53104805195</v>
      </c>
      <c r="BJ4" s="88">
        <f ca="1"/>
        <v>270238.24384305737</v>
      </c>
      <c r="BK4" s="88">
        <f ca="1"/>
        <v>245652.20065462534</v>
      </c>
      <c r="BL4" s="88">
        <f ca="1"/>
        <v>220553.94823310096</v>
      </c>
      <c r="BM4" s="88">
        <f ca="1"/>
        <v>194932.81555279484</v>
      </c>
      <c r="BN4" s="88">
        <f ca="1"/>
        <v>168777.90927498238</v>
      </c>
      <c r="BO4" s="88">
        <f ca="1"/>
        <v>142078.10911638211</v>
      </c>
      <c r="BP4" s="88">
        <f ca="1"/>
        <v>114822.06312114434</v>
      </c>
      <c r="BQ4" s="88">
        <f ca="1"/>
        <v>86998.182834339153</v>
      </c>
      <c r="BR4" s="88">
        <f ca="1"/>
        <v>58594.638374892158</v>
      </c>
      <c r="BS4" s="88">
        <f ca="1"/>
        <v>29599.353405873357</v>
      </c>
    </row>
    <row r="5" spans="2:71" ht="20.100000000000001" customHeight="1" x14ac:dyDescent="0.3">
      <c r="B5" s="218" t="s">
        <v>714</v>
      </c>
      <c r="C5" s="218"/>
      <c r="D5" s="99">
        <v>0.25</v>
      </c>
      <c r="E5" s="88"/>
      <c r="F5" s="218" t="s">
        <v>715</v>
      </c>
      <c r="G5" s="218"/>
      <c r="H5" s="92">
        <f ca="1">IFERROR(IF(PréstamoPagado,AñosPréstamo*12,""), "")</f>
        <v>60</v>
      </c>
      <c r="K5" s="88" t="s">
        <v>716</v>
      </c>
      <c r="L5" s="88" cm="1">
        <f t="array" aca="1" ref="L5:BS5" ca="1">+TRANSPOSE(H10:H69)</f>
        <v>48993160.395542905</v>
      </c>
      <c r="M5" s="88">
        <f ca="1"/>
        <v>48563482.920228921</v>
      </c>
      <c r="N5" s="88">
        <f ca="1"/>
        <v>48124853.830845907</v>
      </c>
      <c r="O5" s="88">
        <f ca="1"/>
        <v>47677086.635434069</v>
      </c>
      <c r="P5" s="88">
        <f ca="1"/>
        <v>47219990.956784479</v>
      </c>
      <c r="Q5" s="88">
        <f ca="1"/>
        <v>46753372.45149637</v>
      </c>
      <c r="R5" s="88">
        <f ca="1"/>
        <v>46277032.727348089</v>
      </c>
      <c r="S5" s="88">
        <f ca="1"/>
        <v>45790769.258946709</v>
      </c>
      <c r="T5" s="88">
        <f ca="1"/>
        <v>45294375.301620305</v>
      </c>
      <c r="U5" s="88">
        <f ca="1"/>
        <v>44787639.803516276</v>
      </c>
      <c r="V5" s="88">
        <f ca="1"/>
        <v>44270347.315868407</v>
      </c>
      <c r="W5" s="88">
        <f ca="1"/>
        <v>43742277.901394539</v>
      </c>
      <c r="X5" s="88">
        <f ca="1"/>
        <v>43203207.040785797</v>
      </c>
      <c r="Y5" s="88">
        <f ca="1"/>
        <v>42652905.53724771</v>
      </c>
      <c r="Z5" s="88">
        <f ca="1"/>
        <v>42091139.419052586</v>
      </c>
      <c r="AA5" s="88">
        <f ca="1"/>
        <v>41517669.840061709</v>
      </c>
      <c r="AB5" s="88">
        <f ca="1"/>
        <v>40932252.978175215</v>
      </c>
      <c r="AC5" s="88">
        <f ca="1"/>
        <v>40334639.931666069</v>
      </c>
      <c r="AD5" s="88">
        <f ca="1"/>
        <v>39724576.613354653</v>
      </c>
      <c r="AE5" s="88">
        <f ca="1"/>
        <v>39101803.642578423</v>
      </c>
      <c r="AF5" s="88">
        <f ca="1"/>
        <v>38466056.234911002</v>
      </c>
      <c r="AG5" s="88">
        <f ca="1"/>
        <v>37817064.089583866</v>
      </c>
      <c r="AH5" s="88">
        <f ca="1"/>
        <v>37154551.274562404</v>
      </c>
      <c r="AI5" s="88">
        <f ca="1"/>
        <v>36478236.109228</v>
      </c>
      <c r="AJ5" s="88">
        <f ca="1"/>
        <v>35787831.044615783</v>
      </c>
      <c r="AK5" s="88">
        <f ca="1"/>
        <v>35083042.541157499</v>
      </c>
      <c r="AL5" s="88">
        <f ca="1"/>
        <v>34363570.943877146</v>
      </c>
      <c r="AM5" s="88">
        <f ca="1"/>
        <v>33629110.354986809</v>
      </c>
      <c r="AN5" s="88">
        <f ca="1"/>
        <v>32879348.503827892</v>
      </c>
      <c r="AO5" s="88">
        <f ca="1"/>
        <v>32113966.614103198</v>
      </c>
      <c r="AP5" s="88">
        <f ca="1"/>
        <v>31332639.268342555</v>
      </c>
      <c r="AQ5" s="88">
        <f ca="1"/>
        <v>30535034.26954525</v>
      </c>
      <c r="AR5" s="88">
        <f ca="1"/>
        <v>29720812.499939635</v>
      </c>
      <c r="AS5" s="88">
        <f ca="1"/>
        <v>28889627.776800588</v>
      </c>
      <c r="AT5" s="88">
        <f ca="1"/>
        <v>28041126.70526281</v>
      </c>
      <c r="AU5" s="88">
        <f ca="1"/>
        <v>27174948.528067991</v>
      </c>
      <c r="AV5" s="88">
        <f ca="1"/>
        <v>26290724.972181618</v>
      </c>
      <c r="AW5" s="88">
        <f ca="1"/>
        <v>25388080.092214286</v>
      </c>
      <c r="AX5" s="88">
        <f ca="1"/>
        <v>24466630.110580966</v>
      </c>
      <c r="AY5" s="88">
        <f ca="1"/>
        <v>23525983.254330277</v>
      </c>
      <c r="AZ5" s="88">
        <f ca="1"/>
        <v>22565739.58857438</v>
      </c>
      <c r="BA5" s="88">
        <f ca="1"/>
        <v>21585490.846448541</v>
      </c>
      <c r="BB5" s="88">
        <f ca="1"/>
        <v>20584820.25552842</v>
      </c>
      <c r="BC5" s="88">
        <f ca="1"/>
        <v>19563302.360630825</v>
      </c>
      <c r="BD5" s="88">
        <f ca="1"/>
        <v>18520502.842922822</v>
      </c>
      <c r="BE5" s="88">
        <f ca="1"/>
        <v>17455978.335262612</v>
      </c>
      <c r="BF5" s="88">
        <f ca="1"/>
        <v>16369276.233692795</v>
      </c>
      <c r="BG5" s="88">
        <f ca="1"/>
        <v>15259934.505006939</v>
      </c>
      <c r="BH5" s="88">
        <f ca="1"/>
        <v>14127481.49030678</v>
      </c>
      <c r="BI5" s="88">
        <f ca="1"/>
        <v>12971435.704467058</v>
      </c>
      <c r="BJ5" s="88">
        <f ca="1"/>
        <v>11791305.631422341</v>
      </c>
      <c r="BK5" s="88">
        <f ca="1"/>
        <v>10586589.515189186</v>
      </c>
      <c r="BL5" s="88">
        <f ca="1"/>
        <v>9356775.1465345025</v>
      </c>
      <c r="BM5" s="88">
        <f ca="1"/>
        <v>8101339.6451995075</v>
      </c>
      <c r="BN5" s="88">
        <f ca="1"/>
        <v>6819749.2375867069</v>
      </c>
      <c r="BO5" s="88">
        <f ca="1"/>
        <v>5511459.0298153162</v>
      </c>
      <c r="BP5" s="88">
        <f ca="1"/>
        <v>4175912.7760486901</v>
      </c>
      <c r="BQ5" s="88">
        <f ca="1"/>
        <v>2812542.6419952512</v>
      </c>
      <c r="BR5" s="88">
        <f ca="1"/>
        <v>1420768.9634823799</v>
      </c>
      <c r="BS5" s="88">
        <f ca="1"/>
        <v>4.76837158203125E-7</v>
      </c>
    </row>
    <row r="6" spans="2:71" ht="20.100000000000001" customHeight="1" x14ac:dyDescent="0.3">
      <c r="B6" s="218" t="s">
        <v>717</v>
      </c>
      <c r="C6" s="218"/>
      <c r="D6" s="100">
        <v>5</v>
      </c>
      <c r="E6" s="88"/>
      <c r="F6" s="218" t="s">
        <v>718</v>
      </c>
      <c r="G6" s="218"/>
      <c r="H6" s="93">
        <f ca="1">IFERROR(IF(PréstamoPagado,CosteTotalPréstamo-CantidadPréstamo,""), "")</f>
        <v>37608030.07047841</v>
      </c>
      <c r="J6" s="88">
        <v>1159</v>
      </c>
      <c r="K6" s="88" t="s">
        <v>719</v>
      </c>
      <c r="L6" s="107">
        <f ca="1">+(L5/1000000)*$J$6</f>
        <v>56783.072898434228</v>
      </c>
      <c r="M6" s="88">
        <f ca="1">+(M5/1000000)*$J$6</f>
        <v>56285.076704545318</v>
      </c>
      <c r="N6" s="88">
        <f t="shared" ref="N6:BS6" ca="1" si="0">+(N5/1000000)*$J$6</f>
        <v>55776.705589950405</v>
      </c>
      <c r="O6" s="88">
        <f t="shared" ca="1" si="0"/>
        <v>55257.74341046808</v>
      </c>
      <c r="P6" s="88">
        <f t="shared" ca="1" si="0"/>
        <v>54727.969518913211</v>
      </c>
      <c r="Q6" s="88">
        <f t="shared" ca="1" si="0"/>
        <v>54187.158671284291</v>
      </c>
      <c r="R6" s="88">
        <f t="shared" ca="1" si="0"/>
        <v>53635.080930996432</v>
      </c>
      <c r="S6" s="88">
        <f t="shared" ca="1" si="0"/>
        <v>53071.501571119239</v>
      </c>
      <c r="T6" s="88">
        <f t="shared" ca="1" si="0"/>
        <v>52496.180974577932</v>
      </c>
      <c r="U6" s="88">
        <f t="shared" ca="1" si="0"/>
        <v>51908.874532275368</v>
      </c>
      <c r="V6" s="88">
        <f t="shared" ca="1" si="0"/>
        <v>51309.332539091483</v>
      </c>
      <c r="W6" s="88">
        <f t="shared" ca="1" si="0"/>
        <v>50697.30008771627</v>
      </c>
      <c r="X6" s="88">
        <f t="shared" ca="1" si="0"/>
        <v>50072.516960270739</v>
      </c>
      <c r="Y6" s="88">
        <f t="shared" ca="1" si="0"/>
        <v>49434.717517670098</v>
      </c>
      <c r="Z6" s="88">
        <f t="shared" ca="1" si="0"/>
        <v>48783.630586681953</v>
      </c>
      <c r="AA6" s="88">
        <f t="shared" ca="1" si="0"/>
        <v>48118.979344631516</v>
      </c>
      <c r="AB6" s="88">
        <f t="shared" ca="1" si="0"/>
        <v>47440.481201705072</v>
      </c>
      <c r="AC6" s="88">
        <f t="shared" ca="1" si="0"/>
        <v>46747.847680800973</v>
      </c>
      <c r="AD6" s="88">
        <f t="shared" ca="1" si="0"/>
        <v>46040.784294878038</v>
      </c>
      <c r="AE6" s="88">
        <f t="shared" ca="1" si="0"/>
        <v>45318.990421748393</v>
      </c>
      <c r="AF6" s="88">
        <f t="shared" ca="1" si="0"/>
        <v>44582.159176261848</v>
      </c>
      <c r="AG6" s="88">
        <f t="shared" ca="1" si="0"/>
        <v>43829.977279827697</v>
      </c>
      <c r="AH6" s="88">
        <f t="shared" ca="1" si="0"/>
        <v>43062.124927217825</v>
      </c>
      <c r="AI6" s="88">
        <f t="shared" ca="1" si="0"/>
        <v>42278.275650595249</v>
      </c>
      <c r="AJ6" s="88">
        <f t="shared" ca="1" si="0"/>
        <v>41478.096180709697</v>
      </c>
      <c r="AK6" s="88">
        <f t="shared" ca="1" si="0"/>
        <v>40661.246305201537</v>
      </c>
      <c r="AL6" s="88">
        <f t="shared" ca="1" si="0"/>
        <v>39827.37872395361</v>
      </c>
      <c r="AM6" s="88">
        <f t="shared" ca="1" si="0"/>
        <v>38976.138901429709</v>
      </c>
      <c r="AN6" s="88">
        <f t="shared" ca="1" si="0"/>
        <v>38107.164915936526</v>
      </c>
      <c r="AO6" s="88">
        <f t="shared" ca="1" si="0"/>
        <v>37220.087305745605</v>
      </c>
      <c r="AP6" s="88">
        <f t="shared" ca="1" si="0"/>
        <v>36314.528912009016</v>
      </c>
      <c r="AQ6" s="88">
        <f t="shared" ca="1" si="0"/>
        <v>35390.104718402945</v>
      </c>
      <c r="AR6" s="88">
        <f t="shared" ca="1" si="0"/>
        <v>34446.42168743004</v>
      </c>
      <c r="AS6" s="88">
        <f t="shared" ca="1" si="0"/>
        <v>33483.078593311882</v>
      </c>
      <c r="AT6" s="88">
        <f t="shared" ca="1" si="0"/>
        <v>32499.665851399594</v>
      </c>
      <c r="AU6" s="88">
        <f t="shared" ca="1" si="0"/>
        <v>31495.765344030799</v>
      </c>
      <c r="AV6" s="88">
        <f t="shared" ca="1" si="0"/>
        <v>30470.950242758496</v>
      </c>
      <c r="AW6" s="88">
        <f t="shared" ca="1" si="0"/>
        <v>29424.784826876356</v>
      </c>
      <c r="AX6" s="88">
        <f t="shared" ca="1" si="0"/>
        <v>28356.824298163338</v>
      </c>
      <c r="AY6" s="88">
        <f t="shared" ca="1" si="0"/>
        <v>27266.614591768794</v>
      </c>
      <c r="AZ6" s="88">
        <f t="shared" ca="1" si="0"/>
        <v>26153.692183157709</v>
      </c>
      <c r="BA6" s="88">
        <f t="shared" ca="1" si="0"/>
        <v>25017.583891033857</v>
      </c>
      <c r="BB6" s="88">
        <f t="shared" ca="1" si="0"/>
        <v>23857.806676157441</v>
      </c>
      <c r="BC6" s="88">
        <f t="shared" ca="1" si="0"/>
        <v>22673.867435971126</v>
      </c>
      <c r="BD6" s="88">
        <f t="shared" ca="1" si="0"/>
        <v>21465.26279494755</v>
      </c>
      <c r="BE6" s="88">
        <f t="shared" ca="1" si="0"/>
        <v>20231.478890569364</v>
      </c>
      <c r="BF6" s="88">
        <f t="shared" ca="1" si="0"/>
        <v>18971.991154849948</v>
      </c>
      <c r="BG6" s="88">
        <f t="shared" ca="1" si="0"/>
        <v>17686.264091303041</v>
      </c>
      <c r="BH6" s="88">
        <f t="shared" ca="1" si="0"/>
        <v>16373.751047265558</v>
      </c>
      <c r="BI6" s="88">
        <f t="shared" ca="1" si="0"/>
        <v>15033.89398147732</v>
      </c>
      <c r="BJ6" s="88">
        <f t="shared" ca="1" si="0"/>
        <v>13666.123226818494</v>
      </c>
      <c r="BK6" s="88">
        <f t="shared" ca="1" si="0"/>
        <v>12269.857248104267</v>
      </c>
      <c r="BL6" s="88">
        <f t="shared" ca="1" si="0"/>
        <v>10844.502394833489</v>
      </c>
      <c r="BM6" s="88">
        <f t="shared" ca="1" si="0"/>
        <v>9389.4526487862295</v>
      </c>
      <c r="BN6" s="88">
        <f t="shared" ca="1" si="0"/>
        <v>7904.0893663629931</v>
      </c>
      <c r="BO6" s="88">
        <f t="shared" ca="1" si="0"/>
        <v>6387.7810155559509</v>
      </c>
      <c r="BP6" s="88">
        <f t="shared" ca="1" si="0"/>
        <v>4839.8829074404321</v>
      </c>
      <c r="BQ6" s="88">
        <f t="shared" ca="1" si="0"/>
        <v>3259.7369220724963</v>
      </c>
      <c r="BR6" s="88">
        <f t="shared" ca="1" si="0"/>
        <v>1646.6712286760783</v>
      </c>
      <c r="BS6" s="88">
        <f t="shared" ca="1" si="0"/>
        <v>5.5265426635742181E-10</v>
      </c>
    </row>
    <row r="7" spans="2:71" ht="20.100000000000001" customHeight="1" x14ac:dyDescent="0.3">
      <c r="B7" s="218" t="s">
        <v>720</v>
      </c>
      <c r="C7" s="218"/>
      <c r="D7" s="101">
        <f ca="1">TODAY()</f>
        <v>46301</v>
      </c>
      <c r="E7" s="88"/>
      <c r="F7" s="218" t="s">
        <v>721</v>
      </c>
      <c r="G7" s="218"/>
      <c r="H7" s="93">
        <f ca="1">IFERROR(IF(PréstamoPagado,PagoMensual*NúmeroDePagos,""), "")</f>
        <v>87022099.013267666</v>
      </c>
      <c r="K7" s="88" t="s">
        <v>11</v>
      </c>
      <c r="L7" s="88">
        <f ca="1">+L3+L4+L6</f>
        <v>1507151.3897862288</v>
      </c>
      <c r="M7" s="88">
        <f t="shared" ref="M7:BS7" ca="1" si="1">+M3+M4+M6</f>
        <v>1506653.3935923402</v>
      </c>
      <c r="N7" s="88">
        <f t="shared" ca="1" si="1"/>
        <v>1506145.0224777448</v>
      </c>
      <c r="O7" s="88">
        <f t="shared" ca="1" si="1"/>
        <v>1505626.0602982626</v>
      </c>
      <c r="P7" s="88">
        <f t="shared" ca="1" si="1"/>
        <v>1505096.2864067077</v>
      </c>
      <c r="Q7" s="88">
        <f t="shared" ca="1" si="1"/>
        <v>1504555.4755590789</v>
      </c>
      <c r="R7" s="88">
        <f t="shared" ca="1" si="1"/>
        <v>1504003.397818791</v>
      </c>
      <c r="S7" s="88">
        <f t="shared" ca="1" si="1"/>
        <v>1503439.8184589138</v>
      </c>
      <c r="T7" s="88">
        <f t="shared" ca="1" si="1"/>
        <v>1502864.4978623725</v>
      </c>
      <c r="U7" s="88">
        <f t="shared" ca="1" si="1"/>
        <v>1502277.1914200699</v>
      </c>
      <c r="V7" s="88">
        <f t="shared" ca="1" si="1"/>
        <v>1501677.6494268861</v>
      </c>
      <c r="W7" s="88">
        <f t="shared" ca="1" si="1"/>
        <v>1501065.6169755107</v>
      </c>
      <c r="X7" s="88">
        <f t="shared" ca="1" si="1"/>
        <v>1500440.8338480652</v>
      </c>
      <c r="Y7" s="88">
        <f t="shared" ca="1" si="1"/>
        <v>1499803.0344054645</v>
      </c>
      <c r="Z7" s="88">
        <f t="shared" ca="1" si="1"/>
        <v>1499151.9474744764</v>
      </c>
      <c r="AA7" s="88">
        <f t="shared" ca="1" si="1"/>
        <v>1498487.2962324261</v>
      </c>
      <c r="AB7" s="88">
        <f t="shared" ca="1" si="1"/>
        <v>1497808.7980894996</v>
      </c>
      <c r="AC7" s="88">
        <f t="shared" ca="1" si="1"/>
        <v>1497116.1645685958</v>
      </c>
      <c r="AD7" s="88">
        <f t="shared" ca="1" si="1"/>
        <v>1496409.1011826727</v>
      </c>
      <c r="AE7" s="88">
        <f t="shared" ca="1" si="1"/>
        <v>1495687.3073095435</v>
      </c>
      <c r="AF7" s="88">
        <f t="shared" ca="1" si="1"/>
        <v>1494950.4760640564</v>
      </c>
      <c r="AG7" s="88">
        <f t="shared" ca="1" si="1"/>
        <v>1494198.2941676225</v>
      </c>
      <c r="AH7" s="88">
        <f t="shared" ca="1" si="1"/>
        <v>1493430.4418150124</v>
      </c>
      <c r="AI7" s="88">
        <f t="shared" ca="1" si="1"/>
        <v>1492646.5925383898</v>
      </c>
      <c r="AJ7" s="88">
        <f t="shared" ca="1" si="1"/>
        <v>1491846.4130685043</v>
      </c>
      <c r="AK7" s="88">
        <f t="shared" ca="1" si="1"/>
        <v>1491029.563192996</v>
      </c>
      <c r="AL7" s="88">
        <f t="shared" ca="1" si="1"/>
        <v>1490195.6956117481</v>
      </c>
      <c r="AM7" s="88">
        <f t="shared" ca="1" si="1"/>
        <v>1489344.4557892242</v>
      </c>
      <c r="AN7" s="88">
        <f t="shared" ca="1" si="1"/>
        <v>1488475.4818037311</v>
      </c>
      <c r="AO7" s="88">
        <f t="shared" ca="1" si="1"/>
        <v>1487588.4041935401</v>
      </c>
      <c r="AP7" s="88">
        <f t="shared" ca="1" si="1"/>
        <v>1486682.8457998035</v>
      </c>
      <c r="AQ7" s="88">
        <f t="shared" ca="1" si="1"/>
        <v>1485758.4216061977</v>
      </c>
      <c r="AR7" s="88">
        <f t="shared" ca="1" si="1"/>
        <v>1484814.7385752245</v>
      </c>
      <c r="AS7" s="88">
        <f t="shared" ca="1" si="1"/>
        <v>1483851.3954811066</v>
      </c>
      <c r="AT7" s="88">
        <f t="shared" ca="1" si="1"/>
        <v>1482867.9827391941</v>
      </c>
      <c r="AU7" s="88">
        <f t="shared" ca="1" si="1"/>
        <v>1481864.0822318252</v>
      </c>
      <c r="AV7" s="88">
        <f t="shared" ca="1" si="1"/>
        <v>1480839.267130553</v>
      </c>
      <c r="AW7" s="88">
        <f t="shared" ca="1" si="1"/>
        <v>1479793.1017146709</v>
      </c>
      <c r="AX7" s="88">
        <f t="shared" ca="1" si="1"/>
        <v>1478725.1411859579</v>
      </c>
      <c r="AY7" s="88">
        <f t="shared" ca="1" si="1"/>
        <v>1477634.9314795632</v>
      </c>
      <c r="AZ7" s="88">
        <f t="shared" ca="1" si="1"/>
        <v>1476522.0090709524</v>
      </c>
      <c r="BA7" s="88">
        <f t="shared" ca="1" si="1"/>
        <v>1475385.9007788287</v>
      </c>
      <c r="BB7" s="88">
        <f t="shared" ca="1" si="1"/>
        <v>1474226.123563952</v>
      </c>
      <c r="BC7" s="88">
        <f t="shared" ca="1" si="1"/>
        <v>1473042.1843237656</v>
      </c>
      <c r="BD7" s="88">
        <f t="shared" ca="1" si="1"/>
        <v>1471833.579682742</v>
      </c>
      <c r="BE7" s="88">
        <f t="shared" ca="1" si="1"/>
        <v>1470599.7957783639</v>
      </c>
      <c r="BF7" s="88">
        <f t="shared" ca="1" si="1"/>
        <v>1469340.3080426445</v>
      </c>
      <c r="BG7" s="88">
        <f t="shared" ca="1" si="1"/>
        <v>1468054.5809790976</v>
      </c>
      <c r="BH7" s="88">
        <f t="shared" ca="1" si="1"/>
        <v>1466742.0679350602</v>
      </c>
      <c r="BI7" s="88">
        <f t="shared" ca="1" si="1"/>
        <v>1465402.2108692718</v>
      </c>
      <c r="BJ7" s="88">
        <f t="shared" ca="1" si="1"/>
        <v>1464034.4401146132</v>
      </c>
      <c r="BK7" s="88">
        <f t="shared" ca="1" si="1"/>
        <v>1462638.1741358989</v>
      </c>
      <c r="BL7" s="88">
        <f t="shared" ca="1" si="1"/>
        <v>1461212.8192826281</v>
      </c>
      <c r="BM7" s="88">
        <f t="shared" ca="1" si="1"/>
        <v>1459757.7695365807</v>
      </c>
      <c r="BN7" s="88">
        <f t="shared" ca="1" si="1"/>
        <v>1458272.4062541574</v>
      </c>
      <c r="BO7" s="88">
        <f t="shared" ca="1" si="1"/>
        <v>1456756.0979033506</v>
      </c>
      <c r="BP7" s="88">
        <f t="shared" ca="1" si="1"/>
        <v>1455208.1997952352</v>
      </c>
      <c r="BQ7" s="88">
        <f t="shared" ca="1" si="1"/>
        <v>1453628.053809867</v>
      </c>
      <c r="BR7" s="88">
        <f t="shared" ca="1" si="1"/>
        <v>1452014.9881164706</v>
      </c>
      <c r="BS7" s="88">
        <f t="shared" ca="1" si="1"/>
        <v>1450368.316887795</v>
      </c>
    </row>
    <row r="8" spans="2:71" ht="15" customHeight="1" x14ac:dyDescent="0.3">
      <c r="B8" s="103"/>
      <c r="C8" s="88"/>
      <c r="D8" s="88"/>
      <c r="E8" s="88"/>
      <c r="F8" s="88"/>
      <c r="G8" s="88"/>
      <c r="H8" s="88"/>
    </row>
    <row r="9" spans="2:71" ht="29.25" customHeight="1" x14ac:dyDescent="0.3">
      <c r="B9" s="104" t="s">
        <v>722</v>
      </c>
      <c r="C9" s="94" t="s">
        <v>723</v>
      </c>
      <c r="D9" s="95" t="s">
        <v>724</v>
      </c>
      <c r="E9" s="95" t="s">
        <v>725</v>
      </c>
      <c r="F9" s="95" t="s">
        <v>640</v>
      </c>
      <c r="G9" s="95" t="s">
        <v>642</v>
      </c>
      <c r="H9" s="95" t="s">
        <v>726</v>
      </c>
    </row>
    <row r="10" spans="2:71" ht="20.100000000000001" customHeight="1" x14ac:dyDescent="0.3">
      <c r="B10" s="105">
        <f ca="1">IFERROR(IF(PréstamoNoPagado*PréstamoPagado,NúmeroDePago,""), "")</f>
        <v>1</v>
      </c>
      <c r="C10" s="96">
        <f ca="1">IFERROR(IF(PréstamoNoPagado*PréstamoPagado,FechaDePago,""), "")</f>
        <v>46332</v>
      </c>
      <c r="D10" s="97">
        <f ca="1">IFERROR(IF(PréstamoNoPagado*PréstamoPagado,ValorPréstamo,""), "")</f>
        <v>49414068.942789257</v>
      </c>
      <c r="E10" s="97">
        <f ca="1">IFERROR(IF(PréstamoNoPagado*PréstamoPagado,PagoMensual,""), "")</f>
        <v>1450368.3168877945</v>
      </c>
      <c r="F10" s="97">
        <f ca="1">IFERROR(IF(PréstamoNoPagado*PréstamoPagado,Capital,""), "")</f>
        <v>420908.54724635184</v>
      </c>
      <c r="G10" s="97">
        <f ca="1">IFERROR(IF(PréstamoNoPagado*PréstamoPagado,AmortizaciónInterés,""), "")</f>
        <v>1029459.7696414428</v>
      </c>
      <c r="H10" s="97">
        <f ca="1">IFERROR(IF(PréstamoNoPagado*PréstamoPagado,SaldoFinal,""), "")</f>
        <v>48993160.395542905</v>
      </c>
    </row>
    <row r="11" spans="2:71" ht="20.100000000000001" customHeight="1" x14ac:dyDescent="0.3">
      <c r="B11" s="105">
        <f ca="1">IFERROR(IF(PréstamoNoPagado*PréstamoPagado,NúmeroDePago,""), "")</f>
        <v>2</v>
      </c>
      <c r="C11" s="96">
        <f ca="1">IFERROR(IF(PréstamoNoPagado*PréstamoPagado,FechaDePago,""), "")</f>
        <v>46362</v>
      </c>
      <c r="D11" s="97">
        <f ca="1">IFERROR(IF(PréstamoNoPagado*PréstamoPagado,ValorPréstamo,""), "")</f>
        <v>48993160.395542905</v>
      </c>
      <c r="E11" s="97">
        <f ca="1">IFERROR(IF(PréstamoNoPagado*PréstamoPagado,PagoMensual,""), "")</f>
        <v>1450368.3168877945</v>
      </c>
      <c r="F11" s="97">
        <f ca="1">IFERROR(IF(PréstamoNoPagado*PréstamoPagado,Capital,""), "")</f>
        <v>429677.47531398409</v>
      </c>
      <c r="G11" s="97">
        <f ca="1">IFERROR(IF(PréstamoNoPagado*PréstamoPagado,AmortizaciónInterés,""), "")</f>
        <v>1020690.8415738107</v>
      </c>
      <c r="H11" s="97">
        <f ca="1">IFERROR(IF(PréstamoNoPagado*PréstamoPagado,SaldoFinal,""), "")</f>
        <v>48563482.920228921</v>
      </c>
    </row>
    <row r="12" spans="2:71" ht="20.100000000000001" customHeight="1" x14ac:dyDescent="0.3">
      <c r="B12" s="105">
        <f ca="1">IFERROR(IF(PréstamoNoPagado*PréstamoPagado,NúmeroDePago,""), "")</f>
        <v>3</v>
      </c>
      <c r="C12" s="96">
        <f ca="1">IFERROR(IF(PréstamoNoPagado*PréstamoPagado,FechaDePago,""), "")</f>
        <v>46393</v>
      </c>
      <c r="D12" s="97">
        <f ca="1">IFERROR(IF(PréstamoNoPagado*PréstamoPagado,ValorPréstamo,""), "")</f>
        <v>48563482.920228921</v>
      </c>
      <c r="E12" s="97">
        <f ca="1">IFERROR(IF(PréstamoNoPagado*PréstamoPagado,PagoMensual,""), "")</f>
        <v>1450368.3168877945</v>
      </c>
      <c r="F12" s="97">
        <f ca="1">IFERROR(IF(PréstamoNoPagado*PréstamoPagado,Capital,""), "")</f>
        <v>438629.08938302542</v>
      </c>
      <c r="G12" s="97">
        <f ca="1">IFERROR(IF(PréstamoNoPagado*PréstamoPagado,AmortizaciónInterés,""), "")</f>
        <v>1011739.2275047691</v>
      </c>
      <c r="H12" s="97">
        <f ca="1">IFERROR(IF(PréstamoNoPagado*PréstamoPagado,SaldoFinal,""), "")</f>
        <v>48124853.830845907</v>
      </c>
    </row>
    <row r="13" spans="2:71" ht="20.100000000000001" customHeight="1" x14ac:dyDescent="0.3">
      <c r="B13" s="105">
        <f ca="1">IFERROR(IF(PréstamoNoPagado*PréstamoPagado,NúmeroDePago,""), "")</f>
        <v>4</v>
      </c>
      <c r="C13" s="96">
        <f ca="1">IFERROR(IF(PréstamoNoPagado*PréstamoPagado,FechaDePago,""), "")</f>
        <v>46424</v>
      </c>
      <c r="D13" s="97">
        <f ca="1">IFERROR(IF(PréstamoNoPagado*PréstamoPagado,ValorPréstamo,""), "")</f>
        <v>48124853.830845907</v>
      </c>
      <c r="E13" s="97">
        <f ca="1">IFERROR(IF(PréstamoNoPagado*PréstamoPagado,PagoMensual,""), "")</f>
        <v>1450368.3168877945</v>
      </c>
      <c r="F13" s="97">
        <f ca="1">IFERROR(IF(PréstamoNoPagado*PréstamoPagado,Capital,""), "")</f>
        <v>447767.19541183842</v>
      </c>
      <c r="G13" s="97">
        <f ca="1">IFERROR(IF(PréstamoNoPagado*PréstamoPagado,AmortizaciónInterés,""), "")</f>
        <v>1002601.1214759562</v>
      </c>
      <c r="H13" s="97">
        <f ca="1">IFERROR(IF(PréstamoNoPagado*PréstamoPagado,SaldoFinal,""), "")</f>
        <v>47677086.635434069</v>
      </c>
    </row>
    <row r="14" spans="2:71" ht="20.100000000000001" customHeight="1" x14ac:dyDescent="0.3">
      <c r="B14" s="105">
        <f ca="1">IFERROR(IF(PréstamoNoPagado*PréstamoPagado,NúmeroDePago,""), "")</f>
        <v>5</v>
      </c>
      <c r="C14" s="96">
        <f ca="1">IFERROR(IF(PréstamoNoPagado*PréstamoPagado,FechaDePago,""), "")</f>
        <v>46452</v>
      </c>
      <c r="D14" s="97">
        <f ca="1">IFERROR(IF(PréstamoNoPagado*PréstamoPagado,ValorPréstamo,""), "")</f>
        <v>47677086.635434069</v>
      </c>
      <c r="E14" s="97">
        <f ca="1">IFERROR(IF(PréstamoNoPagado*PréstamoPagado,PagoMensual,""), "")</f>
        <v>1450368.3168877945</v>
      </c>
      <c r="F14" s="97">
        <f ca="1">IFERROR(IF(PréstamoNoPagado*PréstamoPagado,Capital,""), "")</f>
        <v>457095.67864958511</v>
      </c>
      <c r="G14" s="97">
        <f ca="1">IFERROR(IF(PréstamoNoPagado*PréstamoPagado,AmortizaciónInterés,""), "")</f>
        <v>993272.63823820942</v>
      </c>
      <c r="H14" s="97">
        <f ca="1">IFERROR(IF(PréstamoNoPagado*PréstamoPagado,SaldoFinal,""), "")</f>
        <v>47219990.956784479</v>
      </c>
    </row>
    <row r="15" spans="2:71" ht="20.100000000000001" customHeight="1" x14ac:dyDescent="0.3">
      <c r="B15" s="105">
        <f ca="1">IFERROR(IF(PréstamoNoPagado*PréstamoPagado,NúmeroDePago,""), "")</f>
        <v>6</v>
      </c>
      <c r="C15" s="96">
        <f ca="1">IFERROR(IF(PréstamoNoPagado*PréstamoPagado,FechaDePago,""), "")</f>
        <v>46483</v>
      </c>
      <c r="D15" s="97">
        <f ca="1">IFERROR(IF(PréstamoNoPagado*PréstamoPagado,ValorPréstamo,""), "")</f>
        <v>47219990.956784479</v>
      </c>
      <c r="E15" s="97">
        <f ca="1">IFERROR(IF(PréstamoNoPagado*PréstamoPagado,PagoMensual,""), "")</f>
        <v>1450368.3168877945</v>
      </c>
      <c r="F15" s="97">
        <f ca="1">IFERROR(IF(PréstamoNoPagado*PréstamoPagado,Capital,""), "")</f>
        <v>466618.50528811809</v>
      </c>
      <c r="G15" s="97">
        <f ca="1">IFERROR(IF(PréstamoNoPagado*PréstamoPagado,AmortizaciónInterés,""), "")</f>
        <v>983749.8115996765</v>
      </c>
      <c r="H15" s="97">
        <f ca="1">IFERROR(IF(PréstamoNoPagado*PréstamoPagado,SaldoFinal,""), "")</f>
        <v>46753372.45149637</v>
      </c>
    </row>
    <row r="16" spans="2:71" ht="20.100000000000001" customHeight="1" x14ac:dyDescent="0.3">
      <c r="B16" s="105">
        <f ca="1">IFERROR(IF(PréstamoNoPagado*PréstamoPagado,NúmeroDePago,""), "")</f>
        <v>7</v>
      </c>
      <c r="C16" s="96">
        <f ca="1">IFERROR(IF(PréstamoNoPagado*PréstamoPagado,FechaDePago,""), "")</f>
        <v>46513</v>
      </c>
      <c r="D16" s="97">
        <f ca="1">IFERROR(IF(PréstamoNoPagado*PréstamoPagado,ValorPréstamo,""), "")</f>
        <v>46753372.45149637</v>
      </c>
      <c r="E16" s="97">
        <f ca="1">IFERROR(IF(PréstamoNoPagado*PréstamoPagado,PagoMensual,""), "")</f>
        <v>1450368.3168877945</v>
      </c>
      <c r="F16" s="97">
        <f ca="1">IFERROR(IF(PréstamoNoPagado*PréstamoPagado,Capital,""), "")</f>
        <v>476339.72414828721</v>
      </c>
      <c r="G16" s="97">
        <f ca="1">IFERROR(IF(PréstamoNoPagado*PréstamoPagado,AmortizaciónInterés,""), "")</f>
        <v>974028.59273950732</v>
      </c>
      <c r="H16" s="97">
        <f ca="1">IFERROR(IF(PréstamoNoPagado*PréstamoPagado,SaldoFinal,""), "")</f>
        <v>46277032.727348089</v>
      </c>
    </row>
    <row r="17" spans="2:8" ht="20.100000000000001" customHeight="1" x14ac:dyDescent="0.3">
      <c r="B17" s="105">
        <f ca="1">IFERROR(IF(PréstamoNoPagado*PréstamoPagado,NúmeroDePago,""), "")</f>
        <v>8</v>
      </c>
      <c r="C17" s="96">
        <f ca="1">IFERROR(IF(PréstamoNoPagado*PréstamoPagado,FechaDePago,""), "")</f>
        <v>46544</v>
      </c>
      <c r="D17" s="97">
        <f ca="1">IFERROR(IF(PréstamoNoPagado*PréstamoPagado,ValorPréstamo,""), "")</f>
        <v>46277032.727348089</v>
      </c>
      <c r="E17" s="97">
        <f ca="1">IFERROR(IF(PréstamoNoPagado*PréstamoPagado,PagoMensual,""), "")</f>
        <v>1450368.3168877945</v>
      </c>
      <c r="F17" s="97">
        <f ca="1">IFERROR(IF(PréstamoNoPagado*PréstamoPagado,Capital,""), "")</f>
        <v>486263.46840137651</v>
      </c>
      <c r="G17" s="97">
        <f ca="1">IFERROR(IF(PréstamoNoPagado*PréstamoPagado,AmortizaciónInterés,""), "")</f>
        <v>964104.84848641814</v>
      </c>
      <c r="H17" s="97">
        <f ca="1">IFERROR(IF(PréstamoNoPagado*PréstamoPagado,SaldoFinal,""), "")</f>
        <v>45790769.258946709</v>
      </c>
    </row>
    <row r="18" spans="2:8" ht="20.100000000000001" customHeight="1" x14ac:dyDescent="0.3">
      <c r="B18" s="105">
        <f ca="1">IFERROR(IF(PréstamoNoPagado*PréstamoPagado,NúmeroDePago,""), "")</f>
        <v>9</v>
      </c>
      <c r="C18" s="96">
        <f ca="1">IFERROR(IF(PréstamoNoPagado*PréstamoPagado,FechaDePago,""), "")</f>
        <v>46574</v>
      </c>
      <c r="D18" s="97">
        <f ca="1">IFERROR(IF(PréstamoNoPagado*PréstamoPagado,ValorPréstamo,""), "")</f>
        <v>45790769.258946709</v>
      </c>
      <c r="E18" s="97">
        <f ca="1">IFERROR(IF(PréstamoNoPagado*PréstamoPagado,PagoMensual,""), "")</f>
        <v>1450368.3168877945</v>
      </c>
      <c r="F18" s="97">
        <f ca="1">IFERROR(IF(PréstamoNoPagado*PréstamoPagado,Capital,""), "")</f>
        <v>496393.95732640527</v>
      </c>
      <c r="G18" s="97">
        <f ca="1">IFERROR(IF(PréstamoNoPagado*PréstamoPagado,AmortizaciónInterés,""), "")</f>
        <v>953974.35956138931</v>
      </c>
      <c r="H18" s="97">
        <f ca="1">IFERROR(IF(PréstamoNoPagado*PréstamoPagado,SaldoFinal,""), "")</f>
        <v>45294375.301620305</v>
      </c>
    </row>
    <row r="19" spans="2:8" ht="20.100000000000001" customHeight="1" x14ac:dyDescent="0.3">
      <c r="B19" s="105">
        <f ca="1">IFERROR(IF(PréstamoNoPagado*PréstamoPagado,NúmeroDePago,""), "")</f>
        <v>10</v>
      </c>
      <c r="C19" s="96">
        <f ca="1">IFERROR(IF(PréstamoNoPagado*PréstamoPagado,FechaDePago,""), "")</f>
        <v>46605</v>
      </c>
      <c r="D19" s="97">
        <f ca="1">IFERROR(IF(PréstamoNoPagado*PréstamoPagado,ValorPréstamo,""), "")</f>
        <v>45294375.301620305</v>
      </c>
      <c r="E19" s="97">
        <f ca="1">IFERROR(IF(PréstamoNoPagado*PréstamoPagado,PagoMensual,""), "")</f>
        <v>1450368.3168877945</v>
      </c>
      <c r="F19" s="97">
        <f ca="1">IFERROR(IF(PréstamoNoPagado*PréstamoPagado,Capital,""), "")</f>
        <v>506735.49810403865</v>
      </c>
      <c r="G19" s="97">
        <f ca="1">IFERROR(IF(PréstamoNoPagado*PréstamoPagado,AmortizaciónInterés,""), "")</f>
        <v>943632.818783756</v>
      </c>
      <c r="H19" s="97">
        <f ca="1">IFERROR(IF(PréstamoNoPagado*PréstamoPagado,SaldoFinal,""), "")</f>
        <v>44787639.803516276</v>
      </c>
    </row>
    <row r="20" spans="2:8" ht="20.100000000000001" customHeight="1" x14ac:dyDescent="0.3">
      <c r="B20" s="105">
        <f ca="1">IFERROR(IF(PréstamoNoPagado*PréstamoPagado,NúmeroDePago,""), "")</f>
        <v>11</v>
      </c>
      <c r="C20" s="96">
        <f ca="1">IFERROR(IF(PréstamoNoPagado*PréstamoPagado,FechaDePago,""), "")</f>
        <v>46636</v>
      </c>
      <c r="D20" s="97">
        <f ca="1">IFERROR(IF(PréstamoNoPagado*PréstamoPagado,ValorPréstamo,""), "")</f>
        <v>44787639.803516276</v>
      </c>
      <c r="E20" s="97">
        <f ca="1">IFERROR(IF(PréstamoNoPagado*PréstamoPagado,PagoMensual,""), "")</f>
        <v>1450368.3168877945</v>
      </c>
      <c r="F20" s="97">
        <f ca="1">IFERROR(IF(PréstamoNoPagado*PréstamoPagado,Capital,""), "")</f>
        <v>517292.48764787277</v>
      </c>
      <c r="G20" s="97">
        <f ca="1">IFERROR(IF(PréstamoNoPagado*PréstamoPagado,AmortizaciónInterés,""), "")</f>
        <v>933075.82923992176</v>
      </c>
      <c r="H20" s="97">
        <f ca="1">IFERROR(IF(PréstamoNoPagado*PréstamoPagado,SaldoFinal,""), "")</f>
        <v>44270347.315868407</v>
      </c>
    </row>
    <row r="21" spans="2:8" ht="20.100000000000001" customHeight="1" x14ac:dyDescent="0.3">
      <c r="B21" s="105">
        <f ca="1">IFERROR(IF(PréstamoNoPagado*PréstamoPagado,NúmeroDePago,""), "")</f>
        <v>12</v>
      </c>
      <c r="C21" s="96">
        <f ca="1">IFERROR(IF(PréstamoNoPagado*PréstamoPagado,FechaDePago,""), "")</f>
        <v>46666</v>
      </c>
      <c r="D21" s="97">
        <f ca="1">IFERROR(IF(PréstamoNoPagado*PréstamoPagado,ValorPréstamo,""), "")</f>
        <v>44270347.315868407</v>
      </c>
      <c r="E21" s="97">
        <f ca="1">IFERROR(IF(PréstamoNoPagado*PréstamoPagado,PagoMensual,""), "")</f>
        <v>1450368.3168877945</v>
      </c>
      <c r="F21" s="97">
        <f ca="1">IFERROR(IF(PréstamoNoPagado*PréstamoPagado,Capital,""), "")</f>
        <v>528069.41447387019</v>
      </c>
      <c r="G21" s="97">
        <f ca="1">IFERROR(IF(PréstamoNoPagado*PréstamoPagado,AmortizaciónInterés,""), "")</f>
        <v>922298.90241392434</v>
      </c>
      <c r="H21" s="97">
        <f ca="1">IFERROR(IF(PréstamoNoPagado*PréstamoPagado,SaldoFinal,""), "")</f>
        <v>43742277.901394539</v>
      </c>
    </row>
    <row r="22" spans="2:8" ht="20.100000000000001" customHeight="1" x14ac:dyDescent="0.3">
      <c r="B22" s="105">
        <f ca="1">IFERROR(IF(PréstamoNoPagado*PréstamoPagado,NúmeroDePago,""), "")</f>
        <v>13</v>
      </c>
      <c r="C22" s="96">
        <f ca="1">IFERROR(IF(PréstamoNoPagado*PréstamoPagado,FechaDePago,""), "")</f>
        <v>46697</v>
      </c>
      <c r="D22" s="97">
        <f ca="1">IFERROR(IF(PréstamoNoPagado*PréstamoPagado,ValorPréstamo,""), "")</f>
        <v>43742277.901394539</v>
      </c>
      <c r="E22" s="97">
        <f ca="1">IFERROR(IF(PréstamoNoPagado*PréstamoPagado,PagoMensual,""), "")</f>
        <v>1450368.3168877945</v>
      </c>
      <c r="F22" s="97">
        <f ca="1">IFERROR(IF(PréstamoNoPagado*PréstamoPagado,Capital,""), "")</f>
        <v>539070.86060874234</v>
      </c>
      <c r="G22" s="97">
        <f ca="1">IFERROR(IF(PréstamoNoPagado*PréstamoPagado,AmortizaciónInterés,""), "")</f>
        <v>911297.45627905219</v>
      </c>
      <c r="H22" s="97">
        <f ca="1">IFERROR(IF(PréstamoNoPagado*PréstamoPagado,SaldoFinal,""), "")</f>
        <v>43203207.040785797</v>
      </c>
    </row>
    <row r="23" spans="2:8" ht="20.100000000000001" customHeight="1" x14ac:dyDescent="0.3">
      <c r="B23" s="105">
        <f ca="1">IFERROR(IF(PréstamoNoPagado*PréstamoPagado,NúmeroDePago,""), "")</f>
        <v>14</v>
      </c>
      <c r="C23" s="96">
        <f ca="1">IFERROR(IF(PréstamoNoPagado*PréstamoPagado,FechaDePago,""), "")</f>
        <v>46727</v>
      </c>
      <c r="D23" s="97">
        <f ca="1">IFERROR(IF(PréstamoNoPagado*PréstamoPagado,ValorPréstamo,""), "")</f>
        <v>43203207.040785797</v>
      </c>
      <c r="E23" s="97">
        <f ca="1">IFERROR(IF(PréstamoNoPagado*PréstamoPagado,PagoMensual,""), "")</f>
        <v>1450368.3168877945</v>
      </c>
      <c r="F23" s="97">
        <f ca="1">IFERROR(IF(PréstamoNoPagado*PréstamoPagado,Capital,""), "")</f>
        <v>550301.5035380912</v>
      </c>
      <c r="G23" s="97">
        <f ca="1">IFERROR(IF(PréstamoNoPagado*PréstamoPagado,AmortizaciónInterés,""), "")</f>
        <v>900066.81334970344</v>
      </c>
      <c r="H23" s="97">
        <f ca="1">IFERROR(IF(PréstamoNoPagado*PréstamoPagado,SaldoFinal,""), "")</f>
        <v>42652905.53724771</v>
      </c>
    </row>
    <row r="24" spans="2:8" ht="20.100000000000001" customHeight="1" x14ac:dyDescent="0.3">
      <c r="B24" s="105">
        <f ca="1">IFERROR(IF(PréstamoNoPagado*PréstamoPagado,NúmeroDePago,""), "")</f>
        <v>15</v>
      </c>
      <c r="C24" s="96">
        <f ca="1">IFERROR(IF(PréstamoNoPagado*PréstamoPagado,FechaDePago,""), "")</f>
        <v>46758</v>
      </c>
      <c r="D24" s="97">
        <f ca="1">IFERROR(IF(PréstamoNoPagado*PréstamoPagado,ValorPréstamo,""), "")</f>
        <v>42652905.53724771</v>
      </c>
      <c r="E24" s="97">
        <f ca="1">IFERROR(IF(PréstamoNoPagado*PréstamoPagado,PagoMensual,""), "")</f>
        <v>1450368.3168877945</v>
      </c>
      <c r="F24" s="97">
        <f ca="1">IFERROR(IF(PréstamoNoPagado*PréstamoPagado,Capital,""), "")</f>
        <v>561766.1181951348</v>
      </c>
      <c r="G24" s="97">
        <f ca="1">IFERROR(IF(PréstamoNoPagado*PréstamoPagado,AmortizaciónInterés,""), "")</f>
        <v>888602.19869265985</v>
      </c>
      <c r="H24" s="97">
        <f ca="1">IFERROR(IF(PréstamoNoPagado*PréstamoPagado,SaldoFinal,""), "")</f>
        <v>42091139.419052586</v>
      </c>
    </row>
    <row r="25" spans="2:8" ht="20.100000000000001" customHeight="1" x14ac:dyDescent="0.3">
      <c r="B25" s="105">
        <f ca="1">IFERROR(IF(PréstamoNoPagado*PréstamoPagado,NúmeroDePago,""), "")</f>
        <v>16</v>
      </c>
      <c r="C25" s="96">
        <f ca="1">IFERROR(IF(PréstamoNoPagado*PréstamoPagado,FechaDePago,""), "")</f>
        <v>46789</v>
      </c>
      <c r="D25" s="97">
        <f ca="1">IFERROR(IF(PréstamoNoPagado*PréstamoPagado,ValorPréstamo,""), "")</f>
        <v>42091139.419052586</v>
      </c>
      <c r="E25" s="97">
        <f ca="1">IFERROR(IF(PréstamoNoPagado*PréstamoPagado,PagoMensual,""), "")</f>
        <v>1450368.3168877945</v>
      </c>
      <c r="F25" s="97">
        <f ca="1">IFERROR(IF(PréstamoNoPagado*PréstamoPagado,Capital,""), "")</f>
        <v>573469.57899086678</v>
      </c>
      <c r="G25" s="97">
        <f ca="1">IFERROR(IF(PréstamoNoPagado*PréstamoPagado,AmortizaciónInterés,""), "")</f>
        <v>876898.73789692787</v>
      </c>
      <c r="H25" s="97">
        <f ca="1">IFERROR(IF(PréstamoNoPagado*PréstamoPagado,SaldoFinal,""), "")</f>
        <v>41517669.840061709</v>
      </c>
    </row>
    <row r="26" spans="2:8" ht="20.100000000000001" customHeight="1" x14ac:dyDescent="0.3">
      <c r="B26" s="105">
        <f ca="1">IFERROR(IF(PréstamoNoPagado*PréstamoPagado,NúmeroDePago,""), "")</f>
        <v>17</v>
      </c>
      <c r="C26" s="96">
        <f ca="1">IFERROR(IF(PréstamoNoPagado*PréstamoPagado,FechaDePago,""), "")</f>
        <v>46818</v>
      </c>
      <c r="D26" s="97">
        <f ca="1">IFERROR(IF(PréstamoNoPagado*PréstamoPagado,ValorPréstamo,""), "")</f>
        <v>41517669.840061709</v>
      </c>
      <c r="E26" s="97">
        <f ca="1">IFERROR(IF(PréstamoNoPagado*PréstamoPagado,PagoMensual,""), "")</f>
        <v>1450368.3168877945</v>
      </c>
      <c r="F26" s="97">
        <f ca="1">IFERROR(IF(PréstamoNoPagado*PréstamoPagado,Capital,""), "")</f>
        <v>585416.86188650981</v>
      </c>
      <c r="G26" s="97">
        <f ca="1">IFERROR(IF(PréstamoNoPagado*PréstamoPagado,AmortizaciónInterés,""), "")</f>
        <v>864951.45500128483</v>
      </c>
      <c r="H26" s="97">
        <f ca="1">IFERROR(IF(PréstamoNoPagado*PréstamoPagado,SaldoFinal,""), "")</f>
        <v>40932252.978175215</v>
      </c>
    </row>
    <row r="27" spans="2:8" ht="20.100000000000001" customHeight="1" x14ac:dyDescent="0.3">
      <c r="B27" s="105">
        <f ca="1">IFERROR(IF(PréstamoNoPagado*PréstamoPagado,NúmeroDePago,""), "")</f>
        <v>18</v>
      </c>
      <c r="C27" s="96">
        <f ca="1">IFERROR(IF(PréstamoNoPagado*PréstamoPagado,FechaDePago,""), "")</f>
        <v>46849</v>
      </c>
      <c r="D27" s="97">
        <f ca="1">IFERROR(IF(PréstamoNoPagado*PréstamoPagado,ValorPréstamo,""), "")</f>
        <v>40932252.978175215</v>
      </c>
      <c r="E27" s="97">
        <f ca="1">IFERROR(IF(PréstamoNoPagado*PréstamoPagado,PagoMensual,""), "")</f>
        <v>1450368.3168877945</v>
      </c>
      <c r="F27" s="97">
        <f ca="1">IFERROR(IF(PréstamoNoPagado*PréstamoPagado,Capital,""), "")</f>
        <v>597613.04650914553</v>
      </c>
      <c r="G27" s="97">
        <f ca="1">IFERROR(IF(PréstamoNoPagado*PréstamoPagado,AmortizaciónInterés,""), "")</f>
        <v>852755.27037864923</v>
      </c>
      <c r="H27" s="97">
        <f ca="1">IFERROR(IF(PréstamoNoPagado*PréstamoPagado,SaldoFinal,""), "")</f>
        <v>40334639.931666069</v>
      </c>
    </row>
    <row r="28" spans="2:8" ht="20.100000000000001" customHeight="1" x14ac:dyDescent="0.3">
      <c r="B28" s="105">
        <f ca="1">IFERROR(IF(PréstamoNoPagado*PréstamoPagado,NúmeroDePago,""), "")</f>
        <v>19</v>
      </c>
      <c r="C28" s="96">
        <f ca="1">IFERROR(IF(PréstamoNoPagado*PréstamoPagado,FechaDePago,""), "")</f>
        <v>46879</v>
      </c>
      <c r="D28" s="97">
        <f ca="1">IFERROR(IF(PréstamoNoPagado*PréstamoPagado,ValorPréstamo,""), "")</f>
        <v>40334639.931666069</v>
      </c>
      <c r="E28" s="97">
        <f ca="1">IFERROR(IF(PréstamoNoPagado*PréstamoPagado,PagoMensual,""), "")</f>
        <v>1450368.3168877945</v>
      </c>
      <c r="F28" s="97">
        <f ca="1">IFERROR(IF(PréstamoNoPagado*PréstamoPagado,Capital,""), "")</f>
        <v>610063.31831141934</v>
      </c>
      <c r="G28" s="97">
        <f ca="1">IFERROR(IF(PréstamoNoPagado*PréstamoPagado,AmortizaciónInterés,""), "")</f>
        <v>840304.99857637519</v>
      </c>
      <c r="H28" s="97">
        <f ca="1">IFERROR(IF(PréstamoNoPagado*PréstamoPagado,SaldoFinal,""), "")</f>
        <v>39724576.613354653</v>
      </c>
    </row>
    <row r="29" spans="2:8" ht="20.100000000000001" customHeight="1" x14ac:dyDescent="0.3">
      <c r="B29" s="105">
        <f ca="1">IFERROR(IF(PréstamoNoPagado*PréstamoPagado,NúmeroDePago,""), "")</f>
        <v>20</v>
      </c>
      <c r="C29" s="96">
        <f ca="1">IFERROR(IF(PréstamoNoPagado*PréstamoPagado,FechaDePago,""), "")</f>
        <v>46910</v>
      </c>
      <c r="D29" s="97">
        <f ca="1">IFERROR(IF(PréstamoNoPagado*PréstamoPagado,ValorPréstamo,""), "")</f>
        <v>39724576.613354653</v>
      </c>
      <c r="E29" s="97">
        <f ca="1">IFERROR(IF(PréstamoNoPagado*PréstamoPagado,PagoMensual,""), "")</f>
        <v>1450368.3168877945</v>
      </c>
      <c r="F29" s="97">
        <f ca="1">IFERROR(IF(PréstamoNoPagado*PréstamoPagado,Capital,""), "")</f>
        <v>622772.97077624057</v>
      </c>
      <c r="G29" s="97">
        <f ca="1">IFERROR(IF(PréstamoNoPagado*PréstamoPagado,AmortizaciónInterés,""), "")</f>
        <v>827595.3461115543</v>
      </c>
      <c r="H29" s="97">
        <f ca="1">IFERROR(IF(PréstamoNoPagado*PréstamoPagado,SaldoFinal,""), "")</f>
        <v>39101803.642578423</v>
      </c>
    </row>
    <row r="30" spans="2:8" ht="20.100000000000001" customHeight="1" x14ac:dyDescent="0.3">
      <c r="B30" s="105">
        <f ca="1">IFERROR(IF(PréstamoNoPagado*PréstamoPagado,NúmeroDePago,""), "")</f>
        <v>21</v>
      </c>
      <c r="C30" s="96">
        <f ca="1">IFERROR(IF(PréstamoNoPagado*PréstamoPagado,FechaDePago,""), "")</f>
        <v>46940</v>
      </c>
      <c r="D30" s="97">
        <f ca="1">IFERROR(IF(PréstamoNoPagado*PréstamoPagado,ValorPréstamo,""), "")</f>
        <v>39101803.642578423</v>
      </c>
      <c r="E30" s="97">
        <f ca="1">IFERROR(IF(PréstamoNoPagado*PréstamoPagado,PagoMensual,""), "")</f>
        <v>1450368.3168877945</v>
      </c>
      <c r="F30" s="97">
        <f ca="1">IFERROR(IF(PréstamoNoPagado*PréstamoPagado,Capital,""), "")</f>
        <v>635747.40766741219</v>
      </c>
      <c r="G30" s="97">
        <f ca="1">IFERROR(IF(PréstamoNoPagado*PréstamoPagado,AmortizaciónInterés,""), "")</f>
        <v>814620.90922038234</v>
      </c>
      <c r="H30" s="97">
        <f ca="1">IFERROR(IF(PréstamoNoPagado*PréstamoPagado,SaldoFinal,""), "")</f>
        <v>38466056.234911002</v>
      </c>
    </row>
    <row r="31" spans="2:8" ht="20.100000000000001" customHeight="1" x14ac:dyDescent="0.3">
      <c r="B31" s="105">
        <f ca="1">IFERROR(IF(PréstamoNoPagado*PréstamoPagado,NúmeroDePago,""), "")</f>
        <v>22</v>
      </c>
      <c r="C31" s="96">
        <f ca="1">IFERROR(IF(PréstamoNoPagado*PréstamoPagado,FechaDePago,""), "")</f>
        <v>46971</v>
      </c>
      <c r="D31" s="97">
        <f ca="1">IFERROR(IF(PréstamoNoPagado*PréstamoPagado,ValorPréstamo,""), "")</f>
        <v>38466056.234911002</v>
      </c>
      <c r="E31" s="97">
        <f ca="1">IFERROR(IF(PréstamoNoPagado*PréstamoPagado,PagoMensual,""), "")</f>
        <v>1450368.3168877945</v>
      </c>
      <c r="F31" s="97">
        <f ca="1">IFERROR(IF(PréstamoNoPagado*PréstamoPagado,Capital,""), "")</f>
        <v>648992.14532715001</v>
      </c>
      <c r="G31" s="97">
        <f ca="1">IFERROR(IF(PréstamoNoPagado*PréstamoPagado,AmortizaciónInterés,""), "")</f>
        <v>801376.17156064475</v>
      </c>
      <c r="H31" s="97">
        <f ca="1">IFERROR(IF(PréstamoNoPagado*PréstamoPagado,SaldoFinal,""), "")</f>
        <v>37817064.089583866</v>
      </c>
    </row>
    <row r="32" spans="2:8" ht="20.100000000000001" customHeight="1" x14ac:dyDescent="0.3">
      <c r="B32" s="105">
        <f ca="1">IFERROR(IF(PréstamoNoPagado*PréstamoPagado,NúmeroDePago,""), "")</f>
        <v>23</v>
      </c>
      <c r="C32" s="96">
        <f ca="1">IFERROR(IF(PréstamoNoPagado*PréstamoPagado,FechaDePago,""), "")</f>
        <v>47002</v>
      </c>
      <c r="D32" s="97">
        <f ca="1">IFERROR(IF(PréstamoNoPagado*PréstamoPagado,ValorPréstamo,""), "")</f>
        <v>37817064.089583866</v>
      </c>
      <c r="E32" s="97">
        <f ca="1">IFERROR(IF(PréstamoNoPagado*PréstamoPagado,PagoMensual,""), "")</f>
        <v>1450368.3168877945</v>
      </c>
      <c r="F32" s="97">
        <f ca="1">IFERROR(IF(PréstamoNoPagado*PréstamoPagado,Capital,""), "")</f>
        <v>662512.81502146565</v>
      </c>
      <c r="G32" s="97">
        <f ca="1">IFERROR(IF(PréstamoNoPagado*PréstamoPagado,AmortizaciónInterés,""), "")</f>
        <v>787855.501866329</v>
      </c>
      <c r="H32" s="97">
        <f ca="1">IFERROR(IF(PréstamoNoPagado*PréstamoPagado,SaldoFinal,""), "")</f>
        <v>37154551.274562404</v>
      </c>
    </row>
    <row r="33" spans="2:8" ht="20.100000000000001" customHeight="1" x14ac:dyDescent="0.3">
      <c r="B33" s="105">
        <f ca="1">IFERROR(IF(PréstamoNoPagado*PréstamoPagado,NúmeroDePago,""), "")</f>
        <v>24</v>
      </c>
      <c r="C33" s="96">
        <f ca="1">IFERROR(IF(PréstamoNoPagado*PréstamoPagado,FechaDePago,""), "")</f>
        <v>47032</v>
      </c>
      <c r="D33" s="97">
        <f ca="1">IFERROR(IF(PréstamoNoPagado*PréstamoPagado,ValorPréstamo,""), "")</f>
        <v>37154551.274562404</v>
      </c>
      <c r="E33" s="97">
        <f ca="1">IFERROR(IF(PréstamoNoPagado*PréstamoPagado,PagoMensual,""), "")</f>
        <v>1450368.3168877945</v>
      </c>
      <c r="F33" s="97">
        <f ca="1">IFERROR(IF(PréstamoNoPagado*PréstamoPagado,Capital,""), "")</f>
        <v>676315.16533441283</v>
      </c>
      <c r="G33" s="97">
        <f ca="1">IFERROR(IF(PréstamoNoPagado*PréstamoPagado,AmortizaciónInterés,""), "")</f>
        <v>774053.15155338182</v>
      </c>
      <c r="H33" s="97">
        <f ca="1">IFERROR(IF(PréstamoNoPagado*PréstamoPagado,SaldoFinal,""), "")</f>
        <v>36478236.109228</v>
      </c>
    </row>
    <row r="34" spans="2:8" ht="20.100000000000001" customHeight="1" x14ac:dyDescent="0.3">
      <c r="B34" s="105">
        <f ca="1">IFERROR(IF(PréstamoNoPagado*PréstamoPagado,NúmeroDePago,""), "")</f>
        <v>25</v>
      </c>
      <c r="C34" s="96">
        <f ca="1">IFERROR(IF(PréstamoNoPagado*PréstamoPagado,FechaDePago,""), "")</f>
        <v>47063</v>
      </c>
      <c r="D34" s="97">
        <f ca="1">IFERROR(IF(PréstamoNoPagado*PréstamoPagado,ValorPréstamo,""), "")</f>
        <v>36478236.109228</v>
      </c>
      <c r="E34" s="97">
        <f ca="1">IFERROR(IF(PréstamoNoPagado*PréstamoPagado,PagoMensual,""), "")</f>
        <v>1450368.3168877945</v>
      </c>
      <c r="F34" s="97">
        <f ca="1">IFERROR(IF(PréstamoNoPagado*PréstamoPagado,Capital,""), "")</f>
        <v>690405.06461221306</v>
      </c>
      <c r="G34" s="97">
        <f ca="1">IFERROR(IF(PréstamoNoPagado*PréstamoPagado,AmortizaciónInterés,""), "")</f>
        <v>759963.25227558159</v>
      </c>
      <c r="H34" s="97">
        <f ca="1">IFERROR(IF(PréstamoNoPagado*PréstamoPagado,SaldoFinal,""), "")</f>
        <v>35787831.044615783</v>
      </c>
    </row>
    <row r="35" spans="2:8" ht="20.100000000000001" customHeight="1" x14ac:dyDescent="0.3">
      <c r="B35" s="105">
        <f ca="1">IFERROR(IF(PréstamoNoPagado*PréstamoPagado,NúmeroDePago,""), "")</f>
        <v>26</v>
      </c>
      <c r="C35" s="96">
        <f ca="1">IFERROR(IF(PréstamoNoPagado*PréstamoPagado,FechaDePago,""), "")</f>
        <v>47093</v>
      </c>
      <c r="D35" s="97">
        <f ca="1">IFERROR(IF(PréstamoNoPagado*PréstamoPagado,ValorPréstamo,""), "")</f>
        <v>35787831.044615783</v>
      </c>
      <c r="E35" s="97">
        <f ca="1">IFERROR(IF(PréstamoNoPagado*PréstamoPagado,PagoMensual,""), "")</f>
        <v>1450368.3168877945</v>
      </c>
      <c r="F35" s="97">
        <f ca="1">IFERROR(IF(PréstamoNoPagado*PréstamoPagado,Capital,""), "")</f>
        <v>704788.50345830084</v>
      </c>
      <c r="G35" s="97">
        <f ca="1">IFERROR(IF(PréstamoNoPagado*PréstamoPagado,AmortizaciónInterés,""), "")</f>
        <v>745579.81342949369</v>
      </c>
      <c r="H35" s="97">
        <f ca="1">IFERROR(IF(PréstamoNoPagado*PréstamoPagado,SaldoFinal,""), "")</f>
        <v>35083042.541157499</v>
      </c>
    </row>
    <row r="36" spans="2:8" ht="20.100000000000001" customHeight="1" x14ac:dyDescent="0.3">
      <c r="B36" s="105">
        <f ca="1">IFERROR(IF(PréstamoNoPagado*PréstamoPagado,NúmeroDePago,""), "")</f>
        <v>27</v>
      </c>
      <c r="C36" s="96">
        <f ca="1">IFERROR(IF(PréstamoNoPagado*PréstamoPagado,FechaDePago,""), "")</f>
        <v>47124</v>
      </c>
      <c r="D36" s="97">
        <f ca="1">IFERROR(IF(PréstamoNoPagado*PréstamoPagado,ValorPréstamo,""), "")</f>
        <v>35083042.541157499</v>
      </c>
      <c r="E36" s="97">
        <f ca="1">IFERROR(IF(PréstamoNoPagado*PréstamoPagado,PagoMensual,""), "")</f>
        <v>1450368.3168877945</v>
      </c>
      <c r="F36" s="97">
        <f ca="1">IFERROR(IF(PréstamoNoPagado*PréstamoPagado,Capital,""), "")</f>
        <v>719471.59728034877</v>
      </c>
      <c r="G36" s="97">
        <f ca="1">IFERROR(IF(PréstamoNoPagado*PréstamoPagado,AmortizaciónInterés,""), "")</f>
        <v>730896.71960744588</v>
      </c>
      <c r="H36" s="97">
        <f ca="1">IFERROR(IF(PréstamoNoPagado*PréstamoPagado,SaldoFinal,""), "")</f>
        <v>34363570.943877146</v>
      </c>
    </row>
    <row r="37" spans="2:8" ht="20.100000000000001" customHeight="1" x14ac:dyDescent="0.3">
      <c r="B37" s="105">
        <f ca="1">IFERROR(IF(PréstamoNoPagado*PréstamoPagado,NúmeroDePago,""), "")</f>
        <v>28</v>
      </c>
      <c r="C37" s="96">
        <f ca="1">IFERROR(IF(PréstamoNoPagado*PréstamoPagado,FechaDePago,""), "")</f>
        <v>47155</v>
      </c>
      <c r="D37" s="97">
        <f ca="1">IFERROR(IF(PréstamoNoPagado*PréstamoPagado,ValorPréstamo,""), "")</f>
        <v>34363570.943877146</v>
      </c>
      <c r="E37" s="97">
        <f ca="1">IFERROR(IF(PréstamoNoPagado*PréstamoPagado,PagoMensual,""), "")</f>
        <v>1450368.3168877945</v>
      </c>
      <c r="F37" s="97">
        <f ca="1">IFERROR(IF(PréstamoNoPagado*PréstamoPagado,Capital,""), "")</f>
        <v>734460.58889035613</v>
      </c>
      <c r="G37" s="97">
        <f ca="1">IFERROR(IF(PréstamoNoPagado*PréstamoPagado,AmortizaciónInterés,""), "")</f>
        <v>715907.72799743852</v>
      </c>
      <c r="H37" s="97">
        <f ca="1">IFERROR(IF(PréstamoNoPagado*PréstamoPagado,SaldoFinal,""), "")</f>
        <v>33629110.354986809</v>
      </c>
    </row>
    <row r="38" spans="2:8" ht="20.100000000000001" customHeight="1" x14ac:dyDescent="0.3">
      <c r="B38" s="105">
        <f ca="1">IFERROR(IF(PréstamoNoPagado*PréstamoPagado,NúmeroDePago,""), "")</f>
        <v>29</v>
      </c>
      <c r="C38" s="96">
        <f ca="1">IFERROR(IF(PréstamoNoPagado*PréstamoPagado,FechaDePago,""), "")</f>
        <v>47183</v>
      </c>
      <c r="D38" s="97">
        <f ca="1">IFERROR(IF(PréstamoNoPagado*PréstamoPagado,ValorPréstamo,""), "")</f>
        <v>33629110.354986809</v>
      </c>
      <c r="E38" s="97">
        <f ca="1">IFERROR(IF(PréstamoNoPagado*PréstamoPagado,PagoMensual,""), "")</f>
        <v>1450368.3168877945</v>
      </c>
      <c r="F38" s="97">
        <f ca="1">IFERROR(IF(PréstamoNoPagado*PréstamoPagado,Capital,""), "")</f>
        <v>749761.85115890508</v>
      </c>
      <c r="G38" s="97">
        <f ca="1">IFERROR(IF(PréstamoNoPagado*PréstamoPagado,AmortizaciónInterés,""), "")</f>
        <v>700606.46572888945</v>
      </c>
      <c r="H38" s="97">
        <f ca="1">IFERROR(IF(PréstamoNoPagado*PréstamoPagado,SaldoFinal,""), "")</f>
        <v>32879348.503827892</v>
      </c>
    </row>
    <row r="39" spans="2:8" ht="20.100000000000001" customHeight="1" x14ac:dyDescent="0.3">
      <c r="B39" s="105">
        <f ca="1">IFERROR(IF(PréstamoNoPagado*PréstamoPagado,NúmeroDePago,""), "")</f>
        <v>30</v>
      </c>
      <c r="C39" s="96">
        <f ca="1">IFERROR(IF(PréstamoNoPagado*PréstamoPagado,FechaDePago,""), "")</f>
        <v>47214</v>
      </c>
      <c r="D39" s="97">
        <f ca="1">IFERROR(IF(PréstamoNoPagado*PréstamoPagado,ValorPréstamo,""), "")</f>
        <v>32879348.503827892</v>
      </c>
      <c r="E39" s="97">
        <f ca="1">IFERROR(IF(PréstamoNoPagado*PréstamoPagado,PagoMensual,""), "")</f>
        <v>1450368.3168877945</v>
      </c>
      <c r="F39" s="97">
        <f ca="1">IFERROR(IF(PréstamoNoPagado*PréstamoPagado,Capital,""), "")</f>
        <v>765381.88972471561</v>
      </c>
      <c r="G39" s="97">
        <f ca="1">IFERROR(IF(PréstamoNoPagado*PréstamoPagado,AmortizaciónInterés,""), "")</f>
        <v>684986.42716307892</v>
      </c>
      <c r="H39" s="97">
        <f ca="1">IFERROR(IF(PréstamoNoPagado*PréstamoPagado,SaldoFinal,""), "")</f>
        <v>32113966.614103198</v>
      </c>
    </row>
    <row r="40" spans="2:8" ht="20.100000000000001" customHeight="1" x14ac:dyDescent="0.3">
      <c r="B40" s="105">
        <f ca="1">IFERROR(IF(PréstamoNoPagado*PréstamoPagado,NúmeroDePago,""), "")</f>
        <v>31</v>
      </c>
      <c r="C40" s="96">
        <f ca="1">IFERROR(IF(PréstamoNoPagado*PréstamoPagado,FechaDePago,""), "")</f>
        <v>47244</v>
      </c>
      <c r="D40" s="97">
        <f ca="1">IFERROR(IF(PréstamoNoPagado*PréstamoPagado,ValorPréstamo,""), "")</f>
        <v>32113966.614103198</v>
      </c>
      <c r="E40" s="97">
        <f ca="1">IFERROR(IF(PréstamoNoPagado*PréstamoPagado,PagoMensual,""), "")</f>
        <v>1450368.3168877945</v>
      </c>
      <c r="F40" s="97">
        <f ca="1">IFERROR(IF(PréstamoNoPagado*PréstamoPagado,Capital,""), "")</f>
        <v>781327.34576064732</v>
      </c>
      <c r="G40" s="97">
        <f ca="1">IFERROR(IF(PréstamoNoPagado*PréstamoPagado,AmortizaciónInterés,""), "")</f>
        <v>669040.97112714732</v>
      </c>
      <c r="H40" s="97">
        <f ca="1">IFERROR(IF(PréstamoNoPagado*PréstamoPagado,SaldoFinal,""), "")</f>
        <v>31332639.268342555</v>
      </c>
    </row>
    <row r="41" spans="2:8" ht="20.100000000000001" customHeight="1" x14ac:dyDescent="0.3">
      <c r="B41" s="105">
        <f ca="1">IFERROR(IF(PréstamoNoPagado*PréstamoPagado,NúmeroDePago,""), "")</f>
        <v>32</v>
      </c>
      <c r="C41" s="96">
        <f ca="1">IFERROR(IF(PréstamoNoPagado*PréstamoPagado,FechaDePago,""), "")</f>
        <v>47275</v>
      </c>
      <c r="D41" s="97">
        <f ca="1">IFERROR(IF(PréstamoNoPagado*PréstamoPagado,ValorPréstamo,""), "")</f>
        <v>31332639.268342555</v>
      </c>
      <c r="E41" s="97">
        <f ca="1">IFERROR(IF(PréstamoNoPagado*PréstamoPagado,PagoMensual,""), "")</f>
        <v>1450368.3168877945</v>
      </c>
      <c r="F41" s="97">
        <f ca="1">IFERROR(IF(PréstamoNoPagado*PréstamoPagado,Capital,""), "")</f>
        <v>797604.9987973274</v>
      </c>
      <c r="G41" s="97">
        <f ca="1">IFERROR(IF(PréstamoNoPagado*PréstamoPagado,AmortizaciónInterés,""), "")</f>
        <v>652763.31809046736</v>
      </c>
      <c r="H41" s="97">
        <f ca="1">IFERROR(IF(PréstamoNoPagado*PréstamoPagado,SaldoFinal,""), "")</f>
        <v>30535034.26954525</v>
      </c>
    </row>
    <row r="42" spans="2:8" ht="20.100000000000001" customHeight="1" x14ac:dyDescent="0.3">
      <c r="B42" s="105">
        <f ca="1">IFERROR(IF(PréstamoNoPagado*PréstamoPagado,NúmeroDePago,""), "")</f>
        <v>33</v>
      </c>
      <c r="C42" s="96">
        <f ca="1">IFERROR(IF(PréstamoNoPagado*PréstamoPagado,FechaDePago,""), "")</f>
        <v>47305</v>
      </c>
      <c r="D42" s="97">
        <f ca="1">IFERROR(IF(PréstamoNoPagado*PréstamoPagado,ValorPréstamo,""), "")</f>
        <v>30535034.26954525</v>
      </c>
      <c r="E42" s="97">
        <f ca="1">IFERROR(IF(PréstamoNoPagado*PréstamoPagado,PagoMensual,""), "")</f>
        <v>1450368.3168877945</v>
      </c>
      <c r="F42" s="97">
        <f ca="1">IFERROR(IF(PréstamoNoPagado*PréstamoPagado,Capital,""), "")</f>
        <v>814221.76960560493</v>
      </c>
      <c r="G42" s="97">
        <f ca="1">IFERROR(IF(PréstamoNoPagado*PréstamoPagado,AmortizaciónInterés,""), "")</f>
        <v>636146.54728218948</v>
      </c>
      <c r="H42" s="97">
        <f ca="1">IFERROR(IF(PréstamoNoPagado*PréstamoPagado,SaldoFinal,""), "")</f>
        <v>29720812.499939635</v>
      </c>
    </row>
    <row r="43" spans="2:8" ht="20.100000000000001" customHeight="1" x14ac:dyDescent="0.3">
      <c r="B43" s="105">
        <f ca="1">IFERROR(IF(PréstamoNoPagado*PréstamoPagado,NúmeroDePago,""), "")</f>
        <v>34</v>
      </c>
      <c r="C43" s="96">
        <f ca="1">IFERROR(IF(PréstamoNoPagado*PréstamoPagado,FechaDePago,""), "")</f>
        <v>47336</v>
      </c>
      <c r="D43" s="97">
        <f ca="1">IFERROR(IF(PréstamoNoPagado*PréstamoPagado,ValorPréstamo,""), "")</f>
        <v>29720812.499939635</v>
      </c>
      <c r="E43" s="97">
        <f ca="1">IFERROR(IF(PréstamoNoPagado*PréstamoPagado,PagoMensual,""), "")</f>
        <v>1450368.3168877945</v>
      </c>
      <c r="F43" s="97">
        <f ca="1">IFERROR(IF(PréstamoNoPagado*PréstamoPagado,Capital,""), "")</f>
        <v>831184.72313905519</v>
      </c>
      <c r="G43" s="97">
        <f ca="1">IFERROR(IF(PréstamoNoPagado*PréstamoPagado,AmortizaciónInterés,""), "")</f>
        <v>619183.59374873957</v>
      </c>
      <c r="H43" s="97">
        <f ca="1">IFERROR(IF(PréstamoNoPagado*PréstamoPagado,SaldoFinal,""), "")</f>
        <v>28889627.776800588</v>
      </c>
    </row>
    <row r="44" spans="2:8" ht="20.100000000000001" customHeight="1" x14ac:dyDescent="0.3">
      <c r="B44" s="105">
        <f ca="1">IFERROR(IF(PréstamoNoPagado*PréstamoPagado,NúmeroDePago,""), "")</f>
        <v>35</v>
      </c>
      <c r="C44" s="96">
        <f ca="1">IFERROR(IF(PréstamoNoPagado*PréstamoPagado,FechaDePago,""), "")</f>
        <v>47367</v>
      </c>
      <c r="D44" s="97">
        <f ca="1">IFERROR(IF(PréstamoNoPagado*PréstamoPagado,ValorPréstamo,""), "")</f>
        <v>28889627.776800588</v>
      </c>
      <c r="E44" s="97">
        <f ca="1">IFERROR(IF(PréstamoNoPagado*PréstamoPagado,PagoMensual,""), "")</f>
        <v>1450368.3168877945</v>
      </c>
      <c r="F44" s="97">
        <f ca="1">IFERROR(IF(PréstamoNoPagado*PréstamoPagado,Capital,""), "")</f>
        <v>848501.07153778546</v>
      </c>
      <c r="G44" s="97">
        <f ca="1">IFERROR(IF(PréstamoNoPagado*PréstamoPagado,AmortizaciónInterés,""), "")</f>
        <v>601867.24535000906</v>
      </c>
      <c r="H44" s="97">
        <f ca="1">IFERROR(IF(PréstamoNoPagado*PréstamoPagado,SaldoFinal,""), "")</f>
        <v>28041126.70526281</v>
      </c>
    </row>
    <row r="45" spans="2:8" ht="20.100000000000001" customHeight="1" x14ac:dyDescent="0.3">
      <c r="B45" s="105">
        <f ca="1">IFERROR(IF(PréstamoNoPagado*PréstamoPagado,NúmeroDePago,""), "")</f>
        <v>36</v>
      </c>
      <c r="C45" s="96">
        <f ca="1">IFERROR(IF(PréstamoNoPagado*PréstamoPagado,FechaDePago,""), "")</f>
        <v>47397</v>
      </c>
      <c r="D45" s="97">
        <f ca="1">IFERROR(IF(PréstamoNoPagado*PréstamoPagado,ValorPréstamo,""), "")</f>
        <v>28041126.70526281</v>
      </c>
      <c r="E45" s="97">
        <f ca="1">IFERROR(IF(PréstamoNoPagado*PréstamoPagado,PagoMensual,""), "")</f>
        <v>1450368.3168877945</v>
      </c>
      <c r="F45" s="97">
        <f ca="1">IFERROR(IF(PréstamoNoPagado*PréstamoPagado,Capital,""), "")</f>
        <v>866178.1771948227</v>
      </c>
      <c r="G45" s="97">
        <f ca="1">IFERROR(IF(PréstamoNoPagado*PréstamoPagado,AmortizaciónInterés,""), "")</f>
        <v>584190.13969297195</v>
      </c>
      <c r="H45" s="97">
        <f ca="1">IFERROR(IF(PréstamoNoPagado*PréstamoPagado,SaldoFinal,""), "")</f>
        <v>27174948.528067991</v>
      </c>
    </row>
    <row r="46" spans="2:8" ht="20.100000000000001" customHeight="1" x14ac:dyDescent="0.3">
      <c r="B46" s="105">
        <f ca="1">IFERROR(IF(PréstamoNoPagado*PréstamoPagado,NúmeroDePago,""), "")</f>
        <v>37</v>
      </c>
      <c r="C46" s="96">
        <f ca="1">IFERROR(IF(PréstamoNoPagado*PréstamoPagado,FechaDePago,""), "")</f>
        <v>47428</v>
      </c>
      <c r="D46" s="97">
        <f ca="1">IFERROR(IF(PréstamoNoPagado*PréstamoPagado,ValorPréstamo,""), "")</f>
        <v>27174948.528067991</v>
      </c>
      <c r="E46" s="97">
        <f ca="1">IFERROR(IF(PréstamoNoPagado*PréstamoPagado,PagoMensual,""), "")</f>
        <v>1450368.3168877945</v>
      </c>
      <c r="F46" s="97">
        <f ca="1">IFERROR(IF(PréstamoNoPagado*PréstamoPagado,Capital,""), "")</f>
        <v>884223.55588638142</v>
      </c>
      <c r="G46" s="97">
        <f ca="1">IFERROR(IF(PréstamoNoPagado*PréstamoPagado,AmortizaciónInterés,""), "")</f>
        <v>566144.76100141322</v>
      </c>
      <c r="H46" s="97">
        <f ca="1">IFERROR(IF(PréstamoNoPagado*PréstamoPagado,SaldoFinal,""), "")</f>
        <v>26290724.972181618</v>
      </c>
    </row>
    <row r="47" spans="2:8" ht="20.100000000000001" customHeight="1" x14ac:dyDescent="0.3">
      <c r="B47" s="105">
        <f ca="1">IFERROR(IF(PréstamoNoPagado*PréstamoPagado,NúmeroDePago,""), "")</f>
        <v>38</v>
      </c>
      <c r="C47" s="96">
        <f ca="1">IFERROR(IF(PréstamoNoPagado*PréstamoPagado,FechaDePago,""), "")</f>
        <v>47458</v>
      </c>
      <c r="D47" s="97">
        <f ca="1">IFERROR(IF(PréstamoNoPagado*PréstamoPagado,ValorPréstamo,""), "")</f>
        <v>26290724.972181618</v>
      </c>
      <c r="E47" s="97">
        <f ca="1">IFERROR(IF(PréstamoNoPagado*PréstamoPagado,PagoMensual,""), "")</f>
        <v>1450368.3168877945</v>
      </c>
      <c r="F47" s="97">
        <f ca="1">IFERROR(IF(PréstamoNoPagado*PréstamoPagado,Capital,""), "")</f>
        <v>902644.87996734772</v>
      </c>
      <c r="G47" s="97">
        <f ca="1">IFERROR(IF(PréstamoNoPagado*PréstamoPagado,AmortizaciónInterés,""), "")</f>
        <v>547723.43692044681</v>
      </c>
      <c r="H47" s="97">
        <f ca="1">IFERROR(IF(PréstamoNoPagado*PréstamoPagado,SaldoFinal,""), "")</f>
        <v>25388080.092214286</v>
      </c>
    </row>
    <row r="48" spans="2:8" ht="20.100000000000001" customHeight="1" x14ac:dyDescent="0.3">
      <c r="B48" s="105">
        <f ca="1">IFERROR(IF(PréstamoNoPagado*PréstamoPagado,NúmeroDePago,""), "")</f>
        <v>39</v>
      </c>
      <c r="C48" s="96">
        <f ca="1">IFERROR(IF(PréstamoNoPagado*PréstamoPagado,FechaDePago,""), "")</f>
        <v>47489</v>
      </c>
      <c r="D48" s="97">
        <f ca="1">IFERROR(IF(PréstamoNoPagado*PréstamoPagado,ValorPréstamo,""), "")</f>
        <v>25388080.092214286</v>
      </c>
      <c r="E48" s="97">
        <f ca="1">IFERROR(IF(PréstamoNoPagado*PréstamoPagado,PagoMensual,""), "")</f>
        <v>1450368.3168877945</v>
      </c>
      <c r="F48" s="97">
        <f ca="1">IFERROR(IF(PréstamoNoPagado*PréstamoPagado,Capital,""), "")</f>
        <v>921449.98163333407</v>
      </c>
      <c r="G48" s="97">
        <f ca="1">IFERROR(IF(PréstamoNoPagado*PréstamoPagado,AmortizaciónInterés,""), "")</f>
        <v>528918.33525446034</v>
      </c>
      <c r="H48" s="97">
        <f ca="1">IFERROR(IF(PréstamoNoPagado*PréstamoPagado,SaldoFinal,""), "")</f>
        <v>24466630.110580966</v>
      </c>
    </row>
    <row r="49" spans="2:8" ht="20.100000000000001" customHeight="1" x14ac:dyDescent="0.3">
      <c r="B49" s="105">
        <f ca="1">IFERROR(IF(PréstamoNoPagado*PréstamoPagado,NúmeroDePago,""), "")</f>
        <v>40</v>
      </c>
      <c r="C49" s="96">
        <f ca="1">IFERROR(IF(PréstamoNoPagado*PréstamoPagado,FechaDePago,""), "")</f>
        <v>47520</v>
      </c>
      <c r="D49" s="97">
        <f ca="1">IFERROR(IF(PréstamoNoPagado*PréstamoPagado,ValorPréstamo,""), "")</f>
        <v>24466630.110580966</v>
      </c>
      <c r="E49" s="97">
        <f ca="1">IFERROR(IF(PréstamoNoPagado*PréstamoPagado,PagoMensual,""), "")</f>
        <v>1450368.3168877945</v>
      </c>
      <c r="F49" s="97">
        <f ca="1">IFERROR(IF(PréstamoNoPagado*PréstamoPagado,Capital,""), "")</f>
        <v>940646.85625069519</v>
      </c>
      <c r="G49" s="97">
        <f ca="1">IFERROR(IF(PréstamoNoPagado*PréstamoPagado,AmortizaciónInterés,""), "")</f>
        <v>509721.46063709934</v>
      </c>
      <c r="H49" s="97">
        <f ca="1">IFERROR(IF(PréstamoNoPagado*PréstamoPagado,SaldoFinal,""), "")</f>
        <v>23525983.254330277</v>
      </c>
    </row>
    <row r="50" spans="2:8" ht="20.100000000000001" customHeight="1" x14ac:dyDescent="0.3">
      <c r="B50" s="105">
        <f ca="1">IFERROR(IF(PréstamoNoPagado*PréstamoPagado,NúmeroDePago,""), "")</f>
        <v>41</v>
      </c>
      <c r="C50" s="96">
        <f ca="1">IFERROR(IF(PréstamoNoPagado*PréstamoPagado,FechaDePago,""), "")</f>
        <v>47548</v>
      </c>
      <c r="D50" s="97">
        <f ca="1">IFERROR(IF(PréstamoNoPagado*PréstamoPagado,ValorPréstamo,""), "")</f>
        <v>23525983.254330277</v>
      </c>
      <c r="E50" s="97">
        <f ca="1">IFERROR(IF(PréstamoNoPagado*PréstamoPagado,PagoMensual,""), "")</f>
        <v>1450368.3168877945</v>
      </c>
      <c r="F50" s="97">
        <f ca="1">IFERROR(IF(PréstamoNoPagado*PréstamoPagado,Capital,""), "")</f>
        <v>960243.66575591825</v>
      </c>
      <c r="G50" s="97">
        <f ca="1">IFERROR(IF(PréstamoNoPagado*PréstamoPagado,AmortizaciónInterés,""), "")</f>
        <v>490124.65113187651</v>
      </c>
      <c r="H50" s="97">
        <f ca="1">IFERROR(IF(PréstamoNoPagado*PréstamoPagado,SaldoFinal,""), "")</f>
        <v>22565739.58857438</v>
      </c>
    </row>
    <row r="51" spans="2:8" ht="20.100000000000001" customHeight="1" x14ac:dyDescent="0.3">
      <c r="B51" s="105">
        <f ca="1">IFERROR(IF(PréstamoNoPagado*PréstamoPagado,NúmeroDePago,""), "")</f>
        <v>42</v>
      </c>
      <c r="C51" s="96">
        <f ca="1">IFERROR(IF(PréstamoNoPagado*PréstamoPagado,FechaDePago,""), "")</f>
        <v>47579</v>
      </c>
      <c r="D51" s="97">
        <f ca="1">IFERROR(IF(PréstamoNoPagado*PréstamoPagado,ValorPréstamo,""), "")</f>
        <v>22565739.58857438</v>
      </c>
      <c r="E51" s="97">
        <f ca="1">IFERROR(IF(PréstamoNoPagado*PréstamoPagado,PagoMensual,""), "")</f>
        <v>1450368.3168877945</v>
      </c>
      <c r="F51" s="97">
        <f ca="1">IFERROR(IF(PréstamoNoPagado*PréstamoPagado,Capital,""), "")</f>
        <v>980248.74212583306</v>
      </c>
      <c r="G51" s="97">
        <f ca="1">IFERROR(IF(PréstamoNoPagado*PréstamoPagado,AmortizaciónInterés,""), "")</f>
        <v>470119.57476196164</v>
      </c>
      <c r="H51" s="97">
        <f ca="1">IFERROR(IF(PréstamoNoPagado*PréstamoPagado,SaldoFinal,""), "")</f>
        <v>21585490.846448541</v>
      </c>
    </row>
    <row r="52" spans="2:8" ht="20.100000000000001" customHeight="1" x14ac:dyDescent="0.3">
      <c r="B52" s="105">
        <f ca="1">IFERROR(IF(PréstamoNoPagado*PréstamoPagado,NúmeroDePago,""), "")</f>
        <v>43</v>
      </c>
      <c r="C52" s="96">
        <f ca="1">IFERROR(IF(PréstamoNoPagado*PréstamoPagado,FechaDePago,""), "")</f>
        <v>47609</v>
      </c>
      <c r="D52" s="97">
        <f ca="1">IFERROR(IF(PréstamoNoPagado*PréstamoPagado,ValorPréstamo,""), "")</f>
        <v>21585490.846448541</v>
      </c>
      <c r="E52" s="97">
        <f ca="1">IFERROR(IF(PréstamoNoPagado*PréstamoPagado,PagoMensual,""), "")</f>
        <v>1450368.3168877945</v>
      </c>
      <c r="F52" s="97">
        <f ca="1">IFERROR(IF(PréstamoNoPagado*PréstamoPagado,Capital,""), "")</f>
        <v>1000670.5909201212</v>
      </c>
      <c r="G52" s="97">
        <f ca="1">IFERROR(IF(PréstamoNoPagado*PréstamoPagado,AmortizaciónInterés,""), "")</f>
        <v>449697.72596767341</v>
      </c>
      <c r="H52" s="97">
        <f ca="1">IFERROR(IF(PréstamoNoPagado*PréstamoPagado,SaldoFinal,""), "")</f>
        <v>20584820.25552842</v>
      </c>
    </row>
    <row r="53" spans="2:8" ht="20.100000000000001" customHeight="1" x14ac:dyDescent="0.3">
      <c r="B53" s="105">
        <f ca="1">IFERROR(IF(PréstamoNoPagado*PréstamoPagado,NúmeroDePago,""), "")</f>
        <v>44</v>
      </c>
      <c r="C53" s="96">
        <f ca="1">IFERROR(IF(PréstamoNoPagado*PréstamoPagado,FechaDePago,""), "")</f>
        <v>47640</v>
      </c>
      <c r="D53" s="97">
        <f ca="1">IFERROR(IF(PréstamoNoPagado*PréstamoPagado,ValorPréstamo,""), "")</f>
        <v>20584820.25552842</v>
      </c>
      <c r="E53" s="97">
        <f ca="1">IFERROR(IF(PréstamoNoPagado*PréstamoPagado,PagoMensual,""), "")</f>
        <v>1450368.3168877945</v>
      </c>
      <c r="F53" s="97">
        <f ca="1">IFERROR(IF(PréstamoNoPagado*PréstamoPagado,Capital,""), "")</f>
        <v>1021517.8948976237</v>
      </c>
      <c r="G53" s="97">
        <f ca="1">IFERROR(IF(PréstamoNoPagado*PréstamoPagado,AmortizaciónInterés,""), "")</f>
        <v>428850.42199017084</v>
      </c>
      <c r="H53" s="97">
        <f ca="1">IFERROR(IF(PréstamoNoPagado*PréstamoPagado,SaldoFinal,""), "")</f>
        <v>19563302.360630825</v>
      </c>
    </row>
    <row r="54" spans="2:8" ht="20.100000000000001" customHeight="1" x14ac:dyDescent="0.3">
      <c r="B54" s="105">
        <f ca="1">IFERROR(IF(PréstamoNoPagado*PréstamoPagado,NúmeroDePago,""), "")</f>
        <v>45</v>
      </c>
      <c r="C54" s="96">
        <f ca="1">IFERROR(IF(PréstamoNoPagado*PréstamoPagado,FechaDePago,""), "")</f>
        <v>47670</v>
      </c>
      <c r="D54" s="97">
        <f ca="1">IFERROR(IF(PréstamoNoPagado*PréstamoPagado,ValorPréstamo,""), "")</f>
        <v>19563302.360630825</v>
      </c>
      <c r="E54" s="97">
        <f ca="1">IFERROR(IF(PréstamoNoPagado*PréstamoPagado,PagoMensual,""), "")</f>
        <v>1450368.3168877945</v>
      </c>
      <c r="F54" s="97">
        <f ca="1">IFERROR(IF(PréstamoNoPagado*PréstamoPagado,Capital,""), "")</f>
        <v>1042799.5177079909</v>
      </c>
      <c r="G54" s="97">
        <f ca="1">IFERROR(IF(PréstamoNoPagado*PréstamoPagado,AmortizaciónInterés,""), "")</f>
        <v>407568.79917980364</v>
      </c>
      <c r="H54" s="97">
        <f ca="1">IFERROR(IF(PréstamoNoPagado*PréstamoPagado,SaldoFinal,""), "")</f>
        <v>18520502.842922822</v>
      </c>
    </row>
    <row r="55" spans="2:8" ht="20.100000000000001" customHeight="1" x14ac:dyDescent="0.3">
      <c r="B55" s="105">
        <f ca="1">IFERROR(IF(PréstamoNoPagado*PréstamoPagado,NúmeroDePago,""), "")</f>
        <v>46</v>
      </c>
      <c r="C55" s="96">
        <f ca="1">IFERROR(IF(PréstamoNoPagado*PréstamoPagado,FechaDePago,""), "")</f>
        <v>47701</v>
      </c>
      <c r="D55" s="97">
        <f ca="1">IFERROR(IF(PréstamoNoPagado*PréstamoPagado,ValorPréstamo,""), "")</f>
        <v>18520502.842922822</v>
      </c>
      <c r="E55" s="97">
        <f ca="1">IFERROR(IF(PréstamoNoPagado*PréstamoPagado,PagoMensual,""), "")</f>
        <v>1450368.3168877945</v>
      </c>
      <c r="F55" s="97">
        <f ca="1">IFERROR(IF(PréstamoNoPagado*PréstamoPagado,Capital,""), "")</f>
        <v>1064524.5076602406</v>
      </c>
      <c r="G55" s="97">
        <f ca="1">IFERROR(IF(PréstamoNoPagado*PréstamoPagado,AmortizaciónInterés,""), "")</f>
        <v>385843.80922755389</v>
      </c>
      <c r="H55" s="97">
        <f ca="1">IFERROR(IF(PréstamoNoPagado*PréstamoPagado,SaldoFinal,""), "")</f>
        <v>17455978.335262612</v>
      </c>
    </row>
    <row r="56" spans="2:8" ht="20.100000000000001" customHeight="1" x14ac:dyDescent="0.3">
      <c r="B56" s="105">
        <f ca="1">IFERROR(IF(PréstamoNoPagado*PréstamoPagado,NúmeroDePago,""), "")</f>
        <v>47</v>
      </c>
      <c r="C56" s="96">
        <f ca="1">IFERROR(IF(PréstamoNoPagado*PréstamoPagado,FechaDePago,""), "")</f>
        <v>47732</v>
      </c>
      <c r="D56" s="97">
        <f ca="1">IFERROR(IF(PréstamoNoPagado*PréstamoPagado,ValorPréstamo,""), "")</f>
        <v>17455978.335262612</v>
      </c>
      <c r="E56" s="97">
        <f ca="1">IFERROR(IF(PréstamoNoPagado*PréstamoPagado,PagoMensual,""), "")</f>
        <v>1450368.3168877945</v>
      </c>
      <c r="F56" s="97">
        <f ca="1">IFERROR(IF(PréstamoNoPagado*PréstamoPagado,Capital,""), "")</f>
        <v>1086702.101569829</v>
      </c>
      <c r="G56" s="97">
        <f ca="1">IFERROR(IF(PréstamoNoPagado*PréstamoPagado,AmortizaciónInterés,""), "")</f>
        <v>363666.2153179656</v>
      </c>
      <c r="H56" s="97">
        <f ca="1">IFERROR(IF(PréstamoNoPagado*PréstamoPagado,SaldoFinal,""), "")</f>
        <v>16369276.233692795</v>
      </c>
    </row>
    <row r="57" spans="2:8" ht="20.100000000000001" customHeight="1" x14ac:dyDescent="0.3">
      <c r="B57" s="105">
        <f ca="1">IFERROR(IF(PréstamoNoPagado*PréstamoPagado,NúmeroDePago,""), "")</f>
        <v>48</v>
      </c>
      <c r="C57" s="96">
        <f ca="1">IFERROR(IF(PréstamoNoPagado*PréstamoPagado,FechaDePago,""), "")</f>
        <v>47762</v>
      </c>
      <c r="D57" s="97">
        <f ca="1">IFERROR(IF(PréstamoNoPagado*PréstamoPagado,ValorPréstamo,""), "")</f>
        <v>16369276.233692795</v>
      </c>
      <c r="E57" s="97">
        <f ca="1">IFERROR(IF(PréstamoNoPagado*PréstamoPagado,PagoMensual,""), "")</f>
        <v>1450368.3168877945</v>
      </c>
      <c r="F57" s="97">
        <f ca="1">IFERROR(IF(PréstamoNoPagado*PréstamoPagado,Capital,""), "")</f>
        <v>1109341.728685867</v>
      </c>
      <c r="G57" s="97">
        <f ca="1">IFERROR(IF(PréstamoNoPagado*PréstamoPagado,AmortizaciónInterés,""), "")</f>
        <v>341026.58820192743</v>
      </c>
      <c r="H57" s="97">
        <f ca="1">IFERROR(IF(PréstamoNoPagado*PréstamoPagado,SaldoFinal,""), "")</f>
        <v>15259934.505006939</v>
      </c>
    </row>
    <row r="58" spans="2:8" ht="20.100000000000001" customHeight="1" x14ac:dyDescent="0.3">
      <c r="B58" s="105">
        <f ca="1">IFERROR(IF(PréstamoNoPagado*PréstamoPagado,NúmeroDePago,""), "")</f>
        <v>49</v>
      </c>
      <c r="C58" s="96">
        <f ca="1">IFERROR(IF(PréstamoNoPagado*PréstamoPagado,FechaDePago,""), "")</f>
        <v>47793</v>
      </c>
      <c r="D58" s="97">
        <f ca="1">IFERROR(IF(PréstamoNoPagado*PréstamoPagado,ValorPréstamo,""), "")</f>
        <v>15259934.505006939</v>
      </c>
      <c r="E58" s="97">
        <f ca="1">IFERROR(IF(PréstamoNoPagado*PréstamoPagado,PagoMensual,""), "")</f>
        <v>1450368.3168877945</v>
      </c>
      <c r="F58" s="97">
        <f ca="1">IFERROR(IF(PréstamoNoPagado*PréstamoPagado,Capital,""), "")</f>
        <v>1132453.0147001562</v>
      </c>
      <c r="G58" s="97">
        <f ca="1">IFERROR(IF(PréstamoNoPagado*PréstamoPagado,AmortizaciónInterés,""), "")</f>
        <v>317915.30218763853</v>
      </c>
      <c r="H58" s="97">
        <f ca="1">IFERROR(IF(PréstamoNoPagado*PréstamoPagado,SaldoFinal,""), "")</f>
        <v>14127481.49030678</v>
      </c>
    </row>
    <row r="59" spans="2:8" ht="20.100000000000001" customHeight="1" x14ac:dyDescent="0.3">
      <c r="B59" s="105">
        <f ca="1">IFERROR(IF(PréstamoNoPagado*PréstamoPagado,NúmeroDePago,""), "")</f>
        <v>50</v>
      </c>
      <c r="C59" s="96">
        <f ca="1">IFERROR(IF(PréstamoNoPagado*PréstamoPagado,FechaDePago,""), "")</f>
        <v>47823</v>
      </c>
      <c r="D59" s="97">
        <f ca="1">IFERROR(IF(PréstamoNoPagado*PréstamoPagado,ValorPréstamo,""), "")</f>
        <v>14127481.49030678</v>
      </c>
      <c r="E59" s="97">
        <f ca="1">IFERROR(IF(PréstamoNoPagado*PréstamoPagado,PagoMensual,""), "")</f>
        <v>1450368.3168877945</v>
      </c>
      <c r="F59" s="97">
        <f ca="1">IFERROR(IF(PréstamoNoPagado*PréstamoPagado,Capital,""), "")</f>
        <v>1156045.7858397425</v>
      </c>
      <c r="G59" s="97">
        <f ca="1">IFERROR(IF(PréstamoNoPagado*PréstamoPagado,AmortizaciónInterés,""), "")</f>
        <v>294322.53104805195</v>
      </c>
      <c r="H59" s="97">
        <f ca="1">IFERROR(IF(PréstamoNoPagado*PréstamoPagado,SaldoFinal,""), "")</f>
        <v>12971435.704467058</v>
      </c>
    </row>
    <row r="60" spans="2:8" ht="20.100000000000001" customHeight="1" x14ac:dyDescent="0.3">
      <c r="B60" s="105">
        <f ca="1">IFERROR(IF(PréstamoNoPagado*PréstamoPagado,NúmeroDePago,""), "")</f>
        <v>51</v>
      </c>
      <c r="C60" s="96">
        <f ca="1">IFERROR(IF(PréstamoNoPagado*PréstamoPagado,FechaDePago,""), "")</f>
        <v>47854</v>
      </c>
      <c r="D60" s="97">
        <f ca="1">IFERROR(IF(PréstamoNoPagado*PréstamoPagado,ValorPréstamo,""), "")</f>
        <v>12971435.704467058</v>
      </c>
      <c r="E60" s="97">
        <f ca="1">IFERROR(IF(PréstamoNoPagado*PréstamoPagado,PagoMensual,""), "")</f>
        <v>1450368.3168877945</v>
      </c>
      <c r="F60" s="97">
        <f ca="1">IFERROR(IF(PréstamoNoPagado*PréstamoPagado,Capital,""), "")</f>
        <v>1180130.0730447373</v>
      </c>
      <c r="G60" s="97">
        <f ca="1">IFERROR(IF(PréstamoNoPagado*PréstamoPagado,AmortizaciónInterés,""), "")</f>
        <v>270238.24384305737</v>
      </c>
      <c r="H60" s="97">
        <f ca="1">IFERROR(IF(PréstamoNoPagado*PréstamoPagado,SaldoFinal,""), "")</f>
        <v>11791305.631422341</v>
      </c>
    </row>
    <row r="61" spans="2:8" ht="20.100000000000001" customHeight="1" x14ac:dyDescent="0.3">
      <c r="B61" s="105">
        <f ca="1">IFERROR(IF(PréstamoNoPagado*PréstamoPagado,NúmeroDePago,""), "")</f>
        <v>52</v>
      </c>
      <c r="C61" s="96">
        <f ca="1">IFERROR(IF(PréstamoNoPagado*PréstamoPagado,FechaDePago,""), "")</f>
        <v>47885</v>
      </c>
      <c r="D61" s="97">
        <f ca="1">IFERROR(IF(PréstamoNoPagado*PréstamoPagado,ValorPréstamo,""), "")</f>
        <v>11791305.631422341</v>
      </c>
      <c r="E61" s="97">
        <f ca="1">IFERROR(IF(PréstamoNoPagado*PréstamoPagado,PagoMensual,""), "")</f>
        <v>1450368.3168877945</v>
      </c>
      <c r="F61" s="97">
        <f ca="1">IFERROR(IF(PréstamoNoPagado*PréstamoPagado,Capital,""), "")</f>
        <v>1204716.1162331693</v>
      </c>
      <c r="G61" s="97">
        <f ca="1">IFERROR(IF(PréstamoNoPagado*PréstamoPagado,AmortizaciónInterés,""), "")</f>
        <v>245652.20065462534</v>
      </c>
      <c r="H61" s="97">
        <f ca="1">IFERROR(IF(PréstamoNoPagado*PréstamoPagado,SaldoFinal,""), "")</f>
        <v>10586589.515189186</v>
      </c>
    </row>
    <row r="62" spans="2:8" ht="20.100000000000001" customHeight="1" x14ac:dyDescent="0.3">
      <c r="B62" s="105">
        <f ca="1">IFERROR(IF(PréstamoNoPagado*PréstamoPagado,NúmeroDePago,""), "")</f>
        <v>53</v>
      </c>
      <c r="C62" s="96">
        <f ca="1">IFERROR(IF(PréstamoNoPagado*PréstamoPagado,FechaDePago,""), "")</f>
        <v>47913</v>
      </c>
      <c r="D62" s="97">
        <f ca="1">IFERROR(IF(PréstamoNoPagado*PréstamoPagado,ValorPréstamo,""), "")</f>
        <v>10586589.515189186</v>
      </c>
      <c r="E62" s="97">
        <f ca="1">IFERROR(IF(PréstamoNoPagado*PréstamoPagado,PagoMensual,""), "")</f>
        <v>1450368.3168877945</v>
      </c>
      <c r="F62" s="97">
        <f ca="1">IFERROR(IF(PréstamoNoPagado*PréstamoPagado,Capital,""), "")</f>
        <v>1229814.3686546935</v>
      </c>
      <c r="G62" s="97">
        <f ca="1">IFERROR(IF(PréstamoNoPagado*PréstamoPagado,AmortizaciónInterés,""), "")</f>
        <v>220553.94823310096</v>
      </c>
      <c r="H62" s="97">
        <f ca="1">IFERROR(IF(PréstamoNoPagado*PréstamoPagado,SaldoFinal,""), "")</f>
        <v>9356775.1465345025</v>
      </c>
    </row>
    <row r="63" spans="2:8" ht="20.100000000000001" customHeight="1" x14ac:dyDescent="0.3">
      <c r="B63" s="105">
        <f ca="1">IFERROR(IF(PréstamoNoPagado*PréstamoPagado,NúmeroDePago,""), "")</f>
        <v>54</v>
      </c>
      <c r="C63" s="96">
        <f ca="1">IFERROR(IF(PréstamoNoPagado*PréstamoPagado,FechaDePago,""), "")</f>
        <v>47944</v>
      </c>
      <c r="D63" s="97">
        <f ca="1">IFERROR(IF(PréstamoNoPagado*PréstamoPagado,ValorPréstamo,""), "")</f>
        <v>9356775.1465345025</v>
      </c>
      <c r="E63" s="97">
        <f ca="1">IFERROR(IF(PréstamoNoPagado*PréstamoPagado,PagoMensual,""), "")</f>
        <v>1450368.3168877945</v>
      </c>
      <c r="F63" s="97">
        <f ca="1">IFERROR(IF(PréstamoNoPagado*PréstamoPagado,Capital,""), "")</f>
        <v>1255435.5013349997</v>
      </c>
      <c r="G63" s="97">
        <f ca="1">IFERROR(IF(PréstamoNoPagado*PréstamoPagado,AmortizaciónInterés,""), "")</f>
        <v>194932.81555279484</v>
      </c>
      <c r="H63" s="97">
        <f ca="1">IFERROR(IF(PréstamoNoPagado*PréstamoPagado,SaldoFinal,""), "")</f>
        <v>8101339.6451995075</v>
      </c>
    </row>
    <row r="64" spans="2:8" ht="20.100000000000001" customHeight="1" x14ac:dyDescent="0.3">
      <c r="B64" s="105">
        <f ca="1">IFERROR(IF(PréstamoNoPagado*PréstamoPagado,NúmeroDePago,""), "")</f>
        <v>55</v>
      </c>
      <c r="C64" s="96">
        <f ca="1">IFERROR(IF(PréstamoNoPagado*PréstamoPagado,FechaDePago,""), "")</f>
        <v>47974</v>
      </c>
      <c r="D64" s="97">
        <f ca="1">IFERROR(IF(PréstamoNoPagado*PréstamoPagado,ValorPréstamo,""), "")</f>
        <v>8101339.6451995075</v>
      </c>
      <c r="E64" s="97">
        <f ca="1">IFERROR(IF(PréstamoNoPagado*PréstamoPagado,PagoMensual,""), "")</f>
        <v>1450368.3168877945</v>
      </c>
      <c r="F64" s="97">
        <f ca="1">IFERROR(IF(PréstamoNoPagado*PréstamoPagado,Capital,""), "")</f>
        <v>1281590.4076128122</v>
      </c>
      <c r="G64" s="97">
        <f ca="1">IFERROR(IF(PréstamoNoPagado*PréstamoPagado,AmortizaciónInterés,""), "")</f>
        <v>168777.90927498238</v>
      </c>
      <c r="H64" s="97">
        <f ca="1">IFERROR(IF(PréstamoNoPagado*PréstamoPagado,SaldoFinal,""), "")</f>
        <v>6819749.2375867069</v>
      </c>
    </row>
    <row r="65" spans="2:8" ht="20.100000000000001" customHeight="1" x14ac:dyDescent="0.3">
      <c r="B65" s="105">
        <f ca="1">IFERROR(IF(PréstamoNoPagado*PréstamoPagado,NúmeroDePago,""), "")</f>
        <v>56</v>
      </c>
      <c r="C65" s="96">
        <f ca="1">IFERROR(IF(PréstamoNoPagado*PréstamoPagado,FechaDePago,""), "")</f>
        <v>48005</v>
      </c>
      <c r="D65" s="97">
        <f ca="1">IFERROR(IF(PréstamoNoPagado*PréstamoPagado,ValorPréstamo,""), "")</f>
        <v>6819749.2375867069</v>
      </c>
      <c r="E65" s="97">
        <f ca="1">IFERROR(IF(PréstamoNoPagado*PréstamoPagado,PagoMensual,""), "")</f>
        <v>1450368.3168877945</v>
      </c>
      <c r="F65" s="97">
        <f ca="1">IFERROR(IF(PréstamoNoPagado*PréstamoPagado,Capital,""), "")</f>
        <v>1308290.2077714126</v>
      </c>
      <c r="G65" s="97">
        <f ca="1">IFERROR(IF(PréstamoNoPagado*PréstamoPagado,AmortizaciónInterés,""), "")</f>
        <v>142078.10911638211</v>
      </c>
      <c r="H65" s="97">
        <f ca="1">IFERROR(IF(PréstamoNoPagado*PréstamoPagado,SaldoFinal,""), "")</f>
        <v>5511459.0298153162</v>
      </c>
    </row>
    <row r="66" spans="2:8" ht="20.100000000000001" customHeight="1" x14ac:dyDescent="0.3">
      <c r="B66" s="105">
        <f ca="1">IFERROR(IF(PréstamoNoPagado*PréstamoPagado,NúmeroDePago,""), "")</f>
        <v>57</v>
      </c>
      <c r="C66" s="96">
        <f ca="1">IFERROR(IF(PréstamoNoPagado*PréstamoPagado,FechaDePago,""), "")</f>
        <v>48035</v>
      </c>
      <c r="D66" s="97">
        <f ca="1">IFERROR(IF(PréstamoNoPagado*PréstamoPagado,ValorPréstamo,""), "")</f>
        <v>5511459.0298153162</v>
      </c>
      <c r="E66" s="97">
        <f ca="1">IFERROR(IF(PréstamoNoPagado*PréstamoPagado,PagoMensual,""), "")</f>
        <v>1450368.3168877945</v>
      </c>
      <c r="F66" s="97">
        <f ca="1">IFERROR(IF(PréstamoNoPagado*PréstamoPagado,Capital,""), "")</f>
        <v>1335546.2537666503</v>
      </c>
      <c r="G66" s="97">
        <f ca="1">IFERROR(IF(PréstamoNoPagado*PréstamoPagado,AmortizaciónInterés,""), "")</f>
        <v>114822.06312114434</v>
      </c>
      <c r="H66" s="97">
        <f ca="1">IFERROR(IF(PréstamoNoPagado*PréstamoPagado,SaldoFinal,""), "")</f>
        <v>4175912.7760486901</v>
      </c>
    </row>
    <row r="67" spans="2:8" ht="20.100000000000001" customHeight="1" x14ac:dyDescent="0.3">
      <c r="B67" s="105">
        <f ca="1">IFERROR(IF(PréstamoNoPagado*PréstamoPagado,NúmeroDePago,""), "")</f>
        <v>58</v>
      </c>
      <c r="C67" s="96">
        <f ca="1">IFERROR(IF(PréstamoNoPagado*PréstamoPagado,FechaDePago,""), "")</f>
        <v>48066</v>
      </c>
      <c r="D67" s="97">
        <f ca="1">IFERROR(IF(PréstamoNoPagado*PréstamoPagado,ValorPréstamo,""), "")</f>
        <v>4175912.7760486901</v>
      </c>
      <c r="E67" s="97">
        <f ca="1">IFERROR(IF(PréstamoNoPagado*PréstamoPagado,PagoMensual,""), "")</f>
        <v>1450368.3168877945</v>
      </c>
      <c r="F67" s="97">
        <f ca="1">IFERROR(IF(PréstamoNoPagado*PréstamoPagado,Capital,""), "")</f>
        <v>1363370.1340534554</v>
      </c>
      <c r="G67" s="97">
        <f ca="1">IFERROR(IF(PréstamoNoPagado*PréstamoPagado,AmortizaciónInterés,""), "")</f>
        <v>86998.182834339153</v>
      </c>
      <c r="H67" s="97">
        <f ca="1">IFERROR(IF(PréstamoNoPagado*PréstamoPagado,SaldoFinal,""), "")</f>
        <v>2812542.6419952512</v>
      </c>
    </row>
    <row r="68" spans="2:8" ht="20.100000000000001" customHeight="1" x14ac:dyDescent="0.3">
      <c r="B68" s="105">
        <f ca="1">IFERROR(IF(PréstamoNoPagado*PréstamoPagado,NúmeroDePago,""), "")</f>
        <v>59</v>
      </c>
      <c r="C68" s="96">
        <f ca="1">IFERROR(IF(PréstamoNoPagado*PréstamoPagado,FechaDePago,""), "")</f>
        <v>48097</v>
      </c>
      <c r="D68" s="97">
        <f ca="1">IFERROR(IF(PréstamoNoPagado*PréstamoPagado,ValorPréstamo,""), "")</f>
        <v>2812542.6419952512</v>
      </c>
      <c r="E68" s="97">
        <f ca="1">IFERROR(IF(PréstamoNoPagado*PréstamoPagado,PagoMensual,""), "")</f>
        <v>1450368.3168877945</v>
      </c>
      <c r="F68" s="97">
        <f ca="1">IFERROR(IF(PréstamoNoPagado*PréstamoPagado,Capital,""), "")</f>
        <v>1391773.6785129025</v>
      </c>
      <c r="G68" s="97">
        <f ca="1">IFERROR(IF(PréstamoNoPagado*PréstamoPagado,AmortizaciónInterés,""), "")</f>
        <v>58594.638374892158</v>
      </c>
      <c r="H68" s="97">
        <f ca="1">IFERROR(IF(PréstamoNoPagado*PréstamoPagado,SaldoFinal,""), "")</f>
        <v>1420768.9634823799</v>
      </c>
    </row>
    <row r="69" spans="2:8" ht="20.100000000000001" customHeight="1" x14ac:dyDescent="0.3">
      <c r="B69" s="105">
        <f ca="1">IFERROR(IF(PréstamoNoPagado*PréstamoPagado,NúmeroDePago,""), "")</f>
        <v>60</v>
      </c>
      <c r="C69" s="96">
        <f ca="1">IFERROR(IF(PréstamoNoPagado*PréstamoPagado,FechaDePago,""), "")</f>
        <v>48127</v>
      </c>
      <c r="D69" s="97">
        <f ca="1">IFERROR(IF(PréstamoNoPagado*PréstamoPagado,ValorPréstamo,""), "")</f>
        <v>1420768.9634823799</v>
      </c>
      <c r="E69" s="97">
        <f ca="1">IFERROR(IF(PréstamoNoPagado*PréstamoPagado,PagoMensual,""), "")</f>
        <v>1450368.3168877945</v>
      </c>
      <c r="F69" s="97">
        <f ca="1">IFERROR(IF(PréstamoNoPagado*PréstamoPagado,Capital,""), "")</f>
        <v>1420768.9634819212</v>
      </c>
      <c r="G69" s="97">
        <f ca="1">IFERROR(IF(PréstamoNoPagado*PréstamoPagado,AmortizaciónInterés,""), "")</f>
        <v>29599.353405873357</v>
      </c>
      <c r="H69" s="97">
        <f ca="1">IFERROR(IF(PréstamoNoPagado*PréstamoPagado,SaldoFinal,""), "")</f>
        <v>4.76837158203125E-7</v>
      </c>
    </row>
    <row r="70" spans="2:8" ht="20.100000000000001" customHeight="1" x14ac:dyDescent="0.3">
      <c r="B70" s="105" t="str">
        <f ca="1">IFERROR(IF(PréstamoNoPagado*PréstamoPagado,NúmeroDePago,""), "")</f>
        <v/>
      </c>
      <c r="C70" s="96" t="str">
        <f ca="1">IFERROR(IF(PréstamoNoPagado*PréstamoPagado,FechaDePago,""), "")</f>
        <v/>
      </c>
      <c r="D70" s="97" t="str">
        <f ca="1">IFERROR(IF(PréstamoNoPagado*PréstamoPagado,ValorPréstamo,""), "")</f>
        <v/>
      </c>
      <c r="E70" s="97" t="str">
        <f ca="1">IFERROR(IF(PréstamoNoPagado*PréstamoPagado,PagoMensual,""), "")</f>
        <v/>
      </c>
      <c r="F70" s="97" t="str">
        <f ca="1">IFERROR(IF(PréstamoNoPagado*PréstamoPagado,Capital,""), "")</f>
        <v/>
      </c>
      <c r="G70" s="97" t="str">
        <f ca="1">IFERROR(IF(PréstamoNoPagado*PréstamoPagado,AmortizaciónInterés,""), "")</f>
        <v/>
      </c>
      <c r="H70" s="97" t="str">
        <f ca="1">IFERROR(IF(PréstamoNoPagado*PréstamoPagado,SaldoFinal,""), "")</f>
        <v/>
      </c>
    </row>
    <row r="71" spans="2:8" ht="20.100000000000001" customHeight="1" x14ac:dyDescent="0.3">
      <c r="B71" s="105" t="str">
        <f ca="1">IFERROR(IF(PréstamoNoPagado*PréstamoPagado,NúmeroDePago,""), "")</f>
        <v/>
      </c>
      <c r="C71" s="96" t="str">
        <f ca="1">IFERROR(IF(PréstamoNoPagado*PréstamoPagado,FechaDePago,""), "")</f>
        <v/>
      </c>
      <c r="D71" s="97" t="str">
        <f ca="1">IFERROR(IF(PréstamoNoPagado*PréstamoPagado,ValorPréstamo,""), "")</f>
        <v/>
      </c>
      <c r="E71" s="97" t="str">
        <f ca="1">IFERROR(IF(PréstamoNoPagado*PréstamoPagado,PagoMensual,""), "")</f>
        <v/>
      </c>
      <c r="F71" s="97" t="str">
        <f ca="1">IFERROR(IF(PréstamoNoPagado*PréstamoPagado,Capital,""), "")</f>
        <v/>
      </c>
      <c r="G71" s="97" t="str">
        <f ca="1">IFERROR(IF(PréstamoNoPagado*PréstamoPagado,AmortizaciónInterés,""), "")</f>
        <v/>
      </c>
      <c r="H71" s="97" t="str">
        <f ca="1">IFERROR(IF(PréstamoNoPagado*PréstamoPagado,SaldoFinal,""), "")</f>
        <v/>
      </c>
    </row>
    <row r="72" spans="2:8" ht="20.100000000000001" customHeight="1" x14ac:dyDescent="0.3">
      <c r="B72" s="105" t="str">
        <f ca="1">IFERROR(IF(PréstamoNoPagado*PréstamoPagado,NúmeroDePago,""), "")</f>
        <v/>
      </c>
      <c r="C72" s="96" t="str">
        <f ca="1">IFERROR(IF(PréstamoNoPagado*PréstamoPagado,FechaDePago,""), "")</f>
        <v/>
      </c>
      <c r="D72" s="97" t="str">
        <f ca="1">IFERROR(IF(PréstamoNoPagado*PréstamoPagado,ValorPréstamo,""), "")</f>
        <v/>
      </c>
      <c r="E72" s="97" t="str">
        <f ca="1">IFERROR(IF(PréstamoNoPagado*PréstamoPagado,PagoMensual,""), "")</f>
        <v/>
      </c>
      <c r="F72" s="97" t="str">
        <f ca="1">IFERROR(IF(PréstamoNoPagado*PréstamoPagado,Capital,""), "")</f>
        <v/>
      </c>
      <c r="G72" s="97" t="str">
        <f ca="1">IFERROR(IF(PréstamoNoPagado*PréstamoPagado,AmortizaciónInterés,""), "")</f>
        <v/>
      </c>
      <c r="H72" s="97" t="str">
        <f ca="1">IFERROR(IF(PréstamoNoPagado*PréstamoPagado,SaldoFinal,""), "")</f>
        <v/>
      </c>
    </row>
    <row r="73" spans="2:8" ht="20.100000000000001" customHeight="1" x14ac:dyDescent="0.3">
      <c r="B73" s="105" t="str">
        <f ca="1">IFERROR(IF(PréstamoNoPagado*PréstamoPagado,NúmeroDePago,""), "")</f>
        <v/>
      </c>
      <c r="C73" s="96" t="str">
        <f ca="1">IFERROR(IF(PréstamoNoPagado*PréstamoPagado,FechaDePago,""), "")</f>
        <v/>
      </c>
      <c r="D73" s="97" t="str">
        <f ca="1">IFERROR(IF(PréstamoNoPagado*PréstamoPagado,ValorPréstamo,""), "")</f>
        <v/>
      </c>
      <c r="E73" s="97" t="str">
        <f ca="1">IFERROR(IF(PréstamoNoPagado*PréstamoPagado,PagoMensual,""), "")</f>
        <v/>
      </c>
      <c r="F73" s="97" t="str">
        <f ca="1">IFERROR(IF(PréstamoNoPagado*PréstamoPagado,Capital,""), "")</f>
        <v/>
      </c>
      <c r="G73" s="97" t="str">
        <f ca="1">IFERROR(IF(PréstamoNoPagado*PréstamoPagado,AmortizaciónInterés,""), "")</f>
        <v/>
      </c>
      <c r="H73" s="97" t="str">
        <f ca="1">IFERROR(IF(PréstamoNoPagado*PréstamoPagado,SaldoFinal,""), "")</f>
        <v/>
      </c>
    </row>
    <row r="74" spans="2:8" ht="20.100000000000001" customHeight="1" x14ac:dyDescent="0.3">
      <c r="B74" s="105" t="str">
        <f ca="1">IFERROR(IF(PréstamoNoPagado*PréstamoPagado,NúmeroDePago,""), "")</f>
        <v/>
      </c>
      <c r="C74" s="96" t="str">
        <f ca="1">IFERROR(IF(PréstamoNoPagado*PréstamoPagado,FechaDePago,""), "")</f>
        <v/>
      </c>
      <c r="D74" s="97" t="str">
        <f ca="1">IFERROR(IF(PréstamoNoPagado*PréstamoPagado,ValorPréstamo,""), "")</f>
        <v/>
      </c>
      <c r="E74" s="97" t="str">
        <f ca="1">IFERROR(IF(PréstamoNoPagado*PréstamoPagado,PagoMensual,""), "")</f>
        <v/>
      </c>
      <c r="F74" s="97" t="str">
        <f ca="1">IFERROR(IF(PréstamoNoPagado*PréstamoPagado,Capital,""), "")</f>
        <v/>
      </c>
      <c r="G74" s="97" t="str">
        <f ca="1">IFERROR(IF(PréstamoNoPagado*PréstamoPagado,AmortizaciónInterés,""), "")</f>
        <v/>
      </c>
      <c r="H74" s="97" t="str">
        <f ca="1">IFERROR(IF(PréstamoNoPagado*PréstamoPagado,SaldoFinal,""), "")</f>
        <v/>
      </c>
    </row>
    <row r="75" spans="2:8" ht="20.100000000000001" customHeight="1" x14ac:dyDescent="0.3">
      <c r="B75" s="105" t="str">
        <f ca="1">IFERROR(IF(PréstamoNoPagado*PréstamoPagado,NúmeroDePago,""), "")</f>
        <v/>
      </c>
      <c r="C75" s="96" t="str">
        <f ca="1">IFERROR(IF(PréstamoNoPagado*PréstamoPagado,FechaDePago,""), "")</f>
        <v/>
      </c>
      <c r="D75" s="97" t="str">
        <f ca="1">IFERROR(IF(PréstamoNoPagado*PréstamoPagado,ValorPréstamo,""), "")</f>
        <v/>
      </c>
      <c r="E75" s="97" t="str">
        <f ca="1">IFERROR(IF(PréstamoNoPagado*PréstamoPagado,PagoMensual,""), "")</f>
        <v/>
      </c>
      <c r="F75" s="97" t="str">
        <f ca="1">IFERROR(IF(PréstamoNoPagado*PréstamoPagado,Capital,""), "")</f>
        <v/>
      </c>
      <c r="G75" s="97" t="str">
        <f ca="1">IFERROR(IF(PréstamoNoPagado*PréstamoPagado,AmortizaciónInterés,""), "")</f>
        <v/>
      </c>
      <c r="H75" s="97" t="str">
        <f ca="1">IFERROR(IF(PréstamoNoPagado*PréstamoPagado,SaldoFinal,""), "")</f>
        <v/>
      </c>
    </row>
    <row r="76" spans="2:8" ht="20.100000000000001" customHeight="1" x14ac:dyDescent="0.3">
      <c r="B76" s="105" t="str">
        <f ca="1">IFERROR(IF(PréstamoNoPagado*PréstamoPagado,NúmeroDePago,""), "")</f>
        <v/>
      </c>
      <c r="C76" s="96" t="str">
        <f ca="1">IFERROR(IF(PréstamoNoPagado*PréstamoPagado,FechaDePago,""), "")</f>
        <v/>
      </c>
      <c r="D76" s="97" t="str">
        <f ca="1">IFERROR(IF(PréstamoNoPagado*PréstamoPagado,ValorPréstamo,""), "")</f>
        <v/>
      </c>
      <c r="E76" s="97" t="str">
        <f ca="1">IFERROR(IF(PréstamoNoPagado*PréstamoPagado,PagoMensual,""), "")</f>
        <v/>
      </c>
      <c r="F76" s="97" t="str">
        <f ca="1">IFERROR(IF(PréstamoNoPagado*PréstamoPagado,Capital,""), "")</f>
        <v/>
      </c>
      <c r="G76" s="97" t="str">
        <f ca="1">IFERROR(IF(PréstamoNoPagado*PréstamoPagado,AmortizaciónInterés,""), "")</f>
        <v/>
      </c>
      <c r="H76" s="97" t="str">
        <f ca="1">IFERROR(IF(PréstamoNoPagado*PréstamoPagado,SaldoFinal,""), "")</f>
        <v/>
      </c>
    </row>
    <row r="77" spans="2:8" ht="20.100000000000001" customHeight="1" x14ac:dyDescent="0.3">
      <c r="B77" s="105" t="str">
        <f ca="1">IFERROR(IF(PréstamoNoPagado*PréstamoPagado,NúmeroDePago,""), "")</f>
        <v/>
      </c>
      <c r="C77" s="96" t="str">
        <f ca="1">IFERROR(IF(PréstamoNoPagado*PréstamoPagado,FechaDePago,""), "")</f>
        <v/>
      </c>
      <c r="D77" s="97" t="str">
        <f ca="1">IFERROR(IF(PréstamoNoPagado*PréstamoPagado,ValorPréstamo,""), "")</f>
        <v/>
      </c>
      <c r="E77" s="97" t="str">
        <f ca="1">IFERROR(IF(PréstamoNoPagado*PréstamoPagado,PagoMensual,""), "")</f>
        <v/>
      </c>
      <c r="F77" s="97" t="str">
        <f ca="1">IFERROR(IF(PréstamoNoPagado*PréstamoPagado,Capital,""), "")</f>
        <v/>
      </c>
      <c r="G77" s="97" t="str">
        <f ca="1">IFERROR(IF(PréstamoNoPagado*PréstamoPagado,AmortizaciónInterés,""), "")</f>
        <v/>
      </c>
      <c r="H77" s="97" t="str">
        <f ca="1">IFERROR(IF(PréstamoNoPagado*PréstamoPagado,SaldoFinal,""), "")</f>
        <v/>
      </c>
    </row>
    <row r="78" spans="2:8" ht="20.100000000000001" customHeight="1" x14ac:dyDescent="0.3">
      <c r="B78" s="105" t="str">
        <f ca="1">IFERROR(IF(PréstamoNoPagado*PréstamoPagado,NúmeroDePago,""), "")</f>
        <v/>
      </c>
      <c r="C78" s="96" t="str">
        <f ca="1">IFERROR(IF(PréstamoNoPagado*PréstamoPagado,FechaDePago,""), "")</f>
        <v/>
      </c>
      <c r="D78" s="97" t="str">
        <f ca="1">IFERROR(IF(PréstamoNoPagado*PréstamoPagado,ValorPréstamo,""), "")</f>
        <v/>
      </c>
      <c r="E78" s="97" t="str">
        <f ca="1">IFERROR(IF(PréstamoNoPagado*PréstamoPagado,PagoMensual,""), "")</f>
        <v/>
      </c>
      <c r="F78" s="97" t="str">
        <f ca="1">IFERROR(IF(PréstamoNoPagado*PréstamoPagado,Capital,""), "")</f>
        <v/>
      </c>
      <c r="G78" s="97" t="str">
        <f ca="1">IFERROR(IF(PréstamoNoPagado*PréstamoPagado,AmortizaciónInterés,""), "")</f>
        <v/>
      </c>
      <c r="H78" s="97" t="str">
        <f ca="1">IFERROR(IF(PréstamoNoPagado*PréstamoPagado,SaldoFinal,""), "")</f>
        <v/>
      </c>
    </row>
    <row r="79" spans="2:8" ht="20.100000000000001" customHeight="1" x14ac:dyDescent="0.3">
      <c r="B79" s="105" t="str">
        <f ca="1">IFERROR(IF(PréstamoNoPagado*PréstamoPagado,NúmeroDePago,""), "")</f>
        <v/>
      </c>
      <c r="C79" s="96" t="str">
        <f ca="1">IFERROR(IF(PréstamoNoPagado*PréstamoPagado,FechaDePago,""), "")</f>
        <v/>
      </c>
      <c r="D79" s="97" t="str">
        <f ca="1">IFERROR(IF(PréstamoNoPagado*PréstamoPagado,ValorPréstamo,""), "")</f>
        <v/>
      </c>
      <c r="E79" s="97" t="str">
        <f ca="1">IFERROR(IF(PréstamoNoPagado*PréstamoPagado,PagoMensual,""), "")</f>
        <v/>
      </c>
      <c r="F79" s="97" t="str">
        <f ca="1">IFERROR(IF(PréstamoNoPagado*PréstamoPagado,Capital,""), "")</f>
        <v/>
      </c>
      <c r="G79" s="97" t="str">
        <f ca="1">IFERROR(IF(PréstamoNoPagado*PréstamoPagado,AmortizaciónInterés,""), "")</f>
        <v/>
      </c>
      <c r="H79" s="97" t="str">
        <f ca="1">IFERROR(IF(PréstamoNoPagado*PréstamoPagado,SaldoFinal,""), "")</f>
        <v/>
      </c>
    </row>
    <row r="80" spans="2:8" ht="20.100000000000001" customHeight="1" x14ac:dyDescent="0.3">
      <c r="B80" s="105" t="str">
        <f ca="1">IFERROR(IF(PréstamoNoPagado*PréstamoPagado,NúmeroDePago,""), "")</f>
        <v/>
      </c>
      <c r="C80" s="96" t="str">
        <f ca="1">IFERROR(IF(PréstamoNoPagado*PréstamoPagado,FechaDePago,""), "")</f>
        <v/>
      </c>
      <c r="D80" s="97" t="str">
        <f ca="1">IFERROR(IF(PréstamoNoPagado*PréstamoPagado,ValorPréstamo,""), "")</f>
        <v/>
      </c>
      <c r="E80" s="97" t="str">
        <f ca="1">IFERROR(IF(PréstamoNoPagado*PréstamoPagado,PagoMensual,""), "")</f>
        <v/>
      </c>
      <c r="F80" s="97" t="str">
        <f ca="1">IFERROR(IF(PréstamoNoPagado*PréstamoPagado,Capital,""), "")</f>
        <v/>
      </c>
      <c r="G80" s="97" t="str">
        <f ca="1">IFERROR(IF(PréstamoNoPagado*PréstamoPagado,AmortizaciónInterés,""), "")</f>
        <v/>
      </c>
      <c r="H80" s="97" t="str">
        <f ca="1">IFERROR(IF(PréstamoNoPagado*PréstamoPagado,SaldoFinal,""), "")</f>
        <v/>
      </c>
    </row>
    <row r="81" spans="2:8" ht="20.100000000000001" customHeight="1" x14ac:dyDescent="0.3">
      <c r="B81" s="105" t="str">
        <f ca="1">IFERROR(IF(PréstamoNoPagado*PréstamoPagado,NúmeroDePago,""), "")</f>
        <v/>
      </c>
      <c r="C81" s="96" t="str">
        <f ca="1">IFERROR(IF(PréstamoNoPagado*PréstamoPagado,FechaDePago,""), "")</f>
        <v/>
      </c>
      <c r="D81" s="97" t="str">
        <f ca="1">IFERROR(IF(PréstamoNoPagado*PréstamoPagado,ValorPréstamo,""), "")</f>
        <v/>
      </c>
      <c r="E81" s="97" t="str">
        <f ca="1">IFERROR(IF(PréstamoNoPagado*PréstamoPagado,PagoMensual,""), "")</f>
        <v/>
      </c>
      <c r="F81" s="97" t="str">
        <f ca="1">IFERROR(IF(PréstamoNoPagado*PréstamoPagado,Capital,""), "")</f>
        <v/>
      </c>
      <c r="G81" s="97" t="str">
        <f ca="1">IFERROR(IF(PréstamoNoPagado*PréstamoPagado,AmortizaciónInterés,""), "")</f>
        <v/>
      </c>
      <c r="H81" s="97" t="str">
        <f ca="1">IFERROR(IF(PréstamoNoPagado*PréstamoPagado,SaldoFinal,""), "")</f>
        <v/>
      </c>
    </row>
    <row r="82" spans="2:8" ht="20.100000000000001" customHeight="1" x14ac:dyDescent="0.3">
      <c r="B82" s="105" t="str">
        <f ca="1">IFERROR(IF(PréstamoNoPagado*PréstamoPagado,NúmeroDePago,""), "")</f>
        <v/>
      </c>
      <c r="C82" s="96" t="str">
        <f ca="1">IFERROR(IF(PréstamoNoPagado*PréstamoPagado,FechaDePago,""), "")</f>
        <v/>
      </c>
      <c r="D82" s="97" t="str">
        <f ca="1">IFERROR(IF(PréstamoNoPagado*PréstamoPagado,ValorPréstamo,""), "")</f>
        <v/>
      </c>
      <c r="E82" s="97" t="str">
        <f ca="1">IFERROR(IF(PréstamoNoPagado*PréstamoPagado,PagoMensual,""), "")</f>
        <v/>
      </c>
      <c r="F82" s="97" t="str">
        <f ca="1">IFERROR(IF(PréstamoNoPagado*PréstamoPagado,Capital,""), "")</f>
        <v/>
      </c>
      <c r="G82" s="97" t="str">
        <f ca="1">IFERROR(IF(PréstamoNoPagado*PréstamoPagado,AmortizaciónInterés,""), "")</f>
        <v/>
      </c>
      <c r="H82" s="97" t="str">
        <f ca="1">IFERROR(IF(PréstamoNoPagado*PréstamoPagado,SaldoFinal,""), "")</f>
        <v/>
      </c>
    </row>
    <row r="83" spans="2:8" ht="20.100000000000001" customHeight="1" x14ac:dyDescent="0.3">
      <c r="B83" s="105" t="str">
        <f ca="1">IFERROR(IF(PréstamoNoPagado*PréstamoPagado,NúmeroDePago,""), "")</f>
        <v/>
      </c>
      <c r="C83" s="96" t="str">
        <f ca="1">IFERROR(IF(PréstamoNoPagado*PréstamoPagado,FechaDePago,""), "")</f>
        <v/>
      </c>
      <c r="D83" s="97" t="str">
        <f ca="1">IFERROR(IF(PréstamoNoPagado*PréstamoPagado,ValorPréstamo,""), "")</f>
        <v/>
      </c>
      <c r="E83" s="97" t="str">
        <f ca="1">IFERROR(IF(PréstamoNoPagado*PréstamoPagado,PagoMensual,""), "")</f>
        <v/>
      </c>
      <c r="F83" s="97" t="str">
        <f ca="1">IFERROR(IF(PréstamoNoPagado*PréstamoPagado,Capital,""), "")</f>
        <v/>
      </c>
      <c r="G83" s="97" t="str">
        <f ca="1">IFERROR(IF(PréstamoNoPagado*PréstamoPagado,AmortizaciónInterés,""), "")</f>
        <v/>
      </c>
      <c r="H83" s="97" t="str">
        <f ca="1">IFERROR(IF(PréstamoNoPagado*PréstamoPagado,SaldoFinal,""), "")</f>
        <v/>
      </c>
    </row>
    <row r="84" spans="2:8" ht="20.100000000000001" customHeight="1" x14ac:dyDescent="0.3">
      <c r="B84" s="105" t="str">
        <f ca="1">IFERROR(IF(PréstamoNoPagado*PréstamoPagado,NúmeroDePago,""), "")</f>
        <v/>
      </c>
      <c r="C84" s="96" t="str">
        <f ca="1">IFERROR(IF(PréstamoNoPagado*PréstamoPagado,FechaDePago,""), "")</f>
        <v/>
      </c>
      <c r="D84" s="97" t="str">
        <f ca="1">IFERROR(IF(PréstamoNoPagado*PréstamoPagado,ValorPréstamo,""), "")</f>
        <v/>
      </c>
      <c r="E84" s="97" t="str">
        <f ca="1">IFERROR(IF(PréstamoNoPagado*PréstamoPagado,PagoMensual,""), "")</f>
        <v/>
      </c>
      <c r="F84" s="97" t="str">
        <f ca="1">IFERROR(IF(PréstamoNoPagado*PréstamoPagado,Capital,""), "")</f>
        <v/>
      </c>
      <c r="G84" s="97" t="str">
        <f ca="1">IFERROR(IF(PréstamoNoPagado*PréstamoPagado,AmortizaciónInterés,""), "")</f>
        <v/>
      </c>
      <c r="H84" s="97" t="str">
        <f ca="1">IFERROR(IF(PréstamoNoPagado*PréstamoPagado,SaldoFinal,""), "")</f>
        <v/>
      </c>
    </row>
    <row r="85" spans="2:8" ht="20.100000000000001" customHeight="1" x14ac:dyDescent="0.3">
      <c r="B85" s="105" t="str">
        <f ca="1">IFERROR(IF(PréstamoNoPagado*PréstamoPagado,NúmeroDePago,""), "")</f>
        <v/>
      </c>
      <c r="C85" s="96" t="str">
        <f ca="1">IFERROR(IF(PréstamoNoPagado*PréstamoPagado,FechaDePago,""), "")</f>
        <v/>
      </c>
      <c r="D85" s="97" t="str">
        <f ca="1">IFERROR(IF(PréstamoNoPagado*PréstamoPagado,ValorPréstamo,""), "")</f>
        <v/>
      </c>
      <c r="E85" s="97" t="str">
        <f ca="1">IFERROR(IF(PréstamoNoPagado*PréstamoPagado,PagoMensual,""), "")</f>
        <v/>
      </c>
      <c r="F85" s="97" t="str">
        <f ca="1">IFERROR(IF(PréstamoNoPagado*PréstamoPagado,Capital,""), "")</f>
        <v/>
      </c>
      <c r="G85" s="97" t="str">
        <f ca="1">IFERROR(IF(PréstamoNoPagado*PréstamoPagado,AmortizaciónInterés,""), "")</f>
        <v/>
      </c>
      <c r="H85" s="97" t="str">
        <f ca="1">IFERROR(IF(PréstamoNoPagado*PréstamoPagado,SaldoFinal,""), "")</f>
        <v/>
      </c>
    </row>
    <row r="86" spans="2:8" ht="20.100000000000001" customHeight="1" x14ac:dyDescent="0.3">
      <c r="B86" s="105" t="str">
        <f ca="1">IFERROR(IF(PréstamoNoPagado*PréstamoPagado,NúmeroDePago,""), "")</f>
        <v/>
      </c>
      <c r="C86" s="96" t="str">
        <f ca="1">IFERROR(IF(PréstamoNoPagado*PréstamoPagado,FechaDePago,""), "")</f>
        <v/>
      </c>
      <c r="D86" s="97" t="str">
        <f ca="1">IFERROR(IF(PréstamoNoPagado*PréstamoPagado,ValorPréstamo,""), "")</f>
        <v/>
      </c>
      <c r="E86" s="97" t="str">
        <f ca="1">IFERROR(IF(PréstamoNoPagado*PréstamoPagado,PagoMensual,""), "")</f>
        <v/>
      </c>
      <c r="F86" s="97" t="str">
        <f ca="1">IFERROR(IF(PréstamoNoPagado*PréstamoPagado,Capital,""), "")</f>
        <v/>
      </c>
      <c r="G86" s="97" t="str">
        <f ca="1">IFERROR(IF(PréstamoNoPagado*PréstamoPagado,AmortizaciónInterés,""), "")</f>
        <v/>
      </c>
      <c r="H86" s="97" t="str">
        <f ca="1">IFERROR(IF(PréstamoNoPagado*PréstamoPagado,SaldoFinal,""), "")</f>
        <v/>
      </c>
    </row>
    <row r="87" spans="2:8" ht="20.100000000000001" customHeight="1" x14ac:dyDescent="0.3">
      <c r="B87" s="105" t="str">
        <f ca="1">IFERROR(IF(PréstamoNoPagado*PréstamoPagado,NúmeroDePago,""), "")</f>
        <v/>
      </c>
      <c r="C87" s="96" t="str">
        <f ca="1">IFERROR(IF(PréstamoNoPagado*PréstamoPagado,FechaDePago,""), "")</f>
        <v/>
      </c>
      <c r="D87" s="97" t="str">
        <f ca="1">IFERROR(IF(PréstamoNoPagado*PréstamoPagado,ValorPréstamo,""), "")</f>
        <v/>
      </c>
      <c r="E87" s="97" t="str">
        <f ca="1">IFERROR(IF(PréstamoNoPagado*PréstamoPagado,PagoMensual,""), "")</f>
        <v/>
      </c>
      <c r="F87" s="97" t="str">
        <f ca="1">IFERROR(IF(PréstamoNoPagado*PréstamoPagado,Capital,""), "")</f>
        <v/>
      </c>
      <c r="G87" s="97" t="str">
        <f ca="1">IFERROR(IF(PréstamoNoPagado*PréstamoPagado,AmortizaciónInterés,""), "")</f>
        <v/>
      </c>
      <c r="H87" s="97" t="str">
        <f ca="1">IFERROR(IF(PréstamoNoPagado*PréstamoPagado,SaldoFinal,""), "")</f>
        <v/>
      </c>
    </row>
    <row r="88" spans="2:8" ht="20.100000000000001" customHeight="1" x14ac:dyDescent="0.3">
      <c r="B88" s="105" t="str">
        <f ca="1">IFERROR(IF(PréstamoNoPagado*PréstamoPagado,NúmeroDePago,""), "")</f>
        <v/>
      </c>
      <c r="C88" s="96" t="str">
        <f ca="1">IFERROR(IF(PréstamoNoPagado*PréstamoPagado,FechaDePago,""), "")</f>
        <v/>
      </c>
      <c r="D88" s="97" t="str">
        <f ca="1">IFERROR(IF(PréstamoNoPagado*PréstamoPagado,ValorPréstamo,""), "")</f>
        <v/>
      </c>
      <c r="E88" s="97" t="str">
        <f ca="1">IFERROR(IF(PréstamoNoPagado*PréstamoPagado,PagoMensual,""), "")</f>
        <v/>
      </c>
      <c r="F88" s="97" t="str">
        <f ca="1">IFERROR(IF(PréstamoNoPagado*PréstamoPagado,Capital,""), "")</f>
        <v/>
      </c>
      <c r="G88" s="97" t="str">
        <f ca="1">IFERROR(IF(PréstamoNoPagado*PréstamoPagado,AmortizaciónInterés,""), "")</f>
        <v/>
      </c>
      <c r="H88" s="97" t="str">
        <f ca="1">IFERROR(IF(PréstamoNoPagado*PréstamoPagado,SaldoFinal,""), "")</f>
        <v/>
      </c>
    </row>
    <row r="89" spans="2:8" ht="20.100000000000001" customHeight="1" x14ac:dyDescent="0.3">
      <c r="B89" s="105" t="str">
        <f ca="1">IFERROR(IF(PréstamoNoPagado*PréstamoPagado,NúmeroDePago,""), "")</f>
        <v/>
      </c>
      <c r="C89" s="96" t="str">
        <f ca="1">IFERROR(IF(PréstamoNoPagado*PréstamoPagado,FechaDePago,""), "")</f>
        <v/>
      </c>
      <c r="D89" s="97" t="str">
        <f ca="1">IFERROR(IF(PréstamoNoPagado*PréstamoPagado,ValorPréstamo,""), "")</f>
        <v/>
      </c>
      <c r="E89" s="97" t="str">
        <f ca="1">IFERROR(IF(PréstamoNoPagado*PréstamoPagado,PagoMensual,""), "")</f>
        <v/>
      </c>
      <c r="F89" s="97" t="str">
        <f ca="1">IFERROR(IF(PréstamoNoPagado*PréstamoPagado,Capital,""), "")</f>
        <v/>
      </c>
      <c r="G89" s="97" t="str">
        <f ca="1">IFERROR(IF(PréstamoNoPagado*PréstamoPagado,AmortizaciónInterés,""), "")</f>
        <v/>
      </c>
      <c r="H89" s="97" t="str">
        <f ca="1">IFERROR(IF(PréstamoNoPagado*PréstamoPagado,SaldoFinal,""), "")</f>
        <v/>
      </c>
    </row>
    <row r="90" spans="2:8" ht="20.100000000000001" customHeight="1" x14ac:dyDescent="0.3">
      <c r="B90" s="105" t="str">
        <f ca="1">IFERROR(IF(PréstamoNoPagado*PréstamoPagado,NúmeroDePago,""), "")</f>
        <v/>
      </c>
      <c r="C90" s="96" t="str">
        <f ca="1">IFERROR(IF(PréstamoNoPagado*PréstamoPagado,FechaDePago,""), "")</f>
        <v/>
      </c>
      <c r="D90" s="97" t="str">
        <f ca="1">IFERROR(IF(PréstamoNoPagado*PréstamoPagado,ValorPréstamo,""), "")</f>
        <v/>
      </c>
      <c r="E90" s="97" t="str">
        <f ca="1">IFERROR(IF(PréstamoNoPagado*PréstamoPagado,PagoMensual,""), "")</f>
        <v/>
      </c>
      <c r="F90" s="97" t="str">
        <f ca="1">IFERROR(IF(PréstamoNoPagado*PréstamoPagado,Capital,""), "")</f>
        <v/>
      </c>
      <c r="G90" s="97" t="str">
        <f ca="1">IFERROR(IF(PréstamoNoPagado*PréstamoPagado,AmortizaciónInterés,""), "")</f>
        <v/>
      </c>
      <c r="H90" s="97" t="str">
        <f ca="1">IFERROR(IF(PréstamoNoPagado*PréstamoPagado,SaldoFinal,""), "")</f>
        <v/>
      </c>
    </row>
    <row r="91" spans="2:8" ht="20.100000000000001" customHeight="1" x14ac:dyDescent="0.3">
      <c r="B91" s="105" t="str">
        <f ca="1">IFERROR(IF(PréstamoNoPagado*PréstamoPagado,NúmeroDePago,""), "")</f>
        <v/>
      </c>
      <c r="C91" s="96" t="str">
        <f ca="1">IFERROR(IF(PréstamoNoPagado*PréstamoPagado,FechaDePago,""), "")</f>
        <v/>
      </c>
      <c r="D91" s="97" t="str">
        <f ca="1">IFERROR(IF(PréstamoNoPagado*PréstamoPagado,ValorPréstamo,""), "")</f>
        <v/>
      </c>
      <c r="E91" s="97" t="str">
        <f ca="1">IFERROR(IF(PréstamoNoPagado*PréstamoPagado,PagoMensual,""), "")</f>
        <v/>
      </c>
      <c r="F91" s="97" t="str">
        <f ca="1">IFERROR(IF(PréstamoNoPagado*PréstamoPagado,Capital,""), "")</f>
        <v/>
      </c>
      <c r="G91" s="97" t="str">
        <f ca="1">IFERROR(IF(PréstamoNoPagado*PréstamoPagado,AmortizaciónInterés,""), "")</f>
        <v/>
      </c>
      <c r="H91" s="97" t="str">
        <f ca="1">IFERROR(IF(PréstamoNoPagado*PréstamoPagado,SaldoFinal,""), "")</f>
        <v/>
      </c>
    </row>
    <row r="92" spans="2:8" ht="20.100000000000001" customHeight="1" x14ac:dyDescent="0.3">
      <c r="B92" s="105" t="str">
        <f ca="1">IFERROR(IF(PréstamoNoPagado*PréstamoPagado,NúmeroDePago,""), "")</f>
        <v/>
      </c>
      <c r="C92" s="96" t="str">
        <f ca="1">IFERROR(IF(PréstamoNoPagado*PréstamoPagado,FechaDePago,""), "")</f>
        <v/>
      </c>
      <c r="D92" s="97" t="str">
        <f ca="1">IFERROR(IF(PréstamoNoPagado*PréstamoPagado,ValorPréstamo,""), "")</f>
        <v/>
      </c>
      <c r="E92" s="97" t="str">
        <f ca="1">IFERROR(IF(PréstamoNoPagado*PréstamoPagado,PagoMensual,""), "")</f>
        <v/>
      </c>
      <c r="F92" s="97" t="str">
        <f ca="1">IFERROR(IF(PréstamoNoPagado*PréstamoPagado,Capital,""), "")</f>
        <v/>
      </c>
      <c r="G92" s="97" t="str">
        <f ca="1">IFERROR(IF(PréstamoNoPagado*PréstamoPagado,AmortizaciónInterés,""), "")</f>
        <v/>
      </c>
      <c r="H92" s="97" t="str">
        <f ca="1">IFERROR(IF(PréstamoNoPagado*PréstamoPagado,SaldoFinal,""), "")</f>
        <v/>
      </c>
    </row>
    <row r="93" spans="2:8" ht="20.100000000000001" customHeight="1" x14ac:dyDescent="0.3">
      <c r="B93" s="105" t="str">
        <f ca="1">IFERROR(IF(PréstamoNoPagado*PréstamoPagado,NúmeroDePago,""), "")</f>
        <v/>
      </c>
      <c r="C93" s="96" t="str">
        <f ca="1">IFERROR(IF(PréstamoNoPagado*PréstamoPagado,FechaDePago,""), "")</f>
        <v/>
      </c>
      <c r="D93" s="97" t="str">
        <f ca="1">IFERROR(IF(PréstamoNoPagado*PréstamoPagado,ValorPréstamo,""), "")</f>
        <v/>
      </c>
      <c r="E93" s="97" t="str">
        <f ca="1">IFERROR(IF(PréstamoNoPagado*PréstamoPagado,PagoMensual,""), "")</f>
        <v/>
      </c>
      <c r="F93" s="97" t="str">
        <f ca="1">IFERROR(IF(PréstamoNoPagado*PréstamoPagado,Capital,""), "")</f>
        <v/>
      </c>
      <c r="G93" s="97" t="str">
        <f ca="1">IFERROR(IF(PréstamoNoPagado*PréstamoPagado,AmortizaciónInterés,""), "")</f>
        <v/>
      </c>
      <c r="H93" s="97" t="str">
        <f ca="1">IFERROR(IF(PréstamoNoPagado*PréstamoPagado,SaldoFinal,""), "")</f>
        <v/>
      </c>
    </row>
    <row r="94" spans="2:8" ht="20.100000000000001" customHeight="1" x14ac:dyDescent="0.3">
      <c r="B94" s="105" t="str">
        <f ca="1">IFERROR(IF(PréstamoNoPagado*PréstamoPagado,NúmeroDePago,""), "")</f>
        <v/>
      </c>
      <c r="C94" s="96" t="str">
        <f ca="1">IFERROR(IF(PréstamoNoPagado*PréstamoPagado,FechaDePago,""), "")</f>
        <v/>
      </c>
      <c r="D94" s="97" t="str">
        <f ca="1">IFERROR(IF(PréstamoNoPagado*PréstamoPagado,ValorPréstamo,""), "")</f>
        <v/>
      </c>
      <c r="E94" s="97" t="str">
        <f ca="1">IFERROR(IF(PréstamoNoPagado*PréstamoPagado,PagoMensual,""), "")</f>
        <v/>
      </c>
      <c r="F94" s="97" t="str">
        <f ca="1">IFERROR(IF(PréstamoNoPagado*PréstamoPagado,Capital,""), "")</f>
        <v/>
      </c>
      <c r="G94" s="97" t="str">
        <f ca="1">IFERROR(IF(PréstamoNoPagado*PréstamoPagado,AmortizaciónInterés,""), "")</f>
        <v/>
      </c>
      <c r="H94" s="97" t="str">
        <f ca="1">IFERROR(IF(PréstamoNoPagado*PréstamoPagado,SaldoFinal,""), "")</f>
        <v/>
      </c>
    </row>
    <row r="95" spans="2:8" ht="20.100000000000001" customHeight="1" x14ac:dyDescent="0.3">
      <c r="B95" s="105" t="str">
        <f ca="1">IFERROR(IF(PréstamoNoPagado*PréstamoPagado,NúmeroDePago,""), "")</f>
        <v/>
      </c>
      <c r="C95" s="96" t="str">
        <f ca="1">IFERROR(IF(PréstamoNoPagado*PréstamoPagado,FechaDePago,""), "")</f>
        <v/>
      </c>
      <c r="D95" s="97" t="str">
        <f ca="1">IFERROR(IF(PréstamoNoPagado*PréstamoPagado,ValorPréstamo,""), "")</f>
        <v/>
      </c>
      <c r="E95" s="97" t="str">
        <f ca="1">IFERROR(IF(PréstamoNoPagado*PréstamoPagado,PagoMensual,""), "")</f>
        <v/>
      </c>
      <c r="F95" s="97" t="str">
        <f ca="1">IFERROR(IF(PréstamoNoPagado*PréstamoPagado,Capital,""), "")</f>
        <v/>
      </c>
      <c r="G95" s="97" t="str">
        <f ca="1">IFERROR(IF(PréstamoNoPagado*PréstamoPagado,AmortizaciónInterés,""), "")</f>
        <v/>
      </c>
      <c r="H95" s="97" t="str">
        <f ca="1">IFERROR(IF(PréstamoNoPagado*PréstamoPagado,SaldoFinal,""), "")</f>
        <v/>
      </c>
    </row>
    <row r="96" spans="2:8" ht="20.100000000000001" customHeight="1" x14ac:dyDescent="0.3">
      <c r="B96" s="105" t="str">
        <f ca="1">IFERROR(IF(PréstamoNoPagado*PréstamoPagado,NúmeroDePago,""), "")</f>
        <v/>
      </c>
      <c r="C96" s="96" t="str">
        <f ca="1">IFERROR(IF(PréstamoNoPagado*PréstamoPagado,FechaDePago,""), "")</f>
        <v/>
      </c>
      <c r="D96" s="97" t="str">
        <f ca="1">IFERROR(IF(PréstamoNoPagado*PréstamoPagado,ValorPréstamo,""), "")</f>
        <v/>
      </c>
      <c r="E96" s="97" t="str">
        <f ca="1">IFERROR(IF(PréstamoNoPagado*PréstamoPagado,PagoMensual,""), "")</f>
        <v/>
      </c>
      <c r="F96" s="97" t="str">
        <f ca="1">IFERROR(IF(PréstamoNoPagado*PréstamoPagado,Capital,""), "")</f>
        <v/>
      </c>
      <c r="G96" s="97" t="str">
        <f ca="1">IFERROR(IF(PréstamoNoPagado*PréstamoPagado,AmortizaciónInterés,""), "")</f>
        <v/>
      </c>
      <c r="H96" s="97" t="str">
        <f ca="1">IFERROR(IF(PréstamoNoPagado*PréstamoPagado,SaldoFinal,""), "")</f>
        <v/>
      </c>
    </row>
    <row r="97" spans="2:8" ht="20.100000000000001" customHeight="1" x14ac:dyDescent="0.3">
      <c r="B97" s="105" t="str">
        <f ca="1">IFERROR(IF(PréstamoNoPagado*PréstamoPagado,NúmeroDePago,""), "")</f>
        <v/>
      </c>
      <c r="C97" s="96" t="str">
        <f ca="1">IFERROR(IF(PréstamoNoPagado*PréstamoPagado,FechaDePago,""), "")</f>
        <v/>
      </c>
      <c r="D97" s="97" t="str">
        <f ca="1">IFERROR(IF(PréstamoNoPagado*PréstamoPagado,ValorPréstamo,""), "")</f>
        <v/>
      </c>
      <c r="E97" s="97" t="str">
        <f ca="1">IFERROR(IF(PréstamoNoPagado*PréstamoPagado,PagoMensual,""), "")</f>
        <v/>
      </c>
      <c r="F97" s="97" t="str">
        <f ca="1">IFERROR(IF(PréstamoNoPagado*PréstamoPagado,Capital,""), "")</f>
        <v/>
      </c>
      <c r="G97" s="97" t="str">
        <f ca="1">IFERROR(IF(PréstamoNoPagado*PréstamoPagado,AmortizaciónInterés,""), "")</f>
        <v/>
      </c>
      <c r="H97" s="97" t="str">
        <f ca="1">IFERROR(IF(PréstamoNoPagado*PréstamoPagado,SaldoFinal,""), "")</f>
        <v/>
      </c>
    </row>
    <row r="98" spans="2:8" ht="20.100000000000001" customHeight="1" x14ac:dyDescent="0.3">
      <c r="B98" s="105" t="str">
        <f ca="1">IFERROR(IF(PréstamoNoPagado*PréstamoPagado,NúmeroDePago,""), "")</f>
        <v/>
      </c>
      <c r="C98" s="96" t="str">
        <f ca="1">IFERROR(IF(PréstamoNoPagado*PréstamoPagado,FechaDePago,""), "")</f>
        <v/>
      </c>
      <c r="D98" s="97" t="str">
        <f ca="1">IFERROR(IF(PréstamoNoPagado*PréstamoPagado,ValorPréstamo,""), "")</f>
        <v/>
      </c>
      <c r="E98" s="97" t="str">
        <f ca="1">IFERROR(IF(PréstamoNoPagado*PréstamoPagado,PagoMensual,""), "")</f>
        <v/>
      </c>
      <c r="F98" s="97" t="str">
        <f ca="1">IFERROR(IF(PréstamoNoPagado*PréstamoPagado,Capital,""), "")</f>
        <v/>
      </c>
      <c r="G98" s="97" t="str">
        <f ca="1">IFERROR(IF(PréstamoNoPagado*PréstamoPagado,AmortizaciónInterés,""), "")</f>
        <v/>
      </c>
      <c r="H98" s="97" t="str">
        <f ca="1">IFERROR(IF(PréstamoNoPagado*PréstamoPagado,SaldoFinal,""), "")</f>
        <v/>
      </c>
    </row>
    <row r="99" spans="2:8" ht="20.100000000000001" customHeight="1" x14ac:dyDescent="0.3">
      <c r="B99" s="105" t="str">
        <f ca="1">IFERROR(IF(PréstamoNoPagado*PréstamoPagado,NúmeroDePago,""), "")</f>
        <v/>
      </c>
      <c r="C99" s="96" t="str">
        <f ca="1">IFERROR(IF(PréstamoNoPagado*PréstamoPagado,FechaDePago,""), "")</f>
        <v/>
      </c>
      <c r="D99" s="97" t="str">
        <f ca="1">IFERROR(IF(PréstamoNoPagado*PréstamoPagado,ValorPréstamo,""), "")</f>
        <v/>
      </c>
      <c r="E99" s="97" t="str">
        <f ca="1">IFERROR(IF(PréstamoNoPagado*PréstamoPagado,PagoMensual,""), "")</f>
        <v/>
      </c>
      <c r="F99" s="97" t="str">
        <f ca="1">IFERROR(IF(PréstamoNoPagado*PréstamoPagado,Capital,""), "")</f>
        <v/>
      </c>
      <c r="G99" s="97" t="str">
        <f ca="1">IFERROR(IF(PréstamoNoPagado*PréstamoPagado,AmortizaciónInterés,""), "")</f>
        <v/>
      </c>
      <c r="H99" s="97" t="str">
        <f ca="1">IFERROR(IF(PréstamoNoPagado*PréstamoPagado,SaldoFinal,""), "")</f>
        <v/>
      </c>
    </row>
    <row r="100" spans="2:8" ht="20.100000000000001" customHeight="1" x14ac:dyDescent="0.3">
      <c r="B100" s="105" t="str">
        <f ca="1">IFERROR(IF(PréstamoNoPagado*PréstamoPagado,NúmeroDePago,""), "")</f>
        <v/>
      </c>
      <c r="C100" s="96" t="str">
        <f ca="1">IFERROR(IF(PréstamoNoPagado*PréstamoPagado,FechaDePago,""), "")</f>
        <v/>
      </c>
      <c r="D100" s="97" t="str">
        <f ca="1">IFERROR(IF(PréstamoNoPagado*PréstamoPagado,ValorPréstamo,""), "")</f>
        <v/>
      </c>
      <c r="E100" s="97" t="str">
        <f ca="1">IFERROR(IF(PréstamoNoPagado*PréstamoPagado,PagoMensual,""), "")</f>
        <v/>
      </c>
      <c r="F100" s="97" t="str">
        <f ca="1">IFERROR(IF(PréstamoNoPagado*PréstamoPagado,Capital,""), "")</f>
        <v/>
      </c>
      <c r="G100" s="97" t="str">
        <f ca="1">IFERROR(IF(PréstamoNoPagado*PréstamoPagado,AmortizaciónInterés,""), "")</f>
        <v/>
      </c>
      <c r="H100" s="97" t="str">
        <f ca="1">IFERROR(IF(PréstamoNoPagado*PréstamoPagado,SaldoFinal,""), "")</f>
        <v/>
      </c>
    </row>
    <row r="101" spans="2:8" ht="20.100000000000001" customHeight="1" x14ac:dyDescent="0.3">
      <c r="B101" s="105" t="str">
        <f ca="1">IFERROR(IF(PréstamoNoPagado*PréstamoPagado,NúmeroDePago,""), "")</f>
        <v/>
      </c>
      <c r="C101" s="96" t="str">
        <f ca="1">IFERROR(IF(PréstamoNoPagado*PréstamoPagado,FechaDePago,""), "")</f>
        <v/>
      </c>
      <c r="D101" s="97" t="str">
        <f ca="1">IFERROR(IF(PréstamoNoPagado*PréstamoPagado,ValorPréstamo,""), "")</f>
        <v/>
      </c>
      <c r="E101" s="97" t="str">
        <f ca="1">IFERROR(IF(PréstamoNoPagado*PréstamoPagado,PagoMensual,""), "")</f>
        <v/>
      </c>
      <c r="F101" s="97" t="str">
        <f ca="1">IFERROR(IF(PréstamoNoPagado*PréstamoPagado,Capital,""), "")</f>
        <v/>
      </c>
      <c r="G101" s="97" t="str">
        <f ca="1">IFERROR(IF(PréstamoNoPagado*PréstamoPagado,AmortizaciónInterés,""), "")</f>
        <v/>
      </c>
      <c r="H101" s="97" t="str">
        <f ca="1">IFERROR(IF(PréstamoNoPagado*PréstamoPagado,SaldoFinal,""), "")</f>
        <v/>
      </c>
    </row>
    <row r="102" spans="2:8" ht="20.100000000000001" customHeight="1" x14ac:dyDescent="0.3">
      <c r="B102" s="105" t="str">
        <f ca="1">IFERROR(IF(PréstamoNoPagado*PréstamoPagado,NúmeroDePago,""), "")</f>
        <v/>
      </c>
      <c r="C102" s="96" t="str">
        <f ca="1">IFERROR(IF(PréstamoNoPagado*PréstamoPagado,FechaDePago,""), "")</f>
        <v/>
      </c>
      <c r="D102" s="97" t="str">
        <f ca="1">IFERROR(IF(PréstamoNoPagado*PréstamoPagado,ValorPréstamo,""), "")</f>
        <v/>
      </c>
      <c r="E102" s="97" t="str">
        <f ca="1">IFERROR(IF(PréstamoNoPagado*PréstamoPagado,PagoMensual,""), "")</f>
        <v/>
      </c>
      <c r="F102" s="97" t="str">
        <f ca="1">IFERROR(IF(PréstamoNoPagado*PréstamoPagado,Capital,""), "")</f>
        <v/>
      </c>
      <c r="G102" s="97" t="str">
        <f ca="1">IFERROR(IF(PréstamoNoPagado*PréstamoPagado,AmortizaciónInterés,""), "")</f>
        <v/>
      </c>
      <c r="H102" s="97" t="str">
        <f ca="1">IFERROR(IF(PréstamoNoPagado*PréstamoPagado,SaldoFinal,""), "")</f>
        <v/>
      </c>
    </row>
    <row r="103" spans="2:8" ht="20.100000000000001" customHeight="1" x14ac:dyDescent="0.3">
      <c r="B103" s="105" t="str">
        <f ca="1">IFERROR(IF(PréstamoNoPagado*PréstamoPagado,NúmeroDePago,""), "")</f>
        <v/>
      </c>
      <c r="C103" s="96" t="str">
        <f ca="1">IFERROR(IF(PréstamoNoPagado*PréstamoPagado,FechaDePago,""), "")</f>
        <v/>
      </c>
      <c r="D103" s="97" t="str">
        <f ca="1">IFERROR(IF(PréstamoNoPagado*PréstamoPagado,ValorPréstamo,""), "")</f>
        <v/>
      </c>
      <c r="E103" s="97" t="str">
        <f ca="1">IFERROR(IF(PréstamoNoPagado*PréstamoPagado,PagoMensual,""), "")</f>
        <v/>
      </c>
      <c r="F103" s="97" t="str">
        <f ca="1">IFERROR(IF(PréstamoNoPagado*PréstamoPagado,Capital,""), "")</f>
        <v/>
      </c>
      <c r="G103" s="97" t="str">
        <f ca="1">IFERROR(IF(PréstamoNoPagado*PréstamoPagado,AmortizaciónInterés,""), "")</f>
        <v/>
      </c>
      <c r="H103" s="97" t="str">
        <f ca="1">IFERROR(IF(PréstamoNoPagado*PréstamoPagado,SaldoFinal,""), "")</f>
        <v/>
      </c>
    </row>
    <row r="104" spans="2:8" ht="20.100000000000001" customHeight="1" x14ac:dyDescent="0.3">
      <c r="B104" s="105" t="str">
        <f ca="1">IFERROR(IF(PréstamoNoPagado*PréstamoPagado,NúmeroDePago,""), "")</f>
        <v/>
      </c>
      <c r="C104" s="96" t="str">
        <f ca="1">IFERROR(IF(PréstamoNoPagado*PréstamoPagado,FechaDePago,""), "")</f>
        <v/>
      </c>
      <c r="D104" s="97" t="str">
        <f ca="1">IFERROR(IF(PréstamoNoPagado*PréstamoPagado,ValorPréstamo,""), "")</f>
        <v/>
      </c>
      <c r="E104" s="97" t="str">
        <f ca="1">IFERROR(IF(PréstamoNoPagado*PréstamoPagado,PagoMensual,""), "")</f>
        <v/>
      </c>
      <c r="F104" s="97" t="str">
        <f ca="1">IFERROR(IF(PréstamoNoPagado*PréstamoPagado,Capital,""), "")</f>
        <v/>
      </c>
      <c r="G104" s="97" t="str">
        <f ca="1">IFERROR(IF(PréstamoNoPagado*PréstamoPagado,AmortizaciónInterés,""), "")</f>
        <v/>
      </c>
      <c r="H104" s="97" t="str">
        <f ca="1">IFERROR(IF(PréstamoNoPagado*PréstamoPagado,SaldoFinal,""), "")</f>
        <v/>
      </c>
    </row>
    <row r="105" spans="2:8" ht="20.100000000000001" customHeight="1" x14ac:dyDescent="0.3">
      <c r="B105" s="105" t="str">
        <f ca="1">IFERROR(IF(PréstamoNoPagado*PréstamoPagado,NúmeroDePago,""), "")</f>
        <v/>
      </c>
      <c r="C105" s="96" t="str">
        <f ca="1">IFERROR(IF(PréstamoNoPagado*PréstamoPagado,FechaDePago,""), "")</f>
        <v/>
      </c>
      <c r="D105" s="97" t="str">
        <f ca="1">IFERROR(IF(PréstamoNoPagado*PréstamoPagado,ValorPréstamo,""), "")</f>
        <v/>
      </c>
      <c r="E105" s="97" t="str">
        <f ca="1">IFERROR(IF(PréstamoNoPagado*PréstamoPagado,PagoMensual,""), "")</f>
        <v/>
      </c>
      <c r="F105" s="97" t="str">
        <f ca="1">IFERROR(IF(PréstamoNoPagado*PréstamoPagado,Capital,""), "")</f>
        <v/>
      </c>
      <c r="G105" s="97" t="str">
        <f ca="1">IFERROR(IF(PréstamoNoPagado*PréstamoPagado,AmortizaciónInterés,""), "")</f>
        <v/>
      </c>
      <c r="H105" s="97" t="str">
        <f ca="1">IFERROR(IF(PréstamoNoPagado*PréstamoPagado,SaldoFinal,""), "")</f>
        <v/>
      </c>
    </row>
    <row r="106" spans="2:8" ht="20.100000000000001" customHeight="1" x14ac:dyDescent="0.3">
      <c r="B106" s="105" t="str">
        <f ca="1">IFERROR(IF(PréstamoNoPagado*PréstamoPagado,NúmeroDePago,""), "")</f>
        <v/>
      </c>
      <c r="C106" s="96" t="str">
        <f ca="1">IFERROR(IF(PréstamoNoPagado*PréstamoPagado,FechaDePago,""), "")</f>
        <v/>
      </c>
      <c r="D106" s="97" t="str">
        <f ca="1">IFERROR(IF(PréstamoNoPagado*PréstamoPagado,ValorPréstamo,""), "")</f>
        <v/>
      </c>
      <c r="E106" s="97" t="str">
        <f ca="1">IFERROR(IF(PréstamoNoPagado*PréstamoPagado,PagoMensual,""), "")</f>
        <v/>
      </c>
      <c r="F106" s="97" t="str">
        <f ca="1">IFERROR(IF(PréstamoNoPagado*PréstamoPagado,Capital,""), "")</f>
        <v/>
      </c>
      <c r="G106" s="97" t="str">
        <f ca="1">IFERROR(IF(PréstamoNoPagado*PréstamoPagado,AmortizaciónInterés,""), "")</f>
        <v/>
      </c>
      <c r="H106" s="97" t="str">
        <f ca="1">IFERROR(IF(PréstamoNoPagado*PréstamoPagado,SaldoFinal,""), "")</f>
        <v/>
      </c>
    </row>
    <row r="107" spans="2:8" ht="20.100000000000001" customHeight="1" x14ac:dyDescent="0.3">
      <c r="B107" s="105" t="str">
        <f ca="1">IFERROR(IF(PréstamoNoPagado*PréstamoPagado,NúmeroDePago,""), "")</f>
        <v/>
      </c>
      <c r="C107" s="96" t="str">
        <f ca="1">IFERROR(IF(PréstamoNoPagado*PréstamoPagado,FechaDePago,""), "")</f>
        <v/>
      </c>
      <c r="D107" s="97" t="str">
        <f ca="1">IFERROR(IF(PréstamoNoPagado*PréstamoPagado,ValorPréstamo,""), "")</f>
        <v/>
      </c>
      <c r="E107" s="97" t="str">
        <f ca="1">IFERROR(IF(PréstamoNoPagado*PréstamoPagado,PagoMensual,""), "")</f>
        <v/>
      </c>
      <c r="F107" s="97" t="str">
        <f ca="1">IFERROR(IF(PréstamoNoPagado*PréstamoPagado,Capital,""), "")</f>
        <v/>
      </c>
      <c r="G107" s="97" t="str">
        <f ca="1">IFERROR(IF(PréstamoNoPagado*PréstamoPagado,AmortizaciónInterés,""), "")</f>
        <v/>
      </c>
      <c r="H107" s="97" t="str">
        <f ca="1">IFERROR(IF(PréstamoNoPagado*PréstamoPagado,SaldoFinal,""), "")</f>
        <v/>
      </c>
    </row>
    <row r="108" spans="2:8" ht="20.100000000000001" customHeight="1" x14ac:dyDescent="0.3">
      <c r="B108" s="105" t="str">
        <f ca="1">IFERROR(IF(PréstamoNoPagado*PréstamoPagado,NúmeroDePago,""), "")</f>
        <v/>
      </c>
      <c r="C108" s="96" t="str">
        <f ca="1">IFERROR(IF(PréstamoNoPagado*PréstamoPagado,FechaDePago,""), "")</f>
        <v/>
      </c>
      <c r="D108" s="97" t="str">
        <f ca="1">IFERROR(IF(PréstamoNoPagado*PréstamoPagado,ValorPréstamo,""), "")</f>
        <v/>
      </c>
      <c r="E108" s="97" t="str">
        <f ca="1">IFERROR(IF(PréstamoNoPagado*PréstamoPagado,PagoMensual,""), "")</f>
        <v/>
      </c>
      <c r="F108" s="97" t="str">
        <f ca="1">IFERROR(IF(PréstamoNoPagado*PréstamoPagado,Capital,""), "")</f>
        <v/>
      </c>
      <c r="G108" s="97" t="str">
        <f ca="1">IFERROR(IF(PréstamoNoPagado*PréstamoPagado,AmortizaciónInterés,""), "")</f>
        <v/>
      </c>
      <c r="H108" s="97" t="str">
        <f ca="1">IFERROR(IF(PréstamoNoPagado*PréstamoPagado,SaldoFinal,""), "")</f>
        <v/>
      </c>
    </row>
    <row r="109" spans="2:8" ht="20.100000000000001" customHeight="1" x14ac:dyDescent="0.3">
      <c r="B109" s="105" t="str">
        <f ca="1">IFERROR(IF(PréstamoNoPagado*PréstamoPagado,NúmeroDePago,""), "")</f>
        <v/>
      </c>
      <c r="C109" s="96" t="str">
        <f ca="1">IFERROR(IF(PréstamoNoPagado*PréstamoPagado,FechaDePago,""), "")</f>
        <v/>
      </c>
      <c r="D109" s="97" t="str">
        <f ca="1">IFERROR(IF(PréstamoNoPagado*PréstamoPagado,ValorPréstamo,""), "")</f>
        <v/>
      </c>
      <c r="E109" s="97" t="str">
        <f ca="1">IFERROR(IF(PréstamoNoPagado*PréstamoPagado,PagoMensual,""), "")</f>
        <v/>
      </c>
      <c r="F109" s="97" t="str">
        <f ca="1">IFERROR(IF(PréstamoNoPagado*PréstamoPagado,Capital,""), "")</f>
        <v/>
      </c>
      <c r="G109" s="97" t="str">
        <f ca="1">IFERROR(IF(PréstamoNoPagado*PréstamoPagado,AmortizaciónInterés,""), "")</f>
        <v/>
      </c>
      <c r="H109" s="97" t="str">
        <f ca="1">IFERROR(IF(PréstamoNoPagado*PréstamoPagado,SaldoFinal,""), "")</f>
        <v/>
      </c>
    </row>
    <row r="110" spans="2:8" ht="20.100000000000001" customHeight="1" x14ac:dyDescent="0.3">
      <c r="B110" s="105" t="str">
        <f ca="1">IFERROR(IF(PréstamoNoPagado*PréstamoPagado,NúmeroDePago,""), "")</f>
        <v/>
      </c>
      <c r="C110" s="96" t="str">
        <f ca="1">IFERROR(IF(PréstamoNoPagado*PréstamoPagado,FechaDePago,""), "")</f>
        <v/>
      </c>
      <c r="D110" s="97" t="str">
        <f ca="1">IFERROR(IF(PréstamoNoPagado*PréstamoPagado,ValorPréstamo,""), "")</f>
        <v/>
      </c>
      <c r="E110" s="97" t="str">
        <f ca="1">IFERROR(IF(PréstamoNoPagado*PréstamoPagado,PagoMensual,""), "")</f>
        <v/>
      </c>
      <c r="F110" s="97" t="str">
        <f ca="1">IFERROR(IF(PréstamoNoPagado*PréstamoPagado,Capital,""), "")</f>
        <v/>
      </c>
      <c r="G110" s="97" t="str">
        <f ca="1">IFERROR(IF(PréstamoNoPagado*PréstamoPagado,AmortizaciónInterés,""), "")</f>
        <v/>
      </c>
      <c r="H110" s="97" t="str">
        <f ca="1">IFERROR(IF(PréstamoNoPagado*PréstamoPagado,SaldoFinal,""), "")</f>
        <v/>
      </c>
    </row>
    <row r="111" spans="2:8" ht="20.100000000000001" customHeight="1" x14ac:dyDescent="0.3">
      <c r="B111" s="105" t="str">
        <f ca="1">IFERROR(IF(PréstamoNoPagado*PréstamoPagado,NúmeroDePago,""), "")</f>
        <v/>
      </c>
      <c r="C111" s="96" t="str">
        <f ca="1">IFERROR(IF(PréstamoNoPagado*PréstamoPagado,FechaDePago,""), "")</f>
        <v/>
      </c>
      <c r="D111" s="97" t="str">
        <f ca="1">IFERROR(IF(PréstamoNoPagado*PréstamoPagado,ValorPréstamo,""), "")</f>
        <v/>
      </c>
      <c r="E111" s="97" t="str">
        <f ca="1">IFERROR(IF(PréstamoNoPagado*PréstamoPagado,PagoMensual,""), "")</f>
        <v/>
      </c>
      <c r="F111" s="97" t="str">
        <f ca="1">IFERROR(IF(PréstamoNoPagado*PréstamoPagado,Capital,""), "")</f>
        <v/>
      </c>
      <c r="G111" s="97" t="str">
        <f ca="1">IFERROR(IF(PréstamoNoPagado*PréstamoPagado,AmortizaciónInterés,""), "")</f>
        <v/>
      </c>
      <c r="H111" s="97" t="str">
        <f ca="1">IFERROR(IF(PréstamoNoPagado*PréstamoPagado,SaldoFinal,""), "")</f>
        <v/>
      </c>
    </row>
    <row r="112" spans="2:8" ht="20.100000000000001" customHeight="1" x14ac:dyDescent="0.3">
      <c r="B112" s="105" t="str">
        <f ca="1">IFERROR(IF(PréstamoNoPagado*PréstamoPagado,NúmeroDePago,""), "")</f>
        <v/>
      </c>
      <c r="C112" s="96" t="str">
        <f ca="1">IFERROR(IF(PréstamoNoPagado*PréstamoPagado,FechaDePago,""), "")</f>
        <v/>
      </c>
      <c r="D112" s="97" t="str">
        <f ca="1">IFERROR(IF(PréstamoNoPagado*PréstamoPagado,ValorPréstamo,""), "")</f>
        <v/>
      </c>
      <c r="E112" s="97" t="str">
        <f ca="1">IFERROR(IF(PréstamoNoPagado*PréstamoPagado,PagoMensual,""), "")</f>
        <v/>
      </c>
      <c r="F112" s="97" t="str">
        <f ca="1">IFERROR(IF(PréstamoNoPagado*PréstamoPagado,Capital,""), "")</f>
        <v/>
      </c>
      <c r="G112" s="97" t="str">
        <f ca="1">IFERROR(IF(PréstamoNoPagado*PréstamoPagado,AmortizaciónInterés,""), "")</f>
        <v/>
      </c>
      <c r="H112" s="97" t="str">
        <f ca="1">IFERROR(IF(PréstamoNoPagado*PréstamoPagado,SaldoFinal,""), "")</f>
        <v/>
      </c>
    </row>
    <row r="113" spans="2:8" ht="20.100000000000001" customHeight="1" x14ac:dyDescent="0.3">
      <c r="B113" s="105" t="str">
        <f ca="1">IFERROR(IF(PréstamoNoPagado*PréstamoPagado,NúmeroDePago,""), "")</f>
        <v/>
      </c>
      <c r="C113" s="96" t="str">
        <f ca="1">IFERROR(IF(PréstamoNoPagado*PréstamoPagado,FechaDePago,""), "")</f>
        <v/>
      </c>
      <c r="D113" s="97" t="str">
        <f ca="1">IFERROR(IF(PréstamoNoPagado*PréstamoPagado,ValorPréstamo,""), "")</f>
        <v/>
      </c>
      <c r="E113" s="97" t="str">
        <f ca="1">IFERROR(IF(PréstamoNoPagado*PréstamoPagado,PagoMensual,""), "")</f>
        <v/>
      </c>
      <c r="F113" s="97" t="str">
        <f ca="1">IFERROR(IF(PréstamoNoPagado*PréstamoPagado,Capital,""), "")</f>
        <v/>
      </c>
      <c r="G113" s="97" t="str">
        <f ca="1">IFERROR(IF(PréstamoNoPagado*PréstamoPagado,AmortizaciónInterés,""), "")</f>
        <v/>
      </c>
      <c r="H113" s="97" t="str">
        <f ca="1">IFERROR(IF(PréstamoNoPagado*PréstamoPagado,SaldoFinal,""), "")</f>
        <v/>
      </c>
    </row>
    <row r="114" spans="2:8" ht="20.100000000000001" customHeight="1" x14ac:dyDescent="0.3">
      <c r="B114" s="105" t="str">
        <f ca="1">IFERROR(IF(PréstamoNoPagado*PréstamoPagado,NúmeroDePago,""), "")</f>
        <v/>
      </c>
      <c r="C114" s="96" t="str">
        <f ca="1">IFERROR(IF(PréstamoNoPagado*PréstamoPagado,FechaDePago,""), "")</f>
        <v/>
      </c>
      <c r="D114" s="97" t="str">
        <f ca="1">IFERROR(IF(PréstamoNoPagado*PréstamoPagado,ValorPréstamo,""), "")</f>
        <v/>
      </c>
      <c r="E114" s="97" t="str">
        <f ca="1">IFERROR(IF(PréstamoNoPagado*PréstamoPagado,PagoMensual,""), "")</f>
        <v/>
      </c>
      <c r="F114" s="97" t="str">
        <f ca="1">IFERROR(IF(PréstamoNoPagado*PréstamoPagado,Capital,""), "")</f>
        <v/>
      </c>
      <c r="G114" s="97" t="str">
        <f ca="1">IFERROR(IF(PréstamoNoPagado*PréstamoPagado,AmortizaciónInterés,""), "")</f>
        <v/>
      </c>
      <c r="H114" s="97" t="str">
        <f ca="1">IFERROR(IF(PréstamoNoPagado*PréstamoPagado,SaldoFinal,""), "")</f>
        <v/>
      </c>
    </row>
    <row r="115" spans="2:8" ht="20.100000000000001" customHeight="1" x14ac:dyDescent="0.3">
      <c r="B115" s="105" t="str">
        <f ca="1">IFERROR(IF(PréstamoNoPagado*PréstamoPagado,NúmeroDePago,""), "")</f>
        <v/>
      </c>
      <c r="C115" s="96" t="str">
        <f ca="1">IFERROR(IF(PréstamoNoPagado*PréstamoPagado,FechaDePago,""), "")</f>
        <v/>
      </c>
      <c r="D115" s="97" t="str">
        <f ca="1">IFERROR(IF(PréstamoNoPagado*PréstamoPagado,ValorPréstamo,""), "")</f>
        <v/>
      </c>
      <c r="E115" s="97" t="str">
        <f ca="1">IFERROR(IF(PréstamoNoPagado*PréstamoPagado,PagoMensual,""), "")</f>
        <v/>
      </c>
      <c r="F115" s="97" t="str">
        <f ca="1">IFERROR(IF(PréstamoNoPagado*PréstamoPagado,Capital,""), "")</f>
        <v/>
      </c>
      <c r="G115" s="97" t="str">
        <f ca="1">IFERROR(IF(PréstamoNoPagado*PréstamoPagado,AmortizaciónInterés,""), "")</f>
        <v/>
      </c>
      <c r="H115" s="97" t="str">
        <f ca="1">IFERROR(IF(PréstamoNoPagado*PréstamoPagado,SaldoFinal,""), "")</f>
        <v/>
      </c>
    </row>
    <row r="116" spans="2:8" ht="20.100000000000001" customHeight="1" x14ac:dyDescent="0.3">
      <c r="B116" s="105" t="str">
        <f ca="1">IFERROR(IF(PréstamoNoPagado*PréstamoPagado,NúmeroDePago,""), "")</f>
        <v/>
      </c>
      <c r="C116" s="96" t="str">
        <f ca="1">IFERROR(IF(PréstamoNoPagado*PréstamoPagado,FechaDePago,""), "")</f>
        <v/>
      </c>
      <c r="D116" s="97" t="str">
        <f ca="1">IFERROR(IF(PréstamoNoPagado*PréstamoPagado,ValorPréstamo,""), "")</f>
        <v/>
      </c>
      <c r="E116" s="97" t="str">
        <f ca="1">IFERROR(IF(PréstamoNoPagado*PréstamoPagado,PagoMensual,""), "")</f>
        <v/>
      </c>
      <c r="F116" s="97" t="str">
        <f ca="1">IFERROR(IF(PréstamoNoPagado*PréstamoPagado,Capital,""), "")</f>
        <v/>
      </c>
      <c r="G116" s="97" t="str">
        <f ca="1">IFERROR(IF(PréstamoNoPagado*PréstamoPagado,AmortizaciónInterés,""), "")</f>
        <v/>
      </c>
      <c r="H116" s="97" t="str">
        <f ca="1">IFERROR(IF(PréstamoNoPagado*PréstamoPagado,SaldoFinal,""), "")</f>
        <v/>
      </c>
    </row>
    <row r="117" spans="2:8" ht="20.100000000000001" customHeight="1" x14ac:dyDescent="0.3">
      <c r="B117" s="105" t="str">
        <f ca="1">IFERROR(IF(PréstamoNoPagado*PréstamoPagado,NúmeroDePago,""), "")</f>
        <v/>
      </c>
      <c r="C117" s="96" t="str">
        <f ca="1">IFERROR(IF(PréstamoNoPagado*PréstamoPagado,FechaDePago,""), "")</f>
        <v/>
      </c>
      <c r="D117" s="97" t="str">
        <f ca="1">IFERROR(IF(PréstamoNoPagado*PréstamoPagado,ValorPréstamo,""), "")</f>
        <v/>
      </c>
      <c r="E117" s="97" t="str">
        <f ca="1">IFERROR(IF(PréstamoNoPagado*PréstamoPagado,PagoMensual,""), "")</f>
        <v/>
      </c>
      <c r="F117" s="97" t="str">
        <f ca="1">IFERROR(IF(PréstamoNoPagado*PréstamoPagado,Capital,""), "")</f>
        <v/>
      </c>
      <c r="G117" s="97" t="str">
        <f ca="1">IFERROR(IF(PréstamoNoPagado*PréstamoPagado,AmortizaciónInterés,""), "")</f>
        <v/>
      </c>
      <c r="H117" s="97" t="str">
        <f ca="1">IFERROR(IF(PréstamoNoPagado*PréstamoPagado,SaldoFinal,""), "")</f>
        <v/>
      </c>
    </row>
    <row r="118" spans="2:8" ht="20.100000000000001" customHeight="1" x14ac:dyDescent="0.3">
      <c r="B118" s="105" t="str">
        <f ca="1">IFERROR(IF(PréstamoNoPagado*PréstamoPagado,NúmeroDePago,""), "")</f>
        <v/>
      </c>
      <c r="C118" s="96" t="str">
        <f ca="1">IFERROR(IF(PréstamoNoPagado*PréstamoPagado,FechaDePago,""), "")</f>
        <v/>
      </c>
      <c r="D118" s="97" t="str">
        <f ca="1">IFERROR(IF(PréstamoNoPagado*PréstamoPagado,ValorPréstamo,""), "")</f>
        <v/>
      </c>
      <c r="E118" s="97" t="str">
        <f ca="1">IFERROR(IF(PréstamoNoPagado*PréstamoPagado,PagoMensual,""), "")</f>
        <v/>
      </c>
      <c r="F118" s="97" t="str">
        <f ca="1">IFERROR(IF(PréstamoNoPagado*PréstamoPagado,Capital,""), "")</f>
        <v/>
      </c>
      <c r="G118" s="97" t="str">
        <f ca="1">IFERROR(IF(PréstamoNoPagado*PréstamoPagado,AmortizaciónInterés,""), "")</f>
        <v/>
      </c>
      <c r="H118" s="97" t="str">
        <f ca="1">IFERROR(IF(PréstamoNoPagado*PréstamoPagado,SaldoFinal,""), "")</f>
        <v/>
      </c>
    </row>
    <row r="119" spans="2:8" ht="20.100000000000001" customHeight="1" x14ac:dyDescent="0.3">
      <c r="B119" s="105" t="str">
        <f ca="1">IFERROR(IF(PréstamoNoPagado*PréstamoPagado,NúmeroDePago,""), "")</f>
        <v/>
      </c>
      <c r="C119" s="96" t="str">
        <f ca="1">IFERROR(IF(PréstamoNoPagado*PréstamoPagado,FechaDePago,""), "")</f>
        <v/>
      </c>
      <c r="D119" s="97" t="str">
        <f ca="1">IFERROR(IF(PréstamoNoPagado*PréstamoPagado,ValorPréstamo,""), "")</f>
        <v/>
      </c>
      <c r="E119" s="97" t="str">
        <f ca="1">IFERROR(IF(PréstamoNoPagado*PréstamoPagado,PagoMensual,""), "")</f>
        <v/>
      </c>
      <c r="F119" s="97" t="str">
        <f ca="1">IFERROR(IF(PréstamoNoPagado*PréstamoPagado,Capital,""), "")</f>
        <v/>
      </c>
      <c r="G119" s="97" t="str">
        <f ca="1">IFERROR(IF(PréstamoNoPagado*PréstamoPagado,AmortizaciónInterés,""), "")</f>
        <v/>
      </c>
      <c r="H119" s="97" t="str">
        <f ca="1">IFERROR(IF(PréstamoNoPagado*PréstamoPagado,SaldoFinal,""), "")</f>
        <v/>
      </c>
    </row>
    <row r="120" spans="2:8" ht="20.100000000000001" customHeight="1" x14ac:dyDescent="0.3">
      <c r="B120" s="105" t="str">
        <f ca="1">IFERROR(IF(PréstamoNoPagado*PréstamoPagado,NúmeroDePago,""), "")</f>
        <v/>
      </c>
      <c r="C120" s="96" t="str">
        <f ca="1">IFERROR(IF(PréstamoNoPagado*PréstamoPagado,FechaDePago,""), "")</f>
        <v/>
      </c>
      <c r="D120" s="97" t="str">
        <f ca="1">IFERROR(IF(PréstamoNoPagado*PréstamoPagado,ValorPréstamo,""), "")</f>
        <v/>
      </c>
      <c r="E120" s="97" t="str">
        <f ca="1">IFERROR(IF(PréstamoNoPagado*PréstamoPagado,PagoMensual,""), "")</f>
        <v/>
      </c>
      <c r="F120" s="97" t="str">
        <f ca="1">IFERROR(IF(PréstamoNoPagado*PréstamoPagado,Capital,""), "")</f>
        <v/>
      </c>
      <c r="G120" s="97" t="str">
        <f ca="1">IFERROR(IF(PréstamoNoPagado*PréstamoPagado,AmortizaciónInterés,""), "")</f>
        <v/>
      </c>
      <c r="H120" s="97" t="str">
        <f ca="1">IFERROR(IF(PréstamoNoPagado*PréstamoPagado,SaldoFinal,""), "")</f>
        <v/>
      </c>
    </row>
    <row r="121" spans="2:8" ht="20.100000000000001" customHeight="1" x14ac:dyDescent="0.3">
      <c r="B121" s="105" t="str">
        <f ca="1">IFERROR(IF(PréstamoNoPagado*PréstamoPagado,NúmeroDePago,""), "")</f>
        <v/>
      </c>
      <c r="C121" s="96" t="str">
        <f ca="1">IFERROR(IF(PréstamoNoPagado*PréstamoPagado,FechaDePago,""), "")</f>
        <v/>
      </c>
      <c r="D121" s="97" t="str">
        <f ca="1">IFERROR(IF(PréstamoNoPagado*PréstamoPagado,ValorPréstamo,""), "")</f>
        <v/>
      </c>
      <c r="E121" s="97" t="str">
        <f ca="1">IFERROR(IF(PréstamoNoPagado*PréstamoPagado,PagoMensual,""), "")</f>
        <v/>
      </c>
      <c r="F121" s="97" t="str">
        <f ca="1">IFERROR(IF(PréstamoNoPagado*PréstamoPagado,Capital,""), "")</f>
        <v/>
      </c>
      <c r="G121" s="97" t="str">
        <f ca="1">IFERROR(IF(PréstamoNoPagado*PréstamoPagado,AmortizaciónInterés,""), "")</f>
        <v/>
      </c>
      <c r="H121" s="97" t="str">
        <f ca="1">IFERROR(IF(PréstamoNoPagado*PréstamoPagado,SaldoFinal,""), "")</f>
        <v/>
      </c>
    </row>
    <row r="122" spans="2:8" ht="20.100000000000001" customHeight="1" x14ac:dyDescent="0.3">
      <c r="B122" s="105" t="str">
        <f ca="1">IFERROR(IF(PréstamoNoPagado*PréstamoPagado,NúmeroDePago,""), "")</f>
        <v/>
      </c>
      <c r="C122" s="96" t="str">
        <f ca="1">IFERROR(IF(PréstamoNoPagado*PréstamoPagado,FechaDePago,""), "")</f>
        <v/>
      </c>
      <c r="D122" s="97" t="str">
        <f ca="1">IFERROR(IF(PréstamoNoPagado*PréstamoPagado,ValorPréstamo,""), "")</f>
        <v/>
      </c>
      <c r="E122" s="97" t="str">
        <f ca="1">IFERROR(IF(PréstamoNoPagado*PréstamoPagado,PagoMensual,""), "")</f>
        <v/>
      </c>
      <c r="F122" s="97" t="str">
        <f ca="1">IFERROR(IF(PréstamoNoPagado*PréstamoPagado,Capital,""), "")</f>
        <v/>
      </c>
      <c r="G122" s="97" t="str">
        <f ca="1">IFERROR(IF(PréstamoNoPagado*PréstamoPagado,AmortizaciónInterés,""), "")</f>
        <v/>
      </c>
      <c r="H122" s="97" t="str">
        <f ca="1">IFERROR(IF(PréstamoNoPagado*PréstamoPagado,SaldoFinal,""), "")</f>
        <v/>
      </c>
    </row>
    <row r="123" spans="2:8" ht="20.100000000000001" customHeight="1" x14ac:dyDescent="0.3">
      <c r="B123" s="105" t="str">
        <f ca="1">IFERROR(IF(PréstamoNoPagado*PréstamoPagado,NúmeroDePago,""), "")</f>
        <v/>
      </c>
      <c r="C123" s="96" t="str">
        <f ca="1">IFERROR(IF(PréstamoNoPagado*PréstamoPagado,FechaDePago,""), "")</f>
        <v/>
      </c>
      <c r="D123" s="97" t="str">
        <f ca="1">IFERROR(IF(PréstamoNoPagado*PréstamoPagado,ValorPréstamo,""), "")</f>
        <v/>
      </c>
      <c r="E123" s="97" t="str">
        <f ca="1">IFERROR(IF(PréstamoNoPagado*PréstamoPagado,PagoMensual,""), "")</f>
        <v/>
      </c>
      <c r="F123" s="97" t="str">
        <f ca="1">IFERROR(IF(PréstamoNoPagado*PréstamoPagado,Capital,""), "")</f>
        <v/>
      </c>
      <c r="G123" s="97" t="str">
        <f ca="1">IFERROR(IF(PréstamoNoPagado*PréstamoPagado,AmortizaciónInterés,""), "")</f>
        <v/>
      </c>
      <c r="H123" s="97" t="str">
        <f ca="1">IFERROR(IF(PréstamoNoPagado*PréstamoPagado,SaldoFinal,""), "")</f>
        <v/>
      </c>
    </row>
    <row r="124" spans="2:8" ht="20.100000000000001" customHeight="1" x14ac:dyDescent="0.3">
      <c r="B124" s="105" t="str">
        <f ca="1">IFERROR(IF(PréstamoNoPagado*PréstamoPagado,NúmeroDePago,""), "")</f>
        <v/>
      </c>
      <c r="C124" s="96" t="str">
        <f ca="1">IFERROR(IF(PréstamoNoPagado*PréstamoPagado,FechaDePago,""), "")</f>
        <v/>
      </c>
      <c r="D124" s="97" t="str">
        <f ca="1">IFERROR(IF(PréstamoNoPagado*PréstamoPagado,ValorPréstamo,""), "")</f>
        <v/>
      </c>
      <c r="E124" s="97" t="str">
        <f ca="1">IFERROR(IF(PréstamoNoPagado*PréstamoPagado,PagoMensual,""), "")</f>
        <v/>
      </c>
      <c r="F124" s="97" t="str">
        <f ca="1">IFERROR(IF(PréstamoNoPagado*PréstamoPagado,Capital,""), "")</f>
        <v/>
      </c>
      <c r="G124" s="97" t="str">
        <f ca="1">IFERROR(IF(PréstamoNoPagado*PréstamoPagado,AmortizaciónInterés,""), "")</f>
        <v/>
      </c>
      <c r="H124" s="97" t="str">
        <f ca="1">IFERROR(IF(PréstamoNoPagado*PréstamoPagado,SaldoFinal,""), "")</f>
        <v/>
      </c>
    </row>
    <row r="125" spans="2:8" ht="20.100000000000001" customHeight="1" x14ac:dyDescent="0.3">
      <c r="B125" s="105" t="str">
        <f ca="1">IFERROR(IF(PréstamoNoPagado*PréstamoPagado,NúmeroDePago,""), "")</f>
        <v/>
      </c>
      <c r="C125" s="96" t="str">
        <f ca="1">IFERROR(IF(PréstamoNoPagado*PréstamoPagado,FechaDePago,""), "")</f>
        <v/>
      </c>
      <c r="D125" s="97" t="str">
        <f ca="1">IFERROR(IF(PréstamoNoPagado*PréstamoPagado,ValorPréstamo,""), "")</f>
        <v/>
      </c>
      <c r="E125" s="97" t="str">
        <f ca="1">IFERROR(IF(PréstamoNoPagado*PréstamoPagado,PagoMensual,""), "")</f>
        <v/>
      </c>
      <c r="F125" s="97" t="str">
        <f ca="1">IFERROR(IF(PréstamoNoPagado*PréstamoPagado,Capital,""), "")</f>
        <v/>
      </c>
      <c r="G125" s="97" t="str">
        <f ca="1">IFERROR(IF(PréstamoNoPagado*PréstamoPagado,AmortizaciónInterés,""), "")</f>
        <v/>
      </c>
      <c r="H125" s="97" t="str">
        <f ca="1">IFERROR(IF(PréstamoNoPagado*PréstamoPagado,SaldoFinal,""), "")</f>
        <v/>
      </c>
    </row>
    <row r="126" spans="2:8" ht="20.100000000000001" customHeight="1" x14ac:dyDescent="0.3">
      <c r="B126" s="105" t="str">
        <f ca="1">IFERROR(IF(PréstamoNoPagado*PréstamoPagado,NúmeroDePago,""), "")</f>
        <v/>
      </c>
      <c r="C126" s="96" t="str">
        <f ca="1">IFERROR(IF(PréstamoNoPagado*PréstamoPagado,FechaDePago,""), "")</f>
        <v/>
      </c>
      <c r="D126" s="97" t="str">
        <f ca="1">IFERROR(IF(PréstamoNoPagado*PréstamoPagado,ValorPréstamo,""), "")</f>
        <v/>
      </c>
      <c r="E126" s="97" t="str">
        <f ca="1">IFERROR(IF(PréstamoNoPagado*PréstamoPagado,PagoMensual,""), "")</f>
        <v/>
      </c>
      <c r="F126" s="97" t="str">
        <f ca="1">IFERROR(IF(PréstamoNoPagado*PréstamoPagado,Capital,""), "")</f>
        <v/>
      </c>
      <c r="G126" s="97" t="str">
        <f ca="1">IFERROR(IF(PréstamoNoPagado*PréstamoPagado,AmortizaciónInterés,""), "")</f>
        <v/>
      </c>
      <c r="H126" s="97" t="str">
        <f ca="1">IFERROR(IF(PréstamoNoPagado*PréstamoPagado,SaldoFinal,""), "")</f>
        <v/>
      </c>
    </row>
    <row r="127" spans="2:8" ht="20.100000000000001" customHeight="1" x14ac:dyDescent="0.3">
      <c r="B127" s="105" t="str">
        <f ca="1">IFERROR(IF(PréstamoNoPagado*PréstamoPagado,NúmeroDePago,""), "")</f>
        <v/>
      </c>
      <c r="C127" s="96" t="str">
        <f ca="1">IFERROR(IF(PréstamoNoPagado*PréstamoPagado,FechaDePago,""), "")</f>
        <v/>
      </c>
      <c r="D127" s="97" t="str">
        <f ca="1">IFERROR(IF(PréstamoNoPagado*PréstamoPagado,ValorPréstamo,""), "")</f>
        <v/>
      </c>
      <c r="E127" s="97" t="str">
        <f ca="1">IFERROR(IF(PréstamoNoPagado*PréstamoPagado,PagoMensual,""), "")</f>
        <v/>
      </c>
      <c r="F127" s="97" t="str">
        <f ca="1">IFERROR(IF(PréstamoNoPagado*PréstamoPagado,Capital,""), "")</f>
        <v/>
      </c>
      <c r="G127" s="97" t="str">
        <f ca="1">IFERROR(IF(PréstamoNoPagado*PréstamoPagado,AmortizaciónInterés,""), "")</f>
        <v/>
      </c>
      <c r="H127" s="97" t="str">
        <f ca="1">IFERROR(IF(PréstamoNoPagado*PréstamoPagado,SaldoFinal,""), "")</f>
        <v/>
      </c>
    </row>
    <row r="128" spans="2:8" ht="20.100000000000001" customHeight="1" x14ac:dyDescent="0.3">
      <c r="B128" s="105" t="str">
        <f ca="1">IFERROR(IF(PréstamoNoPagado*PréstamoPagado,NúmeroDePago,""), "")</f>
        <v/>
      </c>
      <c r="C128" s="96" t="str">
        <f ca="1">IFERROR(IF(PréstamoNoPagado*PréstamoPagado,FechaDePago,""), "")</f>
        <v/>
      </c>
      <c r="D128" s="97" t="str">
        <f ca="1">IFERROR(IF(PréstamoNoPagado*PréstamoPagado,ValorPréstamo,""), "")</f>
        <v/>
      </c>
      <c r="E128" s="97" t="str">
        <f ca="1">IFERROR(IF(PréstamoNoPagado*PréstamoPagado,PagoMensual,""), "")</f>
        <v/>
      </c>
      <c r="F128" s="97" t="str">
        <f ca="1">IFERROR(IF(PréstamoNoPagado*PréstamoPagado,Capital,""), "")</f>
        <v/>
      </c>
      <c r="G128" s="97" t="str">
        <f ca="1">IFERROR(IF(PréstamoNoPagado*PréstamoPagado,AmortizaciónInterés,""), "")</f>
        <v/>
      </c>
      <c r="H128" s="97" t="str">
        <f ca="1">IFERROR(IF(PréstamoNoPagado*PréstamoPagado,SaldoFinal,""), "")</f>
        <v/>
      </c>
    </row>
    <row r="129" spans="2:8" ht="20.100000000000001" customHeight="1" x14ac:dyDescent="0.3">
      <c r="B129" s="105" t="str">
        <f ca="1">IFERROR(IF(PréstamoNoPagado*PréstamoPagado,NúmeroDePago,""), "")</f>
        <v/>
      </c>
      <c r="C129" s="96" t="str">
        <f ca="1">IFERROR(IF(PréstamoNoPagado*PréstamoPagado,FechaDePago,""), "")</f>
        <v/>
      </c>
      <c r="D129" s="97" t="str">
        <f ca="1">IFERROR(IF(PréstamoNoPagado*PréstamoPagado,ValorPréstamo,""), "")</f>
        <v/>
      </c>
      <c r="E129" s="97" t="str">
        <f ca="1">IFERROR(IF(PréstamoNoPagado*PréstamoPagado,PagoMensual,""), "")</f>
        <v/>
      </c>
      <c r="F129" s="97" t="str">
        <f ca="1">IFERROR(IF(PréstamoNoPagado*PréstamoPagado,Capital,""), "")</f>
        <v/>
      </c>
      <c r="G129" s="97" t="str">
        <f ca="1">IFERROR(IF(PréstamoNoPagado*PréstamoPagado,AmortizaciónInterés,""), "")</f>
        <v/>
      </c>
      <c r="H129" s="97" t="str">
        <f ca="1">IFERROR(IF(PréstamoNoPagado*PréstamoPagado,SaldoFinal,""), "")</f>
        <v/>
      </c>
    </row>
    <row r="130" spans="2:8" ht="20.100000000000001" customHeight="1" x14ac:dyDescent="0.3">
      <c r="B130" s="105" t="str">
        <f ca="1">IFERROR(IF(PréstamoNoPagado*PréstamoPagado,NúmeroDePago,""), "")</f>
        <v/>
      </c>
      <c r="C130" s="96" t="str">
        <f ca="1">IFERROR(IF(PréstamoNoPagado*PréstamoPagado,FechaDePago,""), "")</f>
        <v/>
      </c>
      <c r="D130" s="97" t="str">
        <f ca="1">IFERROR(IF(PréstamoNoPagado*PréstamoPagado,ValorPréstamo,""), "")</f>
        <v/>
      </c>
      <c r="E130" s="97" t="str">
        <f ca="1">IFERROR(IF(PréstamoNoPagado*PréstamoPagado,PagoMensual,""), "")</f>
        <v/>
      </c>
      <c r="F130" s="97" t="str">
        <f ca="1">IFERROR(IF(PréstamoNoPagado*PréstamoPagado,Capital,""), "")</f>
        <v/>
      </c>
      <c r="G130" s="97" t="str">
        <f ca="1">IFERROR(IF(PréstamoNoPagado*PréstamoPagado,AmortizaciónInterés,""), "")</f>
        <v/>
      </c>
      <c r="H130" s="97" t="str">
        <f ca="1">IFERROR(IF(PréstamoNoPagado*PréstamoPagado,SaldoFinal,""), "")</f>
        <v/>
      </c>
    </row>
    <row r="131" spans="2:8" ht="20.100000000000001" customHeight="1" x14ac:dyDescent="0.3">
      <c r="B131" s="105" t="str">
        <f ca="1">IFERROR(IF(PréstamoNoPagado*PréstamoPagado,NúmeroDePago,""), "")</f>
        <v/>
      </c>
      <c r="C131" s="96" t="str">
        <f ca="1">IFERROR(IF(PréstamoNoPagado*PréstamoPagado,FechaDePago,""), "")</f>
        <v/>
      </c>
      <c r="D131" s="97" t="str">
        <f ca="1">IFERROR(IF(PréstamoNoPagado*PréstamoPagado,ValorPréstamo,""), "")</f>
        <v/>
      </c>
      <c r="E131" s="97" t="str">
        <f ca="1">IFERROR(IF(PréstamoNoPagado*PréstamoPagado,PagoMensual,""), "")</f>
        <v/>
      </c>
      <c r="F131" s="97" t="str">
        <f ca="1">IFERROR(IF(PréstamoNoPagado*PréstamoPagado,Capital,""), "")</f>
        <v/>
      </c>
      <c r="G131" s="97" t="str">
        <f ca="1">IFERROR(IF(PréstamoNoPagado*PréstamoPagado,AmortizaciónInterés,""), "")</f>
        <v/>
      </c>
      <c r="H131" s="97" t="str">
        <f ca="1">IFERROR(IF(PréstamoNoPagado*PréstamoPagado,SaldoFinal,""), "")</f>
        <v/>
      </c>
    </row>
    <row r="132" spans="2:8" ht="20.100000000000001" customHeight="1" x14ac:dyDescent="0.3">
      <c r="B132" s="105" t="str">
        <f ca="1">IFERROR(IF(PréstamoNoPagado*PréstamoPagado,NúmeroDePago,""), "")</f>
        <v/>
      </c>
      <c r="C132" s="96" t="str">
        <f ca="1">IFERROR(IF(PréstamoNoPagado*PréstamoPagado,FechaDePago,""), "")</f>
        <v/>
      </c>
      <c r="D132" s="97" t="str">
        <f ca="1">IFERROR(IF(PréstamoNoPagado*PréstamoPagado,ValorPréstamo,""), "")</f>
        <v/>
      </c>
      <c r="E132" s="97" t="str">
        <f ca="1">IFERROR(IF(PréstamoNoPagado*PréstamoPagado,PagoMensual,""), "")</f>
        <v/>
      </c>
      <c r="F132" s="97" t="str">
        <f ca="1">IFERROR(IF(PréstamoNoPagado*PréstamoPagado,Capital,""), "")</f>
        <v/>
      </c>
      <c r="G132" s="97" t="str">
        <f ca="1">IFERROR(IF(PréstamoNoPagado*PréstamoPagado,AmortizaciónInterés,""), "")</f>
        <v/>
      </c>
      <c r="H132" s="97" t="str">
        <f ca="1">IFERROR(IF(PréstamoNoPagado*PréstamoPagado,SaldoFinal,""), "")</f>
        <v/>
      </c>
    </row>
    <row r="133" spans="2:8" ht="20.100000000000001" customHeight="1" x14ac:dyDescent="0.3">
      <c r="B133" s="105" t="str">
        <f ca="1">IFERROR(IF(PréstamoNoPagado*PréstamoPagado,NúmeroDePago,""), "")</f>
        <v/>
      </c>
      <c r="C133" s="96" t="str">
        <f ca="1">IFERROR(IF(PréstamoNoPagado*PréstamoPagado,FechaDePago,""), "")</f>
        <v/>
      </c>
      <c r="D133" s="97" t="str">
        <f ca="1">IFERROR(IF(PréstamoNoPagado*PréstamoPagado,ValorPréstamo,""), "")</f>
        <v/>
      </c>
      <c r="E133" s="97" t="str">
        <f ca="1">IFERROR(IF(PréstamoNoPagado*PréstamoPagado,PagoMensual,""), "")</f>
        <v/>
      </c>
      <c r="F133" s="97" t="str">
        <f ca="1">IFERROR(IF(PréstamoNoPagado*PréstamoPagado,Capital,""), "")</f>
        <v/>
      </c>
      <c r="G133" s="97" t="str">
        <f ca="1">IFERROR(IF(PréstamoNoPagado*PréstamoPagado,AmortizaciónInterés,""), "")</f>
        <v/>
      </c>
      <c r="H133" s="97" t="str">
        <f ca="1">IFERROR(IF(PréstamoNoPagado*PréstamoPagado,SaldoFinal,""), "")</f>
        <v/>
      </c>
    </row>
    <row r="134" spans="2:8" ht="20.100000000000001" customHeight="1" x14ac:dyDescent="0.3">
      <c r="B134" s="105" t="str">
        <f ca="1">IFERROR(IF(PréstamoNoPagado*PréstamoPagado,NúmeroDePago,""), "")</f>
        <v/>
      </c>
      <c r="C134" s="96" t="str">
        <f ca="1">IFERROR(IF(PréstamoNoPagado*PréstamoPagado,FechaDePago,""), "")</f>
        <v/>
      </c>
      <c r="D134" s="97" t="str">
        <f ca="1">IFERROR(IF(PréstamoNoPagado*PréstamoPagado,ValorPréstamo,""), "")</f>
        <v/>
      </c>
      <c r="E134" s="97" t="str">
        <f ca="1">IFERROR(IF(PréstamoNoPagado*PréstamoPagado,PagoMensual,""), "")</f>
        <v/>
      </c>
      <c r="F134" s="97" t="str">
        <f ca="1">IFERROR(IF(PréstamoNoPagado*PréstamoPagado,Capital,""), "")</f>
        <v/>
      </c>
      <c r="G134" s="97" t="str">
        <f ca="1">IFERROR(IF(PréstamoNoPagado*PréstamoPagado,AmortizaciónInterés,""), "")</f>
        <v/>
      </c>
      <c r="H134" s="97" t="str">
        <f ca="1">IFERROR(IF(PréstamoNoPagado*PréstamoPagado,SaldoFinal,""), "")</f>
        <v/>
      </c>
    </row>
    <row r="135" spans="2:8" ht="20.100000000000001" customHeight="1" x14ac:dyDescent="0.3">
      <c r="B135" s="105" t="str">
        <f ca="1">IFERROR(IF(PréstamoNoPagado*PréstamoPagado,NúmeroDePago,""), "")</f>
        <v/>
      </c>
      <c r="C135" s="96" t="str">
        <f ca="1">IFERROR(IF(PréstamoNoPagado*PréstamoPagado,FechaDePago,""), "")</f>
        <v/>
      </c>
      <c r="D135" s="97" t="str">
        <f ca="1">IFERROR(IF(PréstamoNoPagado*PréstamoPagado,ValorPréstamo,""), "")</f>
        <v/>
      </c>
      <c r="E135" s="97" t="str">
        <f ca="1">IFERROR(IF(PréstamoNoPagado*PréstamoPagado,PagoMensual,""), "")</f>
        <v/>
      </c>
      <c r="F135" s="97" t="str">
        <f ca="1">IFERROR(IF(PréstamoNoPagado*PréstamoPagado,Capital,""), "")</f>
        <v/>
      </c>
      <c r="G135" s="97" t="str">
        <f ca="1">IFERROR(IF(PréstamoNoPagado*PréstamoPagado,AmortizaciónInterés,""), "")</f>
        <v/>
      </c>
      <c r="H135" s="97" t="str">
        <f ca="1">IFERROR(IF(PréstamoNoPagado*PréstamoPagado,SaldoFinal,""), "")</f>
        <v/>
      </c>
    </row>
    <row r="136" spans="2:8" ht="20.100000000000001" customHeight="1" x14ac:dyDescent="0.3">
      <c r="B136" s="105" t="str">
        <f ca="1">IFERROR(IF(PréstamoNoPagado*PréstamoPagado,NúmeroDePago,""), "")</f>
        <v/>
      </c>
      <c r="C136" s="96" t="str">
        <f ca="1">IFERROR(IF(PréstamoNoPagado*PréstamoPagado,FechaDePago,""), "")</f>
        <v/>
      </c>
      <c r="D136" s="97" t="str">
        <f ca="1">IFERROR(IF(PréstamoNoPagado*PréstamoPagado,ValorPréstamo,""), "")</f>
        <v/>
      </c>
      <c r="E136" s="97" t="str">
        <f ca="1">IFERROR(IF(PréstamoNoPagado*PréstamoPagado,PagoMensual,""), "")</f>
        <v/>
      </c>
      <c r="F136" s="97" t="str">
        <f ca="1">IFERROR(IF(PréstamoNoPagado*PréstamoPagado,Capital,""), "")</f>
        <v/>
      </c>
      <c r="G136" s="97" t="str">
        <f ca="1">IFERROR(IF(PréstamoNoPagado*PréstamoPagado,AmortizaciónInterés,""), "")</f>
        <v/>
      </c>
      <c r="H136" s="97" t="str">
        <f ca="1">IFERROR(IF(PréstamoNoPagado*PréstamoPagado,SaldoFinal,""), "")</f>
        <v/>
      </c>
    </row>
    <row r="137" spans="2:8" ht="20.100000000000001" customHeight="1" x14ac:dyDescent="0.3">
      <c r="B137" s="105" t="str">
        <f ca="1">IFERROR(IF(PréstamoNoPagado*PréstamoPagado,NúmeroDePago,""), "")</f>
        <v/>
      </c>
      <c r="C137" s="96" t="str">
        <f ca="1">IFERROR(IF(PréstamoNoPagado*PréstamoPagado,FechaDePago,""), "")</f>
        <v/>
      </c>
      <c r="D137" s="97" t="str">
        <f ca="1">IFERROR(IF(PréstamoNoPagado*PréstamoPagado,ValorPréstamo,""), "")</f>
        <v/>
      </c>
      <c r="E137" s="97" t="str">
        <f ca="1">IFERROR(IF(PréstamoNoPagado*PréstamoPagado,PagoMensual,""), "")</f>
        <v/>
      </c>
      <c r="F137" s="97" t="str">
        <f ca="1">IFERROR(IF(PréstamoNoPagado*PréstamoPagado,Capital,""), "")</f>
        <v/>
      </c>
      <c r="G137" s="97" t="str">
        <f ca="1">IFERROR(IF(PréstamoNoPagado*PréstamoPagado,AmortizaciónInterés,""), "")</f>
        <v/>
      </c>
      <c r="H137" s="97" t="str">
        <f ca="1">IFERROR(IF(PréstamoNoPagado*PréstamoPagado,SaldoFinal,""), "")</f>
        <v/>
      </c>
    </row>
    <row r="138" spans="2:8" ht="20.100000000000001" customHeight="1" x14ac:dyDescent="0.3">
      <c r="B138" s="105" t="str">
        <f ca="1">IFERROR(IF(PréstamoNoPagado*PréstamoPagado,NúmeroDePago,""), "")</f>
        <v/>
      </c>
      <c r="C138" s="96" t="str">
        <f ca="1">IFERROR(IF(PréstamoNoPagado*PréstamoPagado,FechaDePago,""), "")</f>
        <v/>
      </c>
      <c r="D138" s="97" t="str">
        <f ca="1">IFERROR(IF(PréstamoNoPagado*PréstamoPagado,ValorPréstamo,""), "")</f>
        <v/>
      </c>
      <c r="E138" s="97" t="str">
        <f ca="1">IFERROR(IF(PréstamoNoPagado*PréstamoPagado,PagoMensual,""), "")</f>
        <v/>
      </c>
      <c r="F138" s="97" t="str">
        <f ca="1">IFERROR(IF(PréstamoNoPagado*PréstamoPagado,Capital,""), "")</f>
        <v/>
      </c>
      <c r="G138" s="97" t="str">
        <f ca="1">IFERROR(IF(PréstamoNoPagado*PréstamoPagado,AmortizaciónInterés,""), "")</f>
        <v/>
      </c>
      <c r="H138" s="97" t="str">
        <f ca="1">IFERROR(IF(PréstamoNoPagado*PréstamoPagado,SaldoFinal,""), "")</f>
        <v/>
      </c>
    </row>
    <row r="139" spans="2:8" ht="20.100000000000001" customHeight="1" x14ac:dyDescent="0.3">
      <c r="B139" s="105" t="str">
        <f ca="1">IFERROR(IF(PréstamoNoPagado*PréstamoPagado,NúmeroDePago,""), "")</f>
        <v/>
      </c>
      <c r="C139" s="96" t="str">
        <f ca="1">IFERROR(IF(PréstamoNoPagado*PréstamoPagado,FechaDePago,""), "")</f>
        <v/>
      </c>
      <c r="D139" s="97" t="str">
        <f ca="1">IFERROR(IF(PréstamoNoPagado*PréstamoPagado,ValorPréstamo,""), "")</f>
        <v/>
      </c>
      <c r="E139" s="97" t="str">
        <f ca="1">IFERROR(IF(PréstamoNoPagado*PréstamoPagado,PagoMensual,""), "")</f>
        <v/>
      </c>
      <c r="F139" s="97" t="str">
        <f ca="1">IFERROR(IF(PréstamoNoPagado*PréstamoPagado,Capital,""), "")</f>
        <v/>
      </c>
      <c r="G139" s="97" t="str">
        <f ca="1">IFERROR(IF(PréstamoNoPagado*PréstamoPagado,AmortizaciónInterés,""), "")</f>
        <v/>
      </c>
      <c r="H139" s="97" t="str">
        <f ca="1">IFERROR(IF(PréstamoNoPagado*PréstamoPagado,SaldoFinal,""), "")</f>
        <v/>
      </c>
    </row>
    <row r="140" spans="2:8" ht="20.100000000000001" customHeight="1" x14ac:dyDescent="0.3">
      <c r="B140" s="105" t="str">
        <f ca="1">IFERROR(IF(PréstamoNoPagado*PréstamoPagado,NúmeroDePago,""), "")</f>
        <v/>
      </c>
      <c r="C140" s="96" t="str">
        <f ca="1">IFERROR(IF(PréstamoNoPagado*PréstamoPagado,FechaDePago,""), "")</f>
        <v/>
      </c>
      <c r="D140" s="97" t="str">
        <f ca="1">IFERROR(IF(PréstamoNoPagado*PréstamoPagado,ValorPréstamo,""), "")</f>
        <v/>
      </c>
      <c r="E140" s="97" t="str">
        <f ca="1">IFERROR(IF(PréstamoNoPagado*PréstamoPagado,PagoMensual,""), "")</f>
        <v/>
      </c>
      <c r="F140" s="97" t="str">
        <f ca="1">IFERROR(IF(PréstamoNoPagado*PréstamoPagado,Capital,""), "")</f>
        <v/>
      </c>
      <c r="G140" s="97" t="str">
        <f ca="1">IFERROR(IF(PréstamoNoPagado*PréstamoPagado,AmortizaciónInterés,""), "")</f>
        <v/>
      </c>
      <c r="H140" s="97" t="str">
        <f ca="1">IFERROR(IF(PréstamoNoPagado*PréstamoPagado,SaldoFinal,""), "")</f>
        <v/>
      </c>
    </row>
    <row r="141" spans="2:8" ht="20.100000000000001" customHeight="1" x14ac:dyDescent="0.3">
      <c r="B141" s="105" t="str">
        <f ca="1">IFERROR(IF(PréstamoNoPagado*PréstamoPagado,NúmeroDePago,""), "")</f>
        <v/>
      </c>
      <c r="C141" s="96" t="str">
        <f ca="1">IFERROR(IF(PréstamoNoPagado*PréstamoPagado,FechaDePago,""), "")</f>
        <v/>
      </c>
      <c r="D141" s="97" t="str">
        <f ca="1">IFERROR(IF(PréstamoNoPagado*PréstamoPagado,ValorPréstamo,""), "")</f>
        <v/>
      </c>
      <c r="E141" s="97" t="str">
        <f ca="1">IFERROR(IF(PréstamoNoPagado*PréstamoPagado,PagoMensual,""), "")</f>
        <v/>
      </c>
      <c r="F141" s="97" t="str">
        <f ca="1">IFERROR(IF(PréstamoNoPagado*PréstamoPagado,Capital,""), "")</f>
        <v/>
      </c>
      <c r="G141" s="97" t="str">
        <f ca="1">IFERROR(IF(PréstamoNoPagado*PréstamoPagado,AmortizaciónInterés,""), "")</f>
        <v/>
      </c>
      <c r="H141" s="97" t="str">
        <f ca="1">IFERROR(IF(PréstamoNoPagado*PréstamoPagado,SaldoFinal,""), "")</f>
        <v/>
      </c>
    </row>
    <row r="142" spans="2:8" ht="20.100000000000001" customHeight="1" x14ac:dyDescent="0.3">
      <c r="B142" s="105" t="str">
        <f ca="1">IFERROR(IF(PréstamoNoPagado*PréstamoPagado,NúmeroDePago,""), "")</f>
        <v/>
      </c>
      <c r="C142" s="96" t="str">
        <f ca="1">IFERROR(IF(PréstamoNoPagado*PréstamoPagado,FechaDePago,""), "")</f>
        <v/>
      </c>
      <c r="D142" s="97" t="str">
        <f ca="1">IFERROR(IF(PréstamoNoPagado*PréstamoPagado,ValorPréstamo,""), "")</f>
        <v/>
      </c>
      <c r="E142" s="97" t="str">
        <f ca="1">IFERROR(IF(PréstamoNoPagado*PréstamoPagado,PagoMensual,""), "")</f>
        <v/>
      </c>
      <c r="F142" s="97" t="str">
        <f ca="1">IFERROR(IF(PréstamoNoPagado*PréstamoPagado,Capital,""), "")</f>
        <v/>
      </c>
      <c r="G142" s="97" t="str">
        <f ca="1">IFERROR(IF(PréstamoNoPagado*PréstamoPagado,AmortizaciónInterés,""), "")</f>
        <v/>
      </c>
      <c r="H142" s="97" t="str">
        <f ca="1">IFERROR(IF(PréstamoNoPagado*PréstamoPagado,SaldoFinal,""), "")</f>
        <v/>
      </c>
    </row>
    <row r="143" spans="2:8" ht="20.100000000000001" customHeight="1" x14ac:dyDescent="0.3">
      <c r="B143" s="105" t="str">
        <f ca="1">IFERROR(IF(PréstamoNoPagado*PréstamoPagado,NúmeroDePago,""), "")</f>
        <v/>
      </c>
      <c r="C143" s="96" t="str">
        <f ca="1">IFERROR(IF(PréstamoNoPagado*PréstamoPagado,FechaDePago,""), "")</f>
        <v/>
      </c>
      <c r="D143" s="97" t="str">
        <f ca="1">IFERROR(IF(PréstamoNoPagado*PréstamoPagado,ValorPréstamo,""), "")</f>
        <v/>
      </c>
      <c r="E143" s="97" t="str">
        <f ca="1">IFERROR(IF(PréstamoNoPagado*PréstamoPagado,PagoMensual,""), "")</f>
        <v/>
      </c>
      <c r="F143" s="97" t="str">
        <f ca="1">IFERROR(IF(PréstamoNoPagado*PréstamoPagado,Capital,""), "")</f>
        <v/>
      </c>
      <c r="G143" s="97" t="str">
        <f ca="1">IFERROR(IF(PréstamoNoPagado*PréstamoPagado,AmortizaciónInterés,""), "")</f>
        <v/>
      </c>
      <c r="H143" s="97" t="str">
        <f ca="1">IFERROR(IF(PréstamoNoPagado*PréstamoPagado,SaldoFinal,""), "")</f>
        <v/>
      </c>
    </row>
    <row r="144" spans="2:8" ht="20.100000000000001" customHeight="1" x14ac:dyDescent="0.3">
      <c r="B144" s="105" t="str">
        <f ca="1">IFERROR(IF(PréstamoNoPagado*PréstamoPagado,NúmeroDePago,""), "")</f>
        <v/>
      </c>
      <c r="C144" s="96" t="str">
        <f ca="1">IFERROR(IF(PréstamoNoPagado*PréstamoPagado,FechaDePago,""), "")</f>
        <v/>
      </c>
      <c r="D144" s="97" t="str">
        <f ca="1">IFERROR(IF(PréstamoNoPagado*PréstamoPagado,ValorPréstamo,""), "")</f>
        <v/>
      </c>
      <c r="E144" s="97" t="str">
        <f ca="1">IFERROR(IF(PréstamoNoPagado*PréstamoPagado,PagoMensual,""), "")</f>
        <v/>
      </c>
      <c r="F144" s="97" t="str">
        <f ca="1">IFERROR(IF(PréstamoNoPagado*PréstamoPagado,Capital,""), "")</f>
        <v/>
      </c>
      <c r="G144" s="97" t="str">
        <f ca="1">IFERROR(IF(PréstamoNoPagado*PréstamoPagado,AmortizaciónInterés,""), "")</f>
        <v/>
      </c>
      <c r="H144" s="97" t="str">
        <f ca="1">IFERROR(IF(PréstamoNoPagado*PréstamoPagado,SaldoFinal,""), "")</f>
        <v/>
      </c>
    </row>
    <row r="145" spans="2:8" ht="20.100000000000001" customHeight="1" x14ac:dyDescent="0.3">
      <c r="B145" s="105" t="str">
        <f ca="1">IFERROR(IF(PréstamoNoPagado*PréstamoPagado,NúmeroDePago,""), "")</f>
        <v/>
      </c>
      <c r="C145" s="96" t="str">
        <f ca="1">IFERROR(IF(PréstamoNoPagado*PréstamoPagado,FechaDePago,""), "")</f>
        <v/>
      </c>
      <c r="D145" s="97" t="str">
        <f ca="1">IFERROR(IF(PréstamoNoPagado*PréstamoPagado,ValorPréstamo,""), "")</f>
        <v/>
      </c>
      <c r="E145" s="97" t="str">
        <f ca="1">IFERROR(IF(PréstamoNoPagado*PréstamoPagado,PagoMensual,""), "")</f>
        <v/>
      </c>
      <c r="F145" s="97" t="str">
        <f ca="1">IFERROR(IF(PréstamoNoPagado*PréstamoPagado,Capital,""), "")</f>
        <v/>
      </c>
      <c r="G145" s="97" t="str">
        <f ca="1">IFERROR(IF(PréstamoNoPagado*PréstamoPagado,AmortizaciónInterés,""), "")</f>
        <v/>
      </c>
      <c r="H145" s="97" t="str">
        <f ca="1">IFERROR(IF(PréstamoNoPagado*PréstamoPagado,SaldoFinal,""), "")</f>
        <v/>
      </c>
    </row>
    <row r="146" spans="2:8" ht="20.100000000000001" customHeight="1" x14ac:dyDescent="0.3">
      <c r="B146" s="105" t="str">
        <f ca="1">IFERROR(IF(PréstamoNoPagado*PréstamoPagado,NúmeroDePago,""), "")</f>
        <v/>
      </c>
      <c r="C146" s="96" t="str">
        <f ca="1">IFERROR(IF(PréstamoNoPagado*PréstamoPagado,FechaDePago,""), "")</f>
        <v/>
      </c>
      <c r="D146" s="97" t="str">
        <f ca="1">IFERROR(IF(PréstamoNoPagado*PréstamoPagado,ValorPréstamo,""), "")</f>
        <v/>
      </c>
      <c r="E146" s="97" t="str">
        <f ca="1">IFERROR(IF(PréstamoNoPagado*PréstamoPagado,PagoMensual,""), "")</f>
        <v/>
      </c>
      <c r="F146" s="97" t="str">
        <f ca="1">IFERROR(IF(PréstamoNoPagado*PréstamoPagado,Capital,""), "")</f>
        <v/>
      </c>
      <c r="G146" s="97" t="str">
        <f ca="1">IFERROR(IF(PréstamoNoPagado*PréstamoPagado,AmortizaciónInterés,""), "")</f>
        <v/>
      </c>
      <c r="H146" s="97" t="str">
        <f ca="1">IFERROR(IF(PréstamoNoPagado*PréstamoPagado,SaldoFinal,""), "")</f>
        <v/>
      </c>
    </row>
    <row r="147" spans="2:8" ht="20.100000000000001" customHeight="1" x14ac:dyDescent="0.3">
      <c r="B147" s="105" t="str">
        <f ca="1">IFERROR(IF(PréstamoNoPagado*PréstamoPagado,NúmeroDePago,""), "")</f>
        <v/>
      </c>
      <c r="C147" s="96" t="str">
        <f ca="1">IFERROR(IF(PréstamoNoPagado*PréstamoPagado,FechaDePago,""), "")</f>
        <v/>
      </c>
      <c r="D147" s="97" t="str">
        <f ca="1">IFERROR(IF(PréstamoNoPagado*PréstamoPagado,ValorPréstamo,""), "")</f>
        <v/>
      </c>
      <c r="E147" s="97" t="str">
        <f ca="1">IFERROR(IF(PréstamoNoPagado*PréstamoPagado,PagoMensual,""), "")</f>
        <v/>
      </c>
      <c r="F147" s="97" t="str">
        <f ca="1">IFERROR(IF(PréstamoNoPagado*PréstamoPagado,Capital,""), "")</f>
        <v/>
      </c>
      <c r="G147" s="97" t="str">
        <f ca="1">IFERROR(IF(PréstamoNoPagado*PréstamoPagado,AmortizaciónInterés,""), "")</f>
        <v/>
      </c>
      <c r="H147" s="97" t="str">
        <f ca="1">IFERROR(IF(PréstamoNoPagado*PréstamoPagado,SaldoFinal,""), "")</f>
        <v/>
      </c>
    </row>
    <row r="148" spans="2:8" ht="20.100000000000001" customHeight="1" x14ac:dyDescent="0.3">
      <c r="B148" s="105" t="str">
        <f ca="1">IFERROR(IF(PréstamoNoPagado*PréstamoPagado,NúmeroDePago,""), "")</f>
        <v/>
      </c>
      <c r="C148" s="96" t="str">
        <f ca="1">IFERROR(IF(PréstamoNoPagado*PréstamoPagado,FechaDePago,""), "")</f>
        <v/>
      </c>
      <c r="D148" s="97" t="str">
        <f ca="1">IFERROR(IF(PréstamoNoPagado*PréstamoPagado,ValorPréstamo,""), "")</f>
        <v/>
      </c>
      <c r="E148" s="97" t="str">
        <f ca="1">IFERROR(IF(PréstamoNoPagado*PréstamoPagado,PagoMensual,""), "")</f>
        <v/>
      </c>
      <c r="F148" s="97" t="str">
        <f ca="1">IFERROR(IF(PréstamoNoPagado*PréstamoPagado,Capital,""), "")</f>
        <v/>
      </c>
      <c r="G148" s="97" t="str">
        <f ca="1">IFERROR(IF(PréstamoNoPagado*PréstamoPagado,AmortizaciónInterés,""), "")</f>
        <v/>
      </c>
      <c r="H148" s="97" t="str">
        <f ca="1">IFERROR(IF(PréstamoNoPagado*PréstamoPagado,SaldoFinal,""), "")</f>
        <v/>
      </c>
    </row>
    <row r="149" spans="2:8" ht="20.100000000000001" customHeight="1" x14ac:dyDescent="0.3">
      <c r="B149" s="105" t="str">
        <f ca="1">IFERROR(IF(PréstamoNoPagado*PréstamoPagado,NúmeroDePago,""), "")</f>
        <v/>
      </c>
      <c r="C149" s="96" t="str">
        <f ca="1">IFERROR(IF(PréstamoNoPagado*PréstamoPagado,FechaDePago,""), "")</f>
        <v/>
      </c>
      <c r="D149" s="97" t="str">
        <f ca="1">IFERROR(IF(PréstamoNoPagado*PréstamoPagado,ValorPréstamo,""), "")</f>
        <v/>
      </c>
      <c r="E149" s="97" t="str">
        <f ca="1">IFERROR(IF(PréstamoNoPagado*PréstamoPagado,PagoMensual,""), "")</f>
        <v/>
      </c>
      <c r="F149" s="97" t="str">
        <f ca="1">IFERROR(IF(PréstamoNoPagado*PréstamoPagado,Capital,""), "")</f>
        <v/>
      </c>
      <c r="G149" s="97" t="str">
        <f ca="1">IFERROR(IF(PréstamoNoPagado*PréstamoPagado,AmortizaciónInterés,""), "")</f>
        <v/>
      </c>
      <c r="H149" s="97" t="str">
        <f ca="1">IFERROR(IF(PréstamoNoPagado*PréstamoPagado,SaldoFinal,""), "")</f>
        <v/>
      </c>
    </row>
    <row r="150" spans="2:8" ht="20.100000000000001" customHeight="1" x14ac:dyDescent="0.3">
      <c r="B150" s="105" t="str">
        <f ca="1">IFERROR(IF(PréstamoNoPagado*PréstamoPagado,NúmeroDePago,""), "")</f>
        <v/>
      </c>
      <c r="C150" s="96" t="str">
        <f ca="1">IFERROR(IF(PréstamoNoPagado*PréstamoPagado,FechaDePago,""), "")</f>
        <v/>
      </c>
      <c r="D150" s="97" t="str">
        <f ca="1">IFERROR(IF(PréstamoNoPagado*PréstamoPagado,ValorPréstamo,""), "")</f>
        <v/>
      </c>
      <c r="E150" s="97" t="str">
        <f ca="1">IFERROR(IF(PréstamoNoPagado*PréstamoPagado,PagoMensual,""), "")</f>
        <v/>
      </c>
      <c r="F150" s="97" t="str">
        <f ca="1">IFERROR(IF(PréstamoNoPagado*PréstamoPagado,Capital,""), "")</f>
        <v/>
      </c>
      <c r="G150" s="97" t="str">
        <f ca="1">IFERROR(IF(PréstamoNoPagado*PréstamoPagado,AmortizaciónInterés,""), "")</f>
        <v/>
      </c>
      <c r="H150" s="97" t="str">
        <f ca="1">IFERROR(IF(PréstamoNoPagado*PréstamoPagado,SaldoFinal,""), "")</f>
        <v/>
      </c>
    </row>
    <row r="151" spans="2:8" ht="20.100000000000001" customHeight="1" x14ac:dyDescent="0.3">
      <c r="B151" s="105" t="str">
        <f ca="1">IFERROR(IF(PréstamoNoPagado*PréstamoPagado,NúmeroDePago,""), "")</f>
        <v/>
      </c>
      <c r="C151" s="96" t="str">
        <f ca="1">IFERROR(IF(PréstamoNoPagado*PréstamoPagado,FechaDePago,""), "")</f>
        <v/>
      </c>
      <c r="D151" s="97" t="str">
        <f ca="1">IFERROR(IF(PréstamoNoPagado*PréstamoPagado,ValorPréstamo,""), "")</f>
        <v/>
      </c>
      <c r="E151" s="97" t="str">
        <f ca="1">IFERROR(IF(PréstamoNoPagado*PréstamoPagado,PagoMensual,""), "")</f>
        <v/>
      </c>
      <c r="F151" s="97" t="str">
        <f ca="1">IFERROR(IF(PréstamoNoPagado*PréstamoPagado,Capital,""), "")</f>
        <v/>
      </c>
      <c r="G151" s="97" t="str">
        <f ca="1">IFERROR(IF(PréstamoNoPagado*PréstamoPagado,AmortizaciónInterés,""), "")</f>
        <v/>
      </c>
      <c r="H151" s="97" t="str">
        <f ca="1">IFERROR(IF(PréstamoNoPagado*PréstamoPagado,SaldoFinal,""), "")</f>
        <v/>
      </c>
    </row>
    <row r="152" spans="2:8" ht="20.100000000000001" customHeight="1" x14ac:dyDescent="0.3">
      <c r="B152" s="105" t="str">
        <f ca="1">IFERROR(IF(PréstamoNoPagado*PréstamoPagado,NúmeroDePago,""), "")</f>
        <v/>
      </c>
      <c r="C152" s="96" t="str">
        <f ca="1">IFERROR(IF(PréstamoNoPagado*PréstamoPagado,FechaDePago,""), "")</f>
        <v/>
      </c>
      <c r="D152" s="97" t="str">
        <f ca="1">IFERROR(IF(PréstamoNoPagado*PréstamoPagado,ValorPréstamo,""), "")</f>
        <v/>
      </c>
      <c r="E152" s="97" t="str">
        <f ca="1">IFERROR(IF(PréstamoNoPagado*PréstamoPagado,PagoMensual,""), "")</f>
        <v/>
      </c>
      <c r="F152" s="97" t="str">
        <f ca="1">IFERROR(IF(PréstamoNoPagado*PréstamoPagado,Capital,""), "")</f>
        <v/>
      </c>
      <c r="G152" s="97" t="str">
        <f ca="1">IFERROR(IF(PréstamoNoPagado*PréstamoPagado,AmortizaciónInterés,""), "")</f>
        <v/>
      </c>
      <c r="H152" s="97" t="str">
        <f ca="1">IFERROR(IF(PréstamoNoPagado*PréstamoPagado,SaldoFinal,""), "")</f>
        <v/>
      </c>
    </row>
    <row r="153" spans="2:8" ht="20.100000000000001" customHeight="1" x14ac:dyDescent="0.3">
      <c r="B153" s="105" t="str">
        <f ca="1">IFERROR(IF(PréstamoNoPagado*PréstamoPagado,NúmeroDePago,""), "")</f>
        <v/>
      </c>
      <c r="C153" s="96" t="str">
        <f ca="1">IFERROR(IF(PréstamoNoPagado*PréstamoPagado,FechaDePago,""), "")</f>
        <v/>
      </c>
      <c r="D153" s="97" t="str">
        <f ca="1">IFERROR(IF(PréstamoNoPagado*PréstamoPagado,ValorPréstamo,""), "")</f>
        <v/>
      </c>
      <c r="E153" s="97" t="str">
        <f ca="1">IFERROR(IF(PréstamoNoPagado*PréstamoPagado,PagoMensual,""), "")</f>
        <v/>
      </c>
      <c r="F153" s="97" t="str">
        <f ca="1">IFERROR(IF(PréstamoNoPagado*PréstamoPagado,Capital,""), "")</f>
        <v/>
      </c>
      <c r="G153" s="97" t="str">
        <f ca="1">IFERROR(IF(PréstamoNoPagado*PréstamoPagado,AmortizaciónInterés,""), "")</f>
        <v/>
      </c>
      <c r="H153" s="97" t="str">
        <f ca="1">IFERROR(IF(PréstamoNoPagado*PréstamoPagado,SaldoFinal,""), "")</f>
        <v/>
      </c>
    </row>
    <row r="154" spans="2:8" ht="20.100000000000001" customHeight="1" x14ac:dyDescent="0.3">
      <c r="B154" s="105" t="str">
        <f ca="1">IFERROR(IF(PréstamoNoPagado*PréstamoPagado,NúmeroDePago,""), "")</f>
        <v/>
      </c>
      <c r="C154" s="96" t="str">
        <f ca="1">IFERROR(IF(PréstamoNoPagado*PréstamoPagado,FechaDePago,""), "")</f>
        <v/>
      </c>
      <c r="D154" s="97" t="str">
        <f ca="1">IFERROR(IF(PréstamoNoPagado*PréstamoPagado,ValorPréstamo,""), "")</f>
        <v/>
      </c>
      <c r="E154" s="97" t="str">
        <f ca="1">IFERROR(IF(PréstamoNoPagado*PréstamoPagado,PagoMensual,""), "")</f>
        <v/>
      </c>
      <c r="F154" s="97" t="str">
        <f ca="1">IFERROR(IF(PréstamoNoPagado*PréstamoPagado,Capital,""), "")</f>
        <v/>
      </c>
      <c r="G154" s="97" t="str">
        <f ca="1">IFERROR(IF(PréstamoNoPagado*PréstamoPagado,AmortizaciónInterés,""), "")</f>
        <v/>
      </c>
      <c r="H154" s="97" t="str">
        <f ca="1">IFERROR(IF(PréstamoNoPagado*PréstamoPagado,SaldoFinal,""), "")</f>
        <v/>
      </c>
    </row>
    <row r="155" spans="2:8" ht="20.100000000000001" customHeight="1" x14ac:dyDescent="0.3">
      <c r="B155" s="105" t="str">
        <f ca="1">IFERROR(IF(PréstamoNoPagado*PréstamoPagado,NúmeroDePago,""), "")</f>
        <v/>
      </c>
      <c r="C155" s="96" t="str">
        <f ca="1">IFERROR(IF(PréstamoNoPagado*PréstamoPagado,FechaDePago,""), "")</f>
        <v/>
      </c>
      <c r="D155" s="97" t="str">
        <f ca="1">IFERROR(IF(PréstamoNoPagado*PréstamoPagado,ValorPréstamo,""), "")</f>
        <v/>
      </c>
      <c r="E155" s="97" t="str">
        <f ca="1">IFERROR(IF(PréstamoNoPagado*PréstamoPagado,PagoMensual,""), "")</f>
        <v/>
      </c>
      <c r="F155" s="97" t="str">
        <f ca="1">IFERROR(IF(PréstamoNoPagado*PréstamoPagado,Capital,""), "")</f>
        <v/>
      </c>
      <c r="G155" s="97" t="str">
        <f ca="1">IFERROR(IF(PréstamoNoPagado*PréstamoPagado,AmortizaciónInterés,""), "")</f>
        <v/>
      </c>
      <c r="H155" s="97" t="str">
        <f ca="1">IFERROR(IF(PréstamoNoPagado*PréstamoPagado,SaldoFinal,""), "")</f>
        <v/>
      </c>
    </row>
    <row r="156" spans="2:8" ht="20.100000000000001" customHeight="1" x14ac:dyDescent="0.3">
      <c r="B156" s="105" t="str">
        <f ca="1">IFERROR(IF(PréstamoNoPagado*PréstamoPagado,NúmeroDePago,""), "")</f>
        <v/>
      </c>
      <c r="C156" s="96" t="str">
        <f ca="1">IFERROR(IF(PréstamoNoPagado*PréstamoPagado,FechaDePago,""), "")</f>
        <v/>
      </c>
      <c r="D156" s="97" t="str">
        <f ca="1">IFERROR(IF(PréstamoNoPagado*PréstamoPagado,ValorPréstamo,""), "")</f>
        <v/>
      </c>
      <c r="E156" s="97" t="str">
        <f ca="1">IFERROR(IF(PréstamoNoPagado*PréstamoPagado,PagoMensual,""), "")</f>
        <v/>
      </c>
      <c r="F156" s="97" t="str">
        <f ca="1">IFERROR(IF(PréstamoNoPagado*PréstamoPagado,Capital,""), "")</f>
        <v/>
      </c>
      <c r="G156" s="97" t="str">
        <f ca="1">IFERROR(IF(PréstamoNoPagado*PréstamoPagado,AmortizaciónInterés,""), "")</f>
        <v/>
      </c>
      <c r="H156" s="97" t="str">
        <f ca="1">IFERROR(IF(PréstamoNoPagado*PréstamoPagado,SaldoFinal,""), "")</f>
        <v/>
      </c>
    </row>
    <row r="157" spans="2:8" ht="20.100000000000001" customHeight="1" x14ac:dyDescent="0.3">
      <c r="B157" s="105" t="str">
        <f ca="1">IFERROR(IF(PréstamoNoPagado*PréstamoPagado,NúmeroDePago,""), "")</f>
        <v/>
      </c>
      <c r="C157" s="96" t="str">
        <f ca="1">IFERROR(IF(PréstamoNoPagado*PréstamoPagado,FechaDePago,""), "")</f>
        <v/>
      </c>
      <c r="D157" s="97" t="str">
        <f ca="1">IFERROR(IF(PréstamoNoPagado*PréstamoPagado,ValorPréstamo,""), "")</f>
        <v/>
      </c>
      <c r="E157" s="97" t="str">
        <f ca="1">IFERROR(IF(PréstamoNoPagado*PréstamoPagado,PagoMensual,""), "")</f>
        <v/>
      </c>
      <c r="F157" s="97" t="str">
        <f ca="1">IFERROR(IF(PréstamoNoPagado*PréstamoPagado,Capital,""), "")</f>
        <v/>
      </c>
      <c r="G157" s="97" t="str">
        <f ca="1">IFERROR(IF(PréstamoNoPagado*PréstamoPagado,AmortizaciónInterés,""), "")</f>
        <v/>
      </c>
      <c r="H157" s="97" t="str">
        <f ca="1">IFERROR(IF(PréstamoNoPagado*PréstamoPagado,SaldoFinal,""), "")</f>
        <v/>
      </c>
    </row>
    <row r="158" spans="2:8" ht="20.100000000000001" customHeight="1" x14ac:dyDescent="0.3">
      <c r="B158" s="105" t="str">
        <f ca="1">IFERROR(IF(PréstamoNoPagado*PréstamoPagado,NúmeroDePago,""), "")</f>
        <v/>
      </c>
      <c r="C158" s="96" t="str">
        <f ca="1">IFERROR(IF(PréstamoNoPagado*PréstamoPagado,FechaDePago,""), "")</f>
        <v/>
      </c>
      <c r="D158" s="97" t="str">
        <f ca="1">IFERROR(IF(PréstamoNoPagado*PréstamoPagado,ValorPréstamo,""), "")</f>
        <v/>
      </c>
      <c r="E158" s="97" t="str">
        <f ca="1">IFERROR(IF(PréstamoNoPagado*PréstamoPagado,PagoMensual,""), "")</f>
        <v/>
      </c>
      <c r="F158" s="97" t="str">
        <f ca="1">IFERROR(IF(PréstamoNoPagado*PréstamoPagado,Capital,""), "")</f>
        <v/>
      </c>
      <c r="G158" s="97" t="str">
        <f ca="1">IFERROR(IF(PréstamoNoPagado*PréstamoPagado,AmortizaciónInterés,""), "")</f>
        <v/>
      </c>
      <c r="H158" s="97" t="str">
        <f ca="1">IFERROR(IF(PréstamoNoPagado*PréstamoPagado,SaldoFinal,""), "")</f>
        <v/>
      </c>
    </row>
    <row r="159" spans="2:8" ht="20.100000000000001" customHeight="1" x14ac:dyDescent="0.3">
      <c r="B159" s="105" t="str">
        <f ca="1">IFERROR(IF(PréstamoNoPagado*PréstamoPagado,NúmeroDePago,""), "")</f>
        <v/>
      </c>
      <c r="C159" s="96" t="str">
        <f ca="1">IFERROR(IF(PréstamoNoPagado*PréstamoPagado,FechaDePago,""), "")</f>
        <v/>
      </c>
      <c r="D159" s="97" t="str">
        <f ca="1">IFERROR(IF(PréstamoNoPagado*PréstamoPagado,ValorPréstamo,""), "")</f>
        <v/>
      </c>
      <c r="E159" s="97" t="str">
        <f ca="1">IFERROR(IF(PréstamoNoPagado*PréstamoPagado,PagoMensual,""), "")</f>
        <v/>
      </c>
      <c r="F159" s="97" t="str">
        <f ca="1">IFERROR(IF(PréstamoNoPagado*PréstamoPagado,Capital,""), "")</f>
        <v/>
      </c>
      <c r="G159" s="97" t="str">
        <f ca="1">IFERROR(IF(PréstamoNoPagado*PréstamoPagado,AmortizaciónInterés,""), "")</f>
        <v/>
      </c>
      <c r="H159" s="97" t="str">
        <f ca="1">IFERROR(IF(PréstamoNoPagado*PréstamoPagado,SaldoFinal,""), "")</f>
        <v/>
      </c>
    </row>
    <row r="160" spans="2:8" ht="20.100000000000001" customHeight="1" x14ac:dyDescent="0.3">
      <c r="B160" s="105" t="str">
        <f ca="1">IFERROR(IF(PréstamoNoPagado*PréstamoPagado,NúmeroDePago,""), "")</f>
        <v/>
      </c>
      <c r="C160" s="96" t="str">
        <f ca="1">IFERROR(IF(PréstamoNoPagado*PréstamoPagado,FechaDePago,""), "")</f>
        <v/>
      </c>
      <c r="D160" s="97" t="str">
        <f ca="1">IFERROR(IF(PréstamoNoPagado*PréstamoPagado,ValorPréstamo,""), "")</f>
        <v/>
      </c>
      <c r="E160" s="97" t="str">
        <f ca="1">IFERROR(IF(PréstamoNoPagado*PréstamoPagado,PagoMensual,""), "")</f>
        <v/>
      </c>
      <c r="F160" s="97" t="str">
        <f ca="1">IFERROR(IF(PréstamoNoPagado*PréstamoPagado,Capital,""), "")</f>
        <v/>
      </c>
      <c r="G160" s="97" t="str">
        <f ca="1">IFERROR(IF(PréstamoNoPagado*PréstamoPagado,AmortizaciónInterés,""), "")</f>
        <v/>
      </c>
      <c r="H160" s="97" t="str">
        <f ca="1">IFERROR(IF(PréstamoNoPagado*PréstamoPagado,SaldoFinal,""), "")</f>
        <v/>
      </c>
    </row>
    <row r="161" spans="2:8" ht="20.100000000000001" customHeight="1" x14ac:dyDescent="0.3">
      <c r="B161" s="105" t="str">
        <f ca="1">IFERROR(IF(PréstamoNoPagado*PréstamoPagado,NúmeroDePago,""), "")</f>
        <v/>
      </c>
      <c r="C161" s="96" t="str">
        <f ca="1">IFERROR(IF(PréstamoNoPagado*PréstamoPagado,FechaDePago,""), "")</f>
        <v/>
      </c>
      <c r="D161" s="97" t="str">
        <f ca="1">IFERROR(IF(PréstamoNoPagado*PréstamoPagado,ValorPréstamo,""), "")</f>
        <v/>
      </c>
      <c r="E161" s="97" t="str">
        <f ca="1">IFERROR(IF(PréstamoNoPagado*PréstamoPagado,PagoMensual,""), "")</f>
        <v/>
      </c>
      <c r="F161" s="97" t="str">
        <f ca="1">IFERROR(IF(PréstamoNoPagado*PréstamoPagado,Capital,""), "")</f>
        <v/>
      </c>
      <c r="G161" s="97" t="str">
        <f ca="1">IFERROR(IF(PréstamoNoPagado*PréstamoPagado,AmortizaciónInterés,""), "")</f>
        <v/>
      </c>
      <c r="H161" s="97" t="str">
        <f ca="1">IFERROR(IF(PréstamoNoPagado*PréstamoPagado,SaldoFinal,""), "")</f>
        <v/>
      </c>
    </row>
    <row r="162" spans="2:8" ht="20.100000000000001" customHeight="1" x14ac:dyDescent="0.3">
      <c r="B162" s="105" t="str">
        <f ca="1">IFERROR(IF(PréstamoNoPagado*PréstamoPagado,NúmeroDePago,""), "")</f>
        <v/>
      </c>
      <c r="C162" s="96" t="str">
        <f ca="1">IFERROR(IF(PréstamoNoPagado*PréstamoPagado,FechaDePago,""), "")</f>
        <v/>
      </c>
      <c r="D162" s="97" t="str">
        <f ca="1">IFERROR(IF(PréstamoNoPagado*PréstamoPagado,ValorPréstamo,""), "")</f>
        <v/>
      </c>
      <c r="E162" s="97" t="str">
        <f ca="1">IFERROR(IF(PréstamoNoPagado*PréstamoPagado,PagoMensual,""), "")</f>
        <v/>
      </c>
      <c r="F162" s="97" t="str">
        <f ca="1">IFERROR(IF(PréstamoNoPagado*PréstamoPagado,Capital,""), "")</f>
        <v/>
      </c>
      <c r="G162" s="97" t="str">
        <f ca="1">IFERROR(IF(PréstamoNoPagado*PréstamoPagado,AmortizaciónInterés,""), "")</f>
        <v/>
      </c>
      <c r="H162" s="97" t="str">
        <f ca="1">IFERROR(IF(PréstamoNoPagado*PréstamoPagado,SaldoFinal,""), "")</f>
        <v/>
      </c>
    </row>
    <row r="163" spans="2:8" ht="20.100000000000001" customHeight="1" x14ac:dyDescent="0.3">
      <c r="B163" s="105" t="str">
        <f ca="1">IFERROR(IF(PréstamoNoPagado*PréstamoPagado,NúmeroDePago,""), "")</f>
        <v/>
      </c>
      <c r="C163" s="96" t="str">
        <f ca="1">IFERROR(IF(PréstamoNoPagado*PréstamoPagado,FechaDePago,""), "")</f>
        <v/>
      </c>
      <c r="D163" s="97" t="str">
        <f ca="1">IFERROR(IF(PréstamoNoPagado*PréstamoPagado,ValorPréstamo,""), "")</f>
        <v/>
      </c>
      <c r="E163" s="97" t="str">
        <f ca="1">IFERROR(IF(PréstamoNoPagado*PréstamoPagado,PagoMensual,""), "")</f>
        <v/>
      </c>
      <c r="F163" s="97" t="str">
        <f ca="1">IFERROR(IF(PréstamoNoPagado*PréstamoPagado,Capital,""), "")</f>
        <v/>
      </c>
      <c r="G163" s="97" t="str">
        <f ca="1">IFERROR(IF(PréstamoNoPagado*PréstamoPagado,AmortizaciónInterés,""), "")</f>
        <v/>
      </c>
      <c r="H163" s="97" t="str">
        <f ca="1">IFERROR(IF(PréstamoNoPagado*PréstamoPagado,SaldoFinal,""), "")</f>
        <v/>
      </c>
    </row>
    <row r="164" spans="2:8" ht="20.100000000000001" customHeight="1" x14ac:dyDescent="0.3">
      <c r="B164" s="105" t="str">
        <f ca="1">IFERROR(IF(PréstamoNoPagado*PréstamoPagado,NúmeroDePago,""), "")</f>
        <v/>
      </c>
      <c r="C164" s="96" t="str">
        <f ca="1">IFERROR(IF(PréstamoNoPagado*PréstamoPagado,FechaDePago,""), "")</f>
        <v/>
      </c>
      <c r="D164" s="97" t="str">
        <f ca="1">IFERROR(IF(PréstamoNoPagado*PréstamoPagado,ValorPréstamo,""), "")</f>
        <v/>
      </c>
      <c r="E164" s="97" t="str">
        <f ca="1">IFERROR(IF(PréstamoNoPagado*PréstamoPagado,PagoMensual,""), "")</f>
        <v/>
      </c>
      <c r="F164" s="97" t="str">
        <f ca="1">IFERROR(IF(PréstamoNoPagado*PréstamoPagado,Capital,""), "")</f>
        <v/>
      </c>
      <c r="G164" s="97" t="str">
        <f ca="1">IFERROR(IF(PréstamoNoPagado*PréstamoPagado,AmortizaciónInterés,""), "")</f>
        <v/>
      </c>
      <c r="H164" s="97" t="str">
        <f ca="1">IFERROR(IF(PréstamoNoPagado*PréstamoPagado,SaldoFinal,""), "")</f>
        <v/>
      </c>
    </row>
    <row r="165" spans="2:8" ht="20.100000000000001" customHeight="1" x14ac:dyDescent="0.3">
      <c r="B165" s="105" t="str">
        <f ca="1">IFERROR(IF(PréstamoNoPagado*PréstamoPagado,NúmeroDePago,""), "")</f>
        <v/>
      </c>
      <c r="C165" s="96" t="str">
        <f ca="1">IFERROR(IF(PréstamoNoPagado*PréstamoPagado,FechaDePago,""), "")</f>
        <v/>
      </c>
      <c r="D165" s="97" t="str">
        <f ca="1">IFERROR(IF(PréstamoNoPagado*PréstamoPagado,ValorPréstamo,""), "")</f>
        <v/>
      </c>
      <c r="E165" s="97" t="str">
        <f ca="1">IFERROR(IF(PréstamoNoPagado*PréstamoPagado,PagoMensual,""), "")</f>
        <v/>
      </c>
      <c r="F165" s="97" t="str">
        <f ca="1">IFERROR(IF(PréstamoNoPagado*PréstamoPagado,Capital,""), "")</f>
        <v/>
      </c>
      <c r="G165" s="97" t="str">
        <f ca="1">IFERROR(IF(PréstamoNoPagado*PréstamoPagado,AmortizaciónInterés,""), "")</f>
        <v/>
      </c>
      <c r="H165" s="97" t="str">
        <f ca="1">IFERROR(IF(PréstamoNoPagado*PréstamoPagado,SaldoFinal,""), "")</f>
        <v/>
      </c>
    </row>
    <row r="166" spans="2:8" ht="20.100000000000001" customHeight="1" x14ac:dyDescent="0.3">
      <c r="B166" s="105" t="str">
        <f ca="1">IFERROR(IF(PréstamoNoPagado*PréstamoPagado,NúmeroDePago,""), "")</f>
        <v/>
      </c>
      <c r="C166" s="96" t="str">
        <f ca="1">IFERROR(IF(PréstamoNoPagado*PréstamoPagado,FechaDePago,""), "")</f>
        <v/>
      </c>
      <c r="D166" s="97" t="str">
        <f ca="1">IFERROR(IF(PréstamoNoPagado*PréstamoPagado,ValorPréstamo,""), "")</f>
        <v/>
      </c>
      <c r="E166" s="97" t="str">
        <f ca="1">IFERROR(IF(PréstamoNoPagado*PréstamoPagado,PagoMensual,""), "")</f>
        <v/>
      </c>
      <c r="F166" s="97" t="str">
        <f ca="1">IFERROR(IF(PréstamoNoPagado*PréstamoPagado,Capital,""), "")</f>
        <v/>
      </c>
      <c r="G166" s="97" t="str">
        <f ca="1">IFERROR(IF(PréstamoNoPagado*PréstamoPagado,AmortizaciónInterés,""), "")</f>
        <v/>
      </c>
      <c r="H166" s="97" t="str">
        <f ca="1">IFERROR(IF(PréstamoNoPagado*PréstamoPagado,SaldoFinal,""), "")</f>
        <v/>
      </c>
    </row>
    <row r="167" spans="2:8" ht="20.100000000000001" customHeight="1" x14ac:dyDescent="0.3">
      <c r="B167" s="105" t="str">
        <f ca="1">IFERROR(IF(PréstamoNoPagado*PréstamoPagado,NúmeroDePago,""), "")</f>
        <v/>
      </c>
      <c r="C167" s="96" t="str">
        <f ca="1">IFERROR(IF(PréstamoNoPagado*PréstamoPagado,FechaDePago,""), "")</f>
        <v/>
      </c>
      <c r="D167" s="97" t="str">
        <f ca="1">IFERROR(IF(PréstamoNoPagado*PréstamoPagado,ValorPréstamo,""), "")</f>
        <v/>
      </c>
      <c r="E167" s="97" t="str">
        <f ca="1">IFERROR(IF(PréstamoNoPagado*PréstamoPagado,PagoMensual,""), "")</f>
        <v/>
      </c>
      <c r="F167" s="97" t="str">
        <f ca="1">IFERROR(IF(PréstamoNoPagado*PréstamoPagado,Capital,""), "")</f>
        <v/>
      </c>
      <c r="G167" s="97" t="str">
        <f ca="1">IFERROR(IF(PréstamoNoPagado*PréstamoPagado,AmortizaciónInterés,""), "")</f>
        <v/>
      </c>
      <c r="H167" s="97" t="str">
        <f ca="1">IFERROR(IF(PréstamoNoPagado*PréstamoPagado,SaldoFinal,""), "")</f>
        <v/>
      </c>
    </row>
    <row r="168" spans="2:8" ht="20.100000000000001" customHeight="1" x14ac:dyDescent="0.3">
      <c r="B168" s="105" t="str">
        <f ca="1">IFERROR(IF(PréstamoNoPagado*PréstamoPagado,NúmeroDePago,""), "")</f>
        <v/>
      </c>
      <c r="C168" s="96" t="str">
        <f ca="1">IFERROR(IF(PréstamoNoPagado*PréstamoPagado,FechaDePago,""), "")</f>
        <v/>
      </c>
      <c r="D168" s="97" t="str">
        <f ca="1">IFERROR(IF(PréstamoNoPagado*PréstamoPagado,ValorPréstamo,""), "")</f>
        <v/>
      </c>
      <c r="E168" s="97" t="str">
        <f ca="1">IFERROR(IF(PréstamoNoPagado*PréstamoPagado,PagoMensual,""), "")</f>
        <v/>
      </c>
      <c r="F168" s="97" t="str">
        <f ca="1">IFERROR(IF(PréstamoNoPagado*PréstamoPagado,Capital,""), "")</f>
        <v/>
      </c>
      <c r="G168" s="97" t="str">
        <f ca="1">IFERROR(IF(PréstamoNoPagado*PréstamoPagado,AmortizaciónInterés,""), "")</f>
        <v/>
      </c>
      <c r="H168" s="97" t="str">
        <f ca="1">IFERROR(IF(PréstamoNoPagado*PréstamoPagado,SaldoFinal,""), "")</f>
        <v/>
      </c>
    </row>
    <row r="169" spans="2:8" ht="20.100000000000001" customHeight="1" x14ac:dyDescent="0.3">
      <c r="B169" s="105" t="str">
        <f ca="1">IFERROR(IF(PréstamoNoPagado*PréstamoPagado,NúmeroDePago,""), "")</f>
        <v/>
      </c>
      <c r="C169" s="96" t="str">
        <f ca="1">IFERROR(IF(PréstamoNoPagado*PréstamoPagado,FechaDePago,""), "")</f>
        <v/>
      </c>
      <c r="D169" s="97" t="str">
        <f ca="1">IFERROR(IF(PréstamoNoPagado*PréstamoPagado,ValorPréstamo,""), "")</f>
        <v/>
      </c>
      <c r="E169" s="97" t="str">
        <f ca="1">IFERROR(IF(PréstamoNoPagado*PréstamoPagado,PagoMensual,""), "")</f>
        <v/>
      </c>
      <c r="F169" s="97" t="str">
        <f ca="1">IFERROR(IF(PréstamoNoPagado*PréstamoPagado,Capital,""), "")</f>
        <v/>
      </c>
      <c r="G169" s="97" t="str">
        <f ca="1">IFERROR(IF(PréstamoNoPagado*PréstamoPagado,AmortizaciónInterés,""), "")</f>
        <v/>
      </c>
      <c r="H169" s="97" t="str">
        <f ca="1">IFERROR(IF(PréstamoNoPagado*PréstamoPagado,SaldoFinal,""), "")</f>
        <v/>
      </c>
    </row>
    <row r="170" spans="2:8" ht="20.100000000000001" customHeight="1" x14ac:dyDescent="0.3">
      <c r="B170" s="105" t="str">
        <f ca="1">IFERROR(IF(PréstamoNoPagado*PréstamoPagado,NúmeroDePago,""), "")</f>
        <v/>
      </c>
      <c r="C170" s="96" t="str">
        <f ca="1">IFERROR(IF(PréstamoNoPagado*PréstamoPagado,FechaDePago,""), "")</f>
        <v/>
      </c>
      <c r="D170" s="97" t="str">
        <f ca="1">IFERROR(IF(PréstamoNoPagado*PréstamoPagado,ValorPréstamo,""), "")</f>
        <v/>
      </c>
      <c r="E170" s="97" t="str">
        <f ca="1">IFERROR(IF(PréstamoNoPagado*PréstamoPagado,PagoMensual,""), "")</f>
        <v/>
      </c>
      <c r="F170" s="97" t="str">
        <f ca="1">IFERROR(IF(PréstamoNoPagado*PréstamoPagado,Capital,""), "")</f>
        <v/>
      </c>
      <c r="G170" s="97" t="str">
        <f ca="1">IFERROR(IF(PréstamoNoPagado*PréstamoPagado,AmortizaciónInterés,""), "")</f>
        <v/>
      </c>
      <c r="H170" s="97" t="str">
        <f ca="1">IFERROR(IF(PréstamoNoPagado*PréstamoPagado,SaldoFinal,""), "")</f>
        <v/>
      </c>
    </row>
    <row r="171" spans="2:8" ht="20.100000000000001" customHeight="1" x14ac:dyDescent="0.3">
      <c r="B171" s="105" t="str">
        <f ca="1">IFERROR(IF(PréstamoNoPagado*PréstamoPagado,NúmeroDePago,""), "")</f>
        <v/>
      </c>
      <c r="C171" s="96" t="str">
        <f ca="1">IFERROR(IF(PréstamoNoPagado*PréstamoPagado,FechaDePago,""), "")</f>
        <v/>
      </c>
      <c r="D171" s="97" t="str">
        <f ca="1">IFERROR(IF(PréstamoNoPagado*PréstamoPagado,ValorPréstamo,""), "")</f>
        <v/>
      </c>
      <c r="E171" s="97" t="str">
        <f ca="1">IFERROR(IF(PréstamoNoPagado*PréstamoPagado,PagoMensual,""), "")</f>
        <v/>
      </c>
      <c r="F171" s="97" t="str">
        <f ca="1">IFERROR(IF(PréstamoNoPagado*PréstamoPagado,Capital,""), "")</f>
        <v/>
      </c>
      <c r="G171" s="97" t="str">
        <f ca="1">IFERROR(IF(PréstamoNoPagado*PréstamoPagado,AmortizaciónInterés,""), "")</f>
        <v/>
      </c>
      <c r="H171" s="97" t="str">
        <f ca="1">IFERROR(IF(PréstamoNoPagado*PréstamoPagado,SaldoFinal,""), "")</f>
        <v/>
      </c>
    </row>
    <row r="172" spans="2:8" ht="20.100000000000001" customHeight="1" x14ac:dyDescent="0.3">
      <c r="B172" s="105" t="str">
        <f ca="1">IFERROR(IF(PréstamoNoPagado*PréstamoPagado,NúmeroDePago,""), "")</f>
        <v/>
      </c>
      <c r="C172" s="96" t="str">
        <f ca="1">IFERROR(IF(PréstamoNoPagado*PréstamoPagado,FechaDePago,""), "")</f>
        <v/>
      </c>
      <c r="D172" s="97" t="str">
        <f ca="1">IFERROR(IF(PréstamoNoPagado*PréstamoPagado,ValorPréstamo,""), "")</f>
        <v/>
      </c>
      <c r="E172" s="97" t="str">
        <f ca="1">IFERROR(IF(PréstamoNoPagado*PréstamoPagado,PagoMensual,""), "")</f>
        <v/>
      </c>
      <c r="F172" s="97" t="str">
        <f ca="1">IFERROR(IF(PréstamoNoPagado*PréstamoPagado,Capital,""), "")</f>
        <v/>
      </c>
      <c r="G172" s="97" t="str">
        <f ca="1">IFERROR(IF(PréstamoNoPagado*PréstamoPagado,AmortizaciónInterés,""), "")</f>
        <v/>
      </c>
      <c r="H172" s="97" t="str">
        <f ca="1">IFERROR(IF(PréstamoNoPagado*PréstamoPagado,SaldoFinal,""), "")</f>
        <v/>
      </c>
    </row>
    <row r="173" spans="2:8" ht="20.100000000000001" customHeight="1" x14ac:dyDescent="0.3">
      <c r="B173" s="105" t="str">
        <f ca="1">IFERROR(IF(PréstamoNoPagado*PréstamoPagado,NúmeroDePago,""), "")</f>
        <v/>
      </c>
      <c r="C173" s="96" t="str">
        <f ca="1">IFERROR(IF(PréstamoNoPagado*PréstamoPagado,FechaDePago,""), "")</f>
        <v/>
      </c>
      <c r="D173" s="97" t="str">
        <f ca="1">IFERROR(IF(PréstamoNoPagado*PréstamoPagado,ValorPréstamo,""), "")</f>
        <v/>
      </c>
      <c r="E173" s="97" t="str">
        <f ca="1">IFERROR(IF(PréstamoNoPagado*PréstamoPagado,PagoMensual,""), "")</f>
        <v/>
      </c>
      <c r="F173" s="97" t="str">
        <f ca="1">IFERROR(IF(PréstamoNoPagado*PréstamoPagado,Capital,""), "")</f>
        <v/>
      </c>
      <c r="G173" s="97" t="str">
        <f ca="1">IFERROR(IF(PréstamoNoPagado*PréstamoPagado,AmortizaciónInterés,""), "")</f>
        <v/>
      </c>
      <c r="H173" s="97" t="str">
        <f ca="1">IFERROR(IF(PréstamoNoPagado*PréstamoPagado,SaldoFinal,""), "")</f>
        <v/>
      </c>
    </row>
    <row r="174" spans="2:8" ht="20.100000000000001" customHeight="1" x14ac:dyDescent="0.3">
      <c r="B174" s="105" t="str">
        <f ca="1">IFERROR(IF(PréstamoNoPagado*PréstamoPagado,NúmeroDePago,""), "")</f>
        <v/>
      </c>
      <c r="C174" s="96" t="str">
        <f ca="1">IFERROR(IF(PréstamoNoPagado*PréstamoPagado,FechaDePago,""), "")</f>
        <v/>
      </c>
      <c r="D174" s="97" t="str">
        <f ca="1">IFERROR(IF(PréstamoNoPagado*PréstamoPagado,ValorPréstamo,""), "")</f>
        <v/>
      </c>
      <c r="E174" s="97" t="str">
        <f ca="1">IFERROR(IF(PréstamoNoPagado*PréstamoPagado,PagoMensual,""), "")</f>
        <v/>
      </c>
      <c r="F174" s="97" t="str">
        <f ca="1">IFERROR(IF(PréstamoNoPagado*PréstamoPagado,Capital,""), "")</f>
        <v/>
      </c>
      <c r="G174" s="97" t="str">
        <f ca="1">IFERROR(IF(PréstamoNoPagado*PréstamoPagado,AmortizaciónInterés,""), "")</f>
        <v/>
      </c>
      <c r="H174" s="97" t="str">
        <f ca="1">IFERROR(IF(PréstamoNoPagado*PréstamoPagado,SaldoFinal,""), "")</f>
        <v/>
      </c>
    </row>
    <row r="175" spans="2:8" ht="20.100000000000001" customHeight="1" x14ac:dyDescent="0.3">
      <c r="B175" s="105" t="str">
        <f ca="1">IFERROR(IF(PréstamoNoPagado*PréstamoPagado,NúmeroDePago,""), "")</f>
        <v/>
      </c>
      <c r="C175" s="96" t="str">
        <f ca="1">IFERROR(IF(PréstamoNoPagado*PréstamoPagado,FechaDePago,""), "")</f>
        <v/>
      </c>
      <c r="D175" s="97" t="str">
        <f ca="1">IFERROR(IF(PréstamoNoPagado*PréstamoPagado,ValorPréstamo,""), "")</f>
        <v/>
      </c>
      <c r="E175" s="97" t="str">
        <f ca="1">IFERROR(IF(PréstamoNoPagado*PréstamoPagado,PagoMensual,""), "")</f>
        <v/>
      </c>
      <c r="F175" s="97" t="str">
        <f ca="1">IFERROR(IF(PréstamoNoPagado*PréstamoPagado,Capital,""), "")</f>
        <v/>
      </c>
      <c r="G175" s="97" t="str">
        <f ca="1">IFERROR(IF(PréstamoNoPagado*PréstamoPagado,AmortizaciónInterés,""), "")</f>
        <v/>
      </c>
      <c r="H175" s="97" t="str">
        <f ca="1">IFERROR(IF(PréstamoNoPagado*PréstamoPagado,SaldoFinal,""), "")</f>
        <v/>
      </c>
    </row>
    <row r="176" spans="2:8" ht="20.100000000000001" customHeight="1" x14ac:dyDescent="0.3">
      <c r="B176" s="105" t="str">
        <f ca="1">IFERROR(IF(PréstamoNoPagado*PréstamoPagado,NúmeroDePago,""), "")</f>
        <v/>
      </c>
      <c r="C176" s="96" t="str">
        <f ca="1">IFERROR(IF(PréstamoNoPagado*PréstamoPagado,FechaDePago,""), "")</f>
        <v/>
      </c>
      <c r="D176" s="97" t="str">
        <f ca="1">IFERROR(IF(PréstamoNoPagado*PréstamoPagado,ValorPréstamo,""), "")</f>
        <v/>
      </c>
      <c r="E176" s="97" t="str">
        <f ca="1">IFERROR(IF(PréstamoNoPagado*PréstamoPagado,PagoMensual,""), "")</f>
        <v/>
      </c>
      <c r="F176" s="97" t="str">
        <f ca="1">IFERROR(IF(PréstamoNoPagado*PréstamoPagado,Capital,""), "")</f>
        <v/>
      </c>
      <c r="G176" s="97" t="str">
        <f ca="1">IFERROR(IF(PréstamoNoPagado*PréstamoPagado,AmortizaciónInterés,""), "")</f>
        <v/>
      </c>
      <c r="H176" s="97" t="str">
        <f ca="1">IFERROR(IF(PréstamoNoPagado*PréstamoPagado,SaldoFinal,""), "")</f>
        <v/>
      </c>
    </row>
    <row r="177" spans="2:8" ht="20.100000000000001" customHeight="1" x14ac:dyDescent="0.3">
      <c r="B177" s="105" t="str">
        <f ca="1">IFERROR(IF(PréstamoNoPagado*PréstamoPagado,NúmeroDePago,""), "")</f>
        <v/>
      </c>
      <c r="C177" s="96" t="str">
        <f ca="1">IFERROR(IF(PréstamoNoPagado*PréstamoPagado,FechaDePago,""), "")</f>
        <v/>
      </c>
      <c r="D177" s="97" t="str">
        <f ca="1">IFERROR(IF(PréstamoNoPagado*PréstamoPagado,ValorPréstamo,""), "")</f>
        <v/>
      </c>
      <c r="E177" s="97" t="str">
        <f ca="1">IFERROR(IF(PréstamoNoPagado*PréstamoPagado,PagoMensual,""), "")</f>
        <v/>
      </c>
      <c r="F177" s="97" t="str">
        <f ca="1">IFERROR(IF(PréstamoNoPagado*PréstamoPagado,Capital,""), "")</f>
        <v/>
      </c>
      <c r="G177" s="97" t="str">
        <f ca="1">IFERROR(IF(PréstamoNoPagado*PréstamoPagado,AmortizaciónInterés,""), "")</f>
        <v/>
      </c>
      <c r="H177" s="97" t="str">
        <f ca="1">IFERROR(IF(PréstamoNoPagado*PréstamoPagado,SaldoFinal,""), "")</f>
        <v/>
      </c>
    </row>
    <row r="178" spans="2:8" ht="20.100000000000001" customHeight="1" x14ac:dyDescent="0.3">
      <c r="B178" s="105" t="str">
        <f ca="1">IFERROR(IF(PréstamoNoPagado*PréstamoPagado,NúmeroDePago,""), "")</f>
        <v/>
      </c>
      <c r="C178" s="96" t="str">
        <f ca="1">IFERROR(IF(PréstamoNoPagado*PréstamoPagado,FechaDePago,""), "")</f>
        <v/>
      </c>
      <c r="D178" s="97" t="str">
        <f ca="1">IFERROR(IF(PréstamoNoPagado*PréstamoPagado,ValorPréstamo,""), "")</f>
        <v/>
      </c>
      <c r="E178" s="97" t="str">
        <f ca="1">IFERROR(IF(PréstamoNoPagado*PréstamoPagado,PagoMensual,""), "")</f>
        <v/>
      </c>
      <c r="F178" s="97" t="str">
        <f ca="1">IFERROR(IF(PréstamoNoPagado*PréstamoPagado,Capital,""), "")</f>
        <v/>
      </c>
      <c r="G178" s="97" t="str">
        <f ca="1">IFERROR(IF(PréstamoNoPagado*PréstamoPagado,AmortizaciónInterés,""), "")</f>
        <v/>
      </c>
      <c r="H178" s="97" t="str">
        <f ca="1">IFERROR(IF(PréstamoNoPagado*PréstamoPagado,SaldoFinal,""), "")</f>
        <v/>
      </c>
    </row>
    <row r="179" spans="2:8" ht="20.100000000000001" customHeight="1" x14ac:dyDescent="0.3">
      <c r="B179" s="105" t="str">
        <f ca="1">IFERROR(IF(PréstamoNoPagado*PréstamoPagado,NúmeroDePago,""), "")</f>
        <v/>
      </c>
      <c r="C179" s="96" t="str">
        <f ca="1">IFERROR(IF(PréstamoNoPagado*PréstamoPagado,FechaDePago,""), "")</f>
        <v/>
      </c>
      <c r="D179" s="97" t="str">
        <f ca="1">IFERROR(IF(PréstamoNoPagado*PréstamoPagado,ValorPréstamo,""), "")</f>
        <v/>
      </c>
      <c r="E179" s="97" t="str">
        <f ca="1">IFERROR(IF(PréstamoNoPagado*PréstamoPagado,PagoMensual,""), "")</f>
        <v/>
      </c>
      <c r="F179" s="97" t="str">
        <f ca="1">IFERROR(IF(PréstamoNoPagado*PréstamoPagado,Capital,""), "")</f>
        <v/>
      </c>
      <c r="G179" s="97" t="str">
        <f ca="1">IFERROR(IF(PréstamoNoPagado*PréstamoPagado,AmortizaciónInterés,""), "")</f>
        <v/>
      </c>
      <c r="H179" s="97" t="str">
        <f ca="1">IFERROR(IF(PréstamoNoPagado*PréstamoPagado,SaldoFinal,""), "")</f>
        <v/>
      </c>
    </row>
    <row r="180" spans="2:8" ht="20.100000000000001" customHeight="1" x14ac:dyDescent="0.3">
      <c r="B180" s="105" t="str">
        <f ca="1">IFERROR(IF(PréstamoNoPagado*PréstamoPagado,NúmeroDePago,""), "")</f>
        <v/>
      </c>
      <c r="C180" s="96" t="str">
        <f ca="1">IFERROR(IF(PréstamoNoPagado*PréstamoPagado,FechaDePago,""), "")</f>
        <v/>
      </c>
      <c r="D180" s="97" t="str">
        <f ca="1">IFERROR(IF(PréstamoNoPagado*PréstamoPagado,ValorPréstamo,""), "")</f>
        <v/>
      </c>
      <c r="E180" s="97" t="str">
        <f ca="1">IFERROR(IF(PréstamoNoPagado*PréstamoPagado,PagoMensual,""), "")</f>
        <v/>
      </c>
      <c r="F180" s="97" t="str">
        <f ca="1">IFERROR(IF(PréstamoNoPagado*PréstamoPagado,Capital,""), "")</f>
        <v/>
      </c>
      <c r="G180" s="97" t="str">
        <f ca="1">IFERROR(IF(PréstamoNoPagado*PréstamoPagado,AmortizaciónInterés,""), "")</f>
        <v/>
      </c>
      <c r="H180" s="97" t="str">
        <f ca="1">IFERROR(IF(PréstamoNoPagado*PréstamoPagado,SaldoFinal,""), "")</f>
        <v/>
      </c>
    </row>
    <row r="181" spans="2:8" ht="20.100000000000001" customHeight="1" x14ac:dyDescent="0.3">
      <c r="B181" s="105" t="str">
        <f ca="1">IFERROR(IF(PréstamoNoPagado*PréstamoPagado,NúmeroDePago,""), "")</f>
        <v/>
      </c>
      <c r="C181" s="96" t="str">
        <f ca="1">IFERROR(IF(PréstamoNoPagado*PréstamoPagado,FechaDePago,""), "")</f>
        <v/>
      </c>
      <c r="D181" s="97" t="str">
        <f ca="1">IFERROR(IF(PréstamoNoPagado*PréstamoPagado,ValorPréstamo,""), "")</f>
        <v/>
      </c>
      <c r="E181" s="97" t="str">
        <f ca="1">IFERROR(IF(PréstamoNoPagado*PréstamoPagado,PagoMensual,""), "")</f>
        <v/>
      </c>
      <c r="F181" s="97" t="str">
        <f ca="1">IFERROR(IF(PréstamoNoPagado*PréstamoPagado,Capital,""), "")</f>
        <v/>
      </c>
      <c r="G181" s="97" t="str">
        <f ca="1">IFERROR(IF(PréstamoNoPagado*PréstamoPagado,AmortizaciónInterés,""), "")</f>
        <v/>
      </c>
      <c r="H181" s="97" t="str">
        <f ca="1">IFERROR(IF(PréstamoNoPagado*PréstamoPagado,SaldoFinal,""), "")</f>
        <v/>
      </c>
    </row>
    <row r="182" spans="2:8" ht="20.100000000000001" customHeight="1" x14ac:dyDescent="0.3">
      <c r="B182" s="105" t="str">
        <f ca="1">IFERROR(IF(PréstamoNoPagado*PréstamoPagado,NúmeroDePago,""), "")</f>
        <v/>
      </c>
      <c r="C182" s="96" t="str">
        <f ca="1">IFERROR(IF(PréstamoNoPagado*PréstamoPagado,FechaDePago,""), "")</f>
        <v/>
      </c>
      <c r="D182" s="97" t="str">
        <f ca="1">IFERROR(IF(PréstamoNoPagado*PréstamoPagado,ValorPréstamo,""), "")</f>
        <v/>
      </c>
      <c r="E182" s="97" t="str">
        <f ca="1">IFERROR(IF(PréstamoNoPagado*PréstamoPagado,PagoMensual,""), "")</f>
        <v/>
      </c>
      <c r="F182" s="97" t="str">
        <f ca="1">IFERROR(IF(PréstamoNoPagado*PréstamoPagado,Capital,""), "")</f>
        <v/>
      </c>
      <c r="G182" s="97" t="str">
        <f ca="1">IFERROR(IF(PréstamoNoPagado*PréstamoPagado,AmortizaciónInterés,""), "")</f>
        <v/>
      </c>
      <c r="H182" s="97" t="str">
        <f ca="1">IFERROR(IF(PréstamoNoPagado*PréstamoPagado,SaldoFinal,""), "")</f>
        <v/>
      </c>
    </row>
    <row r="183" spans="2:8" ht="20.100000000000001" customHeight="1" x14ac:dyDescent="0.3">
      <c r="B183" s="105" t="str">
        <f ca="1">IFERROR(IF(PréstamoNoPagado*PréstamoPagado,NúmeroDePago,""), "")</f>
        <v/>
      </c>
      <c r="C183" s="96" t="str">
        <f ca="1">IFERROR(IF(PréstamoNoPagado*PréstamoPagado,FechaDePago,""), "")</f>
        <v/>
      </c>
      <c r="D183" s="97" t="str">
        <f ca="1">IFERROR(IF(PréstamoNoPagado*PréstamoPagado,ValorPréstamo,""), "")</f>
        <v/>
      </c>
      <c r="E183" s="97" t="str">
        <f ca="1">IFERROR(IF(PréstamoNoPagado*PréstamoPagado,PagoMensual,""), "")</f>
        <v/>
      </c>
      <c r="F183" s="97" t="str">
        <f ca="1">IFERROR(IF(PréstamoNoPagado*PréstamoPagado,Capital,""), "")</f>
        <v/>
      </c>
      <c r="G183" s="97" t="str">
        <f ca="1">IFERROR(IF(PréstamoNoPagado*PréstamoPagado,AmortizaciónInterés,""), "")</f>
        <v/>
      </c>
      <c r="H183" s="97" t="str">
        <f ca="1">IFERROR(IF(PréstamoNoPagado*PréstamoPagado,SaldoFinal,""), "")</f>
        <v/>
      </c>
    </row>
    <row r="184" spans="2:8" ht="20.100000000000001" customHeight="1" x14ac:dyDescent="0.3">
      <c r="B184" s="105" t="str">
        <f ca="1">IFERROR(IF(PréstamoNoPagado*PréstamoPagado,NúmeroDePago,""), "")</f>
        <v/>
      </c>
      <c r="C184" s="96" t="str">
        <f ca="1">IFERROR(IF(PréstamoNoPagado*PréstamoPagado,FechaDePago,""), "")</f>
        <v/>
      </c>
      <c r="D184" s="97" t="str">
        <f ca="1">IFERROR(IF(PréstamoNoPagado*PréstamoPagado,ValorPréstamo,""), "")</f>
        <v/>
      </c>
      <c r="E184" s="97" t="str">
        <f ca="1">IFERROR(IF(PréstamoNoPagado*PréstamoPagado,PagoMensual,""), "")</f>
        <v/>
      </c>
      <c r="F184" s="97" t="str">
        <f ca="1">IFERROR(IF(PréstamoNoPagado*PréstamoPagado,Capital,""), "")</f>
        <v/>
      </c>
      <c r="G184" s="97" t="str">
        <f ca="1">IFERROR(IF(PréstamoNoPagado*PréstamoPagado,AmortizaciónInterés,""), "")</f>
        <v/>
      </c>
      <c r="H184" s="97" t="str">
        <f ca="1">IFERROR(IF(PréstamoNoPagado*PréstamoPagado,SaldoFinal,""), "")</f>
        <v/>
      </c>
    </row>
    <row r="185" spans="2:8" ht="20.100000000000001" customHeight="1" x14ac:dyDescent="0.3">
      <c r="B185" s="105" t="str">
        <f ca="1">IFERROR(IF(PréstamoNoPagado*PréstamoPagado,NúmeroDePago,""), "")</f>
        <v/>
      </c>
      <c r="C185" s="96" t="str">
        <f ca="1">IFERROR(IF(PréstamoNoPagado*PréstamoPagado,FechaDePago,""), "")</f>
        <v/>
      </c>
      <c r="D185" s="97" t="str">
        <f ca="1">IFERROR(IF(PréstamoNoPagado*PréstamoPagado,ValorPréstamo,""), "")</f>
        <v/>
      </c>
      <c r="E185" s="97" t="str">
        <f ca="1">IFERROR(IF(PréstamoNoPagado*PréstamoPagado,PagoMensual,""), "")</f>
        <v/>
      </c>
      <c r="F185" s="97" t="str">
        <f ca="1">IFERROR(IF(PréstamoNoPagado*PréstamoPagado,Capital,""), "")</f>
        <v/>
      </c>
      <c r="G185" s="97" t="str">
        <f ca="1">IFERROR(IF(PréstamoNoPagado*PréstamoPagado,AmortizaciónInterés,""), "")</f>
        <v/>
      </c>
      <c r="H185" s="97" t="str">
        <f ca="1">IFERROR(IF(PréstamoNoPagado*PréstamoPagado,SaldoFinal,""), "")</f>
        <v/>
      </c>
    </row>
    <row r="186" spans="2:8" ht="20.100000000000001" customHeight="1" x14ac:dyDescent="0.3">
      <c r="B186" s="105" t="str">
        <f ca="1">IFERROR(IF(PréstamoNoPagado*PréstamoPagado,NúmeroDePago,""), "")</f>
        <v/>
      </c>
      <c r="C186" s="96" t="str">
        <f ca="1">IFERROR(IF(PréstamoNoPagado*PréstamoPagado,FechaDePago,""), "")</f>
        <v/>
      </c>
      <c r="D186" s="97" t="str">
        <f ca="1">IFERROR(IF(PréstamoNoPagado*PréstamoPagado,ValorPréstamo,""), "")</f>
        <v/>
      </c>
      <c r="E186" s="97" t="str">
        <f ca="1">IFERROR(IF(PréstamoNoPagado*PréstamoPagado,PagoMensual,""), "")</f>
        <v/>
      </c>
      <c r="F186" s="97" t="str">
        <f ca="1">IFERROR(IF(PréstamoNoPagado*PréstamoPagado,Capital,""), "")</f>
        <v/>
      </c>
      <c r="G186" s="97" t="str">
        <f ca="1">IFERROR(IF(PréstamoNoPagado*PréstamoPagado,AmortizaciónInterés,""), "")</f>
        <v/>
      </c>
      <c r="H186" s="97" t="str">
        <f ca="1">IFERROR(IF(PréstamoNoPagado*PréstamoPagado,SaldoFinal,""), "")</f>
        <v/>
      </c>
    </row>
    <row r="187" spans="2:8" ht="20.100000000000001" customHeight="1" x14ac:dyDescent="0.3">
      <c r="B187" s="105" t="str">
        <f ca="1">IFERROR(IF(PréstamoNoPagado*PréstamoPagado,NúmeroDePago,""), "")</f>
        <v/>
      </c>
      <c r="C187" s="96" t="str">
        <f ca="1">IFERROR(IF(PréstamoNoPagado*PréstamoPagado,FechaDePago,""), "")</f>
        <v/>
      </c>
      <c r="D187" s="97" t="str">
        <f ca="1">IFERROR(IF(PréstamoNoPagado*PréstamoPagado,ValorPréstamo,""), "")</f>
        <v/>
      </c>
      <c r="E187" s="97" t="str">
        <f ca="1">IFERROR(IF(PréstamoNoPagado*PréstamoPagado,PagoMensual,""), "")</f>
        <v/>
      </c>
      <c r="F187" s="97" t="str">
        <f ca="1">IFERROR(IF(PréstamoNoPagado*PréstamoPagado,Capital,""), "")</f>
        <v/>
      </c>
      <c r="G187" s="97" t="str">
        <f ca="1">IFERROR(IF(PréstamoNoPagado*PréstamoPagado,AmortizaciónInterés,""), "")</f>
        <v/>
      </c>
      <c r="H187" s="97" t="str">
        <f ca="1">IFERROR(IF(PréstamoNoPagado*PréstamoPagado,SaldoFinal,""), "")</f>
        <v/>
      </c>
    </row>
    <row r="188" spans="2:8" ht="20.100000000000001" customHeight="1" x14ac:dyDescent="0.3">
      <c r="B188" s="105" t="str">
        <f ca="1">IFERROR(IF(PréstamoNoPagado*PréstamoPagado,NúmeroDePago,""), "")</f>
        <v/>
      </c>
      <c r="C188" s="96" t="str">
        <f ca="1">IFERROR(IF(PréstamoNoPagado*PréstamoPagado,FechaDePago,""), "")</f>
        <v/>
      </c>
      <c r="D188" s="97" t="str">
        <f ca="1">IFERROR(IF(PréstamoNoPagado*PréstamoPagado,ValorPréstamo,""), "")</f>
        <v/>
      </c>
      <c r="E188" s="97" t="str">
        <f ca="1">IFERROR(IF(PréstamoNoPagado*PréstamoPagado,PagoMensual,""), "")</f>
        <v/>
      </c>
      <c r="F188" s="97" t="str">
        <f ca="1">IFERROR(IF(PréstamoNoPagado*PréstamoPagado,Capital,""), "")</f>
        <v/>
      </c>
      <c r="G188" s="97" t="str">
        <f ca="1">IFERROR(IF(PréstamoNoPagado*PréstamoPagado,AmortizaciónInterés,""), "")</f>
        <v/>
      </c>
      <c r="H188" s="97" t="str">
        <f ca="1">IFERROR(IF(PréstamoNoPagado*PréstamoPagado,SaldoFinal,""), "")</f>
        <v/>
      </c>
    </row>
    <row r="189" spans="2:8" ht="20.100000000000001" customHeight="1" x14ac:dyDescent="0.3">
      <c r="B189" s="105" t="str">
        <f ca="1">IFERROR(IF(PréstamoNoPagado*PréstamoPagado,NúmeroDePago,""), "")</f>
        <v/>
      </c>
      <c r="C189" s="96" t="str">
        <f ca="1">IFERROR(IF(PréstamoNoPagado*PréstamoPagado,FechaDePago,""), "")</f>
        <v/>
      </c>
      <c r="D189" s="97" t="str">
        <f ca="1">IFERROR(IF(PréstamoNoPagado*PréstamoPagado,ValorPréstamo,""), "")</f>
        <v/>
      </c>
      <c r="E189" s="97" t="str">
        <f ca="1">IFERROR(IF(PréstamoNoPagado*PréstamoPagado,PagoMensual,""), "")</f>
        <v/>
      </c>
      <c r="F189" s="97" t="str">
        <f ca="1">IFERROR(IF(PréstamoNoPagado*PréstamoPagado,Capital,""), "")</f>
        <v/>
      </c>
      <c r="G189" s="97" t="str">
        <f ca="1">IFERROR(IF(PréstamoNoPagado*PréstamoPagado,AmortizaciónInterés,""), "")</f>
        <v/>
      </c>
      <c r="H189" s="97" t="str">
        <f ca="1">IFERROR(IF(PréstamoNoPagado*PréstamoPagado,SaldoFinal,""), "")</f>
        <v/>
      </c>
    </row>
    <row r="190" spans="2:8" ht="20.100000000000001" customHeight="1" x14ac:dyDescent="0.3">
      <c r="B190" s="105" t="str">
        <f ca="1">IFERROR(IF(PréstamoNoPagado*PréstamoPagado,NúmeroDePago,""), "")</f>
        <v/>
      </c>
      <c r="C190" s="96" t="str">
        <f ca="1">IFERROR(IF(PréstamoNoPagado*PréstamoPagado,FechaDePago,""), "")</f>
        <v/>
      </c>
      <c r="D190" s="97" t="str">
        <f ca="1">IFERROR(IF(PréstamoNoPagado*PréstamoPagado,ValorPréstamo,""), "")</f>
        <v/>
      </c>
      <c r="E190" s="97" t="str">
        <f ca="1">IFERROR(IF(PréstamoNoPagado*PréstamoPagado,PagoMensual,""), "")</f>
        <v/>
      </c>
      <c r="F190" s="97" t="str">
        <f ca="1">IFERROR(IF(PréstamoNoPagado*PréstamoPagado,Capital,""), "")</f>
        <v/>
      </c>
      <c r="G190" s="97" t="str">
        <f ca="1">IFERROR(IF(PréstamoNoPagado*PréstamoPagado,AmortizaciónInterés,""), "")</f>
        <v/>
      </c>
      <c r="H190" s="97" t="str">
        <f ca="1">IFERROR(IF(PréstamoNoPagado*PréstamoPagado,SaldoFinal,""), "")</f>
        <v/>
      </c>
    </row>
    <row r="191" spans="2:8" ht="20.100000000000001" customHeight="1" x14ac:dyDescent="0.3">
      <c r="B191" s="105" t="str">
        <f ca="1">IFERROR(IF(PréstamoNoPagado*PréstamoPagado,NúmeroDePago,""), "")</f>
        <v/>
      </c>
      <c r="C191" s="96" t="str">
        <f ca="1">IFERROR(IF(PréstamoNoPagado*PréstamoPagado,FechaDePago,""), "")</f>
        <v/>
      </c>
      <c r="D191" s="97" t="str">
        <f ca="1">IFERROR(IF(PréstamoNoPagado*PréstamoPagado,ValorPréstamo,""), "")</f>
        <v/>
      </c>
      <c r="E191" s="97" t="str">
        <f ca="1">IFERROR(IF(PréstamoNoPagado*PréstamoPagado,PagoMensual,""), "")</f>
        <v/>
      </c>
      <c r="F191" s="97" t="str">
        <f ca="1">IFERROR(IF(PréstamoNoPagado*PréstamoPagado,Capital,""), "")</f>
        <v/>
      </c>
      <c r="G191" s="97" t="str">
        <f ca="1">IFERROR(IF(PréstamoNoPagado*PréstamoPagado,AmortizaciónInterés,""), "")</f>
        <v/>
      </c>
      <c r="H191" s="97" t="str">
        <f ca="1">IFERROR(IF(PréstamoNoPagado*PréstamoPagado,SaldoFinal,""), "")</f>
        <v/>
      </c>
    </row>
    <row r="192" spans="2:8" ht="20.100000000000001" customHeight="1" x14ac:dyDescent="0.3">
      <c r="B192" s="105" t="str">
        <f ca="1">IFERROR(IF(PréstamoNoPagado*PréstamoPagado,NúmeroDePago,""), "")</f>
        <v/>
      </c>
      <c r="C192" s="96" t="str">
        <f ca="1">IFERROR(IF(PréstamoNoPagado*PréstamoPagado,FechaDePago,""), "")</f>
        <v/>
      </c>
      <c r="D192" s="97" t="str">
        <f ca="1">IFERROR(IF(PréstamoNoPagado*PréstamoPagado,ValorPréstamo,""), "")</f>
        <v/>
      </c>
      <c r="E192" s="97" t="str">
        <f ca="1">IFERROR(IF(PréstamoNoPagado*PréstamoPagado,PagoMensual,""), "")</f>
        <v/>
      </c>
      <c r="F192" s="97" t="str">
        <f ca="1">IFERROR(IF(PréstamoNoPagado*PréstamoPagado,Capital,""), "")</f>
        <v/>
      </c>
      <c r="G192" s="97" t="str">
        <f ca="1">IFERROR(IF(PréstamoNoPagado*PréstamoPagado,AmortizaciónInterés,""), "")</f>
        <v/>
      </c>
      <c r="H192" s="97" t="str">
        <f ca="1">IFERROR(IF(PréstamoNoPagado*PréstamoPagado,SaldoFinal,""), "")</f>
        <v/>
      </c>
    </row>
    <row r="193" spans="2:8" ht="20.100000000000001" customHeight="1" x14ac:dyDescent="0.3">
      <c r="B193" s="105" t="str">
        <f ca="1">IFERROR(IF(PréstamoNoPagado*PréstamoPagado,NúmeroDePago,""), "")</f>
        <v/>
      </c>
      <c r="C193" s="96" t="str">
        <f ca="1">IFERROR(IF(PréstamoNoPagado*PréstamoPagado,FechaDePago,""), "")</f>
        <v/>
      </c>
      <c r="D193" s="97" t="str">
        <f ca="1">IFERROR(IF(PréstamoNoPagado*PréstamoPagado,ValorPréstamo,""), "")</f>
        <v/>
      </c>
      <c r="E193" s="97" t="str">
        <f ca="1">IFERROR(IF(PréstamoNoPagado*PréstamoPagado,PagoMensual,""), "")</f>
        <v/>
      </c>
      <c r="F193" s="97" t="str">
        <f ca="1">IFERROR(IF(PréstamoNoPagado*PréstamoPagado,Capital,""), "")</f>
        <v/>
      </c>
      <c r="G193" s="97" t="str">
        <f ca="1">IFERROR(IF(PréstamoNoPagado*PréstamoPagado,AmortizaciónInterés,""), "")</f>
        <v/>
      </c>
      <c r="H193" s="97" t="str">
        <f ca="1">IFERROR(IF(PréstamoNoPagado*PréstamoPagado,SaldoFinal,""), "")</f>
        <v/>
      </c>
    </row>
    <row r="194" spans="2:8" ht="20.100000000000001" customHeight="1" x14ac:dyDescent="0.3">
      <c r="B194" s="105" t="str">
        <f ca="1">IFERROR(IF(PréstamoNoPagado*PréstamoPagado,NúmeroDePago,""), "")</f>
        <v/>
      </c>
      <c r="C194" s="96" t="str">
        <f ca="1">IFERROR(IF(PréstamoNoPagado*PréstamoPagado,FechaDePago,""), "")</f>
        <v/>
      </c>
      <c r="D194" s="97" t="str">
        <f ca="1">IFERROR(IF(PréstamoNoPagado*PréstamoPagado,ValorPréstamo,""), "")</f>
        <v/>
      </c>
      <c r="E194" s="97" t="str">
        <f ca="1">IFERROR(IF(PréstamoNoPagado*PréstamoPagado,PagoMensual,""), "")</f>
        <v/>
      </c>
      <c r="F194" s="97" t="str">
        <f ca="1">IFERROR(IF(PréstamoNoPagado*PréstamoPagado,Capital,""), "")</f>
        <v/>
      </c>
      <c r="G194" s="97" t="str">
        <f ca="1">IFERROR(IF(PréstamoNoPagado*PréstamoPagado,AmortizaciónInterés,""), "")</f>
        <v/>
      </c>
      <c r="H194" s="97" t="str">
        <f ca="1">IFERROR(IF(PréstamoNoPagado*PréstamoPagado,SaldoFinal,""), "")</f>
        <v/>
      </c>
    </row>
    <row r="195" spans="2:8" ht="20.100000000000001" customHeight="1" x14ac:dyDescent="0.3">
      <c r="B195" s="105" t="str">
        <f ca="1">IFERROR(IF(PréstamoNoPagado*PréstamoPagado,NúmeroDePago,""), "")</f>
        <v/>
      </c>
      <c r="C195" s="96" t="str">
        <f ca="1">IFERROR(IF(PréstamoNoPagado*PréstamoPagado,FechaDePago,""), "")</f>
        <v/>
      </c>
      <c r="D195" s="97" t="str">
        <f ca="1">IFERROR(IF(PréstamoNoPagado*PréstamoPagado,ValorPréstamo,""), "")</f>
        <v/>
      </c>
      <c r="E195" s="97" t="str">
        <f ca="1">IFERROR(IF(PréstamoNoPagado*PréstamoPagado,PagoMensual,""), "")</f>
        <v/>
      </c>
      <c r="F195" s="97" t="str">
        <f ca="1">IFERROR(IF(PréstamoNoPagado*PréstamoPagado,Capital,""), "")</f>
        <v/>
      </c>
      <c r="G195" s="97" t="str">
        <f ca="1">IFERROR(IF(PréstamoNoPagado*PréstamoPagado,AmortizaciónInterés,""), "")</f>
        <v/>
      </c>
      <c r="H195" s="97" t="str">
        <f ca="1">IFERROR(IF(PréstamoNoPagado*PréstamoPagado,SaldoFinal,""), "")</f>
        <v/>
      </c>
    </row>
    <row r="196" spans="2:8" ht="20.100000000000001" customHeight="1" x14ac:dyDescent="0.3">
      <c r="B196" s="105" t="str">
        <f ca="1">IFERROR(IF(PréstamoNoPagado*PréstamoPagado,NúmeroDePago,""), "")</f>
        <v/>
      </c>
      <c r="C196" s="96" t="str">
        <f ca="1">IFERROR(IF(PréstamoNoPagado*PréstamoPagado,FechaDePago,""), "")</f>
        <v/>
      </c>
      <c r="D196" s="97" t="str">
        <f ca="1">IFERROR(IF(PréstamoNoPagado*PréstamoPagado,ValorPréstamo,""), "")</f>
        <v/>
      </c>
      <c r="E196" s="97" t="str">
        <f ca="1">IFERROR(IF(PréstamoNoPagado*PréstamoPagado,PagoMensual,""), "")</f>
        <v/>
      </c>
      <c r="F196" s="97" t="str">
        <f ca="1">IFERROR(IF(PréstamoNoPagado*PréstamoPagado,Capital,""), "")</f>
        <v/>
      </c>
      <c r="G196" s="97" t="str">
        <f ca="1">IFERROR(IF(PréstamoNoPagado*PréstamoPagado,AmortizaciónInterés,""), "")</f>
        <v/>
      </c>
      <c r="H196" s="97" t="str">
        <f ca="1">IFERROR(IF(PréstamoNoPagado*PréstamoPagado,SaldoFinal,""), "")</f>
        <v/>
      </c>
    </row>
    <row r="197" spans="2:8" ht="20.100000000000001" customHeight="1" x14ac:dyDescent="0.3">
      <c r="B197" s="105" t="str">
        <f ca="1">IFERROR(IF(PréstamoNoPagado*PréstamoPagado,NúmeroDePago,""), "")</f>
        <v/>
      </c>
      <c r="C197" s="96" t="str">
        <f ca="1">IFERROR(IF(PréstamoNoPagado*PréstamoPagado,FechaDePago,""), "")</f>
        <v/>
      </c>
      <c r="D197" s="97" t="str">
        <f ca="1">IFERROR(IF(PréstamoNoPagado*PréstamoPagado,ValorPréstamo,""), "")</f>
        <v/>
      </c>
      <c r="E197" s="97" t="str">
        <f ca="1">IFERROR(IF(PréstamoNoPagado*PréstamoPagado,PagoMensual,""), "")</f>
        <v/>
      </c>
      <c r="F197" s="97" t="str">
        <f ca="1">IFERROR(IF(PréstamoNoPagado*PréstamoPagado,Capital,""), "")</f>
        <v/>
      </c>
      <c r="G197" s="97" t="str">
        <f ca="1">IFERROR(IF(PréstamoNoPagado*PréstamoPagado,AmortizaciónInterés,""), "")</f>
        <v/>
      </c>
      <c r="H197" s="97" t="str">
        <f ca="1">IFERROR(IF(PréstamoNoPagado*PréstamoPagado,SaldoFinal,""), "")</f>
        <v/>
      </c>
    </row>
    <row r="198" spans="2:8" ht="20.100000000000001" customHeight="1" x14ac:dyDescent="0.3">
      <c r="B198" s="105" t="str">
        <f ca="1">IFERROR(IF(PréstamoNoPagado*PréstamoPagado,NúmeroDePago,""), "")</f>
        <v/>
      </c>
      <c r="C198" s="96" t="str">
        <f ca="1">IFERROR(IF(PréstamoNoPagado*PréstamoPagado,FechaDePago,""), "")</f>
        <v/>
      </c>
      <c r="D198" s="97" t="str">
        <f ca="1">IFERROR(IF(PréstamoNoPagado*PréstamoPagado,ValorPréstamo,""), "")</f>
        <v/>
      </c>
      <c r="E198" s="97" t="str">
        <f ca="1">IFERROR(IF(PréstamoNoPagado*PréstamoPagado,PagoMensual,""), "")</f>
        <v/>
      </c>
      <c r="F198" s="97" t="str">
        <f ca="1">IFERROR(IF(PréstamoNoPagado*PréstamoPagado,Capital,""), "")</f>
        <v/>
      </c>
      <c r="G198" s="97" t="str">
        <f ca="1">IFERROR(IF(PréstamoNoPagado*PréstamoPagado,AmortizaciónInterés,""), "")</f>
        <v/>
      </c>
      <c r="H198" s="97" t="str">
        <f ca="1">IFERROR(IF(PréstamoNoPagado*PréstamoPagado,SaldoFinal,""), "")</f>
        <v/>
      </c>
    </row>
    <row r="199" spans="2:8" ht="20.100000000000001" customHeight="1" x14ac:dyDescent="0.3">
      <c r="B199" s="105" t="str">
        <f ca="1">IFERROR(IF(PréstamoNoPagado*PréstamoPagado,NúmeroDePago,""), "")</f>
        <v/>
      </c>
      <c r="C199" s="96" t="str">
        <f ca="1">IFERROR(IF(PréstamoNoPagado*PréstamoPagado,FechaDePago,""), "")</f>
        <v/>
      </c>
      <c r="D199" s="97" t="str">
        <f ca="1">IFERROR(IF(PréstamoNoPagado*PréstamoPagado,ValorPréstamo,""), "")</f>
        <v/>
      </c>
      <c r="E199" s="97" t="str">
        <f ca="1">IFERROR(IF(PréstamoNoPagado*PréstamoPagado,PagoMensual,""), "")</f>
        <v/>
      </c>
      <c r="F199" s="97" t="str">
        <f ca="1">IFERROR(IF(PréstamoNoPagado*PréstamoPagado,Capital,""), "")</f>
        <v/>
      </c>
      <c r="G199" s="97" t="str">
        <f ca="1">IFERROR(IF(PréstamoNoPagado*PréstamoPagado,AmortizaciónInterés,""), "")</f>
        <v/>
      </c>
      <c r="H199" s="97" t="str">
        <f ca="1">IFERROR(IF(PréstamoNoPagado*PréstamoPagado,SaldoFinal,""), "")</f>
        <v/>
      </c>
    </row>
    <row r="200" spans="2:8" ht="20.100000000000001" customHeight="1" x14ac:dyDescent="0.3">
      <c r="B200" s="105" t="str">
        <f ca="1">IFERROR(IF(PréstamoNoPagado*PréstamoPagado,NúmeroDePago,""), "")</f>
        <v/>
      </c>
      <c r="C200" s="96" t="str">
        <f ca="1">IFERROR(IF(PréstamoNoPagado*PréstamoPagado,FechaDePago,""), "")</f>
        <v/>
      </c>
      <c r="D200" s="97" t="str">
        <f ca="1">IFERROR(IF(PréstamoNoPagado*PréstamoPagado,ValorPréstamo,""), "")</f>
        <v/>
      </c>
      <c r="E200" s="97" t="str">
        <f ca="1">IFERROR(IF(PréstamoNoPagado*PréstamoPagado,PagoMensual,""), "")</f>
        <v/>
      </c>
      <c r="F200" s="97" t="str">
        <f ca="1">IFERROR(IF(PréstamoNoPagado*PréstamoPagado,Capital,""), "")</f>
        <v/>
      </c>
      <c r="G200" s="97" t="str">
        <f ca="1">IFERROR(IF(PréstamoNoPagado*PréstamoPagado,AmortizaciónInterés,""), "")</f>
        <v/>
      </c>
      <c r="H200" s="97" t="str">
        <f ca="1">IFERROR(IF(PréstamoNoPagado*PréstamoPagado,SaldoFinal,""), "")</f>
        <v/>
      </c>
    </row>
    <row r="201" spans="2:8" ht="20.100000000000001" customHeight="1" x14ac:dyDescent="0.3">
      <c r="B201" s="105" t="str">
        <f ca="1">IFERROR(IF(PréstamoNoPagado*PréstamoPagado,NúmeroDePago,""), "")</f>
        <v/>
      </c>
      <c r="C201" s="96" t="str">
        <f ca="1">IFERROR(IF(PréstamoNoPagado*PréstamoPagado,FechaDePago,""), "")</f>
        <v/>
      </c>
      <c r="D201" s="97" t="str">
        <f ca="1">IFERROR(IF(PréstamoNoPagado*PréstamoPagado,ValorPréstamo,""), "")</f>
        <v/>
      </c>
      <c r="E201" s="97" t="str">
        <f ca="1">IFERROR(IF(PréstamoNoPagado*PréstamoPagado,PagoMensual,""), "")</f>
        <v/>
      </c>
      <c r="F201" s="97" t="str">
        <f ca="1">IFERROR(IF(PréstamoNoPagado*PréstamoPagado,Capital,""), "")</f>
        <v/>
      </c>
      <c r="G201" s="97" t="str">
        <f ca="1">IFERROR(IF(PréstamoNoPagado*PréstamoPagado,AmortizaciónInterés,""), "")</f>
        <v/>
      </c>
      <c r="H201" s="97" t="str">
        <f ca="1">IFERROR(IF(PréstamoNoPagado*PréstamoPagado,SaldoFinal,""), "")</f>
        <v/>
      </c>
    </row>
    <row r="202" spans="2:8" ht="20.100000000000001" customHeight="1" x14ac:dyDescent="0.3">
      <c r="B202" s="105" t="str">
        <f ca="1">IFERROR(IF(PréstamoNoPagado*PréstamoPagado,NúmeroDePago,""), "")</f>
        <v/>
      </c>
      <c r="C202" s="96" t="str">
        <f ca="1">IFERROR(IF(PréstamoNoPagado*PréstamoPagado,FechaDePago,""), "")</f>
        <v/>
      </c>
      <c r="D202" s="97" t="str">
        <f ca="1">IFERROR(IF(PréstamoNoPagado*PréstamoPagado,ValorPréstamo,""), "")</f>
        <v/>
      </c>
      <c r="E202" s="97" t="str">
        <f ca="1">IFERROR(IF(PréstamoNoPagado*PréstamoPagado,PagoMensual,""), "")</f>
        <v/>
      </c>
      <c r="F202" s="97" t="str">
        <f ca="1">IFERROR(IF(PréstamoNoPagado*PréstamoPagado,Capital,""), "")</f>
        <v/>
      </c>
      <c r="G202" s="97" t="str">
        <f ca="1">IFERROR(IF(PréstamoNoPagado*PréstamoPagado,AmortizaciónInterés,""), "")</f>
        <v/>
      </c>
      <c r="H202" s="97" t="str">
        <f ca="1">IFERROR(IF(PréstamoNoPagado*PréstamoPagado,SaldoFinal,""), "")</f>
        <v/>
      </c>
    </row>
    <row r="203" spans="2:8" ht="20.100000000000001" customHeight="1" x14ac:dyDescent="0.3">
      <c r="B203" s="105" t="str">
        <f ca="1">IFERROR(IF(PréstamoNoPagado*PréstamoPagado,NúmeroDePago,""), "")</f>
        <v/>
      </c>
      <c r="C203" s="96" t="str">
        <f ca="1">IFERROR(IF(PréstamoNoPagado*PréstamoPagado,FechaDePago,""), "")</f>
        <v/>
      </c>
      <c r="D203" s="97" t="str">
        <f ca="1">IFERROR(IF(PréstamoNoPagado*PréstamoPagado,ValorPréstamo,""), "")</f>
        <v/>
      </c>
      <c r="E203" s="97" t="str">
        <f ca="1">IFERROR(IF(PréstamoNoPagado*PréstamoPagado,PagoMensual,""), "")</f>
        <v/>
      </c>
      <c r="F203" s="97" t="str">
        <f ca="1">IFERROR(IF(PréstamoNoPagado*PréstamoPagado,Capital,""), "")</f>
        <v/>
      </c>
      <c r="G203" s="97" t="str">
        <f ca="1">IFERROR(IF(PréstamoNoPagado*PréstamoPagado,AmortizaciónInterés,""), "")</f>
        <v/>
      </c>
      <c r="H203" s="97" t="str">
        <f ca="1">IFERROR(IF(PréstamoNoPagado*PréstamoPagado,SaldoFinal,""), "")</f>
        <v/>
      </c>
    </row>
    <row r="204" spans="2:8" ht="20.100000000000001" customHeight="1" x14ac:dyDescent="0.3">
      <c r="B204" s="105" t="str">
        <f ca="1">IFERROR(IF(PréstamoNoPagado*PréstamoPagado,NúmeroDePago,""), "")</f>
        <v/>
      </c>
      <c r="C204" s="96" t="str">
        <f ca="1">IFERROR(IF(PréstamoNoPagado*PréstamoPagado,FechaDePago,""), "")</f>
        <v/>
      </c>
      <c r="D204" s="97" t="str">
        <f ca="1">IFERROR(IF(PréstamoNoPagado*PréstamoPagado,ValorPréstamo,""), "")</f>
        <v/>
      </c>
      <c r="E204" s="97" t="str">
        <f ca="1">IFERROR(IF(PréstamoNoPagado*PréstamoPagado,PagoMensual,""), "")</f>
        <v/>
      </c>
      <c r="F204" s="97" t="str">
        <f ca="1">IFERROR(IF(PréstamoNoPagado*PréstamoPagado,Capital,""), "")</f>
        <v/>
      </c>
      <c r="G204" s="97" t="str">
        <f ca="1">IFERROR(IF(PréstamoNoPagado*PréstamoPagado,AmortizaciónInterés,""), "")</f>
        <v/>
      </c>
      <c r="H204" s="97" t="str">
        <f ca="1">IFERROR(IF(PréstamoNoPagado*PréstamoPagado,SaldoFinal,""), "")</f>
        <v/>
      </c>
    </row>
    <row r="205" spans="2:8" ht="20.100000000000001" customHeight="1" x14ac:dyDescent="0.3">
      <c r="B205" s="105" t="str">
        <f ca="1">IFERROR(IF(PréstamoNoPagado*PréstamoPagado,NúmeroDePago,""), "")</f>
        <v/>
      </c>
      <c r="C205" s="96" t="str">
        <f ca="1">IFERROR(IF(PréstamoNoPagado*PréstamoPagado,FechaDePago,""), "")</f>
        <v/>
      </c>
      <c r="D205" s="97" t="str">
        <f ca="1">IFERROR(IF(PréstamoNoPagado*PréstamoPagado,ValorPréstamo,""), "")</f>
        <v/>
      </c>
      <c r="E205" s="97" t="str">
        <f ca="1">IFERROR(IF(PréstamoNoPagado*PréstamoPagado,PagoMensual,""), "")</f>
        <v/>
      </c>
      <c r="F205" s="97" t="str">
        <f ca="1">IFERROR(IF(PréstamoNoPagado*PréstamoPagado,Capital,""), "")</f>
        <v/>
      </c>
      <c r="G205" s="97" t="str">
        <f ca="1">IFERROR(IF(PréstamoNoPagado*PréstamoPagado,AmortizaciónInterés,""), "")</f>
        <v/>
      </c>
      <c r="H205" s="97" t="str">
        <f ca="1">IFERROR(IF(PréstamoNoPagado*PréstamoPagado,SaldoFinal,""), "")</f>
        <v/>
      </c>
    </row>
    <row r="206" spans="2:8" ht="20.100000000000001" customHeight="1" x14ac:dyDescent="0.3">
      <c r="B206" s="105" t="str">
        <f ca="1">IFERROR(IF(PréstamoNoPagado*PréstamoPagado,NúmeroDePago,""), "")</f>
        <v/>
      </c>
      <c r="C206" s="96" t="str">
        <f ca="1">IFERROR(IF(PréstamoNoPagado*PréstamoPagado,FechaDePago,""), "")</f>
        <v/>
      </c>
      <c r="D206" s="97" t="str">
        <f ca="1">IFERROR(IF(PréstamoNoPagado*PréstamoPagado,ValorPréstamo,""), "")</f>
        <v/>
      </c>
      <c r="E206" s="97" t="str">
        <f ca="1">IFERROR(IF(PréstamoNoPagado*PréstamoPagado,PagoMensual,""), "")</f>
        <v/>
      </c>
      <c r="F206" s="97" t="str">
        <f ca="1">IFERROR(IF(PréstamoNoPagado*PréstamoPagado,Capital,""), "")</f>
        <v/>
      </c>
      <c r="G206" s="97" t="str">
        <f ca="1">IFERROR(IF(PréstamoNoPagado*PréstamoPagado,AmortizaciónInterés,""), "")</f>
        <v/>
      </c>
      <c r="H206" s="97" t="str">
        <f ca="1">IFERROR(IF(PréstamoNoPagado*PréstamoPagado,SaldoFinal,""), "")</f>
        <v/>
      </c>
    </row>
    <row r="207" spans="2:8" ht="20.100000000000001" customHeight="1" x14ac:dyDescent="0.3">
      <c r="B207" s="105" t="str">
        <f ca="1">IFERROR(IF(PréstamoNoPagado*PréstamoPagado,NúmeroDePago,""), "")</f>
        <v/>
      </c>
      <c r="C207" s="96" t="str">
        <f ca="1">IFERROR(IF(PréstamoNoPagado*PréstamoPagado,FechaDePago,""), "")</f>
        <v/>
      </c>
      <c r="D207" s="97" t="str">
        <f ca="1">IFERROR(IF(PréstamoNoPagado*PréstamoPagado,ValorPréstamo,""), "")</f>
        <v/>
      </c>
      <c r="E207" s="97" t="str">
        <f ca="1">IFERROR(IF(PréstamoNoPagado*PréstamoPagado,PagoMensual,""), "")</f>
        <v/>
      </c>
      <c r="F207" s="97" t="str">
        <f ca="1">IFERROR(IF(PréstamoNoPagado*PréstamoPagado,Capital,""), "")</f>
        <v/>
      </c>
      <c r="G207" s="97" t="str">
        <f ca="1">IFERROR(IF(PréstamoNoPagado*PréstamoPagado,AmortizaciónInterés,""), "")</f>
        <v/>
      </c>
      <c r="H207" s="97" t="str">
        <f ca="1">IFERROR(IF(PréstamoNoPagado*PréstamoPagado,SaldoFinal,""), "")</f>
        <v/>
      </c>
    </row>
    <row r="208" spans="2:8" ht="20.100000000000001" customHeight="1" x14ac:dyDescent="0.3">
      <c r="B208" s="105" t="str">
        <f ca="1">IFERROR(IF(PréstamoNoPagado*PréstamoPagado,NúmeroDePago,""), "")</f>
        <v/>
      </c>
      <c r="C208" s="96" t="str">
        <f ca="1">IFERROR(IF(PréstamoNoPagado*PréstamoPagado,FechaDePago,""), "")</f>
        <v/>
      </c>
      <c r="D208" s="97" t="str">
        <f ca="1">IFERROR(IF(PréstamoNoPagado*PréstamoPagado,ValorPréstamo,""), "")</f>
        <v/>
      </c>
      <c r="E208" s="97" t="str">
        <f ca="1">IFERROR(IF(PréstamoNoPagado*PréstamoPagado,PagoMensual,""), "")</f>
        <v/>
      </c>
      <c r="F208" s="97" t="str">
        <f ca="1">IFERROR(IF(PréstamoNoPagado*PréstamoPagado,Capital,""), "")</f>
        <v/>
      </c>
      <c r="G208" s="97" t="str">
        <f ca="1">IFERROR(IF(PréstamoNoPagado*PréstamoPagado,AmortizaciónInterés,""), "")</f>
        <v/>
      </c>
      <c r="H208" s="97" t="str">
        <f ca="1">IFERROR(IF(PréstamoNoPagado*PréstamoPagado,SaldoFinal,""), "")</f>
        <v/>
      </c>
    </row>
    <row r="209" spans="2:8" ht="20.100000000000001" customHeight="1" x14ac:dyDescent="0.3">
      <c r="B209" s="105" t="str">
        <f ca="1">IFERROR(IF(PréstamoNoPagado*PréstamoPagado,NúmeroDePago,""), "")</f>
        <v/>
      </c>
      <c r="C209" s="96" t="str">
        <f ca="1">IFERROR(IF(PréstamoNoPagado*PréstamoPagado,FechaDePago,""), "")</f>
        <v/>
      </c>
      <c r="D209" s="97" t="str">
        <f ca="1">IFERROR(IF(PréstamoNoPagado*PréstamoPagado,ValorPréstamo,""), "")</f>
        <v/>
      </c>
      <c r="E209" s="97" t="str">
        <f ca="1">IFERROR(IF(PréstamoNoPagado*PréstamoPagado,PagoMensual,""), "")</f>
        <v/>
      </c>
      <c r="F209" s="97" t="str">
        <f ca="1">IFERROR(IF(PréstamoNoPagado*PréstamoPagado,Capital,""), "")</f>
        <v/>
      </c>
      <c r="G209" s="97" t="str">
        <f ca="1">IFERROR(IF(PréstamoNoPagado*PréstamoPagado,AmortizaciónInterés,""), "")</f>
        <v/>
      </c>
      <c r="H209" s="97" t="str">
        <f ca="1">IFERROR(IF(PréstamoNoPagado*PréstamoPagado,SaldoFinal,""), "")</f>
        <v/>
      </c>
    </row>
    <row r="210" spans="2:8" ht="20.100000000000001" customHeight="1" x14ac:dyDescent="0.3">
      <c r="B210" s="105" t="str">
        <f ca="1">IFERROR(IF(PréstamoNoPagado*PréstamoPagado,NúmeroDePago,""), "")</f>
        <v/>
      </c>
      <c r="C210" s="96" t="str">
        <f ca="1">IFERROR(IF(PréstamoNoPagado*PréstamoPagado,FechaDePago,""), "")</f>
        <v/>
      </c>
      <c r="D210" s="97" t="str">
        <f ca="1">IFERROR(IF(PréstamoNoPagado*PréstamoPagado,ValorPréstamo,""), "")</f>
        <v/>
      </c>
      <c r="E210" s="97" t="str">
        <f ca="1">IFERROR(IF(PréstamoNoPagado*PréstamoPagado,PagoMensual,""), "")</f>
        <v/>
      </c>
      <c r="F210" s="97" t="str">
        <f ca="1">IFERROR(IF(PréstamoNoPagado*PréstamoPagado,Capital,""), "")</f>
        <v/>
      </c>
      <c r="G210" s="97" t="str">
        <f ca="1">IFERROR(IF(PréstamoNoPagado*PréstamoPagado,AmortizaciónInterés,""), "")</f>
        <v/>
      </c>
      <c r="H210" s="97" t="str">
        <f ca="1">IFERROR(IF(PréstamoNoPagado*PréstamoPagado,SaldoFinal,""), "")</f>
        <v/>
      </c>
    </row>
    <row r="211" spans="2:8" ht="20.100000000000001" customHeight="1" x14ac:dyDescent="0.3">
      <c r="B211" s="105" t="str">
        <f ca="1">IFERROR(IF(PréstamoNoPagado*PréstamoPagado,NúmeroDePago,""), "")</f>
        <v/>
      </c>
      <c r="C211" s="96" t="str">
        <f ca="1">IFERROR(IF(PréstamoNoPagado*PréstamoPagado,FechaDePago,""), "")</f>
        <v/>
      </c>
      <c r="D211" s="97" t="str">
        <f ca="1">IFERROR(IF(PréstamoNoPagado*PréstamoPagado,ValorPréstamo,""), "")</f>
        <v/>
      </c>
      <c r="E211" s="97" t="str">
        <f ca="1">IFERROR(IF(PréstamoNoPagado*PréstamoPagado,PagoMensual,""), "")</f>
        <v/>
      </c>
      <c r="F211" s="97" t="str">
        <f ca="1">IFERROR(IF(PréstamoNoPagado*PréstamoPagado,Capital,""), "")</f>
        <v/>
      </c>
      <c r="G211" s="97" t="str">
        <f ca="1">IFERROR(IF(PréstamoNoPagado*PréstamoPagado,AmortizaciónInterés,""), "")</f>
        <v/>
      </c>
      <c r="H211" s="97" t="str">
        <f ca="1">IFERROR(IF(PréstamoNoPagado*PréstamoPagado,SaldoFinal,""), "")</f>
        <v/>
      </c>
    </row>
    <row r="212" spans="2:8" ht="20.100000000000001" customHeight="1" x14ac:dyDescent="0.3">
      <c r="B212" s="105" t="str">
        <f ca="1">IFERROR(IF(PréstamoNoPagado*PréstamoPagado,NúmeroDePago,""), "")</f>
        <v/>
      </c>
      <c r="C212" s="96" t="str">
        <f ca="1">IFERROR(IF(PréstamoNoPagado*PréstamoPagado,FechaDePago,""), "")</f>
        <v/>
      </c>
      <c r="D212" s="97" t="str">
        <f ca="1">IFERROR(IF(PréstamoNoPagado*PréstamoPagado,ValorPréstamo,""), "")</f>
        <v/>
      </c>
      <c r="E212" s="97" t="str">
        <f ca="1">IFERROR(IF(PréstamoNoPagado*PréstamoPagado,PagoMensual,""), "")</f>
        <v/>
      </c>
      <c r="F212" s="97" t="str">
        <f ca="1">IFERROR(IF(PréstamoNoPagado*PréstamoPagado,Capital,""), "")</f>
        <v/>
      </c>
      <c r="G212" s="97" t="str">
        <f ca="1">IFERROR(IF(PréstamoNoPagado*PréstamoPagado,AmortizaciónInterés,""), "")</f>
        <v/>
      </c>
      <c r="H212" s="97" t="str">
        <f ca="1">IFERROR(IF(PréstamoNoPagado*PréstamoPagado,SaldoFinal,""), "")</f>
        <v/>
      </c>
    </row>
    <row r="213" spans="2:8" ht="20.100000000000001" customHeight="1" x14ac:dyDescent="0.3">
      <c r="B213" s="105" t="str">
        <f ca="1">IFERROR(IF(PréstamoNoPagado*PréstamoPagado,NúmeroDePago,""), "")</f>
        <v/>
      </c>
      <c r="C213" s="96" t="str">
        <f ca="1">IFERROR(IF(PréstamoNoPagado*PréstamoPagado,FechaDePago,""), "")</f>
        <v/>
      </c>
      <c r="D213" s="97" t="str">
        <f ca="1">IFERROR(IF(PréstamoNoPagado*PréstamoPagado,ValorPréstamo,""), "")</f>
        <v/>
      </c>
      <c r="E213" s="97" t="str">
        <f ca="1">IFERROR(IF(PréstamoNoPagado*PréstamoPagado,PagoMensual,""), "")</f>
        <v/>
      </c>
      <c r="F213" s="97" t="str">
        <f ca="1">IFERROR(IF(PréstamoNoPagado*PréstamoPagado,Capital,""), "")</f>
        <v/>
      </c>
      <c r="G213" s="97" t="str">
        <f ca="1">IFERROR(IF(PréstamoNoPagado*PréstamoPagado,AmortizaciónInterés,""), "")</f>
        <v/>
      </c>
      <c r="H213" s="97" t="str">
        <f ca="1">IFERROR(IF(PréstamoNoPagado*PréstamoPagado,SaldoFinal,""), "")</f>
        <v/>
      </c>
    </row>
    <row r="214" spans="2:8" ht="20.100000000000001" customHeight="1" x14ac:dyDescent="0.3">
      <c r="B214" s="105" t="str">
        <f ca="1">IFERROR(IF(PréstamoNoPagado*PréstamoPagado,NúmeroDePago,""), "")</f>
        <v/>
      </c>
      <c r="C214" s="96" t="str">
        <f ca="1">IFERROR(IF(PréstamoNoPagado*PréstamoPagado,FechaDePago,""), "")</f>
        <v/>
      </c>
      <c r="D214" s="97" t="str">
        <f ca="1">IFERROR(IF(PréstamoNoPagado*PréstamoPagado,ValorPréstamo,""), "")</f>
        <v/>
      </c>
      <c r="E214" s="97" t="str">
        <f ca="1">IFERROR(IF(PréstamoNoPagado*PréstamoPagado,PagoMensual,""), "")</f>
        <v/>
      </c>
      <c r="F214" s="97" t="str">
        <f ca="1">IFERROR(IF(PréstamoNoPagado*PréstamoPagado,Capital,""), "")</f>
        <v/>
      </c>
      <c r="G214" s="97" t="str">
        <f ca="1">IFERROR(IF(PréstamoNoPagado*PréstamoPagado,AmortizaciónInterés,""), "")</f>
        <v/>
      </c>
      <c r="H214" s="97" t="str">
        <f ca="1">IFERROR(IF(PréstamoNoPagado*PréstamoPagado,SaldoFinal,""), "")</f>
        <v/>
      </c>
    </row>
    <row r="215" spans="2:8" ht="20.100000000000001" customHeight="1" x14ac:dyDescent="0.3">
      <c r="B215" s="105" t="str">
        <f ca="1">IFERROR(IF(PréstamoNoPagado*PréstamoPagado,NúmeroDePago,""), "")</f>
        <v/>
      </c>
      <c r="C215" s="96" t="str">
        <f ca="1">IFERROR(IF(PréstamoNoPagado*PréstamoPagado,FechaDePago,""), "")</f>
        <v/>
      </c>
      <c r="D215" s="97" t="str">
        <f ca="1">IFERROR(IF(PréstamoNoPagado*PréstamoPagado,ValorPréstamo,""), "")</f>
        <v/>
      </c>
      <c r="E215" s="97" t="str">
        <f ca="1">IFERROR(IF(PréstamoNoPagado*PréstamoPagado,PagoMensual,""), "")</f>
        <v/>
      </c>
      <c r="F215" s="97" t="str">
        <f ca="1">IFERROR(IF(PréstamoNoPagado*PréstamoPagado,Capital,""), "")</f>
        <v/>
      </c>
      <c r="G215" s="97" t="str">
        <f ca="1">IFERROR(IF(PréstamoNoPagado*PréstamoPagado,AmortizaciónInterés,""), "")</f>
        <v/>
      </c>
      <c r="H215" s="97" t="str">
        <f ca="1">IFERROR(IF(PréstamoNoPagado*PréstamoPagado,SaldoFinal,""), "")</f>
        <v/>
      </c>
    </row>
    <row r="216" spans="2:8" ht="20.100000000000001" customHeight="1" x14ac:dyDescent="0.3">
      <c r="B216" s="105" t="str">
        <f ca="1">IFERROR(IF(PréstamoNoPagado*PréstamoPagado,NúmeroDePago,""), "")</f>
        <v/>
      </c>
      <c r="C216" s="96" t="str">
        <f ca="1">IFERROR(IF(PréstamoNoPagado*PréstamoPagado,FechaDePago,""), "")</f>
        <v/>
      </c>
      <c r="D216" s="97" t="str">
        <f ca="1">IFERROR(IF(PréstamoNoPagado*PréstamoPagado,ValorPréstamo,""), "")</f>
        <v/>
      </c>
      <c r="E216" s="97" t="str">
        <f ca="1">IFERROR(IF(PréstamoNoPagado*PréstamoPagado,PagoMensual,""), "")</f>
        <v/>
      </c>
      <c r="F216" s="97" t="str">
        <f ca="1">IFERROR(IF(PréstamoNoPagado*PréstamoPagado,Capital,""), "")</f>
        <v/>
      </c>
      <c r="G216" s="97" t="str">
        <f ca="1">IFERROR(IF(PréstamoNoPagado*PréstamoPagado,AmortizaciónInterés,""), "")</f>
        <v/>
      </c>
      <c r="H216" s="97" t="str">
        <f ca="1">IFERROR(IF(PréstamoNoPagado*PréstamoPagado,SaldoFinal,""), "")</f>
        <v/>
      </c>
    </row>
    <row r="217" spans="2:8" ht="20.100000000000001" customHeight="1" x14ac:dyDescent="0.3">
      <c r="B217" s="105" t="str">
        <f ca="1">IFERROR(IF(PréstamoNoPagado*PréstamoPagado,NúmeroDePago,""), "")</f>
        <v/>
      </c>
      <c r="C217" s="96" t="str">
        <f ca="1">IFERROR(IF(PréstamoNoPagado*PréstamoPagado,FechaDePago,""), "")</f>
        <v/>
      </c>
      <c r="D217" s="97" t="str">
        <f ca="1">IFERROR(IF(PréstamoNoPagado*PréstamoPagado,ValorPréstamo,""), "")</f>
        <v/>
      </c>
      <c r="E217" s="97" t="str">
        <f ca="1">IFERROR(IF(PréstamoNoPagado*PréstamoPagado,PagoMensual,""), "")</f>
        <v/>
      </c>
      <c r="F217" s="97" t="str">
        <f ca="1">IFERROR(IF(PréstamoNoPagado*PréstamoPagado,Capital,""), "")</f>
        <v/>
      </c>
      <c r="G217" s="97" t="str">
        <f ca="1">IFERROR(IF(PréstamoNoPagado*PréstamoPagado,AmortizaciónInterés,""), "")</f>
        <v/>
      </c>
      <c r="H217" s="97" t="str">
        <f ca="1">IFERROR(IF(PréstamoNoPagado*PréstamoPagado,SaldoFinal,""), "")</f>
        <v/>
      </c>
    </row>
    <row r="218" spans="2:8" ht="20.100000000000001" customHeight="1" x14ac:dyDescent="0.3">
      <c r="B218" s="105" t="str">
        <f ca="1">IFERROR(IF(PréstamoNoPagado*PréstamoPagado,NúmeroDePago,""), "")</f>
        <v/>
      </c>
      <c r="C218" s="96" t="str">
        <f ca="1">IFERROR(IF(PréstamoNoPagado*PréstamoPagado,FechaDePago,""), "")</f>
        <v/>
      </c>
      <c r="D218" s="97" t="str">
        <f ca="1">IFERROR(IF(PréstamoNoPagado*PréstamoPagado,ValorPréstamo,""), "")</f>
        <v/>
      </c>
      <c r="E218" s="97" t="str">
        <f ca="1">IFERROR(IF(PréstamoNoPagado*PréstamoPagado,PagoMensual,""), "")</f>
        <v/>
      </c>
      <c r="F218" s="97" t="str">
        <f ca="1">IFERROR(IF(PréstamoNoPagado*PréstamoPagado,Capital,""), "")</f>
        <v/>
      </c>
      <c r="G218" s="97" t="str">
        <f ca="1">IFERROR(IF(PréstamoNoPagado*PréstamoPagado,AmortizaciónInterés,""), "")</f>
        <v/>
      </c>
      <c r="H218" s="97" t="str">
        <f ca="1">IFERROR(IF(PréstamoNoPagado*PréstamoPagado,SaldoFinal,""), "")</f>
        <v/>
      </c>
    </row>
    <row r="219" spans="2:8" ht="20.100000000000001" customHeight="1" x14ac:dyDescent="0.3">
      <c r="B219" s="105" t="str">
        <f ca="1">IFERROR(IF(PréstamoNoPagado*PréstamoPagado,NúmeroDePago,""), "")</f>
        <v/>
      </c>
      <c r="C219" s="96" t="str">
        <f ca="1">IFERROR(IF(PréstamoNoPagado*PréstamoPagado,FechaDePago,""), "")</f>
        <v/>
      </c>
      <c r="D219" s="97" t="str">
        <f ca="1">IFERROR(IF(PréstamoNoPagado*PréstamoPagado,ValorPréstamo,""), "")</f>
        <v/>
      </c>
      <c r="E219" s="97" t="str">
        <f ca="1">IFERROR(IF(PréstamoNoPagado*PréstamoPagado,PagoMensual,""), "")</f>
        <v/>
      </c>
      <c r="F219" s="97" t="str">
        <f ca="1">IFERROR(IF(PréstamoNoPagado*PréstamoPagado,Capital,""), "")</f>
        <v/>
      </c>
      <c r="G219" s="97" t="str">
        <f ca="1">IFERROR(IF(PréstamoNoPagado*PréstamoPagado,AmortizaciónInterés,""), "")</f>
        <v/>
      </c>
      <c r="H219" s="97" t="str">
        <f ca="1">IFERROR(IF(PréstamoNoPagado*PréstamoPagado,SaldoFinal,""), "")</f>
        <v/>
      </c>
    </row>
    <row r="220" spans="2:8" ht="20.100000000000001" customHeight="1" x14ac:dyDescent="0.3">
      <c r="B220" s="105" t="str">
        <f ca="1">IFERROR(IF(PréstamoNoPagado*PréstamoPagado,NúmeroDePago,""), "")</f>
        <v/>
      </c>
      <c r="C220" s="96" t="str">
        <f ca="1">IFERROR(IF(PréstamoNoPagado*PréstamoPagado,FechaDePago,""), "")</f>
        <v/>
      </c>
      <c r="D220" s="97" t="str">
        <f ca="1">IFERROR(IF(PréstamoNoPagado*PréstamoPagado,ValorPréstamo,""), "")</f>
        <v/>
      </c>
      <c r="E220" s="97" t="str">
        <f ca="1">IFERROR(IF(PréstamoNoPagado*PréstamoPagado,PagoMensual,""), "")</f>
        <v/>
      </c>
      <c r="F220" s="97" t="str">
        <f ca="1">IFERROR(IF(PréstamoNoPagado*PréstamoPagado,Capital,""), "")</f>
        <v/>
      </c>
      <c r="G220" s="97" t="str">
        <f ca="1">IFERROR(IF(PréstamoNoPagado*PréstamoPagado,AmortizaciónInterés,""), "")</f>
        <v/>
      </c>
      <c r="H220" s="97" t="str">
        <f ca="1">IFERROR(IF(PréstamoNoPagado*PréstamoPagado,SaldoFinal,""), "")</f>
        <v/>
      </c>
    </row>
    <row r="221" spans="2:8" ht="20.100000000000001" customHeight="1" x14ac:dyDescent="0.3">
      <c r="B221" s="105" t="str">
        <f ca="1">IFERROR(IF(PréstamoNoPagado*PréstamoPagado,NúmeroDePago,""), "")</f>
        <v/>
      </c>
      <c r="C221" s="96" t="str">
        <f ca="1">IFERROR(IF(PréstamoNoPagado*PréstamoPagado,FechaDePago,""), "")</f>
        <v/>
      </c>
      <c r="D221" s="97" t="str">
        <f ca="1">IFERROR(IF(PréstamoNoPagado*PréstamoPagado,ValorPréstamo,""), "")</f>
        <v/>
      </c>
      <c r="E221" s="97" t="str">
        <f ca="1">IFERROR(IF(PréstamoNoPagado*PréstamoPagado,PagoMensual,""), "")</f>
        <v/>
      </c>
      <c r="F221" s="97" t="str">
        <f ca="1">IFERROR(IF(PréstamoNoPagado*PréstamoPagado,Capital,""), "")</f>
        <v/>
      </c>
      <c r="G221" s="97" t="str">
        <f ca="1">IFERROR(IF(PréstamoNoPagado*PréstamoPagado,AmortizaciónInterés,""), "")</f>
        <v/>
      </c>
      <c r="H221" s="97" t="str">
        <f ca="1">IFERROR(IF(PréstamoNoPagado*PréstamoPagado,SaldoFinal,""), "")</f>
        <v/>
      </c>
    </row>
    <row r="222" spans="2:8" ht="20.100000000000001" customHeight="1" x14ac:dyDescent="0.3">
      <c r="B222" s="105" t="str">
        <f ca="1">IFERROR(IF(PréstamoNoPagado*PréstamoPagado,NúmeroDePago,""), "")</f>
        <v/>
      </c>
      <c r="C222" s="96" t="str">
        <f ca="1">IFERROR(IF(PréstamoNoPagado*PréstamoPagado,FechaDePago,""), "")</f>
        <v/>
      </c>
      <c r="D222" s="97" t="str">
        <f ca="1">IFERROR(IF(PréstamoNoPagado*PréstamoPagado,ValorPréstamo,""), "")</f>
        <v/>
      </c>
      <c r="E222" s="97" t="str">
        <f ca="1">IFERROR(IF(PréstamoNoPagado*PréstamoPagado,PagoMensual,""), "")</f>
        <v/>
      </c>
      <c r="F222" s="97" t="str">
        <f ca="1">IFERROR(IF(PréstamoNoPagado*PréstamoPagado,Capital,""), "")</f>
        <v/>
      </c>
      <c r="G222" s="97" t="str">
        <f ca="1">IFERROR(IF(PréstamoNoPagado*PréstamoPagado,AmortizaciónInterés,""), "")</f>
        <v/>
      </c>
      <c r="H222" s="97" t="str">
        <f ca="1">IFERROR(IF(PréstamoNoPagado*PréstamoPagado,SaldoFinal,""), "")</f>
        <v/>
      </c>
    </row>
    <row r="223" spans="2:8" ht="20.100000000000001" customHeight="1" x14ac:dyDescent="0.3">
      <c r="B223" s="105" t="str">
        <f ca="1">IFERROR(IF(PréstamoNoPagado*PréstamoPagado,NúmeroDePago,""), "")</f>
        <v/>
      </c>
      <c r="C223" s="96" t="str">
        <f ca="1">IFERROR(IF(PréstamoNoPagado*PréstamoPagado,FechaDePago,""), "")</f>
        <v/>
      </c>
      <c r="D223" s="97" t="str">
        <f ca="1">IFERROR(IF(PréstamoNoPagado*PréstamoPagado,ValorPréstamo,""), "")</f>
        <v/>
      </c>
      <c r="E223" s="97" t="str">
        <f ca="1">IFERROR(IF(PréstamoNoPagado*PréstamoPagado,PagoMensual,""), "")</f>
        <v/>
      </c>
      <c r="F223" s="97" t="str">
        <f ca="1">IFERROR(IF(PréstamoNoPagado*PréstamoPagado,Capital,""), "")</f>
        <v/>
      </c>
      <c r="G223" s="97" t="str">
        <f ca="1">IFERROR(IF(PréstamoNoPagado*PréstamoPagado,AmortizaciónInterés,""), "")</f>
        <v/>
      </c>
      <c r="H223" s="97" t="str">
        <f ca="1">IFERROR(IF(PréstamoNoPagado*PréstamoPagado,SaldoFinal,""), "")</f>
        <v/>
      </c>
    </row>
    <row r="224" spans="2:8" ht="20.100000000000001" customHeight="1" x14ac:dyDescent="0.3">
      <c r="B224" s="105" t="str">
        <f ca="1">IFERROR(IF(PréstamoNoPagado*PréstamoPagado,NúmeroDePago,""), "")</f>
        <v/>
      </c>
      <c r="C224" s="96" t="str">
        <f ca="1">IFERROR(IF(PréstamoNoPagado*PréstamoPagado,FechaDePago,""), "")</f>
        <v/>
      </c>
      <c r="D224" s="97" t="str">
        <f ca="1">IFERROR(IF(PréstamoNoPagado*PréstamoPagado,ValorPréstamo,""), "")</f>
        <v/>
      </c>
      <c r="E224" s="97" t="str">
        <f ca="1">IFERROR(IF(PréstamoNoPagado*PréstamoPagado,PagoMensual,""), "")</f>
        <v/>
      </c>
      <c r="F224" s="97" t="str">
        <f ca="1">IFERROR(IF(PréstamoNoPagado*PréstamoPagado,Capital,""), "")</f>
        <v/>
      </c>
      <c r="G224" s="97" t="str">
        <f ca="1">IFERROR(IF(PréstamoNoPagado*PréstamoPagado,AmortizaciónInterés,""), "")</f>
        <v/>
      </c>
      <c r="H224" s="97" t="str">
        <f ca="1">IFERROR(IF(PréstamoNoPagado*PréstamoPagado,SaldoFinal,""), "")</f>
        <v/>
      </c>
    </row>
    <row r="225" spans="2:8" ht="20.100000000000001" customHeight="1" x14ac:dyDescent="0.3">
      <c r="B225" s="105" t="str">
        <f ca="1">IFERROR(IF(PréstamoNoPagado*PréstamoPagado,NúmeroDePago,""), "")</f>
        <v/>
      </c>
      <c r="C225" s="96" t="str">
        <f ca="1">IFERROR(IF(PréstamoNoPagado*PréstamoPagado,FechaDePago,""), "")</f>
        <v/>
      </c>
      <c r="D225" s="97" t="str">
        <f ca="1">IFERROR(IF(PréstamoNoPagado*PréstamoPagado,ValorPréstamo,""), "")</f>
        <v/>
      </c>
      <c r="E225" s="97" t="str">
        <f ca="1">IFERROR(IF(PréstamoNoPagado*PréstamoPagado,PagoMensual,""), "")</f>
        <v/>
      </c>
      <c r="F225" s="97" t="str">
        <f ca="1">IFERROR(IF(PréstamoNoPagado*PréstamoPagado,Capital,""), "")</f>
        <v/>
      </c>
      <c r="G225" s="97" t="str">
        <f ca="1">IFERROR(IF(PréstamoNoPagado*PréstamoPagado,AmortizaciónInterés,""), "")</f>
        <v/>
      </c>
      <c r="H225" s="97" t="str">
        <f ca="1">IFERROR(IF(PréstamoNoPagado*PréstamoPagado,SaldoFinal,""), "")</f>
        <v/>
      </c>
    </row>
    <row r="226" spans="2:8" ht="20.100000000000001" customHeight="1" x14ac:dyDescent="0.3">
      <c r="B226" s="105" t="str">
        <f ca="1">IFERROR(IF(PréstamoNoPagado*PréstamoPagado,NúmeroDePago,""), "")</f>
        <v/>
      </c>
      <c r="C226" s="96" t="str">
        <f ca="1">IFERROR(IF(PréstamoNoPagado*PréstamoPagado,FechaDePago,""), "")</f>
        <v/>
      </c>
      <c r="D226" s="97" t="str">
        <f ca="1">IFERROR(IF(PréstamoNoPagado*PréstamoPagado,ValorPréstamo,""), "")</f>
        <v/>
      </c>
      <c r="E226" s="97" t="str">
        <f ca="1">IFERROR(IF(PréstamoNoPagado*PréstamoPagado,PagoMensual,""), "")</f>
        <v/>
      </c>
      <c r="F226" s="97" t="str">
        <f ca="1">IFERROR(IF(PréstamoNoPagado*PréstamoPagado,Capital,""), "")</f>
        <v/>
      </c>
      <c r="G226" s="97" t="str">
        <f ca="1">IFERROR(IF(PréstamoNoPagado*PréstamoPagado,AmortizaciónInterés,""), "")</f>
        <v/>
      </c>
      <c r="H226" s="97" t="str">
        <f ca="1">IFERROR(IF(PréstamoNoPagado*PréstamoPagado,SaldoFinal,""), "")</f>
        <v/>
      </c>
    </row>
    <row r="227" spans="2:8" ht="20.100000000000001" customHeight="1" x14ac:dyDescent="0.3">
      <c r="B227" s="105" t="str">
        <f ca="1">IFERROR(IF(PréstamoNoPagado*PréstamoPagado,NúmeroDePago,""), "")</f>
        <v/>
      </c>
      <c r="C227" s="96" t="str">
        <f ca="1">IFERROR(IF(PréstamoNoPagado*PréstamoPagado,FechaDePago,""), "")</f>
        <v/>
      </c>
      <c r="D227" s="97" t="str">
        <f ca="1">IFERROR(IF(PréstamoNoPagado*PréstamoPagado,ValorPréstamo,""), "")</f>
        <v/>
      </c>
      <c r="E227" s="97" t="str">
        <f ca="1">IFERROR(IF(PréstamoNoPagado*PréstamoPagado,PagoMensual,""), "")</f>
        <v/>
      </c>
      <c r="F227" s="97" t="str">
        <f ca="1">IFERROR(IF(PréstamoNoPagado*PréstamoPagado,Capital,""), "")</f>
        <v/>
      </c>
      <c r="G227" s="97" t="str">
        <f ca="1">IFERROR(IF(PréstamoNoPagado*PréstamoPagado,AmortizaciónInterés,""), "")</f>
        <v/>
      </c>
      <c r="H227" s="97" t="str">
        <f ca="1">IFERROR(IF(PréstamoNoPagado*PréstamoPagado,SaldoFinal,""), "")</f>
        <v/>
      </c>
    </row>
    <row r="228" spans="2:8" ht="20.100000000000001" customHeight="1" x14ac:dyDescent="0.3">
      <c r="B228" s="105" t="str">
        <f ca="1">IFERROR(IF(PréstamoNoPagado*PréstamoPagado,NúmeroDePago,""), "")</f>
        <v/>
      </c>
      <c r="C228" s="96" t="str">
        <f ca="1">IFERROR(IF(PréstamoNoPagado*PréstamoPagado,FechaDePago,""), "")</f>
        <v/>
      </c>
      <c r="D228" s="97" t="str">
        <f ca="1">IFERROR(IF(PréstamoNoPagado*PréstamoPagado,ValorPréstamo,""), "")</f>
        <v/>
      </c>
      <c r="E228" s="97" t="str">
        <f ca="1">IFERROR(IF(PréstamoNoPagado*PréstamoPagado,PagoMensual,""), "")</f>
        <v/>
      </c>
      <c r="F228" s="97" t="str">
        <f ca="1">IFERROR(IF(PréstamoNoPagado*PréstamoPagado,Capital,""), "")</f>
        <v/>
      </c>
      <c r="G228" s="97" t="str">
        <f ca="1">IFERROR(IF(PréstamoNoPagado*PréstamoPagado,AmortizaciónInterés,""), "")</f>
        <v/>
      </c>
      <c r="H228" s="97" t="str">
        <f ca="1">IFERROR(IF(PréstamoNoPagado*PréstamoPagado,SaldoFinal,""), "")</f>
        <v/>
      </c>
    </row>
    <row r="229" spans="2:8" ht="20.100000000000001" customHeight="1" x14ac:dyDescent="0.3">
      <c r="B229" s="105" t="str">
        <f ca="1">IFERROR(IF(PréstamoNoPagado*PréstamoPagado,NúmeroDePago,""), "")</f>
        <v/>
      </c>
      <c r="C229" s="96" t="str">
        <f ca="1">IFERROR(IF(PréstamoNoPagado*PréstamoPagado,FechaDePago,""), "")</f>
        <v/>
      </c>
      <c r="D229" s="97" t="str">
        <f ca="1">IFERROR(IF(PréstamoNoPagado*PréstamoPagado,ValorPréstamo,""), "")</f>
        <v/>
      </c>
      <c r="E229" s="97" t="str">
        <f ca="1">IFERROR(IF(PréstamoNoPagado*PréstamoPagado,PagoMensual,""), "")</f>
        <v/>
      </c>
      <c r="F229" s="97" t="str">
        <f ca="1">IFERROR(IF(PréstamoNoPagado*PréstamoPagado,Capital,""), "")</f>
        <v/>
      </c>
      <c r="G229" s="97" t="str">
        <f ca="1">IFERROR(IF(PréstamoNoPagado*PréstamoPagado,AmortizaciónInterés,""), "")</f>
        <v/>
      </c>
      <c r="H229" s="97" t="str">
        <f ca="1">IFERROR(IF(PréstamoNoPagado*PréstamoPagado,SaldoFinal,""), "")</f>
        <v/>
      </c>
    </row>
    <row r="230" spans="2:8" ht="20.100000000000001" customHeight="1" x14ac:dyDescent="0.3">
      <c r="B230" s="105" t="str">
        <f ca="1">IFERROR(IF(PréstamoNoPagado*PréstamoPagado,NúmeroDePago,""), "")</f>
        <v/>
      </c>
      <c r="C230" s="96" t="str">
        <f ca="1">IFERROR(IF(PréstamoNoPagado*PréstamoPagado,FechaDePago,""), "")</f>
        <v/>
      </c>
      <c r="D230" s="97" t="str">
        <f ca="1">IFERROR(IF(PréstamoNoPagado*PréstamoPagado,ValorPréstamo,""), "")</f>
        <v/>
      </c>
      <c r="E230" s="97" t="str">
        <f ca="1">IFERROR(IF(PréstamoNoPagado*PréstamoPagado,PagoMensual,""), "")</f>
        <v/>
      </c>
      <c r="F230" s="97" t="str">
        <f ca="1">IFERROR(IF(PréstamoNoPagado*PréstamoPagado,Capital,""), "")</f>
        <v/>
      </c>
      <c r="G230" s="97" t="str">
        <f ca="1">IFERROR(IF(PréstamoNoPagado*PréstamoPagado,AmortizaciónInterés,""), "")</f>
        <v/>
      </c>
      <c r="H230" s="97" t="str">
        <f ca="1">IFERROR(IF(PréstamoNoPagado*PréstamoPagado,SaldoFinal,""), "")</f>
        <v/>
      </c>
    </row>
    <row r="231" spans="2:8" ht="20.100000000000001" customHeight="1" x14ac:dyDescent="0.3">
      <c r="B231" s="105" t="str">
        <f ca="1">IFERROR(IF(PréstamoNoPagado*PréstamoPagado,NúmeroDePago,""), "")</f>
        <v/>
      </c>
      <c r="C231" s="96" t="str">
        <f ca="1">IFERROR(IF(PréstamoNoPagado*PréstamoPagado,FechaDePago,""), "")</f>
        <v/>
      </c>
      <c r="D231" s="97" t="str">
        <f ca="1">IFERROR(IF(PréstamoNoPagado*PréstamoPagado,ValorPréstamo,""), "")</f>
        <v/>
      </c>
      <c r="E231" s="97" t="str">
        <f ca="1">IFERROR(IF(PréstamoNoPagado*PréstamoPagado,PagoMensual,""), "")</f>
        <v/>
      </c>
      <c r="F231" s="97" t="str">
        <f ca="1">IFERROR(IF(PréstamoNoPagado*PréstamoPagado,Capital,""), "")</f>
        <v/>
      </c>
      <c r="G231" s="97" t="str">
        <f ca="1">IFERROR(IF(PréstamoNoPagado*PréstamoPagado,AmortizaciónInterés,""), "")</f>
        <v/>
      </c>
      <c r="H231" s="97" t="str">
        <f ca="1">IFERROR(IF(PréstamoNoPagado*PréstamoPagado,SaldoFinal,""), "")</f>
        <v/>
      </c>
    </row>
    <row r="232" spans="2:8" ht="20.100000000000001" customHeight="1" x14ac:dyDescent="0.3">
      <c r="B232" s="105" t="str">
        <f ca="1">IFERROR(IF(PréstamoNoPagado*PréstamoPagado,NúmeroDePago,""), "")</f>
        <v/>
      </c>
      <c r="C232" s="96" t="str">
        <f ca="1">IFERROR(IF(PréstamoNoPagado*PréstamoPagado,FechaDePago,""), "")</f>
        <v/>
      </c>
      <c r="D232" s="97" t="str">
        <f ca="1">IFERROR(IF(PréstamoNoPagado*PréstamoPagado,ValorPréstamo,""), "")</f>
        <v/>
      </c>
      <c r="E232" s="97" t="str">
        <f ca="1">IFERROR(IF(PréstamoNoPagado*PréstamoPagado,PagoMensual,""), "")</f>
        <v/>
      </c>
      <c r="F232" s="97" t="str">
        <f ca="1">IFERROR(IF(PréstamoNoPagado*PréstamoPagado,Capital,""), "")</f>
        <v/>
      </c>
      <c r="G232" s="97" t="str">
        <f ca="1">IFERROR(IF(PréstamoNoPagado*PréstamoPagado,AmortizaciónInterés,""), "")</f>
        <v/>
      </c>
      <c r="H232" s="97" t="str">
        <f ca="1">IFERROR(IF(PréstamoNoPagado*PréstamoPagado,SaldoFinal,""), "")</f>
        <v/>
      </c>
    </row>
    <row r="233" spans="2:8" ht="20.100000000000001" customHeight="1" x14ac:dyDescent="0.3">
      <c r="B233" s="105" t="str">
        <f ca="1">IFERROR(IF(PréstamoNoPagado*PréstamoPagado,NúmeroDePago,""), "")</f>
        <v/>
      </c>
      <c r="C233" s="96" t="str">
        <f ca="1">IFERROR(IF(PréstamoNoPagado*PréstamoPagado,FechaDePago,""), "")</f>
        <v/>
      </c>
      <c r="D233" s="97" t="str">
        <f ca="1">IFERROR(IF(PréstamoNoPagado*PréstamoPagado,ValorPréstamo,""), "")</f>
        <v/>
      </c>
      <c r="E233" s="97" t="str">
        <f ca="1">IFERROR(IF(PréstamoNoPagado*PréstamoPagado,PagoMensual,""), "")</f>
        <v/>
      </c>
      <c r="F233" s="97" t="str">
        <f ca="1">IFERROR(IF(PréstamoNoPagado*PréstamoPagado,Capital,""), "")</f>
        <v/>
      </c>
      <c r="G233" s="97" t="str">
        <f ca="1">IFERROR(IF(PréstamoNoPagado*PréstamoPagado,AmortizaciónInterés,""), "")</f>
        <v/>
      </c>
      <c r="H233" s="97" t="str">
        <f ca="1">IFERROR(IF(PréstamoNoPagado*PréstamoPagado,SaldoFinal,""), "")</f>
        <v/>
      </c>
    </row>
    <row r="234" spans="2:8" ht="20.100000000000001" customHeight="1" x14ac:dyDescent="0.3">
      <c r="B234" s="105" t="str">
        <f ca="1">IFERROR(IF(PréstamoNoPagado*PréstamoPagado,NúmeroDePago,""), "")</f>
        <v/>
      </c>
      <c r="C234" s="96" t="str">
        <f ca="1">IFERROR(IF(PréstamoNoPagado*PréstamoPagado,FechaDePago,""), "")</f>
        <v/>
      </c>
      <c r="D234" s="97" t="str">
        <f ca="1">IFERROR(IF(PréstamoNoPagado*PréstamoPagado,ValorPréstamo,""), "")</f>
        <v/>
      </c>
      <c r="E234" s="97" t="str">
        <f ca="1">IFERROR(IF(PréstamoNoPagado*PréstamoPagado,PagoMensual,""), "")</f>
        <v/>
      </c>
      <c r="F234" s="97" t="str">
        <f ca="1">IFERROR(IF(PréstamoNoPagado*PréstamoPagado,Capital,""), "")</f>
        <v/>
      </c>
      <c r="G234" s="97" t="str">
        <f ca="1">IFERROR(IF(PréstamoNoPagado*PréstamoPagado,AmortizaciónInterés,""), "")</f>
        <v/>
      </c>
      <c r="H234" s="97" t="str">
        <f ca="1">IFERROR(IF(PréstamoNoPagado*PréstamoPagado,SaldoFinal,""), "")</f>
        <v/>
      </c>
    </row>
    <row r="235" spans="2:8" ht="20.100000000000001" customHeight="1" x14ac:dyDescent="0.3">
      <c r="B235" s="105" t="str">
        <f ca="1">IFERROR(IF(PréstamoNoPagado*PréstamoPagado,NúmeroDePago,""), "")</f>
        <v/>
      </c>
      <c r="C235" s="96" t="str">
        <f ca="1">IFERROR(IF(PréstamoNoPagado*PréstamoPagado,FechaDePago,""), "")</f>
        <v/>
      </c>
      <c r="D235" s="97" t="str">
        <f ca="1">IFERROR(IF(PréstamoNoPagado*PréstamoPagado,ValorPréstamo,""), "")</f>
        <v/>
      </c>
      <c r="E235" s="97" t="str">
        <f ca="1">IFERROR(IF(PréstamoNoPagado*PréstamoPagado,PagoMensual,""), "")</f>
        <v/>
      </c>
      <c r="F235" s="97" t="str">
        <f ca="1">IFERROR(IF(PréstamoNoPagado*PréstamoPagado,Capital,""), "")</f>
        <v/>
      </c>
      <c r="G235" s="97" t="str">
        <f ca="1">IFERROR(IF(PréstamoNoPagado*PréstamoPagado,AmortizaciónInterés,""), "")</f>
        <v/>
      </c>
      <c r="H235" s="97" t="str">
        <f ca="1">IFERROR(IF(PréstamoNoPagado*PréstamoPagado,SaldoFinal,""), "")</f>
        <v/>
      </c>
    </row>
    <row r="236" spans="2:8" ht="20.100000000000001" customHeight="1" x14ac:dyDescent="0.3">
      <c r="B236" s="105" t="str">
        <f ca="1">IFERROR(IF(PréstamoNoPagado*PréstamoPagado,NúmeroDePago,""), "")</f>
        <v/>
      </c>
      <c r="C236" s="96" t="str">
        <f ca="1">IFERROR(IF(PréstamoNoPagado*PréstamoPagado,FechaDePago,""), "")</f>
        <v/>
      </c>
      <c r="D236" s="97" t="str">
        <f ca="1">IFERROR(IF(PréstamoNoPagado*PréstamoPagado,ValorPréstamo,""), "")</f>
        <v/>
      </c>
      <c r="E236" s="97" t="str">
        <f ca="1">IFERROR(IF(PréstamoNoPagado*PréstamoPagado,PagoMensual,""), "")</f>
        <v/>
      </c>
      <c r="F236" s="97" t="str">
        <f ca="1">IFERROR(IF(PréstamoNoPagado*PréstamoPagado,Capital,""), "")</f>
        <v/>
      </c>
      <c r="G236" s="97" t="str">
        <f ca="1">IFERROR(IF(PréstamoNoPagado*PréstamoPagado,AmortizaciónInterés,""), "")</f>
        <v/>
      </c>
      <c r="H236" s="97" t="str">
        <f ca="1">IFERROR(IF(PréstamoNoPagado*PréstamoPagado,SaldoFinal,""), "")</f>
        <v/>
      </c>
    </row>
    <row r="237" spans="2:8" ht="20.100000000000001" customHeight="1" x14ac:dyDescent="0.3">
      <c r="B237" s="105" t="str">
        <f ca="1">IFERROR(IF(PréstamoNoPagado*PréstamoPagado,NúmeroDePago,""), "")</f>
        <v/>
      </c>
      <c r="C237" s="96" t="str">
        <f ca="1">IFERROR(IF(PréstamoNoPagado*PréstamoPagado,FechaDePago,""), "")</f>
        <v/>
      </c>
      <c r="D237" s="97" t="str">
        <f ca="1">IFERROR(IF(PréstamoNoPagado*PréstamoPagado,ValorPréstamo,""), "")</f>
        <v/>
      </c>
      <c r="E237" s="97" t="str">
        <f ca="1">IFERROR(IF(PréstamoNoPagado*PréstamoPagado,PagoMensual,""), "")</f>
        <v/>
      </c>
      <c r="F237" s="97" t="str">
        <f ca="1">IFERROR(IF(PréstamoNoPagado*PréstamoPagado,Capital,""), "")</f>
        <v/>
      </c>
      <c r="G237" s="97" t="str">
        <f ca="1">IFERROR(IF(PréstamoNoPagado*PréstamoPagado,AmortizaciónInterés,""), "")</f>
        <v/>
      </c>
      <c r="H237" s="97" t="str">
        <f ca="1">IFERROR(IF(PréstamoNoPagado*PréstamoPagado,SaldoFinal,""), "")</f>
        <v/>
      </c>
    </row>
    <row r="238" spans="2:8" ht="20.100000000000001" customHeight="1" x14ac:dyDescent="0.3">
      <c r="B238" s="105" t="str">
        <f ca="1">IFERROR(IF(PréstamoNoPagado*PréstamoPagado,NúmeroDePago,""), "")</f>
        <v/>
      </c>
      <c r="C238" s="96" t="str">
        <f ca="1">IFERROR(IF(PréstamoNoPagado*PréstamoPagado,FechaDePago,""), "")</f>
        <v/>
      </c>
      <c r="D238" s="97" t="str">
        <f ca="1">IFERROR(IF(PréstamoNoPagado*PréstamoPagado,ValorPréstamo,""), "")</f>
        <v/>
      </c>
      <c r="E238" s="97" t="str">
        <f ca="1">IFERROR(IF(PréstamoNoPagado*PréstamoPagado,PagoMensual,""), "")</f>
        <v/>
      </c>
      <c r="F238" s="97" t="str">
        <f ca="1">IFERROR(IF(PréstamoNoPagado*PréstamoPagado,Capital,""), "")</f>
        <v/>
      </c>
      <c r="G238" s="97" t="str">
        <f ca="1">IFERROR(IF(PréstamoNoPagado*PréstamoPagado,AmortizaciónInterés,""), "")</f>
        <v/>
      </c>
      <c r="H238" s="97" t="str">
        <f ca="1">IFERROR(IF(PréstamoNoPagado*PréstamoPagado,SaldoFinal,""), "")</f>
        <v/>
      </c>
    </row>
    <row r="239" spans="2:8" ht="20.100000000000001" customHeight="1" x14ac:dyDescent="0.3">
      <c r="B239" s="105" t="str">
        <f ca="1">IFERROR(IF(PréstamoNoPagado*PréstamoPagado,NúmeroDePago,""), "")</f>
        <v/>
      </c>
      <c r="C239" s="96" t="str">
        <f ca="1">IFERROR(IF(PréstamoNoPagado*PréstamoPagado,FechaDePago,""), "")</f>
        <v/>
      </c>
      <c r="D239" s="97" t="str">
        <f ca="1">IFERROR(IF(PréstamoNoPagado*PréstamoPagado,ValorPréstamo,""), "")</f>
        <v/>
      </c>
      <c r="E239" s="97" t="str">
        <f ca="1">IFERROR(IF(PréstamoNoPagado*PréstamoPagado,PagoMensual,""), "")</f>
        <v/>
      </c>
      <c r="F239" s="97" t="str">
        <f ca="1">IFERROR(IF(PréstamoNoPagado*PréstamoPagado,Capital,""), "")</f>
        <v/>
      </c>
      <c r="G239" s="97" t="str">
        <f ca="1">IFERROR(IF(PréstamoNoPagado*PréstamoPagado,AmortizaciónInterés,""), "")</f>
        <v/>
      </c>
      <c r="H239" s="97" t="str">
        <f ca="1">IFERROR(IF(PréstamoNoPagado*PréstamoPagado,SaldoFinal,""), "")</f>
        <v/>
      </c>
    </row>
    <row r="240" spans="2:8" ht="20.100000000000001" customHeight="1" x14ac:dyDescent="0.3">
      <c r="B240" s="105" t="str">
        <f ca="1">IFERROR(IF(PréstamoNoPagado*PréstamoPagado,NúmeroDePago,""), "")</f>
        <v/>
      </c>
      <c r="C240" s="96" t="str">
        <f ca="1">IFERROR(IF(PréstamoNoPagado*PréstamoPagado,FechaDePago,""), "")</f>
        <v/>
      </c>
      <c r="D240" s="97" t="str">
        <f ca="1">IFERROR(IF(PréstamoNoPagado*PréstamoPagado,ValorPréstamo,""), "")</f>
        <v/>
      </c>
      <c r="E240" s="97" t="str">
        <f ca="1">IFERROR(IF(PréstamoNoPagado*PréstamoPagado,PagoMensual,""), "")</f>
        <v/>
      </c>
      <c r="F240" s="97" t="str">
        <f ca="1">IFERROR(IF(PréstamoNoPagado*PréstamoPagado,Capital,""), "")</f>
        <v/>
      </c>
      <c r="G240" s="97" t="str">
        <f ca="1">IFERROR(IF(PréstamoNoPagado*PréstamoPagado,AmortizaciónInterés,""), "")</f>
        <v/>
      </c>
      <c r="H240" s="97" t="str">
        <f ca="1">IFERROR(IF(PréstamoNoPagado*PréstamoPagado,SaldoFinal,""), "")</f>
        <v/>
      </c>
    </row>
    <row r="241" spans="2:8" ht="20.100000000000001" customHeight="1" x14ac:dyDescent="0.3">
      <c r="B241" s="105" t="str">
        <f ca="1">IFERROR(IF(PréstamoNoPagado*PréstamoPagado,NúmeroDePago,""), "")</f>
        <v/>
      </c>
      <c r="C241" s="96" t="str">
        <f ca="1">IFERROR(IF(PréstamoNoPagado*PréstamoPagado,FechaDePago,""), "")</f>
        <v/>
      </c>
      <c r="D241" s="97" t="str">
        <f ca="1">IFERROR(IF(PréstamoNoPagado*PréstamoPagado,ValorPréstamo,""), "")</f>
        <v/>
      </c>
      <c r="E241" s="97" t="str">
        <f ca="1">IFERROR(IF(PréstamoNoPagado*PréstamoPagado,PagoMensual,""), "")</f>
        <v/>
      </c>
      <c r="F241" s="97" t="str">
        <f ca="1">IFERROR(IF(PréstamoNoPagado*PréstamoPagado,Capital,""), "")</f>
        <v/>
      </c>
      <c r="G241" s="97" t="str">
        <f ca="1">IFERROR(IF(PréstamoNoPagado*PréstamoPagado,AmortizaciónInterés,""), "")</f>
        <v/>
      </c>
      <c r="H241" s="97" t="str">
        <f ca="1">IFERROR(IF(PréstamoNoPagado*PréstamoPagado,SaldoFinal,""), "")</f>
        <v/>
      </c>
    </row>
    <row r="242" spans="2:8" ht="20.100000000000001" customHeight="1" x14ac:dyDescent="0.3">
      <c r="B242" s="105" t="str">
        <f ca="1">IFERROR(IF(PréstamoNoPagado*PréstamoPagado,NúmeroDePago,""), "")</f>
        <v/>
      </c>
      <c r="C242" s="96" t="str">
        <f ca="1">IFERROR(IF(PréstamoNoPagado*PréstamoPagado,FechaDePago,""), "")</f>
        <v/>
      </c>
      <c r="D242" s="97" t="str">
        <f ca="1">IFERROR(IF(PréstamoNoPagado*PréstamoPagado,ValorPréstamo,""), "")</f>
        <v/>
      </c>
      <c r="E242" s="97" t="str">
        <f ca="1">IFERROR(IF(PréstamoNoPagado*PréstamoPagado,PagoMensual,""), "")</f>
        <v/>
      </c>
      <c r="F242" s="97" t="str">
        <f ca="1">IFERROR(IF(PréstamoNoPagado*PréstamoPagado,Capital,""), "")</f>
        <v/>
      </c>
      <c r="G242" s="97" t="str">
        <f ca="1">IFERROR(IF(PréstamoNoPagado*PréstamoPagado,AmortizaciónInterés,""), "")</f>
        <v/>
      </c>
      <c r="H242" s="97" t="str">
        <f ca="1">IFERROR(IF(PréstamoNoPagado*PréstamoPagado,SaldoFinal,""), "")</f>
        <v/>
      </c>
    </row>
    <row r="243" spans="2:8" ht="20.100000000000001" customHeight="1" x14ac:dyDescent="0.3">
      <c r="B243" s="105" t="str">
        <f ca="1">IFERROR(IF(PréstamoNoPagado*PréstamoPagado,NúmeroDePago,""), "")</f>
        <v/>
      </c>
      <c r="C243" s="96" t="str">
        <f ca="1">IFERROR(IF(PréstamoNoPagado*PréstamoPagado,FechaDePago,""), "")</f>
        <v/>
      </c>
      <c r="D243" s="97" t="str">
        <f ca="1">IFERROR(IF(PréstamoNoPagado*PréstamoPagado,ValorPréstamo,""), "")</f>
        <v/>
      </c>
      <c r="E243" s="97" t="str">
        <f ca="1">IFERROR(IF(PréstamoNoPagado*PréstamoPagado,PagoMensual,""), "")</f>
        <v/>
      </c>
      <c r="F243" s="97" t="str">
        <f ca="1">IFERROR(IF(PréstamoNoPagado*PréstamoPagado,Capital,""), "")</f>
        <v/>
      </c>
      <c r="G243" s="97" t="str">
        <f ca="1">IFERROR(IF(PréstamoNoPagado*PréstamoPagado,AmortizaciónInterés,""), "")</f>
        <v/>
      </c>
      <c r="H243" s="97" t="str">
        <f ca="1">IFERROR(IF(PréstamoNoPagado*PréstamoPagado,SaldoFinal,""), "")</f>
        <v/>
      </c>
    </row>
    <row r="244" spans="2:8" ht="20.100000000000001" customHeight="1" x14ac:dyDescent="0.3">
      <c r="B244" s="105" t="str">
        <f ca="1">IFERROR(IF(PréstamoNoPagado*PréstamoPagado,NúmeroDePago,""), "")</f>
        <v/>
      </c>
      <c r="C244" s="96" t="str">
        <f ca="1">IFERROR(IF(PréstamoNoPagado*PréstamoPagado,FechaDePago,""), "")</f>
        <v/>
      </c>
      <c r="D244" s="97" t="str">
        <f ca="1">IFERROR(IF(PréstamoNoPagado*PréstamoPagado,ValorPréstamo,""), "")</f>
        <v/>
      </c>
      <c r="E244" s="97" t="str">
        <f ca="1">IFERROR(IF(PréstamoNoPagado*PréstamoPagado,PagoMensual,""), "")</f>
        <v/>
      </c>
      <c r="F244" s="97" t="str">
        <f ca="1">IFERROR(IF(PréstamoNoPagado*PréstamoPagado,Capital,""), "")</f>
        <v/>
      </c>
      <c r="G244" s="97" t="str">
        <f ca="1">IFERROR(IF(PréstamoNoPagado*PréstamoPagado,AmortizaciónInterés,""), "")</f>
        <v/>
      </c>
      <c r="H244" s="97" t="str">
        <f ca="1">IFERROR(IF(PréstamoNoPagado*PréstamoPagado,SaldoFinal,""), "")</f>
        <v/>
      </c>
    </row>
    <row r="245" spans="2:8" ht="20.100000000000001" customHeight="1" x14ac:dyDescent="0.3">
      <c r="B245" s="105" t="str">
        <f ca="1">IFERROR(IF(PréstamoNoPagado*PréstamoPagado,NúmeroDePago,""), "")</f>
        <v/>
      </c>
      <c r="C245" s="96" t="str">
        <f ca="1">IFERROR(IF(PréstamoNoPagado*PréstamoPagado,FechaDePago,""), "")</f>
        <v/>
      </c>
      <c r="D245" s="97" t="str">
        <f ca="1">IFERROR(IF(PréstamoNoPagado*PréstamoPagado,ValorPréstamo,""), "")</f>
        <v/>
      </c>
      <c r="E245" s="97" t="str">
        <f ca="1">IFERROR(IF(PréstamoNoPagado*PréstamoPagado,PagoMensual,""), "")</f>
        <v/>
      </c>
      <c r="F245" s="97" t="str">
        <f ca="1">IFERROR(IF(PréstamoNoPagado*PréstamoPagado,Capital,""), "")</f>
        <v/>
      </c>
      <c r="G245" s="97" t="str">
        <f ca="1">IFERROR(IF(PréstamoNoPagado*PréstamoPagado,AmortizaciónInterés,""), "")</f>
        <v/>
      </c>
      <c r="H245" s="97" t="str">
        <f ca="1">IFERROR(IF(PréstamoNoPagado*PréstamoPagado,SaldoFinal,""), "")</f>
        <v/>
      </c>
    </row>
    <row r="246" spans="2:8" ht="20.100000000000001" customHeight="1" x14ac:dyDescent="0.3">
      <c r="B246" s="105" t="str">
        <f ca="1">IFERROR(IF(PréstamoNoPagado*PréstamoPagado,NúmeroDePago,""), "")</f>
        <v/>
      </c>
      <c r="C246" s="96" t="str">
        <f ca="1">IFERROR(IF(PréstamoNoPagado*PréstamoPagado,FechaDePago,""), "")</f>
        <v/>
      </c>
      <c r="D246" s="97" t="str">
        <f ca="1">IFERROR(IF(PréstamoNoPagado*PréstamoPagado,ValorPréstamo,""), "")</f>
        <v/>
      </c>
      <c r="E246" s="97" t="str">
        <f ca="1">IFERROR(IF(PréstamoNoPagado*PréstamoPagado,PagoMensual,""), "")</f>
        <v/>
      </c>
      <c r="F246" s="97" t="str">
        <f ca="1">IFERROR(IF(PréstamoNoPagado*PréstamoPagado,Capital,""), "")</f>
        <v/>
      </c>
      <c r="G246" s="97" t="str">
        <f ca="1">IFERROR(IF(PréstamoNoPagado*PréstamoPagado,AmortizaciónInterés,""), "")</f>
        <v/>
      </c>
      <c r="H246" s="97" t="str">
        <f ca="1">IFERROR(IF(PréstamoNoPagado*PréstamoPagado,SaldoFinal,""), "")</f>
        <v/>
      </c>
    </row>
    <row r="247" spans="2:8" ht="20.100000000000001" customHeight="1" x14ac:dyDescent="0.3">
      <c r="B247" s="105" t="str">
        <f ca="1">IFERROR(IF(PréstamoNoPagado*PréstamoPagado,NúmeroDePago,""), "")</f>
        <v/>
      </c>
      <c r="C247" s="96" t="str">
        <f ca="1">IFERROR(IF(PréstamoNoPagado*PréstamoPagado,FechaDePago,""), "")</f>
        <v/>
      </c>
      <c r="D247" s="97" t="str">
        <f ca="1">IFERROR(IF(PréstamoNoPagado*PréstamoPagado,ValorPréstamo,""), "")</f>
        <v/>
      </c>
      <c r="E247" s="97" t="str">
        <f ca="1">IFERROR(IF(PréstamoNoPagado*PréstamoPagado,PagoMensual,""), "")</f>
        <v/>
      </c>
      <c r="F247" s="97" t="str">
        <f ca="1">IFERROR(IF(PréstamoNoPagado*PréstamoPagado,Capital,""), "")</f>
        <v/>
      </c>
      <c r="G247" s="97" t="str">
        <f ca="1">IFERROR(IF(PréstamoNoPagado*PréstamoPagado,AmortizaciónInterés,""), "")</f>
        <v/>
      </c>
      <c r="H247" s="97" t="str">
        <f ca="1">IFERROR(IF(PréstamoNoPagado*PréstamoPagado,SaldoFinal,""), "")</f>
        <v/>
      </c>
    </row>
    <row r="248" spans="2:8" ht="20.100000000000001" customHeight="1" x14ac:dyDescent="0.3">
      <c r="B248" s="105" t="str">
        <f ca="1">IFERROR(IF(PréstamoNoPagado*PréstamoPagado,NúmeroDePago,""), "")</f>
        <v/>
      </c>
      <c r="C248" s="96" t="str">
        <f ca="1">IFERROR(IF(PréstamoNoPagado*PréstamoPagado,FechaDePago,""), "")</f>
        <v/>
      </c>
      <c r="D248" s="97" t="str">
        <f ca="1">IFERROR(IF(PréstamoNoPagado*PréstamoPagado,ValorPréstamo,""), "")</f>
        <v/>
      </c>
      <c r="E248" s="97" t="str">
        <f ca="1">IFERROR(IF(PréstamoNoPagado*PréstamoPagado,PagoMensual,""), "")</f>
        <v/>
      </c>
      <c r="F248" s="97" t="str">
        <f ca="1">IFERROR(IF(PréstamoNoPagado*PréstamoPagado,Capital,""), "")</f>
        <v/>
      </c>
      <c r="G248" s="97" t="str">
        <f ca="1">IFERROR(IF(PréstamoNoPagado*PréstamoPagado,AmortizaciónInterés,""), "")</f>
        <v/>
      </c>
      <c r="H248" s="97" t="str">
        <f ca="1">IFERROR(IF(PréstamoNoPagado*PréstamoPagado,SaldoFinal,""), "")</f>
        <v/>
      </c>
    </row>
    <row r="249" spans="2:8" ht="20.100000000000001" customHeight="1" x14ac:dyDescent="0.3">
      <c r="B249" s="105" t="str">
        <f ca="1">IFERROR(IF(PréstamoNoPagado*PréstamoPagado,NúmeroDePago,""), "")</f>
        <v/>
      </c>
      <c r="C249" s="96" t="str">
        <f ca="1">IFERROR(IF(PréstamoNoPagado*PréstamoPagado,FechaDePago,""), "")</f>
        <v/>
      </c>
      <c r="D249" s="97" t="str">
        <f ca="1">IFERROR(IF(PréstamoNoPagado*PréstamoPagado,ValorPréstamo,""), "")</f>
        <v/>
      </c>
      <c r="E249" s="97" t="str">
        <f ca="1">IFERROR(IF(PréstamoNoPagado*PréstamoPagado,PagoMensual,""), "")</f>
        <v/>
      </c>
      <c r="F249" s="97" t="str">
        <f ca="1">IFERROR(IF(PréstamoNoPagado*PréstamoPagado,Capital,""), "")</f>
        <v/>
      </c>
      <c r="G249" s="97" t="str">
        <f ca="1">IFERROR(IF(PréstamoNoPagado*PréstamoPagado,AmortizaciónInterés,""), "")</f>
        <v/>
      </c>
      <c r="H249" s="97" t="str">
        <f ca="1">IFERROR(IF(PréstamoNoPagado*PréstamoPagado,SaldoFinal,""), "")</f>
        <v/>
      </c>
    </row>
    <row r="250" spans="2:8" ht="20.100000000000001" customHeight="1" x14ac:dyDescent="0.3">
      <c r="B250" s="105" t="str">
        <f ca="1">IFERROR(IF(PréstamoNoPagado*PréstamoPagado,NúmeroDePago,""), "")</f>
        <v/>
      </c>
      <c r="C250" s="96" t="str">
        <f ca="1">IFERROR(IF(PréstamoNoPagado*PréstamoPagado,FechaDePago,""), "")</f>
        <v/>
      </c>
      <c r="D250" s="97" t="str">
        <f ca="1">IFERROR(IF(PréstamoNoPagado*PréstamoPagado,ValorPréstamo,""), "")</f>
        <v/>
      </c>
      <c r="E250" s="97" t="str">
        <f ca="1">IFERROR(IF(PréstamoNoPagado*PréstamoPagado,PagoMensual,""), "")</f>
        <v/>
      </c>
      <c r="F250" s="97" t="str">
        <f ca="1">IFERROR(IF(PréstamoNoPagado*PréstamoPagado,Capital,""), "")</f>
        <v/>
      </c>
      <c r="G250" s="97" t="str">
        <f ca="1">IFERROR(IF(PréstamoNoPagado*PréstamoPagado,AmortizaciónInterés,""), "")</f>
        <v/>
      </c>
      <c r="H250" s="97" t="str">
        <f ca="1">IFERROR(IF(PréstamoNoPagado*PréstamoPagado,SaldoFinal,""), "")</f>
        <v/>
      </c>
    </row>
    <row r="251" spans="2:8" ht="20.100000000000001" customHeight="1" x14ac:dyDescent="0.3">
      <c r="B251" s="105" t="str">
        <f ca="1">IFERROR(IF(PréstamoNoPagado*PréstamoPagado,NúmeroDePago,""), "")</f>
        <v/>
      </c>
      <c r="C251" s="96" t="str">
        <f ca="1">IFERROR(IF(PréstamoNoPagado*PréstamoPagado,FechaDePago,""), "")</f>
        <v/>
      </c>
      <c r="D251" s="97" t="str">
        <f ca="1">IFERROR(IF(PréstamoNoPagado*PréstamoPagado,ValorPréstamo,""), "")</f>
        <v/>
      </c>
      <c r="E251" s="97" t="str">
        <f ca="1">IFERROR(IF(PréstamoNoPagado*PréstamoPagado,PagoMensual,""), "")</f>
        <v/>
      </c>
      <c r="F251" s="97" t="str">
        <f ca="1">IFERROR(IF(PréstamoNoPagado*PréstamoPagado,Capital,""), "")</f>
        <v/>
      </c>
      <c r="G251" s="97" t="str">
        <f ca="1">IFERROR(IF(PréstamoNoPagado*PréstamoPagado,AmortizaciónInterés,""), "")</f>
        <v/>
      </c>
      <c r="H251" s="97" t="str">
        <f ca="1">IFERROR(IF(PréstamoNoPagado*PréstamoPagado,SaldoFinal,""), "")</f>
        <v/>
      </c>
    </row>
    <row r="252" spans="2:8" ht="20.100000000000001" customHeight="1" x14ac:dyDescent="0.3">
      <c r="B252" s="105" t="str">
        <f ca="1">IFERROR(IF(PréstamoNoPagado*PréstamoPagado,NúmeroDePago,""), "")</f>
        <v/>
      </c>
      <c r="C252" s="96" t="str">
        <f ca="1">IFERROR(IF(PréstamoNoPagado*PréstamoPagado,FechaDePago,""), "")</f>
        <v/>
      </c>
      <c r="D252" s="97" t="str">
        <f ca="1">IFERROR(IF(PréstamoNoPagado*PréstamoPagado,ValorPréstamo,""), "")</f>
        <v/>
      </c>
      <c r="E252" s="97" t="str">
        <f ca="1">IFERROR(IF(PréstamoNoPagado*PréstamoPagado,PagoMensual,""), "")</f>
        <v/>
      </c>
      <c r="F252" s="97" t="str">
        <f ca="1">IFERROR(IF(PréstamoNoPagado*PréstamoPagado,Capital,""), "")</f>
        <v/>
      </c>
      <c r="G252" s="97" t="str">
        <f ca="1">IFERROR(IF(PréstamoNoPagado*PréstamoPagado,AmortizaciónInterés,""), "")</f>
        <v/>
      </c>
      <c r="H252" s="97" t="str">
        <f ca="1">IFERROR(IF(PréstamoNoPagado*PréstamoPagado,SaldoFinal,""), "")</f>
        <v/>
      </c>
    </row>
    <row r="253" spans="2:8" ht="20.100000000000001" customHeight="1" x14ac:dyDescent="0.3">
      <c r="B253" s="105" t="str">
        <f ca="1">IFERROR(IF(PréstamoNoPagado*PréstamoPagado,NúmeroDePago,""), "")</f>
        <v/>
      </c>
      <c r="C253" s="96" t="str">
        <f ca="1">IFERROR(IF(PréstamoNoPagado*PréstamoPagado,FechaDePago,""), "")</f>
        <v/>
      </c>
      <c r="D253" s="97" t="str">
        <f ca="1">IFERROR(IF(PréstamoNoPagado*PréstamoPagado,ValorPréstamo,""), "")</f>
        <v/>
      </c>
      <c r="E253" s="97" t="str">
        <f ca="1">IFERROR(IF(PréstamoNoPagado*PréstamoPagado,PagoMensual,""), "")</f>
        <v/>
      </c>
      <c r="F253" s="97" t="str">
        <f ca="1">IFERROR(IF(PréstamoNoPagado*PréstamoPagado,Capital,""), "")</f>
        <v/>
      </c>
      <c r="G253" s="97" t="str">
        <f ca="1">IFERROR(IF(PréstamoNoPagado*PréstamoPagado,AmortizaciónInterés,""), "")</f>
        <v/>
      </c>
      <c r="H253" s="97" t="str">
        <f ca="1">IFERROR(IF(PréstamoNoPagado*PréstamoPagado,SaldoFinal,""), "")</f>
        <v/>
      </c>
    </row>
    <row r="254" spans="2:8" ht="20.100000000000001" customHeight="1" x14ac:dyDescent="0.3">
      <c r="B254" s="105" t="str">
        <f ca="1">IFERROR(IF(PréstamoNoPagado*PréstamoPagado,NúmeroDePago,""), "")</f>
        <v/>
      </c>
      <c r="C254" s="96" t="str">
        <f ca="1">IFERROR(IF(PréstamoNoPagado*PréstamoPagado,FechaDePago,""), "")</f>
        <v/>
      </c>
      <c r="D254" s="97" t="str">
        <f ca="1">IFERROR(IF(PréstamoNoPagado*PréstamoPagado,ValorPréstamo,""), "")</f>
        <v/>
      </c>
      <c r="E254" s="97" t="str">
        <f ca="1">IFERROR(IF(PréstamoNoPagado*PréstamoPagado,PagoMensual,""), "")</f>
        <v/>
      </c>
      <c r="F254" s="97" t="str">
        <f ca="1">IFERROR(IF(PréstamoNoPagado*PréstamoPagado,Capital,""), "")</f>
        <v/>
      </c>
      <c r="G254" s="97" t="str">
        <f ca="1">IFERROR(IF(PréstamoNoPagado*PréstamoPagado,AmortizaciónInterés,""), "")</f>
        <v/>
      </c>
      <c r="H254" s="97" t="str">
        <f ca="1">IFERROR(IF(PréstamoNoPagado*PréstamoPagado,SaldoFinal,""), "")</f>
        <v/>
      </c>
    </row>
    <row r="255" spans="2:8" ht="20.100000000000001" customHeight="1" x14ac:dyDescent="0.3">
      <c r="B255" s="105" t="str">
        <f ca="1">IFERROR(IF(PréstamoNoPagado*PréstamoPagado,NúmeroDePago,""), "")</f>
        <v/>
      </c>
      <c r="C255" s="96" t="str">
        <f ca="1">IFERROR(IF(PréstamoNoPagado*PréstamoPagado,FechaDePago,""), "")</f>
        <v/>
      </c>
      <c r="D255" s="97" t="str">
        <f ca="1">IFERROR(IF(PréstamoNoPagado*PréstamoPagado,ValorPréstamo,""), "")</f>
        <v/>
      </c>
      <c r="E255" s="97" t="str">
        <f ca="1">IFERROR(IF(PréstamoNoPagado*PréstamoPagado,PagoMensual,""), "")</f>
        <v/>
      </c>
      <c r="F255" s="97" t="str">
        <f ca="1">IFERROR(IF(PréstamoNoPagado*PréstamoPagado,Capital,""), "")</f>
        <v/>
      </c>
      <c r="G255" s="97" t="str">
        <f ca="1">IFERROR(IF(PréstamoNoPagado*PréstamoPagado,AmortizaciónInterés,""), "")</f>
        <v/>
      </c>
      <c r="H255" s="97" t="str">
        <f ca="1">IFERROR(IF(PréstamoNoPagado*PréstamoPagado,SaldoFinal,""), "")</f>
        <v/>
      </c>
    </row>
    <row r="256" spans="2:8" ht="20.100000000000001" customHeight="1" x14ac:dyDescent="0.3">
      <c r="B256" s="105" t="str">
        <f ca="1">IFERROR(IF(PréstamoNoPagado*PréstamoPagado,NúmeroDePago,""), "")</f>
        <v/>
      </c>
      <c r="C256" s="96" t="str">
        <f ca="1">IFERROR(IF(PréstamoNoPagado*PréstamoPagado,FechaDePago,""), "")</f>
        <v/>
      </c>
      <c r="D256" s="97" t="str">
        <f ca="1">IFERROR(IF(PréstamoNoPagado*PréstamoPagado,ValorPréstamo,""), "")</f>
        <v/>
      </c>
      <c r="E256" s="97" t="str">
        <f ca="1">IFERROR(IF(PréstamoNoPagado*PréstamoPagado,PagoMensual,""), "")</f>
        <v/>
      </c>
      <c r="F256" s="97" t="str">
        <f ca="1">IFERROR(IF(PréstamoNoPagado*PréstamoPagado,Capital,""), "")</f>
        <v/>
      </c>
      <c r="G256" s="97" t="str">
        <f ca="1">IFERROR(IF(PréstamoNoPagado*PréstamoPagado,AmortizaciónInterés,""), "")</f>
        <v/>
      </c>
      <c r="H256" s="97" t="str">
        <f ca="1">IFERROR(IF(PréstamoNoPagado*PréstamoPagado,SaldoFinal,""), "")</f>
        <v/>
      </c>
    </row>
    <row r="257" spans="2:8" ht="20.100000000000001" customHeight="1" x14ac:dyDescent="0.3">
      <c r="B257" s="105" t="str">
        <f ca="1">IFERROR(IF(PréstamoNoPagado*PréstamoPagado,NúmeroDePago,""), "")</f>
        <v/>
      </c>
      <c r="C257" s="96" t="str">
        <f ca="1">IFERROR(IF(PréstamoNoPagado*PréstamoPagado,FechaDePago,""), "")</f>
        <v/>
      </c>
      <c r="D257" s="97" t="str">
        <f ca="1">IFERROR(IF(PréstamoNoPagado*PréstamoPagado,ValorPréstamo,""), "")</f>
        <v/>
      </c>
      <c r="E257" s="97" t="str">
        <f ca="1">IFERROR(IF(PréstamoNoPagado*PréstamoPagado,PagoMensual,""), "")</f>
        <v/>
      </c>
      <c r="F257" s="97" t="str">
        <f ca="1">IFERROR(IF(PréstamoNoPagado*PréstamoPagado,Capital,""), "")</f>
        <v/>
      </c>
      <c r="G257" s="97" t="str">
        <f ca="1">IFERROR(IF(PréstamoNoPagado*PréstamoPagado,AmortizaciónInterés,""), "")</f>
        <v/>
      </c>
      <c r="H257" s="97" t="str">
        <f ca="1">IFERROR(IF(PréstamoNoPagado*PréstamoPagado,SaldoFinal,""), "")</f>
        <v/>
      </c>
    </row>
    <row r="258" spans="2:8" ht="20.100000000000001" customHeight="1" x14ac:dyDescent="0.3">
      <c r="B258" s="105" t="str">
        <f ca="1">IFERROR(IF(PréstamoNoPagado*PréstamoPagado,NúmeroDePago,""), "")</f>
        <v/>
      </c>
      <c r="C258" s="96" t="str">
        <f ca="1">IFERROR(IF(PréstamoNoPagado*PréstamoPagado,FechaDePago,""), "")</f>
        <v/>
      </c>
      <c r="D258" s="97" t="str">
        <f ca="1">IFERROR(IF(PréstamoNoPagado*PréstamoPagado,ValorPréstamo,""), "")</f>
        <v/>
      </c>
      <c r="E258" s="97" t="str">
        <f ca="1">IFERROR(IF(PréstamoNoPagado*PréstamoPagado,PagoMensual,""), "")</f>
        <v/>
      </c>
      <c r="F258" s="97" t="str">
        <f ca="1">IFERROR(IF(PréstamoNoPagado*PréstamoPagado,Capital,""), "")</f>
        <v/>
      </c>
      <c r="G258" s="97" t="str">
        <f ca="1">IFERROR(IF(PréstamoNoPagado*PréstamoPagado,AmortizaciónInterés,""), "")</f>
        <v/>
      </c>
      <c r="H258" s="97" t="str">
        <f ca="1">IFERROR(IF(PréstamoNoPagado*PréstamoPagado,SaldoFinal,""), "")</f>
        <v/>
      </c>
    </row>
    <row r="259" spans="2:8" ht="20.100000000000001" customHeight="1" x14ac:dyDescent="0.3">
      <c r="B259" s="105" t="str">
        <f ca="1">IFERROR(IF(PréstamoNoPagado*PréstamoPagado,NúmeroDePago,""), "")</f>
        <v/>
      </c>
      <c r="C259" s="96" t="str">
        <f ca="1">IFERROR(IF(PréstamoNoPagado*PréstamoPagado,FechaDePago,""), "")</f>
        <v/>
      </c>
      <c r="D259" s="97" t="str">
        <f ca="1">IFERROR(IF(PréstamoNoPagado*PréstamoPagado,ValorPréstamo,""), "")</f>
        <v/>
      </c>
      <c r="E259" s="97" t="str">
        <f ca="1">IFERROR(IF(PréstamoNoPagado*PréstamoPagado,PagoMensual,""), "")</f>
        <v/>
      </c>
      <c r="F259" s="97" t="str">
        <f ca="1">IFERROR(IF(PréstamoNoPagado*PréstamoPagado,Capital,""), "")</f>
        <v/>
      </c>
      <c r="G259" s="97" t="str">
        <f ca="1">IFERROR(IF(PréstamoNoPagado*PréstamoPagado,AmortizaciónInterés,""), "")</f>
        <v/>
      </c>
      <c r="H259" s="97" t="str">
        <f ca="1">IFERROR(IF(PréstamoNoPagado*PréstamoPagado,SaldoFinal,""), "")</f>
        <v/>
      </c>
    </row>
    <row r="260" spans="2:8" ht="20.100000000000001" customHeight="1" x14ac:dyDescent="0.3">
      <c r="B260" s="105" t="str">
        <f ca="1">IFERROR(IF(PréstamoNoPagado*PréstamoPagado,NúmeroDePago,""), "")</f>
        <v/>
      </c>
      <c r="C260" s="96" t="str">
        <f ca="1">IFERROR(IF(PréstamoNoPagado*PréstamoPagado,FechaDePago,""), "")</f>
        <v/>
      </c>
      <c r="D260" s="97" t="str">
        <f ca="1">IFERROR(IF(PréstamoNoPagado*PréstamoPagado,ValorPréstamo,""), "")</f>
        <v/>
      </c>
      <c r="E260" s="97" t="str">
        <f ca="1">IFERROR(IF(PréstamoNoPagado*PréstamoPagado,PagoMensual,""), "")</f>
        <v/>
      </c>
      <c r="F260" s="97" t="str">
        <f ca="1">IFERROR(IF(PréstamoNoPagado*PréstamoPagado,Capital,""), "")</f>
        <v/>
      </c>
      <c r="G260" s="97" t="str">
        <f ca="1">IFERROR(IF(PréstamoNoPagado*PréstamoPagado,AmortizaciónInterés,""), "")</f>
        <v/>
      </c>
      <c r="H260" s="97" t="str">
        <f ca="1">IFERROR(IF(PréstamoNoPagado*PréstamoPagado,SaldoFinal,""), "")</f>
        <v/>
      </c>
    </row>
    <row r="261" spans="2:8" ht="20.100000000000001" customHeight="1" x14ac:dyDescent="0.3">
      <c r="B261" s="105" t="str">
        <f ca="1">IFERROR(IF(PréstamoNoPagado*PréstamoPagado,NúmeroDePago,""), "")</f>
        <v/>
      </c>
      <c r="C261" s="96" t="str">
        <f ca="1">IFERROR(IF(PréstamoNoPagado*PréstamoPagado,FechaDePago,""), "")</f>
        <v/>
      </c>
      <c r="D261" s="97" t="str">
        <f ca="1">IFERROR(IF(PréstamoNoPagado*PréstamoPagado,ValorPréstamo,""), "")</f>
        <v/>
      </c>
      <c r="E261" s="97" t="str">
        <f ca="1">IFERROR(IF(PréstamoNoPagado*PréstamoPagado,PagoMensual,""), "")</f>
        <v/>
      </c>
      <c r="F261" s="97" t="str">
        <f ca="1">IFERROR(IF(PréstamoNoPagado*PréstamoPagado,Capital,""), "")</f>
        <v/>
      </c>
      <c r="G261" s="97" t="str">
        <f ca="1">IFERROR(IF(PréstamoNoPagado*PréstamoPagado,AmortizaciónInterés,""), "")</f>
        <v/>
      </c>
      <c r="H261" s="97" t="str">
        <f ca="1">IFERROR(IF(PréstamoNoPagado*PréstamoPagado,SaldoFinal,""), "")</f>
        <v/>
      </c>
    </row>
    <row r="262" spans="2:8" ht="20.100000000000001" customHeight="1" x14ac:dyDescent="0.3">
      <c r="B262" s="105" t="str">
        <f ca="1">IFERROR(IF(PréstamoNoPagado*PréstamoPagado,NúmeroDePago,""), "")</f>
        <v/>
      </c>
      <c r="C262" s="96" t="str">
        <f ca="1">IFERROR(IF(PréstamoNoPagado*PréstamoPagado,FechaDePago,""), "")</f>
        <v/>
      </c>
      <c r="D262" s="97" t="str">
        <f ca="1">IFERROR(IF(PréstamoNoPagado*PréstamoPagado,ValorPréstamo,""), "")</f>
        <v/>
      </c>
      <c r="E262" s="97" t="str">
        <f ca="1">IFERROR(IF(PréstamoNoPagado*PréstamoPagado,PagoMensual,""), "")</f>
        <v/>
      </c>
      <c r="F262" s="97" t="str">
        <f ca="1">IFERROR(IF(PréstamoNoPagado*PréstamoPagado,Capital,""), "")</f>
        <v/>
      </c>
      <c r="G262" s="97" t="str">
        <f ca="1">IFERROR(IF(PréstamoNoPagado*PréstamoPagado,AmortizaciónInterés,""), "")</f>
        <v/>
      </c>
      <c r="H262" s="97" t="str">
        <f ca="1">IFERROR(IF(PréstamoNoPagado*PréstamoPagado,SaldoFinal,""), "")</f>
        <v/>
      </c>
    </row>
    <row r="263" spans="2:8" ht="20.100000000000001" customHeight="1" x14ac:dyDescent="0.3">
      <c r="B263" s="105" t="str">
        <f ca="1">IFERROR(IF(PréstamoNoPagado*PréstamoPagado,NúmeroDePago,""), "")</f>
        <v/>
      </c>
      <c r="C263" s="96" t="str">
        <f ca="1">IFERROR(IF(PréstamoNoPagado*PréstamoPagado,FechaDePago,""), "")</f>
        <v/>
      </c>
      <c r="D263" s="97" t="str">
        <f ca="1">IFERROR(IF(PréstamoNoPagado*PréstamoPagado,ValorPréstamo,""), "")</f>
        <v/>
      </c>
      <c r="E263" s="97" t="str">
        <f ca="1">IFERROR(IF(PréstamoNoPagado*PréstamoPagado,PagoMensual,""), "")</f>
        <v/>
      </c>
      <c r="F263" s="97" t="str">
        <f ca="1">IFERROR(IF(PréstamoNoPagado*PréstamoPagado,Capital,""), "")</f>
        <v/>
      </c>
      <c r="G263" s="97" t="str">
        <f ca="1">IFERROR(IF(PréstamoNoPagado*PréstamoPagado,AmortizaciónInterés,""), "")</f>
        <v/>
      </c>
      <c r="H263" s="97" t="str">
        <f ca="1">IFERROR(IF(PréstamoNoPagado*PréstamoPagado,SaldoFinal,""), "")</f>
        <v/>
      </c>
    </row>
    <row r="264" spans="2:8" ht="20.100000000000001" customHeight="1" x14ac:dyDescent="0.3">
      <c r="B264" s="105" t="str">
        <f ca="1">IFERROR(IF(PréstamoNoPagado*PréstamoPagado,NúmeroDePago,""), "")</f>
        <v/>
      </c>
      <c r="C264" s="96" t="str">
        <f ca="1">IFERROR(IF(PréstamoNoPagado*PréstamoPagado,FechaDePago,""), "")</f>
        <v/>
      </c>
      <c r="D264" s="97" t="str">
        <f ca="1">IFERROR(IF(PréstamoNoPagado*PréstamoPagado,ValorPréstamo,""), "")</f>
        <v/>
      </c>
      <c r="E264" s="97" t="str">
        <f ca="1">IFERROR(IF(PréstamoNoPagado*PréstamoPagado,PagoMensual,""), "")</f>
        <v/>
      </c>
      <c r="F264" s="97" t="str">
        <f ca="1">IFERROR(IF(PréstamoNoPagado*PréstamoPagado,Capital,""), "")</f>
        <v/>
      </c>
      <c r="G264" s="97" t="str">
        <f ca="1">IFERROR(IF(PréstamoNoPagado*PréstamoPagado,AmortizaciónInterés,""), "")</f>
        <v/>
      </c>
      <c r="H264" s="97" t="str">
        <f ca="1">IFERROR(IF(PréstamoNoPagado*PréstamoPagado,SaldoFinal,""), "")</f>
        <v/>
      </c>
    </row>
    <row r="265" spans="2:8" ht="20.100000000000001" customHeight="1" x14ac:dyDescent="0.3">
      <c r="B265" s="105" t="str">
        <f ca="1">IFERROR(IF(PréstamoNoPagado*PréstamoPagado,NúmeroDePago,""), "")</f>
        <v/>
      </c>
      <c r="C265" s="96" t="str">
        <f ca="1">IFERROR(IF(PréstamoNoPagado*PréstamoPagado,FechaDePago,""), "")</f>
        <v/>
      </c>
      <c r="D265" s="97" t="str">
        <f ca="1">IFERROR(IF(PréstamoNoPagado*PréstamoPagado,ValorPréstamo,""), "")</f>
        <v/>
      </c>
      <c r="E265" s="97" t="str">
        <f ca="1">IFERROR(IF(PréstamoNoPagado*PréstamoPagado,PagoMensual,""), "")</f>
        <v/>
      </c>
      <c r="F265" s="97" t="str">
        <f ca="1">IFERROR(IF(PréstamoNoPagado*PréstamoPagado,Capital,""), "")</f>
        <v/>
      </c>
      <c r="G265" s="97" t="str">
        <f ca="1">IFERROR(IF(PréstamoNoPagado*PréstamoPagado,AmortizaciónInterés,""), "")</f>
        <v/>
      </c>
      <c r="H265" s="97" t="str">
        <f ca="1">IFERROR(IF(PréstamoNoPagado*PréstamoPagado,SaldoFinal,""), "")</f>
        <v/>
      </c>
    </row>
    <row r="266" spans="2:8" ht="20.100000000000001" customHeight="1" x14ac:dyDescent="0.3">
      <c r="B266" s="105" t="str">
        <f ca="1">IFERROR(IF(PréstamoNoPagado*PréstamoPagado,NúmeroDePago,""), "")</f>
        <v/>
      </c>
      <c r="C266" s="96" t="str">
        <f ca="1">IFERROR(IF(PréstamoNoPagado*PréstamoPagado,FechaDePago,""), "")</f>
        <v/>
      </c>
      <c r="D266" s="97" t="str">
        <f ca="1">IFERROR(IF(PréstamoNoPagado*PréstamoPagado,ValorPréstamo,""), "")</f>
        <v/>
      </c>
      <c r="E266" s="97" t="str">
        <f ca="1">IFERROR(IF(PréstamoNoPagado*PréstamoPagado,PagoMensual,""), "")</f>
        <v/>
      </c>
      <c r="F266" s="97" t="str">
        <f ca="1">IFERROR(IF(PréstamoNoPagado*PréstamoPagado,Capital,""), "")</f>
        <v/>
      </c>
      <c r="G266" s="97" t="str">
        <f ca="1">IFERROR(IF(PréstamoNoPagado*PréstamoPagado,AmortizaciónInterés,""), "")</f>
        <v/>
      </c>
      <c r="H266" s="97" t="str">
        <f ca="1">IFERROR(IF(PréstamoNoPagado*PréstamoPagado,SaldoFinal,""), "")</f>
        <v/>
      </c>
    </row>
    <row r="267" spans="2:8" ht="20.100000000000001" customHeight="1" x14ac:dyDescent="0.3">
      <c r="B267" s="105" t="str">
        <f ca="1">IFERROR(IF(PréstamoNoPagado*PréstamoPagado,NúmeroDePago,""), "")</f>
        <v/>
      </c>
      <c r="C267" s="96" t="str">
        <f ca="1">IFERROR(IF(PréstamoNoPagado*PréstamoPagado,FechaDePago,""), "")</f>
        <v/>
      </c>
      <c r="D267" s="97" t="str">
        <f ca="1">IFERROR(IF(PréstamoNoPagado*PréstamoPagado,ValorPréstamo,""), "")</f>
        <v/>
      </c>
      <c r="E267" s="97" t="str">
        <f ca="1">IFERROR(IF(PréstamoNoPagado*PréstamoPagado,PagoMensual,""), "")</f>
        <v/>
      </c>
      <c r="F267" s="97" t="str">
        <f ca="1">IFERROR(IF(PréstamoNoPagado*PréstamoPagado,Capital,""), "")</f>
        <v/>
      </c>
      <c r="G267" s="97" t="str">
        <f ca="1">IFERROR(IF(PréstamoNoPagado*PréstamoPagado,AmortizaciónInterés,""), "")</f>
        <v/>
      </c>
      <c r="H267" s="97" t="str">
        <f ca="1">IFERROR(IF(PréstamoNoPagado*PréstamoPagado,SaldoFinal,""), "")</f>
        <v/>
      </c>
    </row>
    <row r="268" spans="2:8" ht="20.100000000000001" customHeight="1" x14ac:dyDescent="0.3">
      <c r="B268" s="105" t="str">
        <f ca="1">IFERROR(IF(PréstamoNoPagado*PréstamoPagado,NúmeroDePago,""), "")</f>
        <v/>
      </c>
      <c r="C268" s="96" t="str">
        <f ca="1">IFERROR(IF(PréstamoNoPagado*PréstamoPagado,FechaDePago,""), "")</f>
        <v/>
      </c>
      <c r="D268" s="97" t="str">
        <f ca="1">IFERROR(IF(PréstamoNoPagado*PréstamoPagado,ValorPréstamo,""), "")</f>
        <v/>
      </c>
      <c r="E268" s="97" t="str">
        <f ca="1">IFERROR(IF(PréstamoNoPagado*PréstamoPagado,PagoMensual,""), "")</f>
        <v/>
      </c>
      <c r="F268" s="97" t="str">
        <f ca="1">IFERROR(IF(PréstamoNoPagado*PréstamoPagado,Capital,""), "")</f>
        <v/>
      </c>
      <c r="G268" s="97" t="str">
        <f ca="1">IFERROR(IF(PréstamoNoPagado*PréstamoPagado,AmortizaciónInterés,""), "")</f>
        <v/>
      </c>
      <c r="H268" s="97" t="str">
        <f ca="1">IFERROR(IF(PréstamoNoPagado*PréstamoPagado,SaldoFinal,""), "")</f>
        <v/>
      </c>
    </row>
    <row r="269" spans="2:8" ht="20.100000000000001" customHeight="1" x14ac:dyDescent="0.3">
      <c r="B269" s="105" t="str">
        <f ca="1">IFERROR(IF(PréstamoNoPagado*PréstamoPagado,NúmeroDePago,""), "")</f>
        <v/>
      </c>
      <c r="C269" s="96" t="str">
        <f ca="1">IFERROR(IF(PréstamoNoPagado*PréstamoPagado,FechaDePago,""), "")</f>
        <v/>
      </c>
      <c r="D269" s="97" t="str">
        <f ca="1">IFERROR(IF(PréstamoNoPagado*PréstamoPagado,ValorPréstamo,""), "")</f>
        <v/>
      </c>
      <c r="E269" s="97" t="str">
        <f ca="1">IFERROR(IF(PréstamoNoPagado*PréstamoPagado,PagoMensual,""), "")</f>
        <v/>
      </c>
      <c r="F269" s="97" t="str">
        <f ca="1">IFERROR(IF(PréstamoNoPagado*PréstamoPagado,Capital,""), "")</f>
        <v/>
      </c>
      <c r="G269" s="97" t="str">
        <f ca="1">IFERROR(IF(PréstamoNoPagado*PréstamoPagado,AmortizaciónInterés,""), "")</f>
        <v/>
      </c>
      <c r="H269" s="97" t="str">
        <f ca="1">IFERROR(IF(PréstamoNoPagado*PréstamoPagado,SaldoFinal,""), "")</f>
        <v/>
      </c>
    </row>
    <row r="270" spans="2:8" ht="20.100000000000001" customHeight="1" x14ac:dyDescent="0.3">
      <c r="B270" s="105" t="str">
        <f ca="1">IFERROR(IF(PréstamoNoPagado*PréstamoPagado,NúmeroDePago,""), "")</f>
        <v/>
      </c>
      <c r="C270" s="96" t="str">
        <f ca="1">IFERROR(IF(PréstamoNoPagado*PréstamoPagado,FechaDePago,""), "")</f>
        <v/>
      </c>
      <c r="D270" s="97" t="str">
        <f ca="1">IFERROR(IF(PréstamoNoPagado*PréstamoPagado,ValorPréstamo,""), "")</f>
        <v/>
      </c>
      <c r="E270" s="97" t="str">
        <f ca="1">IFERROR(IF(PréstamoNoPagado*PréstamoPagado,PagoMensual,""), "")</f>
        <v/>
      </c>
      <c r="F270" s="97" t="str">
        <f ca="1">IFERROR(IF(PréstamoNoPagado*PréstamoPagado,Capital,""), "")</f>
        <v/>
      </c>
      <c r="G270" s="97" t="str">
        <f ca="1">IFERROR(IF(PréstamoNoPagado*PréstamoPagado,AmortizaciónInterés,""), "")</f>
        <v/>
      </c>
      <c r="H270" s="97" t="str">
        <f ca="1">IFERROR(IF(PréstamoNoPagado*PréstamoPagado,SaldoFinal,""), "")</f>
        <v/>
      </c>
    </row>
    <row r="271" spans="2:8" ht="20.100000000000001" customHeight="1" x14ac:dyDescent="0.3">
      <c r="B271" s="105" t="str">
        <f ca="1">IFERROR(IF(PréstamoNoPagado*PréstamoPagado,NúmeroDePago,""), "")</f>
        <v/>
      </c>
      <c r="C271" s="96" t="str">
        <f ca="1">IFERROR(IF(PréstamoNoPagado*PréstamoPagado,FechaDePago,""), "")</f>
        <v/>
      </c>
      <c r="D271" s="97" t="str">
        <f ca="1">IFERROR(IF(PréstamoNoPagado*PréstamoPagado,ValorPréstamo,""), "")</f>
        <v/>
      </c>
      <c r="E271" s="97" t="str">
        <f ca="1">IFERROR(IF(PréstamoNoPagado*PréstamoPagado,PagoMensual,""), "")</f>
        <v/>
      </c>
      <c r="F271" s="97" t="str">
        <f ca="1">IFERROR(IF(PréstamoNoPagado*PréstamoPagado,Capital,""), "")</f>
        <v/>
      </c>
      <c r="G271" s="97" t="str">
        <f ca="1">IFERROR(IF(PréstamoNoPagado*PréstamoPagado,AmortizaciónInterés,""), "")</f>
        <v/>
      </c>
      <c r="H271" s="97" t="str">
        <f ca="1">IFERROR(IF(PréstamoNoPagado*PréstamoPagado,SaldoFinal,""), "")</f>
        <v/>
      </c>
    </row>
    <row r="272" spans="2:8" ht="20.100000000000001" customHeight="1" x14ac:dyDescent="0.3">
      <c r="B272" s="105" t="str">
        <f ca="1">IFERROR(IF(PréstamoNoPagado*PréstamoPagado,NúmeroDePago,""), "")</f>
        <v/>
      </c>
      <c r="C272" s="96" t="str">
        <f ca="1">IFERROR(IF(PréstamoNoPagado*PréstamoPagado,FechaDePago,""), "")</f>
        <v/>
      </c>
      <c r="D272" s="97" t="str">
        <f ca="1">IFERROR(IF(PréstamoNoPagado*PréstamoPagado,ValorPréstamo,""), "")</f>
        <v/>
      </c>
      <c r="E272" s="97" t="str">
        <f ca="1">IFERROR(IF(PréstamoNoPagado*PréstamoPagado,PagoMensual,""), "")</f>
        <v/>
      </c>
      <c r="F272" s="97" t="str">
        <f ca="1">IFERROR(IF(PréstamoNoPagado*PréstamoPagado,Capital,""), "")</f>
        <v/>
      </c>
      <c r="G272" s="97" t="str">
        <f ca="1">IFERROR(IF(PréstamoNoPagado*PréstamoPagado,AmortizaciónInterés,""), "")</f>
        <v/>
      </c>
      <c r="H272" s="97" t="str">
        <f ca="1">IFERROR(IF(PréstamoNoPagado*PréstamoPagado,SaldoFinal,""), "")</f>
        <v/>
      </c>
    </row>
    <row r="273" spans="2:8" ht="20.100000000000001" customHeight="1" x14ac:dyDescent="0.3">
      <c r="B273" s="105" t="str">
        <f ca="1">IFERROR(IF(PréstamoNoPagado*PréstamoPagado,NúmeroDePago,""), "")</f>
        <v/>
      </c>
      <c r="C273" s="96" t="str">
        <f ca="1">IFERROR(IF(PréstamoNoPagado*PréstamoPagado,FechaDePago,""), "")</f>
        <v/>
      </c>
      <c r="D273" s="97" t="str">
        <f ca="1">IFERROR(IF(PréstamoNoPagado*PréstamoPagado,ValorPréstamo,""), "")</f>
        <v/>
      </c>
      <c r="E273" s="97" t="str">
        <f ca="1">IFERROR(IF(PréstamoNoPagado*PréstamoPagado,PagoMensual,""), "")</f>
        <v/>
      </c>
      <c r="F273" s="97" t="str">
        <f ca="1">IFERROR(IF(PréstamoNoPagado*PréstamoPagado,Capital,""), "")</f>
        <v/>
      </c>
      <c r="G273" s="97" t="str">
        <f ca="1">IFERROR(IF(PréstamoNoPagado*PréstamoPagado,AmortizaciónInterés,""), "")</f>
        <v/>
      </c>
      <c r="H273" s="97" t="str">
        <f ca="1">IFERROR(IF(PréstamoNoPagado*PréstamoPagado,SaldoFinal,""), "")</f>
        <v/>
      </c>
    </row>
    <row r="274" spans="2:8" ht="20.100000000000001" customHeight="1" x14ac:dyDescent="0.3">
      <c r="B274" s="105" t="str">
        <f ca="1">IFERROR(IF(PréstamoNoPagado*PréstamoPagado,NúmeroDePago,""), "")</f>
        <v/>
      </c>
      <c r="C274" s="96" t="str">
        <f ca="1">IFERROR(IF(PréstamoNoPagado*PréstamoPagado,FechaDePago,""), "")</f>
        <v/>
      </c>
      <c r="D274" s="97" t="str">
        <f ca="1">IFERROR(IF(PréstamoNoPagado*PréstamoPagado,ValorPréstamo,""), "")</f>
        <v/>
      </c>
      <c r="E274" s="97" t="str">
        <f ca="1">IFERROR(IF(PréstamoNoPagado*PréstamoPagado,PagoMensual,""), "")</f>
        <v/>
      </c>
      <c r="F274" s="97" t="str">
        <f ca="1">IFERROR(IF(PréstamoNoPagado*PréstamoPagado,Capital,""), "")</f>
        <v/>
      </c>
      <c r="G274" s="97" t="str">
        <f ca="1">IFERROR(IF(PréstamoNoPagado*PréstamoPagado,AmortizaciónInterés,""), "")</f>
        <v/>
      </c>
      <c r="H274" s="97" t="str">
        <f ca="1">IFERROR(IF(PréstamoNoPagado*PréstamoPagado,SaldoFinal,""), "")</f>
        <v/>
      </c>
    </row>
    <row r="275" spans="2:8" ht="20.100000000000001" customHeight="1" x14ac:dyDescent="0.3">
      <c r="B275" s="105" t="str">
        <f ca="1">IFERROR(IF(PréstamoNoPagado*PréstamoPagado,NúmeroDePago,""), "")</f>
        <v/>
      </c>
      <c r="C275" s="96" t="str">
        <f ca="1">IFERROR(IF(PréstamoNoPagado*PréstamoPagado,FechaDePago,""), "")</f>
        <v/>
      </c>
      <c r="D275" s="97" t="str">
        <f ca="1">IFERROR(IF(PréstamoNoPagado*PréstamoPagado,ValorPréstamo,""), "")</f>
        <v/>
      </c>
      <c r="E275" s="97" t="str">
        <f ca="1">IFERROR(IF(PréstamoNoPagado*PréstamoPagado,PagoMensual,""), "")</f>
        <v/>
      </c>
      <c r="F275" s="97" t="str">
        <f ca="1">IFERROR(IF(PréstamoNoPagado*PréstamoPagado,Capital,""), "")</f>
        <v/>
      </c>
      <c r="G275" s="97" t="str">
        <f ca="1">IFERROR(IF(PréstamoNoPagado*PréstamoPagado,AmortizaciónInterés,""), "")</f>
        <v/>
      </c>
      <c r="H275" s="97" t="str">
        <f ca="1">IFERROR(IF(PréstamoNoPagado*PréstamoPagado,SaldoFinal,""), "")</f>
        <v/>
      </c>
    </row>
    <row r="276" spans="2:8" ht="20.100000000000001" customHeight="1" x14ac:dyDescent="0.3">
      <c r="B276" s="105" t="str">
        <f ca="1">IFERROR(IF(PréstamoNoPagado*PréstamoPagado,NúmeroDePago,""), "")</f>
        <v/>
      </c>
      <c r="C276" s="96" t="str">
        <f ca="1">IFERROR(IF(PréstamoNoPagado*PréstamoPagado,FechaDePago,""), "")</f>
        <v/>
      </c>
      <c r="D276" s="97" t="str">
        <f ca="1">IFERROR(IF(PréstamoNoPagado*PréstamoPagado,ValorPréstamo,""), "")</f>
        <v/>
      </c>
      <c r="E276" s="97" t="str">
        <f ca="1">IFERROR(IF(PréstamoNoPagado*PréstamoPagado,PagoMensual,""), "")</f>
        <v/>
      </c>
      <c r="F276" s="97" t="str">
        <f ca="1">IFERROR(IF(PréstamoNoPagado*PréstamoPagado,Capital,""), "")</f>
        <v/>
      </c>
      <c r="G276" s="97" t="str">
        <f ca="1">IFERROR(IF(PréstamoNoPagado*PréstamoPagado,AmortizaciónInterés,""), "")</f>
        <v/>
      </c>
      <c r="H276" s="97" t="str">
        <f ca="1">IFERROR(IF(PréstamoNoPagado*PréstamoPagado,SaldoFinal,""), "")</f>
        <v/>
      </c>
    </row>
    <row r="277" spans="2:8" ht="20.100000000000001" customHeight="1" x14ac:dyDescent="0.3">
      <c r="B277" s="105" t="str">
        <f ca="1">IFERROR(IF(PréstamoNoPagado*PréstamoPagado,NúmeroDePago,""), "")</f>
        <v/>
      </c>
      <c r="C277" s="96" t="str">
        <f ca="1">IFERROR(IF(PréstamoNoPagado*PréstamoPagado,FechaDePago,""), "")</f>
        <v/>
      </c>
      <c r="D277" s="97" t="str">
        <f ca="1">IFERROR(IF(PréstamoNoPagado*PréstamoPagado,ValorPréstamo,""), "")</f>
        <v/>
      </c>
      <c r="E277" s="97" t="str">
        <f ca="1">IFERROR(IF(PréstamoNoPagado*PréstamoPagado,PagoMensual,""), "")</f>
        <v/>
      </c>
      <c r="F277" s="97" t="str">
        <f ca="1">IFERROR(IF(PréstamoNoPagado*PréstamoPagado,Capital,""), "")</f>
        <v/>
      </c>
      <c r="G277" s="97" t="str">
        <f ca="1">IFERROR(IF(PréstamoNoPagado*PréstamoPagado,AmortizaciónInterés,""), "")</f>
        <v/>
      </c>
      <c r="H277" s="97" t="str">
        <f ca="1">IFERROR(IF(PréstamoNoPagado*PréstamoPagado,SaldoFinal,""), "")</f>
        <v/>
      </c>
    </row>
    <row r="278" spans="2:8" ht="20.100000000000001" customHeight="1" x14ac:dyDescent="0.3">
      <c r="B278" s="105" t="str">
        <f ca="1">IFERROR(IF(PréstamoNoPagado*PréstamoPagado,NúmeroDePago,""), "")</f>
        <v/>
      </c>
      <c r="C278" s="96" t="str">
        <f ca="1">IFERROR(IF(PréstamoNoPagado*PréstamoPagado,FechaDePago,""), "")</f>
        <v/>
      </c>
      <c r="D278" s="97" t="str">
        <f ca="1">IFERROR(IF(PréstamoNoPagado*PréstamoPagado,ValorPréstamo,""), "")</f>
        <v/>
      </c>
      <c r="E278" s="97" t="str">
        <f ca="1">IFERROR(IF(PréstamoNoPagado*PréstamoPagado,PagoMensual,""), "")</f>
        <v/>
      </c>
      <c r="F278" s="97" t="str">
        <f ca="1">IFERROR(IF(PréstamoNoPagado*PréstamoPagado,Capital,""), "")</f>
        <v/>
      </c>
      <c r="G278" s="97" t="str">
        <f ca="1">IFERROR(IF(PréstamoNoPagado*PréstamoPagado,AmortizaciónInterés,""), "")</f>
        <v/>
      </c>
      <c r="H278" s="97" t="str">
        <f ca="1">IFERROR(IF(PréstamoNoPagado*PréstamoPagado,SaldoFinal,""), "")</f>
        <v/>
      </c>
    </row>
    <row r="279" spans="2:8" ht="20.100000000000001" customHeight="1" x14ac:dyDescent="0.3">
      <c r="B279" s="105" t="str">
        <f ca="1">IFERROR(IF(PréstamoNoPagado*PréstamoPagado,NúmeroDePago,""), "")</f>
        <v/>
      </c>
      <c r="C279" s="96" t="str">
        <f ca="1">IFERROR(IF(PréstamoNoPagado*PréstamoPagado,FechaDePago,""), "")</f>
        <v/>
      </c>
      <c r="D279" s="97" t="str">
        <f ca="1">IFERROR(IF(PréstamoNoPagado*PréstamoPagado,ValorPréstamo,""), "")</f>
        <v/>
      </c>
      <c r="E279" s="97" t="str">
        <f ca="1">IFERROR(IF(PréstamoNoPagado*PréstamoPagado,PagoMensual,""), "")</f>
        <v/>
      </c>
      <c r="F279" s="97" t="str">
        <f ca="1">IFERROR(IF(PréstamoNoPagado*PréstamoPagado,Capital,""), "")</f>
        <v/>
      </c>
      <c r="G279" s="97" t="str">
        <f ca="1">IFERROR(IF(PréstamoNoPagado*PréstamoPagado,AmortizaciónInterés,""), "")</f>
        <v/>
      </c>
      <c r="H279" s="97" t="str">
        <f ca="1">IFERROR(IF(PréstamoNoPagado*PréstamoPagado,SaldoFinal,""), "")</f>
        <v/>
      </c>
    </row>
    <row r="280" spans="2:8" ht="20.100000000000001" customHeight="1" x14ac:dyDescent="0.3">
      <c r="B280" s="105" t="str">
        <f ca="1">IFERROR(IF(PréstamoNoPagado*PréstamoPagado,NúmeroDePago,""), "")</f>
        <v/>
      </c>
      <c r="C280" s="96" t="str">
        <f ca="1">IFERROR(IF(PréstamoNoPagado*PréstamoPagado,FechaDePago,""), "")</f>
        <v/>
      </c>
      <c r="D280" s="97" t="str">
        <f ca="1">IFERROR(IF(PréstamoNoPagado*PréstamoPagado,ValorPréstamo,""), "")</f>
        <v/>
      </c>
      <c r="E280" s="97" t="str">
        <f ca="1">IFERROR(IF(PréstamoNoPagado*PréstamoPagado,PagoMensual,""), "")</f>
        <v/>
      </c>
      <c r="F280" s="97" t="str">
        <f ca="1">IFERROR(IF(PréstamoNoPagado*PréstamoPagado,Capital,""), "")</f>
        <v/>
      </c>
      <c r="G280" s="97" t="str">
        <f ca="1">IFERROR(IF(PréstamoNoPagado*PréstamoPagado,AmortizaciónInterés,""), "")</f>
        <v/>
      </c>
      <c r="H280" s="97" t="str">
        <f ca="1">IFERROR(IF(PréstamoNoPagado*PréstamoPagado,SaldoFinal,""), "")</f>
        <v/>
      </c>
    </row>
    <row r="281" spans="2:8" ht="20.100000000000001" customHeight="1" x14ac:dyDescent="0.3">
      <c r="B281" s="105" t="str">
        <f ca="1">IFERROR(IF(PréstamoNoPagado*PréstamoPagado,NúmeroDePago,""), "")</f>
        <v/>
      </c>
      <c r="C281" s="96" t="str">
        <f ca="1">IFERROR(IF(PréstamoNoPagado*PréstamoPagado,FechaDePago,""), "")</f>
        <v/>
      </c>
      <c r="D281" s="97" t="str">
        <f ca="1">IFERROR(IF(PréstamoNoPagado*PréstamoPagado,ValorPréstamo,""), "")</f>
        <v/>
      </c>
      <c r="E281" s="97" t="str">
        <f ca="1">IFERROR(IF(PréstamoNoPagado*PréstamoPagado,PagoMensual,""), "")</f>
        <v/>
      </c>
      <c r="F281" s="97" t="str">
        <f ca="1">IFERROR(IF(PréstamoNoPagado*PréstamoPagado,Capital,""), "")</f>
        <v/>
      </c>
      <c r="G281" s="97" t="str">
        <f ca="1">IFERROR(IF(PréstamoNoPagado*PréstamoPagado,AmortizaciónInterés,""), "")</f>
        <v/>
      </c>
      <c r="H281" s="97" t="str">
        <f ca="1">IFERROR(IF(PréstamoNoPagado*PréstamoPagado,SaldoFinal,""), "")</f>
        <v/>
      </c>
    </row>
    <row r="282" spans="2:8" ht="20.100000000000001" customHeight="1" x14ac:dyDescent="0.3">
      <c r="B282" s="105" t="str">
        <f ca="1">IFERROR(IF(PréstamoNoPagado*PréstamoPagado,NúmeroDePago,""), "")</f>
        <v/>
      </c>
      <c r="C282" s="96" t="str">
        <f ca="1">IFERROR(IF(PréstamoNoPagado*PréstamoPagado,FechaDePago,""), "")</f>
        <v/>
      </c>
      <c r="D282" s="97" t="str">
        <f ca="1">IFERROR(IF(PréstamoNoPagado*PréstamoPagado,ValorPréstamo,""), "")</f>
        <v/>
      </c>
      <c r="E282" s="97" t="str">
        <f ca="1">IFERROR(IF(PréstamoNoPagado*PréstamoPagado,PagoMensual,""), "")</f>
        <v/>
      </c>
      <c r="F282" s="97" t="str">
        <f ca="1">IFERROR(IF(PréstamoNoPagado*PréstamoPagado,Capital,""), "")</f>
        <v/>
      </c>
      <c r="G282" s="97" t="str">
        <f ca="1">IFERROR(IF(PréstamoNoPagado*PréstamoPagado,AmortizaciónInterés,""), "")</f>
        <v/>
      </c>
      <c r="H282" s="97" t="str">
        <f ca="1">IFERROR(IF(PréstamoNoPagado*PréstamoPagado,SaldoFinal,""), "")</f>
        <v/>
      </c>
    </row>
    <row r="283" spans="2:8" ht="20.100000000000001" customHeight="1" x14ac:dyDescent="0.3">
      <c r="B283" s="105" t="str">
        <f ca="1">IFERROR(IF(PréstamoNoPagado*PréstamoPagado,NúmeroDePago,""), "")</f>
        <v/>
      </c>
      <c r="C283" s="96" t="str">
        <f ca="1">IFERROR(IF(PréstamoNoPagado*PréstamoPagado,FechaDePago,""), "")</f>
        <v/>
      </c>
      <c r="D283" s="97" t="str">
        <f ca="1">IFERROR(IF(PréstamoNoPagado*PréstamoPagado,ValorPréstamo,""), "")</f>
        <v/>
      </c>
      <c r="E283" s="97" t="str">
        <f ca="1">IFERROR(IF(PréstamoNoPagado*PréstamoPagado,PagoMensual,""), "")</f>
        <v/>
      </c>
      <c r="F283" s="97" t="str">
        <f ca="1">IFERROR(IF(PréstamoNoPagado*PréstamoPagado,Capital,""), "")</f>
        <v/>
      </c>
      <c r="G283" s="97" t="str">
        <f ca="1">IFERROR(IF(PréstamoNoPagado*PréstamoPagado,AmortizaciónInterés,""), "")</f>
        <v/>
      </c>
      <c r="H283" s="97" t="str">
        <f ca="1">IFERROR(IF(PréstamoNoPagado*PréstamoPagado,SaldoFinal,""), "")</f>
        <v/>
      </c>
    </row>
    <row r="284" spans="2:8" ht="20.100000000000001" customHeight="1" x14ac:dyDescent="0.3">
      <c r="B284" s="105" t="str">
        <f ca="1">IFERROR(IF(PréstamoNoPagado*PréstamoPagado,NúmeroDePago,""), "")</f>
        <v/>
      </c>
      <c r="C284" s="96" t="str">
        <f ca="1">IFERROR(IF(PréstamoNoPagado*PréstamoPagado,FechaDePago,""), "")</f>
        <v/>
      </c>
      <c r="D284" s="97" t="str">
        <f ca="1">IFERROR(IF(PréstamoNoPagado*PréstamoPagado,ValorPréstamo,""), "")</f>
        <v/>
      </c>
      <c r="E284" s="97" t="str">
        <f ca="1">IFERROR(IF(PréstamoNoPagado*PréstamoPagado,PagoMensual,""), "")</f>
        <v/>
      </c>
      <c r="F284" s="97" t="str">
        <f ca="1">IFERROR(IF(PréstamoNoPagado*PréstamoPagado,Capital,""), "")</f>
        <v/>
      </c>
      <c r="G284" s="97" t="str">
        <f ca="1">IFERROR(IF(PréstamoNoPagado*PréstamoPagado,AmortizaciónInterés,""), "")</f>
        <v/>
      </c>
      <c r="H284" s="97" t="str">
        <f ca="1">IFERROR(IF(PréstamoNoPagado*PréstamoPagado,SaldoFinal,""), "")</f>
        <v/>
      </c>
    </row>
    <row r="285" spans="2:8" ht="20.100000000000001" customHeight="1" x14ac:dyDescent="0.3">
      <c r="B285" s="105" t="str">
        <f ca="1">IFERROR(IF(PréstamoNoPagado*PréstamoPagado,NúmeroDePago,""), "")</f>
        <v/>
      </c>
      <c r="C285" s="96" t="str">
        <f ca="1">IFERROR(IF(PréstamoNoPagado*PréstamoPagado,FechaDePago,""), "")</f>
        <v/>
      </c>
      <c r="D285" s="97" t="str">
        <f ca="1">IFERROR(IF(PréstamoNoPagado*PréstamoPagado,ValorPréstamo,""), "")</f>
        <v/>
      </c>
      <c r="E285" s="97" t="str">
        <f ca="1">IFERROR(IF(PréstamoNoPagado*PréstamoPagado,PagoMensual,""), "")</f>
        <v/>
      </c>
      <c r="F285" s="97" t="str">
        <f ca="1">IFERROR(IF(PréstamoNoPagado*PréstamoPagado,Capital,""), "")</f>
        <v/>
      </c>
      <c r="G285" s="97" t="str">
        <f ca="1">IFERROR(IF(PréstamoNoPagado*PréstamoPagado,AmortizaciónInterés,""), "")</f>
        <v/>
      </c>
      <c r="H285" s="97" t="str">
        <f ca="1">IFERROR(IF(PréstamoNoPagado*PréstamoPagado,SaldoFinal,""), "")</f>
        <v/>
      </c>
    </row>
    <row r="286" spans="2:8" ht="20.100000000000001" customHeight="1" x14ac:dyDescent="0.3">
      <c r="B286" s="105" t="str">
        <f ca="1">IFERROR(IF(PréstamoNoPagado*PréstamoPagado,NúmeroDePago,""), "")</f>
        <v/>
      </c>
      <c r="C286" s="96" t="str">
        <f ca="1">IFERROR(IF(PréstamoNoPagado*PréstamoPagado,FechaDePago,""), "")</f>
        <v/>
      </c>
      <c r="D286" s="97" t="str">
        <f ca="1">IFERROR(IF(PréstamoNoPagado*PréstamoPagado,ValorPréstamo,""), "")</f>
        <v/>
      </c>
      <c r="E286" s="97" t="str">
        <f ca="1">IFERROR(IF(PréstamoNoPagado*PréstamoPagado,PagoMensual,""), "")</f>
        <v/>
      </c>
      <c r="F286" s="97" t="str">
        <f ca="1">IFERROR(IF(PréstamoNoPagado*PréstamoPagado,Capital,""), "")</f>
        <v/>
      </c>
      <c r="G286" s="97" t="str">
        <f ca="1">IFERROR(IF(PréstamoNoPagado*PréstamoPagado,AmortizaciónInterés,""), "")</f>
        <v/>
      </c>
      <c r="H286" s="97" t="str">
        <f ca="1">IFERROR(IF(PréstamoNoPagado*PréstamoPagado,SaldoFinal,""), "")</f>
        <v/>
      </c>
    </row>
    <row r="287" spans="2:8" ht="20.100000000000001" customHeight="1" x14ac:dyDescent="0.3">
      <c r="B287" s="105" t="str">
        <f ca="1">IFERROR(IF(PréstamoNoPagado*PréstamoPagado,NúmeroDePago,""), "")</f>
        <v/>
      </c>
      <c r="C287" s="96" t="str">
        <f ca="1">IFERROR(IF(PréstamoNoPagado*PréstamoPagado,FechaDePago,""), "")</f>
        <v/>
      </c>
      <c r="D287" s="97" t="str">
        <f ca="1">IFERROR(IF(PréstamoNoPagado*PréstamoPagado,ValorPréstamo,""), "")</f>
        <v/>
      </c>
      <c r="E287" s="97" t="str">
        <f ca="1">IFERROR(IF(PréstamoNoPagado*PréstamoPagado,PagoMensual,""), "")</f>
        <v/>
      </c>
      <c r="F287" s="97" t="str">
        <f ca="1">IFERROR(IF(PréstamoNoPagado*PréstamoPagado,Capital,""), "")</f>
        <v/>
      </c>
      <c r="G287" s="97" t="str">
        <f ca="1">IFERROR(IF(PréstamoNoPagado*PréstamoPagado,AmortizaciónInterés,""), "")</f>
        <v/>
      </c>
      <c r="H287" s="97" t="str">
        <f ca="1">IFERROR(IF(PréstamoNoPagado*PréstamoPagado,SaldoFinal,""), "")</f>
        <v/>
      </c>
    </row>
    <row r="288" spans="2:8" ht="20.100000000000001" customHeight="1" x14ac:dyDescent="0.3">
      <c r="B288" s="105" t="str">
        <f ca="1">IFERROR(IF(PréstamoNoPagado*PréstamoPagado,NúmeroDePago,""), "")</f>
        <v/>
      </c>
      <c r="C288" s="96" t="str">
        <f ca="1">IFERROR(IF(PréstamoNoPagado*PréstamoPagado,FechaDePago,""), "")</f>
        <v/>
      </c>
      <c r="D288" s="97" t="str">
        <f ca="1">IFERROR(IF(PréstamoNoPagado*PréstamoPagado,ValorPréstamo,""), "")</f>
        <v/>
      </c>
      <c r="E288" s="97" t="str">
        <f ca="1">IFERROR(IF(PréstamoNoPagado*PréstamoPagado,PagoMensual,""), "")</f>
        <v/>
      </c>
      <c r="F288" s="97" t="str">
        <f ca="1">IFERROR(IF(PréstamoNoPagado*PréstamoPagado,Capital,""), "")</f>
        <v/>
      </c>
      <c r="G288" s="97" t="str">
        <f ca="1">IFERROR(IF(PréstamoNoPagado*PréstamoPagado,AmortizaciónInterés,""), "")</f>
        <v/>
      </c>
      <c r="H288" s="97" t="str">
        <f ca="1">IFERROR(IF(PréstamoNoPagado*PréstamoPagado,SaldoFinal,""), "")</f>
        <v/>
      </c>
    </row>
    <row r="289" spans="2:8" ht="20.100000000000001" customHeight="1" x14ac:dyDescent="0.3">
      <c r="B289" s="105" t="str">
        <f ca="1">IFERROR(IF(PréstamoNoPagado*PréstamoPagado,NúmeroDePago,""), "")</f>
        <v/>
      </c>
      <c r="C289" s="96" t="str">
        <f ca="1">IFERROR(IF(PréstamoNoPagado*PréstamoPagado,FechaDePago,""), "")</f>
        <v/>
      </c>
      <c r="D289" s="97" t="str">
        <f ca="1">IFERROR(IF(PréstamoNoPagado*PréstamoPagado,ValorPréstamo,""), "")</f>
        <v/>
      </c>
      <c r="E289" s="97" t="str">
        <f ca="1">IFERROR(IF(PréstamoNoPagado*PréstamoPagado,PagoMensual,""), "")</f>
        <v/>
      </c>
      <c r="F289" s="97" t="str">
        <f ca="1">IFERROR(IF(PréstamoNoPagado*PréstamoPagado,Capital,""), "")</f>
        <v/>
      </c>
      <c r="G289" s="97" t="str">
        <f ca="1">IFERROR(IF(PréstamoNoPagado*PréstamoPagado,AmortizaciónInterés,""), "")</f>
        <v/>
      </c>
      <c r="H289" s="97" t="str">
        <f ca="1">IFERROR(IF(PréstamoNoPagado*PréstamoPagado,SaldoFinal,""), "")</f>
        <v/>
      </c>
    </row>
    <row r="290" spans="2:8" ht="20.100000000000001" customHeight="1" x14ac:dyDescent="0.3">
      <c r="B290" s="105" t="str">
        <f ca="1">IFERROR(IF(PréstamoNoPagado*PréstamoPagado,NúmeroDePago,""), "")</f>
        <v/>
      </c>
      <c r="C290" s="96" t="str">
        <f ca="1">IFERROR(IF(PréstamoNoPagado*PréstamoPagado,FechaDePago,""), "")</f>
        <v/>
      </c>
      <c r="D290" s="97" t="str">
        <f ca="1">IFERROR(IF(PréstamoNoPagado*PréstamoPagado,ValorPréstamo,""), "")</f>
        <v/>
      </c>
      <c r="E290" s="97" t="str">
        <f ca="1">IFERROR(IF(PréstamoNoPagado*PréstamoPagado,PagoMensual,""), "")</f>
        <v/>
      </c>
      <c r="F290" s="97" t="str">
        <f ca="1">IFERROR(IF(PréstamoNoPagado*PréstamoPagado,Capital,""), "")</f>
        <v/>
      </c>
      <c r="G290" s="97" t="str">
        <f ca="1">IFERROR(IF(PréstamoNoPagado*PréstamoPagado,AmortizaciónInterés,""), "")</f>
        <v/>
      </c>
      <c r="H290" s="97" t="str">
        <f ca="1">IFERROR(IF(PréstamoNoPagado*PréstamoPagado,SaldoFinal,""), "")</f>
        <v/>
      </c>
    </row>
    <row r="291" spans="2:8" ht="20.100000000000001" customHeight="1" x14ac:dyDescent="0.3">
      <c r="B291" s="105" t="str">
        <f ca="1">IFERROR(IF(PréstamoNoPagado*PréstamoPagado,NúmeroDePago,""), "")</f>
        <v/>
      </c>
      <c r="C291" s="96" t="str">
        <f ca="1">IFERROR(IF(PréstamoNoPagado*PréstamoPagado,FechaDePago,""), "")</f>
        <v/>
      </c>
      <c r="D291" s="97" t="str">
        <f ca="1">IFERROR(IF(PréstamoNoPagado*PréstamoPagado,ValorPréstamo,""), "")</f>
        <v/>
      </c>
      <c r="E291" s="97" t="str">
        <f ca="1">IFERROR(IF(PréstamoNoPagado*PréstamoPagado,PagoMensual,""), "")</f>
        <v/>
      </c>
      <c r="F291" s="97" t="str">
        <f ca="1">IFERROR(IF(PréstamoNoPagado*PréstamoPagado,Capital,""), "")</f>
        <v/>
      </c>
      <c r="G291" s="97" t="str">
        <f ca="1">IFERROR(IF(PréstamoNoPagado*PréstamoPagado,AmortizaciónInterés,""), "")</f>
        <v/>
      </c>
      <c r="H291" s="97" t="str">
        <f ca="1">IFERROR(IF(PréstamoNoPagado*PréstamoPagado,SaldoFinal,""), "")</f>
        <v/>
      </c>
    </row>
    <row r="292" spans="2:8" ht="20.100000000000001" customHeight="1" x14ac:dyDescent="0.3">
      <c r="B292" s="105" t="str">
        <f ca="1">IFERROR(IF(PréstamoNoPagado*PréstamoPagado,NúmeroDePago,""), "")</f>
        <v/>
      </c>
      <c r="C292" s="96" t="str">
        <f ca="1">IFERROR(IF(PréstamoNoPagado*PréstamoPagado,FechaDePago,""), "")</f>
        <v/>
      </c>
      <c r="D292" s="97" t="str">
        <f ca="1">IFERROR(IF(PréstamoNoPagado*PréstamoPagado,ValorPréstamo,""), "")</f>
        <v/>
      </c>
      <c r="E292" s="97" t="str">
        <f ca="1">IFERROR(IF(PréstamoNoPagado*PréstamoPagado,PagoMensual,""), "")</f>
        <v/>
      </c>
      <c r="F292" s="97" t="str">
        <f ca="1">IFERROR(IF(PréstamoNoPagado*PréstamoPagado,Capital,""), "")</f>
        <v/>
      </c>
      <c r="G292" s="97" t="str">
        <f ca="1">IFERROR(IF(PréstamoNoPagado*PréstamoPagado,AmortizaciónInterés,""), "")</f>
        <v/>
      </c>
      <c r="H292" s="97" t="str">
        <f ca="1">IFERROR(IF(PréstamoNoPagado*PréstamoPagado,SaldoFinal,""), "")</f>
        <v/>
      </c>
    </row>
    <row r="293" spans="2:8" ht="20.100000000000001" customHeight="1" x14ac:dyDescent="0.3">
      <c r="B293" s="105" t="str">
        <f ca="1">IFERROR(IF(PréstamoNoPagado*PréstamoPagado,NúmeroDePago,""), "")</f>
        <v/>
      </c>
      <c r="C293" s="96" t="str">
        <f ca="1">IFERROR(IF(PréstamoNoPagado*PréstamoPagado,FechaDePago,""), "")</f>
        <v/>
      </c>
      <c r="D293" s="97" t="str">
        <f ca="1">IFERROR(IF(PréstamoNoPagado*PréstamoPagado,ValorPréstamo,""), "")</f>
        <v/>
      </c>
      <c r="E293" s="97" t="str">
        <f ca="1">IFERROR(IF(PréstamoNoPagado*PréstamoPagado,PagoMensual,""), "")</f>
        <v/>
      </c>
      <c r="F293" s="97" t="str">
        <f ca="1">IFERROR(IF(PréstamoNoPagado*PréstamoPagado,Capital,""), "")</f>
        <v/>
      </c>
      <c r="G293" s="97" t="str">
        <f ca="1">IFERROR(IF(PréstamoNoPagado*PréstamoPagado,AmortizaciónInterés,""), "")</f>
        <v/>
      </c>
      <c r="H293" s="97" t="str">
        <f ca="1">IFERROR(IF(PréstamoNoPagado*PréstamoPagado,SaldoFinal,""), "")</f>
        <v/>
      </c>
    </row>
    <row r="294" spans="2:8" ht="20.100000000000001" customHeight="1" x14ac:dyDescent="0.3">
      <c r="B294" s="105" t="str">
        <f ca="1">IFERROR(IF(PréstamoNoPagado*PréstamoPagado,NúmeroDePago,""), "")</f>
        <v/>
      </c>
      <c r="C294" s="96" t="str">
        <f ca="1">IFERROR(IF(PréstamoNoPagado*PréstamoPagado,FechaDePago,""), "")</f>
        <v/>
      </c>
      <c r="D294" s="97" t="str">
        <f ca="1">IFERROR(IF(PréstamoNoPagado*PréstamoPagado,ValorPréstamo,""), "")</f>
        <v/>
      </c>
      <c r="E294" s="97" t="str">
        <f ca="1">IFERROR(IF(PréstamoNoPagado*PréstamoPagado,PagoMensual,""), "")</f>
        <v/>
      </c>
      <c r="F294" s="97" t="str">
        <f ca="1">IFERROR(IF(PréstamoNoPagado*PréstamoPagado,Capital,""), "")</f>
        <v/>
      </c>
      <c r="G294" s="97" t="str">
        <f ca="1">IFERROR(IF(PréstamoNoPagado*PréstamoPagado,AmortizaciónInterés,""), "")</f>
        <v/>
      </c>
      <c r="H294" s="97" t="str">
        <f ca="1">IFERROR(IF(PréstamoNoPagado*PréstamoPagado,SaldoFinal,""), "")</f>
        <v/>
      </c>
    </row>
    <row r="295" spans="2:8" ht="20.100000000000001" customHeight="1" x14ac:dyDescent="0.3">
      <c r="B295" s="105" t="str">
        <f ca="1">IFERROR(IF(PréstamoNoPagado*PréstamoPagado,NúmeroDePago,""), "")</f>
        <v/>
      </c>
      <c r="C295" s="96" t="str">
        <f ca="1">IFERROR(IF(PréstamoNoPagado*PréstamoPagado,FechaDePago,""), "")</f>
        <v/>
      </c>
      <c r="D295" s="97" t="str">
        <f ca="1">IFERROR(IF(PréstamoNoPagado*PréstamoPagado,ValorPréstamo,""), "")</f>
        <v/>
      </c>
      <c r="E295" s="97" t="str">
        <f ca="1">IFERROR(IF(PréstamoNoPagado*PréstamoPagado,PagoMensual,""), "")</f>
        <v/>
      </c>
      <c r="F295" s="97" t="str">
        <f ca="1">IFERROR(IF(PréstamoNoPagado*PréstamoPagado,Capital,""), "")</f>
        <v/>
      </c>
      <c r="G295" s="97" t="str">
        <f ca="1">IFERROR(IF(PréstamoNoPagado*PréstamoPagado,AmortizaciónInterés,""), "")</f>
        <v/>
      </c>
      <c r="H295" s="97" t="str">
        <f ca="1">IFERROR(IF(PréstamoNoPagado*PréstamoPagado,SaldoFinal,""), "")</f>
        <v/>
      </c>
    </row>
    <row r="296" spans="2:8" ht="20.100000000000001" customHeight="1" x14ac:dyDescent="0.3">
      <c r="B296" s="105" t="str">
        <f ca="1">IFERROR(IF(PréstamoNoPagado*PréstamoPagado,NúmeroDePago,""), "")</f>
        <v/>
      </c>
      <c r="C296" s="96" t="str">
        <f ca="1">IFERROR(IF(PréstamoNoPagado*PréstamoPagado,FechaDePago,""), "")</f>
        <v/>
      </c>
      <c r="D296" s="97" t="str">
        <f ca="1">IFERROR(IF(PréstamoNoPagado*PréstamoPagado,ValorPréstamo,""), "")</f>
        <v/>
      </c>
      <c r="E296" s="97" t="str">
        <f ca="1">IFERROR(IF(PréstamoNoPagado*PréstamoPagado,PagoMensual,""), "")</f>
        <v/>
      </c>
      <c r="F296" s="97" t="str">
        <f ca="1">IFERROR(IF(PréstamoNoPagado*PréstamoPagado,Capital,""), "")</f>
        <v/>
      </c>
      <c r="G296" s="97" t="str">
        <f ca="1">IFERROR(IF(PréstamoNoPagado*PréstamoPagado,AmortizaciónInterés,""), "")</f>
        <v/>
      </c>
      <c r="H296" s="97" t="str">
        <f ca="1">IFERROR(IF(PréstamoNoPagado*PréstamoPagado,SaldoFinal,""), "")</f>
        <v/>
      </c>
    </row>
    <row r="297" spans="2:8" ht="20.100000000000001" customHeight="1" x14ac:dyDescent="0.3">
      <c r="B297" s="105" t="str">
        <f ca="1">IFERROR(IF(PréstamoNoPagado*PréstamoPagado,NúmeroDePago,""), "")</f>
        <v/>
      </c>
      <c r="C297" s="96" t="str">
        <f ca="1">IFERROR(IF(PréstamoNoPagado*PréstamoPagado,FechaDePago,""), "")</f>
        <v/>
      </c>
      <c r="D297" s="97" t="str">
        <f ca="1">IFERROR(IF(PréstamoNoPagado*PréstamoPagado,ValorPréstamo,""), "")</f>
        <v/>
      </c>
      <c r="E297" s="97" t="str">
        <f ca="1">IFERROR(IF(PréstamoNoPagado*PréstamoPagado,PagoMensual,""), "")</f>
        <v/>
      </c>
      <c r="F297" s="97" t="str">
        <f ca="1">IFERROR(IF(PréstamoNoPagado*PréstamoPagado,Capital,""), "")</f>
        <v/>
      </c>
      <c r="G297" s="97" t="str">
        <f ca="1">IFERROR(IF(PréstamoNoPagado*PréstamoPagado,AmortizaciónInterés,""), "")</f>
        <v/>
      </c>
      <c r="H297" s="97" t="str">
        <f ca="1">IFERROR(IF(PréstamoNoPagado*PréstamoPagado,SaldoFinal,""), "")</f>
        <v/>
      </c>
    </row>
    <row r="298" spans="2:8" ht="20.100000000000001" customHeight="1" x14ac:dyDescent="0.3">
      <c r="B298" s="105" t="str">
        <f ca="1">IFERROR(IF(PréstamoNoPagado*PréstamoPagado,NúmeroDePago,""), "")</f>
        <v/>
      </c>
      <c r="C298" s="96" t="str">
        <f ca="1">IFERROR(IF(PréstamoNoPagado*PréstamoPagado,FechaDePago,""), "")</f>
        <v/>
      </c>
      <c r="D298" s="97" t="str">
        <f ca="1">IFERROR(IF(PréstamoNoPagado*PréstamoPagado,ValorPréstamo,""), "")</f>
        <v/>
      </c>
      <c r="E298" s="97" t="str">
        <f ca="1">IFERROR(IF(PréstamoNoPagado*PréstamoPagado,PagoMensual,""), "")</f>
        <v/>
      </c>
      <c r="F298" s="97" t="str">
        <f ca="1">IFERROR(IF(PréstamoNoPagado*PréstamoPagado,Capital,""), "")</f>
        <v/>
      </c>
      <c r="G298" s="97" t="str">
        <f ca="1">IFERROR(IF(PréstamoNoPagado*PréstamoPagado,AmortizaciónInterés,""), "")</f>
        <v/>
      </c>
      <c r="H298" s="97" t="str">
        <f ca="1">IFERROR(IF(PréstamoNoPagado*PréstamoPagado,SaldoFinal,""), "")</f>
        <v/>
      </c>
    </row>
    <row r="299" spans="2:8" ht="20.100000000000001" customHeight="1" x14ac:dyDescent="0.3">
      <c r="B299" s="105" t="str">
        <f ca="1">IFERROR(IF(PréstamoNoPagado*PréstamoPagado,NúmeroDePago,""), "")</f>
        <v/>
      </c>
      <c r="C299" s="96" t="str">
        <f ca="1">IFERROR(IF(PréstamoNoPagado*PréstamoPagado,FechaDePago,""), "")</f>
        <v/>
      </c>
      <c r="D299" s="97" t="str">
        <f ca="1">IFERROR(IF(PréstamoNoPagado*PréstamoPagado,ValorPréstamo,""), "")</f>
        <v/>
      </c>
      <c r="E299" s="97" t="str">
        <f ca="1">IFERROR(IF(PréstamoNoPagado*PréstamoPagado,PagoMensual,""), "")</f>
        <v/>
      </c>
      <c r="F299" s="97" t="str">
        <f ca="1">IFERROR(IF(PréstamoNoPagado*PréstamoPagado,Capital,""), "")</f>
        <v/>
      </c>
      <c r="G299" s="97" t="str">
        <f ca="1">IFERROR(IF(PréstamoNoPagado*PréstamoPagado,AmortizaciónInterés,""), "")</f>
        <v/>
      </c>
      <c r="H299" s="97" t="str">
        <f ca="1">IFERROR(IF(PréstamoNoPagado*PréstamoPagado,SaldoFinal,""), "")</f>
        <v/>
      </c>
    </row>
    <row r="300" spans="2:8" ht="20.100000000000001" customHeight="1" x14ac:dyDescent="0.3">
      <c r="B300" s="105" t="str">
        <f ca="1">IFERROR(IF(PréstamoNoPagado*PréstamoPagado,NúmeroDePago,""), "")</f>
        <v/>
      </c>
      <c r="C300" s="96" t="str">
        <f ca="1">IFERROR(IF(PréstamoNoPagado*PréstamoPagado,FechaDePago,""), "")</f>
        <v/>
      </c>
      <c r="D300" s="97" t="str">
        <f ca="1">IFERROR(IF(PréstamoNoPagado*PréstamoPagado,ValorPréstamo,""), "")</f>
        <v/>
      </c>
      <c r="E300" s="97" t="str">
        <f ca="1">IFERROR(IF(PréstamoNoPagado*PréstamoPagado,PagoMensual,""), "")</f>
        <v/>
      </c>
      <c r="F300" s="97" t="str">
        <f ca="1">IFERROR(IF(PréstamoNoPagado*PréstamoPagado,Capital,""), "")</f>
        <v/>
      </c>
      <c r="G300" s="97" t="str">
        <f ca="1">IFERROR(IF(PréstamoNoPagado*PréstamoPagado,AmortizaciónInterés,""), "")</f>
        <v/>
      </c>
      <c r="H300" s="97" t="str">
        <f ca="1">IFERROR(IF(PréstamoNoPagado*PréstamoPagado,SaldoFinal,""), "")</f>
        <v/>
      </c>
    </row>
    <row r="301" spans="2:8" ht="20.100000000000001" customHeight="1" x14ac:dyDescent="0.3">
      <c r="B301" s="105" t="str">
        <f ca="1">IFERROR(IF(PréstamoNoPagado*PréstamoPagado,NúmeroDePago,""), "")</f>
        <v/>
      </c>
      <c r="C301" s="96" t="str">
        <f ca="1">IFERROR(IF(PréstamoNoPagado*PréstamoPagado,FechaDePago,""), "")</f>
        <v/>
      </c>
      <c r="D301" s="97" t="str">
        <f ca="1">IFERROR(IF(PréstamoNoPagado*PréstamoPagado,ValorPréstamo,""), "")</f>
        <v/>
      </c>
      <c r="E301" s="97" t="str">
        <f ca="1">IFERROR(IF(PréstamoNoPagado*PréstamoPagado,PagoMensual,""), "")</f>
        <v/>
      </c>
      <c r="F301" s="97" t="str">
        <f ca="1">IFERROR(IF(PréstamoNoPagado*PréstamoPagado,Capital,""), "")</f>
        <v/>
      </c>
      <c r="G301" s="97" t="str">
        <f ca="1">IFERROR(IF(PréstamoNoPagado*PréstamoPagado,AmortizaciónInterés,""), "")</f>
        <v/>
      </c>
      <c r="H301" s="97" t="str">
        <f ca="1">IFERROR(IF(PréstamoNoPagado*PréstamoPagado,SaldoFinal,""), "")</f>
        <v/>
      </c>
    </row>
    <row r="302" spans="2:8" ht="20.100000000000001" customHeight="1" x14ac:dyDescent="0.3">
      <c r="B302" s="105" t="str">
        <f ca="1">IFERROR(IF(PréstamoNoPagado*PréstamoPagado,NúmeroDePago,""), "")</f>
        <v/>
      </c>
      <c r="C302" s="96" t="str">
        <f ca="1">IFERROR(IF(PréstamoNoPagado*PréstamoPagado,FechaDePago,""), "")</f>
        <v/>
      </c>
      <c r="D302" s="97" t="str">
        <f ca="1">IFERROR(IF(PréstamoNoPagado*PréstamoPagado,ValorPréstamo,""), "")</f>
        <v/>
      </c>
      <c r="E302" s="97" t="str">
        <f ca="1">IFERROR(IF(PréstamoNoPagado*PréstamoPagado,PagoMensual,""), "")</f>
        <v/>
      </c>
      <c r="F302" s="97" t="str">
        <f ca="1">IFERROR(IF(PréstamoNoPagado*PréstamoPagado,Capital,""), "")</f>
        <v/>
      </c>
      <c r="G302" s="97" t="str">
        <f ca="1">IFERROR(IF(PréstamoNoPagado*PréstamoPagado,AmortizaciónInterés,""), "")</f>
        <v/>
      </c>
      <c r="H302" s="97" t="str">
        <f ca="1">IFERROR(IF(PréstamoNoPagado*PréstamoPagado,SaldoFinal,""), "")</f>
        <v/>
      </c>
    </row>
    <row r="303" spans="2:8" ht="20.100000000000001" customHeight="1" x14ac:dyDescent="0.3">
      <c r="B303" s="105" t="str">
        <f ca="1">IFERROR(IF(PréstamoNoPagado*PréstamoPagado,NúmeroDePago,""), "")</f>
        <v/>
      </c>
      <c r="C303" s="96" t="str">
        <f ca="1">IFERROR(IF(PréstamoNoPagado*PréstamoPagado,FechaDePago,""), "")</f>
        <v/>
      </c>
      <c r="D303" s="97" t="str">
        <f ca="1">IFERROR(IF(PréstamoNoPagado*PréstamoPagado,ValorPréstamo,""), "")</f>
        <v/>
      </c>
      <c r="E303" s="97" t="str">
        <f ca="1">IFERROR(IF(PréstamoNoPagado*PréstamoPagado,PagoMensual,""), "")</f>
        <v/>
      </c>
      <c r="F303" s="97" t="str">
        <f ca="1">IFERROR(IF(PréstamoNoPagado*PréstamoPagado,Capital,""), "")</f>
        <v/>
      </c>
      <c r="G303" s="97" t="str">
        <f ca="1">IFERROR(IF(PréstamoNoPagado*PréstamoPagado,AmortizaciónInterés,""), "")</f>
        <v/>
      </c>
      <c r="H303" s="97" t="str">
        <f ca="1">IFERROR(IF(PréstamoNoPagado*PréstamoPagado,SaldoFinal,""), "")</f>
        <v/>
      </c>
    </row>
    <row r="304" spans="2:8" ht="20.100000000000001" customHeight="1" x14ac:dyDescent="0.3">
      <c r="B304" s="105" t="str">
        <f ca="1">IFERROR(IF(PréstamoNoPagado*PréstamoPagado,NúmeroDePago,""), "")</f>
        <v/>
      </c>
      <c r="C304" s="96" t="str">
        <f ca="1">IFERROR(IF(PréstamoNoPagado*PréstamoPagado,FechaDePago,""), "")</f>
        <v/>
      </c>
      <c r="D304" s="97" t="str">
        <f ca="1">IFERROR(IF(PréstamoNoPagado*PréstamoPagado,ValorPréstamo,""), "")</f>
        <v/>
      </c>
      <c r="E304" s="97" t="str">
        <f ca="1">IFERROR(IF(PréstamoNoPagado*PréstamoPagado,PagoMensual,""), "")</f>
        <v/>
      </c>
      <c r="F304" s="97" t="str">
        <f ca="1">IFERROR(IF(PréstamoNoPagado*PréstamoPagado,Capital,""), "")</f>
        <v/>
      </c>
      <c r="G304" s="97" t="str">
        <f ca="1">IFERROR(IF(PréstamoNoPagado*PréstamoPagado,AmortizaciónInterés,""), "")</f>
        <v/>
      </c>
      <c r="H304" s="97" t="str">
        <f ca="1">IFERROR(IF(PréstamoNoPagado*PréstamoPagado,SaldoFinal,""), "")</f>
        <v/>
      </c>
    </row>
    <row r="305" spans="2:8" ht="20.100000000000001" customHeight="1" x14ac:dyDescent="0.3">
      <c r="B305" s="105" t="str">
        <f ca="1">IFERROR(IF(PréstamoNoPagado*PréstamoPagado,NúmeroDePago,""), "")</f>
        <v/>
      </c>
      <c r="C305" s="96" t="str">
        <f ca="1">IFERROR(IF(PréstamoNoPagado*PréstamoPagado,FechaDePago,""), "")</f>
        <v/>
      </c>
      <c r="D305" s="97" t="str">
        <f ca="1">IFERROR(IF(PréstamoNoPagado*PréstamoPagado,ValorPréstamo,""), "")</f>
        <v/>
      </c>
      <c r="E305" s="97" t="str">
        <f ca="1">IFERROR(IF(PréstamoNoPagado*PréstamoPagado,PagoMensual,""), "")</f>
        <v/>
      </c>
      <c r="F305" s="97" t="str">
        <f ca="1">IFERROR(IF(PréstamoNoPagado*PréstamoPagado,Capital,""), "")</f>
        <v/>
      </c>
      <c r="G305" s="97" t="str">
        <f ca="1">IFERROR(IF(PréstamoNoPagado*PréstamoPagado,AmortizaciónInterés,""), "")</f>
        <v/>
      </c>
      <c r="H305" s="97" t="str">
        <f ca="1">IFERROR(IF(PréstamoNoPagado*PréstamoPagado,SaldoFinal,""), "")</f>
        <v/>
      </c>
    </row>
    <row r="306" spans="2:8" ht="20.100000000000001" customHeight="1" x14ac:dyDescent="0.3">
      <c r="B306" s="105" t="str">
        <f ca="1">IFERROR(IF(PréstamoNoPagado*PréstamoPagado,NúmeroDePago,""), "")</f>
        <v/>
      </c>
      <c r="C306" s="96" t="str">
        <f ca="1">IFERROR(IF(PréstamoNoPagado*PréstamoPagado,FechaDePago,""), "")</f>
        <v/>
      </c>
      <c r="D306" s="97" t="str">
        <f ca="1">IFERROR(IF(PréstamoNoPagado*PréstamoPagado,ValorPréstamo,""), "")</f>
        <v/>
      </c>
      <c r="E306" s="97" t="str">
        <f ca="1">IFERROR(IF(PréstamoNoPagado*PréstamoPagado,PagoMensual,""), "")</f>
        <v/>
      </c>
      <c r="F306" s="97" t="str">
        <f ca="1">IFERROR(IF(PréstamoNoPagado*PréstamoPagado,Capital,""), "")</f>
        <v/>
      </c>
      <c r="G306" s="97" t="str">
        <f ca="1">IFERROR(IF(PréstamoNoPagado*PréstamoPagado,AmortizaciónInterés,""), "")</f>
        <v/>
      </c>
      <c r="H306" s="97" t="str">
        <f ca="1">IFERROR(IF(PréstamoNoPagado*PréstamoPagado,SaldoFinal,""), "")</f>
        <v/>
      </c>
    </row>
    <row r="307" spans="2:8" ht="20.100000000000001" customHeight="1" x14ac:dyDescent="0.3">
      <c r="B307" s="105" t="str">
        <f ca="1">IFERROR(IF(PréstamoNoPagado*PréstamoPagado,NúmeroDePago,""), "")</f>
        <v/>
      </c>
      <c r="C307" s="96" t="str">
        <f ca="1">IFERROR(IF(PréstamoNoPagado*PréstamoPagado,FechaDePago,""), "")</f>
        <v/>
      </c>
      <c r="D307" s="97" t="str">
        <f ca="1">IFERROR(IF(PréstamoNoPagado*PréstamoPagado,ValorPréstamo,""), "")</f>
        <v/>
      </c>
      <c r="E307" s="97" t="str">
        <f ca="1">IFERROR(IF(PréstamoNoPagado*PréstamoPagado,PagoMensual,""), "")</f>
        <v/>
      </c>
      <c r="F307" s="97" t="str">
        <f ca="1">IFERROR(IF(PréstamoNoPagado*PréstamoPagado,Capital,""), "")</f>
        <v/>
      </c>
      <c r="G307" s="97" t="str">
        <f ca="1">IFERROR(IF(PréstamoNoPagado*PréstamoPagado,AmortizaciónInterés,""), "")</f>
        <v/>
      </c>
      <c r="H307" s="97" t="str">
        <f ca="1">IFERROR(IF(PréstamoNoPagado*PréstamoPagado,SaldoFinal,""), "")</f>
        <v/>
      </c>
    </row>
    <row r="308" spans="2:8" ht="20.100000000000001" customHeight="1" x14ac:dyDescent="0.3">
      <c r="B308" s="105" t="str">
        <f ca="1">IFERROR(IF(PréstamoNoPagado*PréstamoPagado,NúmeroDePago,""), "")</f>
        <v/>
      </c>
      <c r="C308" s="96" t="str">
        <f ca="1">IFERROR(IF(PréstamoNoPagado*PréstamoPagado,FechaDePago,""), "")</f>
        <v/>
      </c>
      <c r="D308" s="97" t="str">
        <f ca="1">IFERROR(IF(PréstamoNoPagado*PréstamoPagado,ValorPréstamo,""), "")</f>
        <v/>
      </c>
      <c r="E308" s="97" t="str">
        <f ca="1">IFERROR(IF(PréstamoNoPagado*PréstamoPagado,PagoMensual,""), "")</f>
        <v/>
      </c>
      <c r="F308" s="97" t="str">
        <f ca="1">IFERROR(IF(PréstamoNoPagado*PréstamoPagado,Capital,""), "")</f>
        <v/>
      </c>
      <c r="G308" s="97" t="str">
        <f ca="1">IFERROR(IF(PréstamoNoPagado*PréstamoPagado,AmortizaciónInterés,""), "")</f>
        <v/>
      </c>
      <c r="H308" s="97" t="str">
        <f ca="1">IFERROR(IF(PréstamoNoPagado*PréstamoPagado,SaldoFinal,""), "")</f>
        <v/>
      </c>
    </row>
    <row r="309" spans="2:8" ht="20.100000000000001" customHeight="1" x14ac:dyDescent="0.3">
      <c r="B309" s="105" t="str">
        <f ca="1">IFERROR(IF(PréstamoNoPagado*PréstamoPagado,NúmeroDePago,""), "")</f>
        <v/>
      </c>
      <c r="C309" s="96" t="str">
        <f ca="1">IFERROR(IF(PréstamoNoPagado*PréstamoPagado,FechaDePago,""), "")</f>
        <v/>
      </c>
      <c r="D309" s="97" t="str">
        <f ca="1">IFERROR(IF(PréstamoNoPagado*PréstamoPagado,ValorPréstamo,""), "")</f>
        <v/>
      </c>
      <c r="E309" s="97" t="str">
        <f ca="1">IFERROR(IF(PréstamoNoPagado*PréstamoPagado,PagoMensual,""), "")</f>
        <v/>
      </c>
      <c r="F309" s="97" t="str">
        <f ca="1">IFERROR(IF(PréstamoNoPagado*PréstamoPagado,Capital,""), "")</f>
        <v/>
      </c>
      <c r="G309" s="97" t="str">
        <f ca="1">IFERROR(IF(PréstamoNoPagado*PréstamoPagado,AmortizaciónInterés,""), "")</f>
        <v/>
      </c>
      <c r="H309" s="97" t="str">
        <f ca="1">IFERROR(IF(PréstamoNoPagado*PréstamoPagado,SaldoFinal,""), "")</f>
        <v/>
      </c>
    </row>
    <row r="310" spans="2:8" ht="20.100000000000001" customHeight="1" x14ac:dyDescent="0.3">
      <c r="B310" s="105" t="str">
        <f ca="1">IFERROR(IF(PréstamoNoPagado*PréstamoPagado,NúmeroDePago,""), "")</f>
        <v/>
      </c>
      <c r="C310" s="96" t="str">
        <f ca="1">IFERROR(IF(PréstamoNoPagado*PréstamoPagado,FechaDePago,""), "")</f>
        <v/>
      </c>
      <c r="D310" s="97" t="str">
        <f ca="1">IFERROR(IF(PréstamoNoPagado*PréstamoPagado,ValorPréstamo,""), "")</f>
        <v/>
      </c>
      <c r="E310" s="97" t="str">
        <f ca="1">IFERROR(IF(PréstamoNoPagado*PréstamoPagado,PagoMensual,""), "")</f>
        <v/>
      </c>
      <c r="F310" s="97" t="str">
        <f ca="1">IFERROR(IF(PréstamoNoPagado*PréstamoPagado,Capital,""), "")</f>
        <v/>
      </c>
      <c r="G310" s="97" t="str">
        <f ca="1">IFERROR(IF(PréstamoNoPagado*PréstamoPagado,AmortizaciónInterés,""), "")</f>
        <v/>
      </c>
      <c r="H310" s="97" t="str">
        <f ca="1">IFERROR(IF(PréstamoNoPagado*PréstamoPagado,SaldoFinal,""), "")</f>
        <v/>
      </c>
    </row>
    <row r="311" spans="2:8" ht="20.100000000000001" customHeight="1" x14ac:dyDescent="0.3">
      <c r="B311" s="105" t="str">
        <f ca="1">IFERROR(IF(PréstamoNoPagado*PréstamoPagado,NúmeroDePago,""), "")</f>
        <v/>
      </c>
      <c r="C311" s="96" t="str">
        <f ca="1">IFERROR(IF(PréstamoNoPagado*PréstamoPagado,FechaDePago,""), "")</f>
        <v/>
      </c>
      <c r="D311" s="97" t="str">
        <f ca="1">IFERROR(IF(PréstamoNoPagado*PréstamoPagado,ValorPréstamo,""), "")</f>
        <v/>
      </c>
      <c r="E311" s="97" t="str">
        <f ca="1">IFERROR(IF(PréstamoNoPagado*PréstamoPagado,PagoMensual,""), "")</f>
        <v/>
      </c>
      <c r="F311" s="97" t="str">
        <f ca="1">IFERROR(IF(PréstamoNoPagado*PréstamoPagado,Capital,""), "")</f>
        <v/>
      </c>
      <c r="G311" s="97" t="str">
        <f ca="1">IFERROR(IF(PréstamoNoPagado*PréstamoPagado,AmortizaciónInterés,""), "")</f>
        <v/>
      </c>
      <c r="H311" s="97" t="str">
        <f ca="1">IFERROR(IF(PréstamoNoPagado*PréstamoPagado,SaldoFinal,""), "")</f>
        <v/>
      </c>
    </row>
    <row r="312" spans="2:8" ht="20.100000000000001" customHeight="1" x14ac:dyDescent="0.3">
      <c r="B312" s="105" t="str">
        <f ca="1">IFERROR(IF(PréstamoNoPagado*PréstamoPagado,NúmeroDePago,""), "")</f>
        <v/>
      </c>
      <c r="C312" s="96" t="str">
        <f ca="1">IFERROR(IF(PréstamoNoPagado*PréstamoPagado,FechaDePago,""), "")</f>
        <v/>
      </c>
      <c r="D312" s="97" t="str">
        <f ca="1">IFERROR(IF(PréstamoNoPagado*PréstamoPagado,ValorPréstamo,""), "")</f>
        <v/>
      </c>
      <c r="E312" s="97" t="str">
        <f ca="1">IFERROR(IF(PréstamoNoPagado*PréstamoPagado,PagoMensual,""), "")</f>
        <v/>
      </c>
      <c r="F312" s="97" t="str">
        <f ca="1">IFERROR(IF(PréstamoNoPagado*PréstamoPagado,Capital,""), "")</f>
        <v/>
      </c>
      <c r="G312" s="97" t="str">
        <f ca="1">IFERROR(IF(PréstamoNoPagado*PréstamoPagado,AmortizaciónInterés,""), "")</f>
        <v/>
      </c>
      <c r="H312" s="97" t="str">
        <f ca="1">IFERROR(IF(PréstamoNoPagado*PréstamoPagado,SaldoFinal,""), "")</f>
        <v/>
      </c>
    </row>
    <row r="313" spans="2:8" ht="20.100000000000001" customHeight="1" x14ac:dyDescent="0.3">
      <c r="B313" s="105" t="str">
        <f ca="1">IFERROR(IF(PréstamoNoPagado*PréstamoPagado,NúmeroDePago,""), "")</f>
        <v/>
      </c>
      <c r="C313" s="96" t="str">
        <f ca="1">IFERROR(IF(PréstamoNoPagado*PréstamoPagado,FechaDePago,""), "")</f>
        <v/>
      </c>
      <c r="D313" s="97" t="str">
        <f ca="1">IFERROR(IF(PréstamoNoPagado*PréstamoPagado,ValorPréstamo,""), "")</f>
        <v/>
      </c>
      <c r="E313" s="97" t="str">
        <f ca="1">IFERROR(IF(PréstamoNoPagado*PréstamoPagado,PagoMensual,""), "")</f>
        <v/>
      </c>
      <c r="F313" s="97" t="str">
        <f ca="1">IFERROR(IF(PréstamoNoPagado*PréstamoPagado,Capital,""), "")</f>
        <v/>
      </c>
      <c r="G313" s="97" t="str">
        <f ca="1">IFERROR(IF(PréstamoNoPagado*PréstamoPagado,AmortizaciónInterés,""), "")</f>
        <v/>
      </c>
      <c r="H313" s="97" t="str">
        <f ca="1">IFERROR(IF(PréstamoNoPagado*PréstamoPagado,SaldoFinal,""), "")</f>
        <v/>
      </c>
    </row>
    <row r="314" spans="2:8" ht="20.100000000000001" customHeight="1" x14ac:dyDescent="0.3">
      <c r="B314" s="105" t="str">
        <f ca="1">IFERROR(IF(PréstamoNoPagado*PréstamoPagado,NúmeroDePago,""), "")</f>
        <v/>
      </c>
      <c r="C314" s="96" t="str">
        <f ca="1">IFERROR(IF(PréstamoNoPagado*PréstamoPagado,FechaDePago,""), "")</f>
        <v/>
      </c>
      <c r="D314" s="97" t="str">
        <f ca="1">IFERROR(IF(PréstamoNoPagado*PréstamoPagado,ValorPréstamo,""), "")</f>
        <v/>
      </c>
      <c r="E314" s="97" t="str">
        <f ca="1">IFERROR(IF(PréstamoNoPagado*PréstamoPagado,PagoMensual,""), "")</f>
        <v/>
      </c>
      <c r="F314" s="97" t="str">
        <f ca="1">IFERROR(IF(PréstamoNoPagado*PréstamoPagado,Capital,""), "")</f>
        <v/>
      </c>
      <c r="G314" s="97" t="str">
        <f ca="1">IFERROR(IF(PréstamoNoPagado*PréstamoPagado,AmortizaciónInterés,""), "")</f>
        <v/>
      </c>
      <c r="H314" s="97" t="str">
        <f ca="1">IFERROR(IF(PréstamoNoPagado*PréstamoPagado,SaldoFinal,""), "")</f>
        <v/>
      </c>
    </row>
    <row r="315" spans="2:8" ht="20.100000000000001" customHeight="1" x14ac:dyDescent="0.3">
      <c r="B315" s="105" t="str">
        <f ca="1">IFERROR(IF(PréstamoNoPagado*PréstamoPagado,NúmeroDePago,""), "")</f>
        <v/>
      </c>
      <c r="C315" s="96" t="str">
        <f ca="1">IFERROR(IF(PréstamoNoPagado*PréstamoPagado,FechaDePago,""), "")</f>
        <v/>
      </c>
      <c r="D315" s="97" t="str">
        <f ca="1">IFERROR(IF(PréstamoNoPagado*PréstamoPagado,ValorPréstamo,""), "")</f>
        <v/>
      </c>
      <c r="E315" s="97" t="str">
        <f ca="1">IFERROR(IF(PréstamoNoPagado*PréstamoPagado,PagoMensual,""), "")</f>
        <v/>
      </c>
      <c r="F315" s="97" t="str">
        <f ca="1">IFERROR(IF(PréstamoNoPagado*PréstamoPagado,Capital,""), "")</f>
        <v/>
      </c>
      <c r="G315" s="97" t="str">
        <f ca="1">IFERROR(IF(PréstamoNoPagado*PréstamoPagado,AmortizaciónInterés,""), "")</f>
        <v/>
      </c>
      <c r="H315" s="97" t="str">
        <f ca="1">IFERROR(IF(PréstamoNoPagado*PréstamoPagado,SaldoFinal,""), "")</f>
        <v/>
      </c>
    </row>
    <row r="316" spans="2:8" ht="20.100000000000001" customHeight="1" x14ac:dyDescent="0.3">
      <c r="B316" s="105" t="str">
        <f ca="1">IFERROR(IF(PréstamoNoPagado*PréstamoPagado,NúmeroDePago,""), "")</f>
        <v/>
      </c>
      <c r="C316" s="96" t="str">
        <f ca="1">IFERROR(IF(PréstamoNoPagado*PréstamoPagado,FechaDePago,""), "")</f>
        <v/>
      </c>
      <c r="D316" s="97" t="str">
        <f ca="1">IFERROR(IF(PréstamoNoPagado*PréstamoPagado,ValorPréstamo,""), "")</f>
        <v/>
      </c>
      <c r="E316" s="97" t="str">
        <f ca="1">IFERROR(IF(PréstamoNoPagado*PréstamoPagado,PagoMensual,""), "")</f>
        <v/>
      </c>
      <c r="F316" s="97" t="str">
        <f ca="1">IFERROR(IF(PréstamoNoPagado*PréstamoPagado,Capital,""), "")</f>
        <v/>
      </c>
      <c r="G316" s="97" t="str">
        <f ca="1">IFERROR(IF(PréstamoNoPagado*PréstamoPagado,AmortizaciónInterés,""), "")</f>
        <v/>
      </c>
      <c r="H316" s="97" t="str">
        <f ca="1">IFERROR(IF(PréstamoNoPagado*PréstamoPagado,SaldoFinal,""), "")</f>
        <v/>
      </c>
    </row>
    <row r="317" spans="2:8" ht="20.100000000000001" customHeight="1" x14ac:dyDescent="0.3">
      <c r="B317" s="105" t="str">
        <f ca="1">IFERROR(IF(PréstamoNoPagado*PréstamoPagado,NúmeroDePago,""), "")</f>
        <v/>
      </c>
      <c r="C317" s="96" t="str">
        <f ca="1">IFERROR(IF(PréstamoNoPagado*PréstamoPagado,FechaDePago,""), "")</f>
        <v/>
      </c>
      <c r="D317" s="97" t="str">
        <f ca="1">IFERROR(IF(PréstamoNoPagado*PréstamoPagado,ValorPréstamo,""), "")</f>
        <v/>
      </c>
      <c r="E317" s="97" t="str">
        <f ca="1">IFERROR(IF(PréstamoNoPagado*PréstamoPagado,PagoMensual,""), "")</f>
        <v/>
      </c>
      <c r="F317" s="97" t="str">
        <f ca="1">IFERROR(IF(PréstamoNoPagado*PréstamoPagado,Capital,""), "")</f>
        <v/>
      </c>
      <c r="G317" s="97" t="str">
        <f ca="1">IFERROR(IF(PréstamoNoPagado*PréstamoPagado,AmortizaciónInterés,""), "")</f>
        <v/>
      </c>
      <c r="H317" s="97" t="str">
        <f ca="1">IFERROR(IF(PréstamoNoPagado*PréstamoPagado,SaldoFinal,""), "")</f>
        <v/>
      </c>
    </row>
    <row r="318" spans="2:8" ht="20.100000000000001" customHeight="1" x14ac:dyDescent="0.3">
      <c r="B318" s="105" t="str">
        <f ca="1">IFERROR(IF(PréstamoNoPagado*PréstamoPagado,NúmeroDePago,""), "")</f>
        <v/>
      </c>
      <c r="C318" s="96" t="str">
        <f ca="1">IFERROR(IF(PréstamoNoPagado*PréstamoPagado,FechaDePago,""), "")</f>
        <v/>
      </c>
      <c r="D318" s="97" t="str">
        <f ca="1">IFERROR(IF(PréstamoNoPagado*PréstamoPagado,ValorPréstamo,""), "")</f>
        <v/>
      </c>
      <c r="E318" s="97" t="str">
        <f ca="1">IFERROR(IF(PréstamoNoPagado*PréstamoPagado,PagoMensual,""), "")</f>
        <v/>
      </c>
      <c r="F318" s="97" t="str">
        <f ca="1">IFERROR(IF(PréstamoNoPagado*PréstamoPagado,Capital,""), "")</f>
        <v/>
      </c>
      <c r="G318" s="97" t="str">
        <f ca="1">IFERROR(IF(PréstamoNoPagado*PréstamoPagado,AmortizaciónInterés,""), "")</f>
        <v/>
      </c>
      <c r="H318" s="97" t="str">
        <f ca="1">IFERROR(IF(PréstamoNoPagado*PréstamoPagado,SaldoFinal,""), "")</f>
        <v/>
      </c>
    </row>
    <row r="319" spans="2:8" ht="20.100000000000001" customHeight="1" x14ac:dyDescent="0.3">
      <c r="B319" s="105" t="str">
        <f ca="1">IFERROR(IF(PréstamoNoPagado*PréstamoPagado,NúmeroDePago,""), "")</f>
        <v/>
      </c>
      <c r="C319" s="96" t="str">
        <f ca="1">IFERROR(IF(PréstamoNoPagado*PréstamoPagado,FechaDePago,""), "")</f>
        <v/>
      </c>
      <c r="D319" s="97" t="str">
        <f ca="1">IFERROR(IF(PréstamoNoPagado*PréstamoPagado,ValorPréstamo,""), "")</f>
        <v/>
      </c>
      <c r="E319" s="97" t="str">
        <f ca="1">IFERROR(IF(PréstamoNoPagado*PréstamoPagado,PagoMensual,""), "")</f>
        <v/>
      </c>
      <c r="F319" s="97" t="str">
        <f ca="1">IFERROR(IF(PréstamoNoPagado*PréstamoPagado,Capital,""), "")</f>
        <v/>
      </c>
      <c r="G319" s="97" t="str">
        <f ca="1">IFERROR(IF(PréstamoNoPagado*PréstamoPagado,AmortizaciónInterés,""), "")</f>
        <v/>
      </c>
      <c r="H319" s="97" t="str">
        <f ca="1">IFERROR(IF(PréstamoNoPagado*PréstamoPagado,SaldoFinal,""), "")</f>
        <v/>
      </c>
    </row>
    <row r="320" spans="2:8" ht="20.100000000000001" customHeight="1" x14ac:dyDescent="0.3">
      <c r="B320" s="105" t="str">
        <f ca="1">IFERROR(IF(PréstamoNoPagado*PréstamoPagado,NúmeroDePago,""), "")</f>
        <v/>
      </c>
      <c r="C320" s="96" t="str">
        <f ca="1">IFERROR(IF(PréstamoNoPagado*PréstamoPagado,FechaDePago,""), "")</f>
        <v/>
      </c>
      <c r="D320" s="97" t="str">
        <f ca="1">IFERROR(IF(PréstamoNoPagado*PréstamoPagado,ValorPréstamo,""), "")</f>
        <v/>
      </c>
      <c r="E320" s="97" t="str">
        <f ca="1">IFERROR(IF(PréstamoNoPagado*PréstamoPagado,PagoMensual,""), "")</f>
        <v/>
      </c>
      <c r="F320" s="97" t="str">
        <f ca="1">IFERROR(IF(PréstamoNoPagado*PréstamoPagado,Capital,""), "")</f>
        <v/>
      </c>
      <c r="G320" s="97" t="str">
        <f ca="1">IFERROR(IF(PréstamoNoPagado*PréstamoPagado,AmortizaciónInterés,""), "")</f>
        <v/>
      </c>
      <c r="H320" s="97" t="str">
        <f ca="1">IFERROR(IF(PréstamoNoPagado*PréstamoPagado,SaldoFinal,""), "")</f>
        <v/>
      </c>
    </row>
    <row r="321" spans="2:8" ht="20.100000000000001" customHeight="1" x14ac:dyDescent="0.3">
      <c r="B321" s="105" t="str">
        <f ca="1">IFERROR(IF(PréstamoNoPagado*PréstamoPagado,NúmeroDePago,""), "")</f>
        <v/>
      </c>
      <c r="C321" s="96" t="str">
        <f ca="1">IFERROR(IF(PréstamoNoPagado*PréstamoPagado,FechaDePago,""), "")</f>
        <v/>
      </c>
      <c r="D321" s="97" t="str">
        <f ca="1">IFERROR(IF(PréstamoNoPagado*PréstamoPagado,ValorPréstamo,""), "")</f>
        <v/>
      </c>
      <c r="E321" s="97" t="str">
        <f ca="1">IFERROR(IF(PréstamoNoPagado*PréstamoPagado,PagoMensual,""), "")</f>
        <v/>
      </c>
      <c r="F321" s="97" t="str">
        <f ca="1">IFERROR(IF(PréstamoNoPagado*PréstamoPagado,Capital,""), "")</f>
        <v/>
      </c>
      <c r="G321" s="97" t="str">
        <f ca="1">IFERROR(IF(PréstamoNoPagado*PréstamoPagado,AmortizaciónInterés,""), "")</f>
        <v/>
      </c>
      <c r="H321" s="97" t="str">
        <f ca="1">IFERROR(IF(PréstamoNoPagado*PréstamoPagado,SaldoFinal,""), "")</f>
        <v/>
      </c>
    </row>
    <row r="322" spans="2:8" ht="20.100000000000001" customHeight="1" x14ac:dyDescent="0.3">
      <c r="B322" s="105" t="str">
        <f ca="1">IFERROR(IF(PréstamoNoPagado*PréstamoPagado,NúmeroDePago,""), "")</f>
        <v/>
      </c>
      <c r="C322" s="96" t="str">
        <f ca="1">IFERROR(IF(PréstamoNoPagado*PréstamoPagado,FechaDePago,""), "")</f>
        <v/>
      </c>
      <c r="D322" s="97" t="str">
        <f ca="1">IFERROR(IF(PréstamoNoPagado*PréstamoPagado,ValorPréstamo,""), "")</f>
        <v/>
      </c>
      <c r="E322" s="97" t="str">
        <f ca="1">IFERROR(IF(PréstamoNoPagado*PréstamoPagado,PagoMensual,""), "")</f>
        <v/>
      </c>
      <c r="F322" s="97" t="str">
        <f ca="1">IFERROR(IF(PréstamoNoPagado*PréstamoPagado,Capital,""), "")</f>
        <v/>
      </c>
      <c r="G322" s="97" t="str">
        <f ca="1">IFERROR(IF(PréstamoNoPagado*PréstamoPagado,AmortizaciónInterés,""), "")</f>
        <v/>
      </c>
      <c r="H322" s="97" t="str">
        <f ca="1">IFERROR(IF(PréstamoNoPagado*PréstamoPagado,SaldoFinal,""), "")</f>
        <v/>
      </c>
    </row>
    <row r="323" spans="2:8" ht="20.100000000000001" customHeight="1" x14ac:dyDescent="0.3">
      <c r="B323" s="105" t="str">
        <f ca="1">IFERROR(IF(PréstamoNoPagado*PréstamoPagado,NúmeroDePago,""), "")</f>
        <v/>
      </c>
      <c r="C323" s="96" t="str">
        <f ca="1">IFERROR(IF(PréstamoNoPagado*PréstamoPagado,FechaDePago,""), "")</f>
        <v/>
      </c>
      <c r="D323" s="97" t="str">
        <f ca="1">IFERROR(IF(PréstamoNoPagado*PréstamoPagado,ValorPréstamo,""), "")</f>
        <v/>
      </c>
      <c r="E323" s="97" t="str">
        <f ca="1">IFERROR(IF(PréstamoNoPagado*PréstamoPagado,PagoMensual,""), "")</f>
        <v/>
      </c>
      <c r="F323" s="97" t="str">
        <f ca="1">IFERROR(IF(PréstamoNoPagado*PréstamoPagado,Capital,""), "")</f>
        <v/>
      </c>
      <c r="G323" s="97" t="str">
        <f ca="1">IFERROR(IF(PréstamoNoPagado*PréstamoPagado,AmortizaciónInterés,""), "")</f>
        <v/>
      </c>
      <c r="H323" s="97" t="str">
        <f ca="1">IFERROR(IF(PréstamoNoPagado*PréstamoPagado,SaldoFinal,""), "")</f>
        <v/>
      </c>
    </row>
    <row r="324" spans="2:8" ht="20.100000000000001" customHeight="1" x14ac:dyDescent="0.3">
      <c r="B324" s="105" t="str">
        <f ca="1">IFERROR(IF(PréstamoNoPagado*PréstamoPagado,NúmeroDePago,""), "")</f>
        <v/>
      </c>
      <c r="C324" s="96" t="str">
        <f ca="1">IFERROR(IF(PréstamoNoPagado*PréstamoPagado,FechaDePago,""), "")</f>
        <v/>
      </c>
      <c r="D324" s="97" t="str">
        <f ca="1">IFERROR(IF(PréstamoNoPagado*PréstamoPagado,ValorPréstamo,""), "")</f>
        <v/>
      </c>
      <c r="E324" s="97" t="str">
        <f ca="1">IFERROR(IF(PréstamoNoPagado*PréstamoPagado,PagoMensual,""), "")</f>
        <v/>
      </c>
      <c r="F324" s="97" t="str">
        <f ca="1">IFERROR(IF(PréstamoNoPagado*PréstamoPagado,Capital,""), "")</f>
        <v/>
      </c>
      <c r="G324" s="97" t="str">
        <f ca="1">IFERROR(IF(PréstamoNoPagado*PréstamoPagado,AmortizaciónInterés,""), "")</f>
        <v/>
      </c>
      <c r="H324" s="97" t="str">
        <f ca="1">IFERROR(IF(PréstamoNoPagado*PréstamoPagado,SaldoFinal,""), "")</f>
        <v/>
      </c>
    </row>
    <row r="325" spans="2:8" ht="20.100000000000001" customHeight="1" x14ac:dyDescent="0.3">
      <c r="B325" s="105" t="str">
        <f ca="1">IFERROR(IF(PréstamoNoPagado*PréstamoPagado,NúmeroDePago,""), "")</f>
        <v/>
      </c>
      <c r="C325" s="96" t="str">
        <f ca="1">IFERROR(IF(PréstamoNoPagado*PréstamoPagado,FechaDePago,""), "")</f>
        <v/>
      </c>
      <c r="D325" s="97" t="str">
        <f ca="1">IFERROR(IF(PréstamoNoPagado*PréstamoPagado,ValorPréstamo,""), "")</f>
        <v/>
      </c>
      <c r="E325" s="97" t="str">
        <f ca="1">IFERROR(IF(PréstamoNoPagado*PréstamoPagado,PagoMensual,""), "")</f>
        <v/>
      </c>
      <c r="F325" s="97" t="str">
        <f ca="1">IFERROR(IF(PréstamoNoPagado*PréstamoPagado,Capital,""), "")</f>
        <v/>
      </c>
      <c r="G325" s="97" t="str">
        <f ca="1">IFERROR(IF(PréstamoNoPagado*PréstamoPagado,AmortizaciónInterés,""), "")</f>
        <v/>
      </c>
      <c r="H325" s="97" t="str">
        <f ca="1">IFERROR(IF(PréstamoNoPagado*PréstamoPagado,SaldoFinal,""), "")</f>
        <v/>
      </c>
    </row>
    <row r="326" spans="2:8" ht="20.100000000000001" customHeight="1" x14ac:dyDescent="0.3">
      <c r="B326" s="105" t="str">
        <f ca="1">IFERROR(IF(PréstamoNoPagado*PréstamoPagado,NúmeroDePago,""), "")</f>
        <v/>
      </c>
      <c r="C326" s="96" t="str">
        <f ca="1">IFERROR(IF(PréstamoNoPagado*PréstamoPagado,FechaDePago,""), "")</f>
        <v/>
      </c>
      <c r="D326" s="97" t="str">
        <f ca="1">IFERROR(IF(PréstamoNoPagado*PréstamoPagado,ValorPréstamo,""), "")</f>
        <v/>
      </c>
      <c r="E326" s="97" t="str">
        <f ca="1">IFERROR(IF(PréstamoNoPagado*PréstamoPagado,PagoMensual,""), "")</f>
        <v/>
      </c>
      <c r="F326" s="97" t="str">
        <f ca="1">IFERROR(IF(PréstamoNoPagado*PréstamoPagado,Capital,""), "")</f>
        <v/>
      </c>
      <c r="G326" s="97" t="str">
        <f ca="1">IFERROR(IF(PréstamoNoPagado*PréstamoPagado,AmortizaciónInterés,""), "")</f>
        <v/>
      </c>
      <c r="H326" s="97" t="str">
        <f ca="1">IFERROR(IF(PréstamoNoPagado*PréstamoPagado,SaldoFinal,""), "")</f>
        <v/>
      </c>
    </row>
    <row r="327" spans="2:8" ht="20.100000000000001" customHeight="1" x14ac:dyDescent="0.3">
      <c r="B327" s="105" t="str">
        <f ca="1">IFERROR(IF(PréstamoNoPagado*PréstamoPagado,NúmeroDePago,""), "")</f>
        <v/>
      </c>
      <c r="C327" s="96" t="str">
        <f ca="1">IFERROR(IF(PréstamoNoPagado*PréstamoPagado,FechaDePago,""), "")</f>
        <v/>
      </c>
      <c r="D327" s="97" t="str">
        <f ca="1">IFERROR(IF(PréstamoNoPagado*PréstamoPagado,ValorPréstamo,""), "")</f>
        <v/>
      </c>
      <c r="E327" s="97" t="str">
        <f ca="1">IFERROR(IF(PréstamoNoPagado*PréstamoPagado,PagoMensual,""), "")</f>
        <v/>
      </c>
      <c r="F327" s="97" t="str">
        <f ca="1">IFERROR(IF(PréstamoNoPagado*PréstamoPagado,Capital,""), "")</f>
        <v/>
      </c>
      <c r="G327" s="97" t="str">
        <f ca="1">IFERROR(IF(PréstamoNoPagado*PréstamoPagado,AmortizaciónInterés,""), "")</f>
        <v/>
      </c>
      <c r="H327" s="97" t="str">
        <f ca="1">IFERROR(IF(PréstamoNoPagado*PréstamoPagado,SaldoFinal,""), "")</f>
        <v/>
      </c>
    </row>
    <row r="328" spans="2:8" ht="20.100000000000001" customHeight="1" x14ac:dyDescent="0.3">
      <c r="B328" s="105" t="str">
        <f ca="1">IFERROR(IF(PréstamoNoPagado*PréstamoPagado,NúmeroDePago,""), "")</f>
        <v/>
      </c>
      <c r="C328" s="96" t="str">
        <f ca="1">IFERROR(IF(PréstamoNoPagado*PréstamoPagado,FechaDePago,""), "")</f>
        <v/>
      </c>
      <c r="D328" s="97" t="str">
        <f ca="1">IFERROR(IF(PréstamoNoPagado*PréstamoPagado,ValorPréstamo,""), "")</f>
        <v/>
      </c>
      <c r="E328" s="97" t="str">
        <f ca="1">IFERROR(IF(PréstamoNoPagado*PréstamoPagado,PagoMensual,""), "")</f>
        <v/>
      </c>
      <c r="F328" s="97" t="str">
        <f ca="1">IFERROR(IF(PréstamoNoPagado*PréstamoPagado,Capital,""), "")</f>
        <v/>
      </c>
      <c r="G328" s="97" t="str">
        <f ca="1">IFERROR(IF(PréstamoNoPagado*PréstamoPagado,AmortizaciónInterés,""), "")</f>
        <v/>
      </c>
      <c r="H328" s="97" t="str">
        <f ca="1">IFERROR(IF(PréstamoNoPagado*PréstamoPagado,SaldoFinal,""), "")</f>
        <v/>
      </c>
    </row>
    <row r="329" spans="2:8" ht="20.100000000000001" customHeight="1" x14ac:dyDescent="0.3">
      <c r="B329" s="105" t="str">
        <f ca="1">IFERROR(IF(PréstamoNoPagado*PréstamoPagado,NúmeroDePago,""), "")</f>
        <v/>
      </c>
      <c r="C329" s="96" t="str">
        <f ca="1">IFERROR(IF(PréstamoNoPagado*PréstamoPagado,FechaDePago,""), "")</f>
        <v/>
      </c>
      <c r="D329" s="97" t="str">
        <f ca="1">IFERROR(IF(PréstamoNoPagado*PréstamoPagado,ValorPréstamo,""), "")</f>
        <v/>
      </c>
      <c r="E329" s="97" t="str">
        <f ca="1">IFERROR(IF(PréstamoNoPagado*PréstamoPagado,PagoMensual,""), "")</f>
        <v/>
      </c>
      <c r="F329" s="97" t="str">
        <f ca="1">IFERROR(IF(PréstamoNoPagado*PréstamoPagado,Capital,""), "")</f>
        <v/>
      </c>
      <c r="G329" s="97" t="str">
        <f ca="1">IFERROR(IF(PréstamoNoPagado*PréstamoPagado,AmortizaciónInterés,""), "")</f>
        <v/>
      </c>
      <c r="H329" s="97" t="str">
        <f ca="1">IFERROR(IF(PréstamoNoPagado*PréstamoPagado,SaldoFinal,""), "")</f>
        <v/>
      </c>
    </row>
    <row r="330" spans="2:8" ht="20.100000000000001" customHeight="1" x14ac:dyDescent="0.3">
      <c r="B330" s="105" t="str">
        <f ca="1">IFERROR(IF(PréstamoNoPagado*PréstamoPagado,NúmeroDePago,""), "")</f>
        <v/>
      </c>
      <c r="C330" s="96" t="str">
        <f ca="1">IFERROR(IF(PréstamoNoPagado*PréstamoPagado,FechaDePago,""), "")</f>
        <v/>
      </c>
      <c r="D330" s="97" t="str">
        <f ca="1">IFERROR(IF(PréstamoNoPagado*PréstamoPagado,ValorPréstamo,""), "")</f>
        <v/>
      </c>
      <c r="E330" s="97" t="str">
        <f ca="1">IFERROR(IF(PréstamoNoPagado*PréstamoPagado,PagoMensual,""), "")</f>
        <v/>
      </c>
      <c r="F330" s="97" t="str">
        <f ca="1">IFERROR(IF(PréstamoNoPagado*PréstamoPagado,Capital,""), "")</f>
        <v/>
      </c>
      <c r="G330" s="97" t="str">
        <f ca="1">IFERROR(IF(PréstamoNoPagado*PréstamoPagado,AmortizaciónInterés,""), "")</f>
        <v/>
      </c>
      <c r="H330" s="97" t="str">
        <f ca="1">IFERROR(IF(PréstamoNoPagado*PréstamoPagado,SaldoFinal,""), "")</f>
        <v/>
      </c>
    </row>
    <row r="331" spans="2:8" ht="20.100000000000001" customHeight="1" x14ac:dyDescent="0.3">
      <c r="B331" s="105" t="str">
        <f ca="1">IFERROR(IF(PréstamoNoPagado*PréstamoPagado,NúmeroDePago,""), "")</f>
        <v/>
      </c>
      <c r="C331" s="96" t="str">
        <f ca="1">IFERROR(IF(PréstamoNoPagado*PréstamoPagado,FechaDePago,""), "")</f>
        <v/>
      </c>
      <c r="D331" s="97" t="str">
        <f ca="1">IFERROR(IF(PréstamoNoPagado*PréstamoPagado,ValorPréstamo,""), "")</f>
        <v/>
      </c>
      <c r="E331" s="97" t="str">
        <f ca="1">IFERROR(IF(PréstamoNoPagado*PréstamoPagado,PagoMensual,""), "")</f>
        <v/>
      </c>
      <c r="F331" s="97" t="str">
        <f ca="1">IFERROR(IF(PréstamoNoPagado*PréstamoPagado,Capital,""), "")</f>
        <v/>
      </c>
      <c r="G331" s="97" t="str">
        <f ca="1">IFERROR(IF(PréstamoNoPagado*PréstamoPagado,AmortizaciónInterés,""), "")</f>
        <v/>
      </c>
      <c r="H331" s="97" t="str">
        <f ca="1">IFERROR(IF(PréstamoNoPagado*PréstamoPagado,SaldoFinal,""), "")</f>
        <v/>
      </c>
    </row>
    <row r="332" spans="2:8" ht="20.100000000000001" customHeight="1" x14ac:dyDescent="0.3">
      <c r="B332" s="105" t="str">
        <f ca="1">IFERROR(IF(PréstamoNoPagado*PréstamoPagado,NúmeroDePago,""), "")</f>
        <v/>
      </c>
      <c r="C332" s="96" t="str">
        <f ca="1">IFERROR(IF(PréstamoNoPagado*PréstamoPagado,FechaDePago,""), "")</f>
        <v/>
      </c>
      <c r="D332" s="97" t="str">
        <f ca="1">IFERROR(IF(PréstamoNoPagado*PréstamoPagado,ValorPréstamo,""), "")</f>
        <v/>
      </c>
      <c r="E332" s="97" t="str">
        <f ca="1">IFERROR(IF(PréstamoNoPagado*PréstamoPagado,PagoMensual,""), "")</f>
        <v/>
      </c>
      <c r="F332" s="97" t="str">
        <f ca="1">IFERROR(IF(PréstamoNoPagado*PréstamoPagado,Capital,""), "")</f>
        <v/>
      </c>
      <c r="G332" s="97" t="str">
        <f ca="1">IFERROR(IF(PréstamoNoPagado*PréstamoPagado,AmortizaciónInterés,""), "")</f>
        <v/>
      </c>
      <c r="H332" s="97" t="str">
        <f ca="1">IFERROR(IF(PréstamoNoPagado*PréstamoPagado,SaldoFinal,""), "")</f>
        <v/>
      </c>
    </row>
    <row r="333" spans="2:8" ht="20.100000000000001" customHeight="1" x14ac:dyDescent="0.3">
      <c r="B333" s="105" t="str">
        <f ca="1">IFERROR(IF(PréstamoNoPagado*PréstamoPagado,NúmeroDePago,""), "")</f>
        <v/>
      </c>
      <c r="C333" s="96" t="str">
        <f ca="1">IFERROR(IF(PréstamoNoPagado*PréstamoPagado,FechaDePago,""), "")</f>
        <v/>
      </c>
      <c r="D333" s="97" t="str">
        <f ca="1">IFERROR(IF(PréstamoNoPagado*PréstamoPagado,ValorPréstamo,""), "")</f>
        <v/>
      </c>
      <c r="E333" s="97" t="str">
        <f ca="1">IFERROR(IF(PréstamoNoPagado*PréstamoPagado,PagoMensual,""), "")</f>
        <v/>
      </c>
      <c r="F333" s="97" t="str">
        <f ca="1">IFERROR(IF(PréstamoNoPagado*PréstamoPagado,Capital,""), "")</f>
        <v/>
      </c>
      <c r="G333" s="97" t="str">
        <f ca="1">IFERROR(IF(PréstamoNoPagado*PréstamoPagado,AmortizaciónInterés,""), "")</f>
        <v/>
      </c>
      <c r="H333" s="97" t="str">
        <f ca="1">IFERROR(IF(PréstamoNoPagado*PréstamoPagado,SaldoFinal,""), "")</f>
        <v/>
      </c>
    </row>
    <row r="334" spans="2:8" ht="20.100000000000001" customHeight="1" x14ac:dyDescent="0.3">
      <c r="B334" s="105" t="str">
        <f ca="1">IFERROR(IF(PréstamoNoPagado*PréstamoPagado,NúmeroDePago,""), "")</f>
        <v/>
      </c>
      <c r="C334" s="96" t="str">
        <f ca="1">IFERROR(IF(PréstamoNoPagado*PréstamoPagado,FechaDePago,""), "")</f>
        <v/>
      </c>
      <c r="D334" s="97" t="str">
        <f ca="1">IFERROR(IF(PréstamoNoPagado*PréstamoPagado,ValorPréstamo,""), "")</f>
        <v/>
      </c>
      <c r="E334" s="97" t="str">
        <f ca="1">IFERROR(IF(PréstamoNoPagado*PréstamoPagado,PagoMensual,""), "")</f>
        <v/>
      </c>
      <c r="F334" s="97" t="str">
        <f ca="1">IFERROR(IF(PréstamoNoPagado*PréstamoPagado,Capital,""), "")</f>
        <v/>
      </c>
      <c r="G334" s="97" t="str">
        <f ca="1">IFERROR(IF(PréstamoNoPagado*PréstamoPagado,AmortizaciónInterés,""), "")</f>
        <v/>
      </c>
      <c r="H334" s="97" t="str">
        <f ca="1">IFERROR(IF(PréstamoNoPagado*PréstamoPagado,SaldoFinal,""), "")</f>
        <v/>
      </c>
    </row>
    <row r="335" spans="2:8" ht="20.100000000000001" customHeight="1" x14ac:dyDescent="0.3">
      <c r="B335" s="105" t="str">
        <f ca="1">IFERROR(IF(PréstamoNoPagado*PréstamoPagado,NúmeroDePago,""), "")</f>
        <v/>
      </c>
      <c r="C335" s="96" t="str">
        <f ca="1">IFERROR(IF(PréstamoNoPagado*PréstamoPagado,FechaDePago,""), "")</f>
        <v/>
      </c>
      <c r="D335" s="97" t="str">
        <f ca="1">IFERROR(IF(PréstamoNoPagado*PréstamoPagado,ValorPréstamo,""), "")</f>
        <v/>
      </c>
      <c r="E335" s="97" t="str">
        <f ca="1">IFERROR(IF(PréstamoNoPagado*PréstamoPagado,PagoMensual,""), "")</f>
        <v/>
      </c>
      <c r="F335" s="97" t="str">
        <f ca="1">IFERROR(IF(PréstamoNoPagado*PréstamoPagado,Capital,""), "")</f>
        <v/>
      </c>
      <c r="G335" s="97" t="str">
        <f ca="1">IFERROR(IF(PréstamoNoPagado*PréstamoPagado,AmortizaciónInterés,""), "")</f>
        <v/>
      </c>
      <c r="H335" s="97" t="str">
        <f ca="1">IFERROR(IF(PréstamoNoPagado*PréstamoPagado,SaldoFinal,""), "")</f>
        <v/>
      </c>
    </row>
    <row r="336" spans="2:8" ht="20.100000000000001" customHeight="1" x14ac:dyDescent="0.3">
      <c r="B336" s="105" t="str">
        <f ca="1">IFERROR(IF(PréstamoNoPagado*PréstamoPagado,NúmeroDePago,""), "")</f>
        <v/>
      </c>
      <c r="C336" s="96" t="str">
        <f ca="1">IFERROR(IF(PréstamoNoPagado*PréstamoPagado,FechaDePago,""), "")</f>
        <v/>
      </c>
      <c r="D336" s="97" t="str">
        <f ca="1">IFERROR(IF(PréstamoNoPagado*PréstamoPagado,ValorPréstamo,""), "")</f>
        <v/>
      </c>
      <c r="E336" s="97" t="str">
        <f ca="1">IFERROR(IF(PréstamoNoPagado*PréstamoPagado,PagoMensual,""), "")</f>
        <v/>
      </c>
      <c r="F336" s="97" t="str">
        <f ca="1">IFERROR(IF(PréstamoNoPagado*PréstamoPagado,Capital,""), "")</f>
        <v/>
      </c>
      <c r="G336" s="97" t="str">
        <f ca="1">IFERROR(IF(PréstamoNoPagado*PréstamoPagado,AmortizaciónInterés,""), "")</f>
        <v/>
      </c>
      <c r="H336" s="97" t="str">
        <f ca="1">IFERROR(IF(PréstamoNoPagado*PréstamoPagado,SaldoFinal,""), "")</f>
        <v/>
      </c>
    </row>
    <row r="337" spans="2:8" ht="20.100000000000001" customHeight="1" x14ac:dyDescent="0.3">
      <c r="B337" s="105" t="str">
        <f ca="1">IFERROR(IF(PréstamoNoPagado*PréstamoPagado,NúmeroDePago,""), "")</f>
        <v/>
      </c>
      <c r="C337" s="96" t="str">
        <f ca="1">IFERROR(IF(PréstamoNoPagado*PréstamoPagado,FechaDePago,""), "")</f>
        <v/>
      </c>
      <c r="D337" s="97" t="str">
        <f ca="1">IFERROR(IF(PréstamoNoPagado*PréstamoPagado,ValorPréstamo,""), "")</f>
        <v/>
      </c>
      <c r="E337" s="97" t="str">
        <f ca="1">IFERROR(IF(PréstamoNoPagado*PréstamoPagado,PagoMensual,""), "")</f>
        <v/>
      </c>
      <c r="F337" s="97" t="str">
        <f ca="1">IFERROR(IF(PréstamoNoPagado*PréstamoPagado,Capital,""), "")</f>
        <v/>
      </c>
      <c r="G337" s="97" t="str">
        <f ca="1">IFERROR(IF(PréstamoNoPagado*PréstamoPagado,AmortizaciónInterés,""), "")</f>
        <v/>
      </c>
      <c r="H337" s="97" t="str">
        <f ca="1">IFERROR(IF(PréstamoNoPagado*PréstamoPagado,SaldoFinal,""), "")</f>
        <v/>
      </c>
    </row>
    <row r="338" spans="2:8" ht="20.100000000000001" customHeight="1" x14ac:dyDescent="0.3">
      <c r="B338" s="105" t="str">
        <f ca="1">IFERROR(IF(PréstamoNoPagado*PréstamoPagado,NúmeroDePago,""), "")</f>
        <v/>
      </c>
      <c r="C338" s="96" t="str">
        <f ca="1">IFERROR(IF(PréstamoNoPagado*PréstamoPagado,FechaDePago,""), "")</f>
        <v/>
      </c>
      <c r="D338" s="97" t="str">
        <f ca="1">IFERROR(IF(PréstamoNoPagado*PréstamoPagado,ValorPréstamo,""), "")</f>
        <v/>
      </c>
      <c r="E338" s="97" t="str">
        <f ca="1">IFERROR(IF(PréstamoNoPagado*PréstamoPagado,PagoMensual,""), "")</f>
        <v/>
      </c>
      <c r="F338" s="97" t="str">
        <f ca="1">IFERROR(IF(PréstamoNoPagado*PréstamoPagado,Capital,""), "")</f>
        <v/>
      </c>
      <c r="G338" s="97" t="str">
        <f ca="1">IFERROR(IF(PréstamoNoPagado*PréstamoPagado,AmortizaciónInterés,""), "")</f>
        <v/>
      </c>
      <c r="H338" s="97" t="str">
        <f ca="1">IFERROR(IF(PréstamoNoPagado*PréstamoPagado,SaldoFinal,""), "")</f>
        <v/>
      </c>
    </row>
    <row r="339" spans="2:8" ht="20.100000000000001" customHeight="1" x14ac:dyDescent="0.3">
      <c r="B339" s="105" t="str">
        <f ca="1">IFERROR(IF(PréstamoNoPagado*PréstamoPagado,NúmeroDePago,""), "")</f>
        <v/>
      </c>
      <c r="C339" s="96" t="str">
        <f ca="1">IFERROR(IF(PréstamoNoPagado*PréstamoPagado,FechaDePago,""), "")</f>
        <v/>
      </c>
      <c r="D339" s="97" t="str">
        <f ca="1">IFERROR(IF(PréstamoNoPagado*PréstamoPagado,ValorPréstamo,""), "")</f>
        <v/>
      </c>
      <c r="E339" s="97" t="str">
        <f ca="1">IFERROR(IF(PréstamoNoPagado*PréstamoPagado,PagoMensual,""), "")</f>
        <v/>
      </c>
      <c r="F339" s="97" t="str">
        <f ca="1">IFERROR(IF(PréstamoNoPagado*PréstamoPagado,Capital,""), "")</f>
        <v/>
      </c>
      <c r="G339" s="97" t="str">
        <f ca="1">IFERROR(IF(PréstamoNoPagado*PréstamoPagado,AmortizaciónInterés,""), "")</f>
        <v/>
      </c>
      <c r="H339" s="97" t="str">
        <f ca="1">IFERROR(IF(PréstamoNoPagado*PréstamoPagado,SaldoFinal,""), "")</f>
        <v/>
      </c>
    </row>
    <row r="340" spans="2:8" ht="20.100000000000001" customHeight="1" x14ac:dyDescent="0.3">
      <c r="B340" s="105" t="str">
        <f ca="1">IFERROR(IF(PréstamoNoPagado*PréstamoPagado,NúmeroDePago,""), "")</f>
        <v/>
      </c>
      <c r="C340" s="96" t="str">
        <f ca="1">IFERROR(IF(PréstamoNoPagado*PréstamoPagado,FechaDePago,""), "")</f>
        <v/>
      </c>
      <c r="D340" s="97" t="str">
        <f ca="1">IFERROR(IF(PréstamoNoPagado*PréstamoPagado,ValorPréstamo,""), "")</f>
        <v/>
      </c>
      <c r="E340" s="97" t="str">
        <f ca="1">IFERROR(IF(PréstamoNoPagado*PréstamoPagado,PagoMensual,""), "")</f>
        <v/>
      </c>
      <c r="F340" s="97" t="str">
        <f ca="1">IFERROR(IF(PréstamoNoPagado*PréstamoPagado,Capital,""), "")</f>
        <v/>
      </c>
      <c r="G340" s="97" t="str">
        <f ca="1">IFERROR(IF(PréstamoNoPagado*PréstamoPagado,AmortizaciónInterés,""), "")</f>
        <v/>
      </c>
      <c r="H340" s="97" t="str">
        <f ca="1">IFERROR(IF(PréstamoNoPagado*PréstamoPagado,SaldoFinal,""), "")</f>
        <v/>
      </c>
    </row>
    <row r="341" spans="2:8" ht="20.100000000000001" customHeight="1" x14ac:dyDescent="0.3">
      <c r="B341" s="105" t="str">
        <f ca="1">IFERROR(IF(PréstamoNoPagado*PréstamoPagado,NúmeroDePago,""), "")</f>
        <v/>
      </c>
      <c r="C341" s="96" t="str">
        <f ca="1">IFERROR(IF(PréstamoNoPagado*PréstamoPagado,FechaDePago,""), "")</f>
        <v/>
      </c>
      <c r="D341" s="97" t="str">
        <f ca="1">IFERROR(IF(PréstamoNoPagado*PréstamoPagado,ValorPréstamo,""), "")</f>
        <v/>
      </c>
      <c r="E341" s="97" t="str">
        <f ca="1">IFERROR(IF(PréstamoNoPagado*PréstamoPagado,PagoMensual,""), "")</f>
        <v/>
      </c>
      <c r="F341" s="97" t="str">
        <f ca="1">IFERROR(IF(PréstamoNoPagado*PréstamoPagado,Capital,""), "")</f>
        <v/>
      </c>
      <c r="G341" s="97" t="str">
        <f ca="1">IFERROR(IF(PréstamoNoPagado*PréstamoPagado,AmortizaciónInterés,""), "")</f>
        <v/>
      </c>
      <c r="H341" s="97" t="str">
        <f ca="1">IFERROR(IF(PréstamoNoPagado*PréstamoPagado,SaldoFinal,""), "")</f>
        <v/>
      </c>
    </row>
    <row r="342" spans="2:8" ht="20.100000000000001" customHeight="1" x14ac:dyDescent="0.3">
      <c r="B342" s="105" t="str">
        <f ca="1">IFERROR(IF(PréstamoNoPagado*PréstamoPagado,NúmeroDePago,""), "")</f>
        <v/>
      </c>
      <c r="C342" s="96" t="str">
        <f ca="1">IFERROR(IF(PréstamoNoPagado*PréstamoPagado,FechaDePago,""), "")</f>
        <v/>
      </c>
      <c r="D342" s="97" t="str">
        <f ca="1">IFERROR(IF(PréstamoNoPagado*PréstamoPagado,ValorPréstamo,""), "")</f>
        <v/>
      </c>
      <c r="E342" s="97" t="str">
        <f ca="1">IFERROR(IF(PréstamoNoPagado*PréstamoPagado,PagoMensual,""), "")</f>
        <v/>
      </c>
      <c r="F342" s="97" t="str">
        <f ca="1">IFERROR(IF(PréstamoNoPagado*PréstamoPagado,Capital,""), "")</f>
        <v/>
      </c>
      <c r="G342" s="97" t="str">
        <f ca="1">IFERROR(IF(PréstamoNoPagado*PréstamoPagado,AmortizaciónInterés,""), "")</f>
        <v/>
      </c>
      <c r="H342" s="97" t="str">
        <f ca="1">IFERROR(IF(PréstamoNoPagado*PréstamoPagado,SaldoFinal,""), "")</f>
        <v/>
      </c>
    </row>
    <row r="343" spans="2:8" ht="20.100000000000001" customHeight="1" x14ac:dyDescent="0.3">
      <c r="B343" s="105" t="str">
        <f ca="1">IFERROR(IF(PréstamoNoPagado*PréstamoPagado,NúmeroDePago,""), "")</f>
        <v/>
      </c>
      <c r="C343" s="96" t="str">
        <f ca="1">IFERROR(IF(PréstamoNoPagado*PréstamoPagado,FechaDePago,""), "")</f>
        <v/>
      </c>
      <c r="D343" s="97" t="str">
        <f ca="1">IFERROR(IF(PréstamoNoPagado*PréstamoPagado,ValorPréstamo,""), "")</f>
        <v/>
      </c>
      <c r="E343" s="97" t="str">
        <f ca="1">IFERROR(IF(PréstamoNoPagado*PréstamoPagado,PagoMensual,""), "")</f>
        <v/>
      </c>
      <c r="F343" s="97" t="str">
        <f ca="1">IFERROR(IF(PréstamoNoPagado*PréstamoPagado,Capital,""), "")</f>
        <v/>
      </c>
      <c r="G343" s="97" t="str">
        <f ca="1">IFERROR(IF(PréstamoNoPagado*PréstamoPagado,AmortizaciónInterés,""), "")</f>
        <v/>
      </c>
      <c r="H343" s="97" t="str">
        <f ca="1">IFERROR(IF(PréstamoNoPagado*PréstamoPagado,SaldoFinal,""), "")</f>
        <v/>
      </c>
    </row>
    <row r="344" spans="2:8" ht="20.100000000000001" customHeight="1" x14ac:dyDescent="0.3">
      <c r="B344" s="105" t="str">
        <f ca="1">IFERROR(IF(PréstamoNoPagado*PréstamoPagado,NúmeroDePago,""), "")</f>
        <v/>
      </c>
      <c r="C344" s="96" t="str">
        <f ca="1">IFERROR(IF(PréstamoNoPagado*PréstamoPagado,FechaDePago,""), "")</f>
        <v/>
      </c>
      <c r="D344" s="97" t="str">
        <f ca="1">IFERROR(IF(PréstamoNoPagado*PréstamoPagado,ValorPréstamo,""), "")</f>
        <v/>
      </c>
      <c r="E344" s="97" t="str">
        <f ca="1">IFERROR(IF(PréstamoNoPagado*PréstamoPagado,PagoMensual,""), "")</f>
        <v/>
      </c>
      <c r="F344" s="97" t="str">
        <f ca="1">IFERROR(IF(PréstamoNoPagado*PréstamoPagado,Capital,""), "")</f>
        <v/>
      </c>
      <c r="G344" s="97" t="str">
        <f ca="1">IFERROR(IF(PréstamoNoPagado*PréstamoPagado,AmortizaciónInterés,""), "")</f>
        <v/>
      </c>
      <c r="H344" s="97" t="str">
        <f ca="1">IFERROR(IF(PréstamoNoPagado*PréstamoPagado,SaldoFinal,""), "")</f>
        <v/>
      </c>
    </row>
    <row r="345" spans="2:8" ht="20.100000000000001" customHeight="1" x14ac:dyDescent="0.3">
      <c r="B345" s="105" t="str">
        <f ca="1">IFERROR(IF(PréstamoNoPagado*PréstamoPagado,NúmeroDePago,""), "")</f>
        <v/>
      </c>
      <c r="C345" s="96" t="str">
        <f ca="1">IFERROR(IF(PréstamoNoPagado*PréstamoPagado,FechaDePago,""), "")</f>
        <v/>
      </c>
      <c r="D345" s="97" t="str">
        <f ca="1">IFERROR(IF(PréstamoNoPagado*PréstamoPagado,ValorPréstamo,""), "")</f>
        <v/>
      </c>
      <c r="E345" s="97" t="str">
        <f ca="1">IFERROR(IF(PréstamoNoPagado*PréstamoPagado,PagoMensual,""), "")</f>
        <v/>
      </c>
      <c r="F345" s="97" t="str">
        <f ca="1">IFERROR(IF(PréstamoNoPagado*PréstamoPagado,Capital,""), "")</f>
        <v/>
      </c>
      <c r="G345" s="97" t="str">
        <f ca="1">IFERROR(IF(PréstamoNoPagado*PréstamoPagado,AmortizaciónInterés,""), "")</f>
        <v/>
      </c>
      <c r="H345" s="97" t="str">
        <f ca="1">IFERROR(IF(PréstamoNoPagado*PréstamoPagado,SaldoFinal,""), "")</f>
        <v/>
      </c>
    </row>
    <row r="346" spans="2:8" ht="20.100000000000001" customHeight="1" x14ac:dyDescent="0.3">
      <c r="B346" s="105" t="str">
        <f ca="1">IFERROR(IF(PréstamoNoPagado*PréstamoPagado,NúmeroDePago,""), "")</f>
        <v/>
      </c>
      <c r="C346" s="96" t="str">
        <f ca="1">IFERROR(IF(PréstamoNoPagado*PréstamoPagado,FechaDePago,""), "")</f>
        <v/>
      </c>
      <c r="D346" s="97" t="str">
        <f ca="1">IFERROR(IF(PréstamoNoPagado*PréstamoPagado,ValorPréstamo,""), "")</f>
        <v/>
      </c>
      <c r="E346" s="97" t="str">
        <f ca="1">IFERROR(IF(PréstamoNoPagado*PréstamoPagado,PagoMensual,""), "")</f>
        <v/>
      </c>
      <c r="F346" s="97" t="str">
        <f ca="1">IFERROR(IF(PréstamoNoPagado*PréstamoPagado,Capital,""), "")</f>
        <v/>
      </c>
      <c r="G346" s="97" t="str">
        <f ca="1">IFERROR(IF(PréstamoNoPagado*PréstamoPagado,AmortizaciónInterés,""), "")</f>
        <v/>
      </c>
      <c r="H346" s="97" t="str">
        <f ca="1">IFERROR(IF(PréstamoNoPagado*PréstamoPagado,SaldoFinal,""), "")</f>
        <v/>
      </c>
    </row>
    <row r="347" spans="2:8" ht="20.100000000000001" customHeight="1" x14ac:dyDescent="0.3">
      <c r="B347" s="105" t="str">
        <f ca="1">IFERROR(IF(PréstamoNoPagado*PréstamoPagado,NúmeroDePago,""), "")</f>
        <v/>
      </c>
      <c r="C347" s="96" t="str">
        <f ca="1">IFERROR(IF(PréstamoNoPagado*PréstamoPagado,FechaDePago,""), "")</f>
        <v/>
      </c>
      <c r="D347" s="97" t="str">
        <f ca="1">IFERROR(IF(PréstamoNoPagado*PréstamoPagado,ValorPréstamo,""), "")</f>
        <v/>
      </c>
      <c r="E347" s="97" t="str">
        <f ca="1">IFERROR(IF(PréstamoNoPagado*PréstamoPagado,PagoMensual,""), "")</f>
        <v/>
      </c>
      <c r="F347" s="97" t="str">
        <f ca="1">IFERROR(IF(PréstamoNoPagado*PréstamoPagado,Capital,""), "")</f>
        <v/>
      </c>
      <c r="G347" s="97" t="str">
        <f ca="1">IFERROR(IF(PréstamoNoPagado*PréstamoPagado,AmortizaciónInterés,""), "")</f>
        <v/>
      </c>
      <c r="H347" s="97" t="str">
        <f ca="1">IFERROR(IF(PréstamoNoPagado*PréstamoPagado,SaldoFinal,""), "")</f>
        <v/>
      </c>
    </row>
    <row r="348" spans="2:8" ht="20.100000000000001" customHeight="1" x14ac:dyDescent="0.3">
      <c r="B348" s="105" t="str">
        <f ca="1">IFERROR(IF(PréstamoNoPagado*PréstamoPagado,NúmeroDePago,""), "")</f>
        <v/>
      </c>
      <c r="C348" s="96" t="str">
        <f ca="1">IFERROR(IF(PréstamoNoPagado*PréstamoPagado,FechaDePago,""), "")</f>
        <v/>
      </c>
      <c r="D348" s="97" t="str">
        <f ca="1">IFERROR(IF(PréstamoNoPagado*PréstamoPagado,ValorPréstamo,""), "")</f>
        <v/>
      </c>
      <c r="E348" s="97" t="str">
        <f ca="1">IFERROR(IF(PréstamoNoPagado*PréstamoPagado,PagoMensual,""), "")</f>
        <v/>
      </c>
      <c r="F348" s="97" t="str">
        <f ca="1">IFERROR(IF(PréstamoNoPagado*PréstamoPagado,Capital,""), "")</f>
        <v/>
      </c>
      <c r="G348" s="97" t="str">
        <f ca="1">IFERROR(IF(PréstamoNoPagado*PréstamoPagado,AmortizaciónInterés,""), "")</f>
        <v/>
      </c>
      <c r="H348" s="97" t="str">
        <f ca="1">IFERROR(IF(PréstamoNoPagado*PréstamoPagado,SaldoFinal,""), "")</f>
        <v/>
      </c>
    </row>
    <row r="349" spans="2:8" ht="20.100000000000001" customHeight="1" x14ac:dyDescent="0.3">
      <c r="B349" s="105" t="str">
        <f ca="1">IFERROR(IF(PréstamoNoPagado*PréstamoPagado,NúmeroDePago,""), "")</f>
        <v/>
      </c>
      <c r="C349" s="96" t="str">
        <f ca="1">IFERROR(IF(PréstamoNoPagado*PréstamoPagado,FechaDePago,""), "")</f>
        <v/>
      </c>
      <c r="D349" s="97" t="str">
        <f ca="1">IFERROR(IF(PréstamoNoPagado*PréstamoPagado,ValorPréstamo,""), "")</f>
        <v/>
      </c>
      <c r="E349" s="97" t="str">
        <f ca="1">IFERROR(IF(PréstamoNoPagado*PréstamoPagado,PagoMensual,""), "")</f>
        <v/>
      </c>
      <c r="F349" s="97" t="str">
        <f ca="1">IFERROR(IF(PréstamoNoPagado*PréstamoPagado,Capital,""), "")</f>
        <v/>
      </c>
      <c r="G349" s="97" t="str">
        <f ca="1">IFERROR(IF(PréstamoNoPagado*PréstamoPagado,AmortizaciónInterés,""), "")</f>
        <v/>
      </c>
      <c r="H349" s="97" t="str">
        <f ca="1">IFERROR(IF(PréstamoNoPagado*PréstamoPagado,SaldoFinal,""), "")</f>
        <v/>
      </c>
    </row>
    <row r="350" spans="2:8" ht="20.100000000000001" customHeight="1" x14ac:dyDescent="0.3">
      <c r="B350" s="105" t="str">
        <f ca="1">IFERROR(IF(PréstamoNoPagado*PréstamoPagado,NúmeroDePago,""), "")</f>
        <v/>
      </c>
      <c r="C350" s="96" t="str">
        <f ca="1">IFERROR(IF(PréstamoNoPagado*PréstamoPagado,FechaDePago,""), "")</f>
        <v/>
      </c>
      <c r="D350" s="97" t="str">
        <f ca="1">IFERROR(IF(PréstamoNoPagado*PréstamoPagado,ValorPréstamo,""), "")</f>
        <v/>
      </c>
      <c r="E350" s="97" t="str">
        <f ca="1">IFERROR(IF(PréstamoNoPagado*PréstamoPagado,PagoMensual,""), "")</f>
        <v/>
      </c>
      <c r="F350" s="97" t="str">
        <f ca="1">IFERROR(IF(PréstamoNoPagado*PréstamoPagado,Capital,""), "")</f>
        <v/>
      </c>
      <c r="G350" s="97" t="str">
        <f ca="1">IFERROR(IF(PréstamoNoPagado*PréstamoPagado,AmortizaciónInterés,""), "")</f>
        <v/>
      </c>
      <c r="H350" s="97" t="str">
        <f ca="1">IFERROR(IF(PréstamoNoPagado*PréstamoPagado,SaldoFinal,""), "")</f>
        <v/>
      </c>
    </row>
    <row r="351" spans="2:8" ht="20.100000000000001" customHeight="1" x14ac:dyDescent="0.3">
      <c r="B351" s="105" t="str">
        <f ca="1">IFERROR(IF(PréstamoNoPagado*PréstamoPagado,NúmeroDePago,""), "")</f>
        <v/>
      </c>
      <c r="C351" s="96" t="str">
        <f ca="1">IFERROR(IF(PréstamoNoPagado*PréstamoPagado,FechaDePago,""), "")</f>
        <v/>
      </c>
      <c r="D351" s="97" t="str">
        <f ca="1">IFERROR(IF(PréstamoNoPagado*PréstamoPagado,ValorPréstamo,""), "")</f>
        <v/>
      </c>
      <c r="E351" s="97" t="str">
        <f ca="1">IFERROR(IF(PréstamoNoPagado*PréstamoPagado,PagoMensual,""), "")</f>
        <v/>
      </c>
      <c r="F351" s="97" t="str">
        <f ca="1">IFERROR(IF(PréstamoNoPagado*PréstamoPagado,Capital,""), "")</f>
        <v/>
      </c>
      <c r="G351" s="97" t="str">
        <f ca="1">IFERROR(IF(PréstamoNoPagado*PréstamoPagado,AmortizaciónInterés,""), "")</f>
        <v/>
      </c>
      <c r="H351" s="97" t="str">
        <f ca="1">IFERROR(IF(PréstamoNoPagado*PréstamoPagado,SaldoFinal,""), "")</f>
        <v/>
      </c>
    </row>
    <row r="352" spans="2:8" ht="20.100000000000001" customHeight="1" x14ac:dyDescent="0.3">
      <c r="B352" s="105" t="str">
        <f ca="1">IFERROR(IF(PréstamoNoPagado*PréstamoPagado,NúmeroDePago,""), "")</f>
        <v/>
      </c>
      <c r="C352" s="96" t="str">
        <f ca="1">IFERROR(IF(PréstamoNoPagado*PréstamoPagado,FechaDePago,""), "")</f>
        <v/>
      </c>
      <c r="D352" s="97" t="str">
        <f ca="1">IFERROR(IF(PréstamoNoPagado*PréstamoPagado,ValorPréstamo,""), "")</f>
        <v/>
      </c>
      <c r="E352" s="97" t="str">
        <f ca="1">IFERROR(IF(PréstamoNoPagado*PréstamoPagado,PagoMensual,""), "")</f>
        <v/>
      </c>
      <c r="F352" s="97" t="str">
        <f ca="1">IFERROR(IF(PréstamoNoPagado*PréstamoPagado,Capital,""), "")</f>
        <v/>
      </c>
      <c r="G352" s="97" t="str">
        <f ca="1">IFERROR(IF(PréstamoNoPagado*PréstamoPagado,AmortizaciónInterés,""), "")</f>
        <v/>
      </c>
      <c r="H352" s="97" t="str">
        <f ca="1">IFERROR(IF(PréstamoNoPagado*PréstamoPagado,SaldoFinal,""), "")</f>
        <v/>
      </c>
    </row>
    <row r="353" spans="2:8" ht="20.100000000000001" customHeight="1" x14ac:dyDescent="0.3">
      <c r="B353" s="105" t="str">
        <f ca="1">IFERROR(IF(PréstamoNoPagado*PréstamoPagado,NúmeroDePago,""), "")</f>
        <v/>
      </c>
      <c r="C353" s="96" t="str">
        <f ca="1">IFERROR(IF(PréstamoNoPagado*PréstamoPagado,FechaDePago,""), "")</f>
        <v/>
      </c>
      <c r="D353" s="97" t="str">
        <f ca="1">IFERROR(IF(PréstamoNoPagado*PréstamoPagado,ValorPréstamo,""), "")</f>
        <v/>
      </c>
      <c r="E353" s="97" t="str">
        <f ca="1">IFERROR(IF(PréstamoNoPagado*PréstamoPagado,PagoMensual,""), "")</f>
        <v/>
      </c>
      <c r="F353" s="97" t="str">
        <f ca="1">IFERROR(IF(PréstamoNoPagado*PréstamoPagado,Capital,""), "")</f>
        <v/>
      </c>
      <c r="G353" s="97" t="str">
        <f ca="1">IFERROR(IF(PréstamoNoPagado*PréstamoPagado,AmortizaciónInterés,""), "")</f>
        <v/>
      </c>
      <c r="H353" s="97" t="str">
        <f ca="1">IFERROR(IF(PréstamoNoPagado*PréstamoPagado,SaldoFinal,""), "")</f>
        <v/>
      </c>
    </row>
    <row r="354" spans="2:8" ht="20.100000000000001" customHeight="1" x14ac:dyDescent="0.3">
      <c r="B354" s="105" t="str">
        <f ca="1">IFERROR(IF(PréstamoNoPagado*PréstamoPagado,NúmeroDePago,""), "")</f>
        <v/>
      </c>
      <c r="C354" s="96" t="str">
        <f ca="1">IFERROR(IF(PréstamoNoPagado*PréstamoPagado,FechaDePago,""), "")</f>
        <v/>
      </c>
      <c r="D354" s="97" t="str">
        <f ca="1">IFERROR(IF(PréstamoNoPagado*PréstamoPagado,ValorPréstamo,""), "")</f>
        <v/>
      </c>
      <c r="E354" s="97" t="str">
        <f ca="1">IFERROR(IF(PréstamoNoPagado*PréstamoPagado,PagoMensual,""), "")</f>
        <v/>
      </c>
      <c r="F354" s="97" t="str">
        <f ca="1">IFERROR(IF(PréstamoNoPagado*PréstamoPagado,Capital,""), "")</f>
        <v/>
      </c>
      <c r="G354" s="97" t="str">
        <f ca="1">IFERROR(IF(PréstamoNoPagado*PréstamoPagado,AmortizaciónInterés,""), "")</f>
        <v/>
      </c>
      <c r="H354" s="97" t="str">
        <f ca="1">IFERROR(IF(PréstamoNoPagado*PréstamoPagado,SaldoFinal,""), "")</f>
        <v/>
      </c>
    </row>
    <row r="355" spans="2:8" ht="20.100000000000001" customHeight="1" x14ac:dyDescent="0.3">
      <c r="B355" s="105" t="str">
        <f ca="1">IFERROR(IF(PréstamoNoPagado*PréstamoPagado,NúmeroDePago,""), "")</f>
        <v/>
      </c>
      <c r="C355" s="96" t="str">
        <f ca="1">IFERROR(IF(PréstamoNoPagado*PréstamoPagado,FechaDePago,""), "")</f>
        <v/>
      </c>
      <c r="D355" s="97" t="str">
        <f ca="1">IFERROR(IF(PréstamoNoPagado*PréstamoPagado,ValorPréstamo,""), "")</f>
        <v/>
      </c>
      <c r="E355" s="97" t="str">
        <f ca="1">IFERROR(IF(PréstamoNoPagado*PréstamoPagado,PagoMensual,""), "")</f>
        <v/>
      </c>
      <c r="F355" s="97" t="str">
        <f ca="1">IFERROR(IF(PréstamoNoPagado*PréstamoPagado,Capital,""), "")</f>
        <v/>
      </c>
      <c r="G355" s="97" t="str">
        <f ca="1">IFERROR(IF(PréstamoNoPagado*PréstamoPagado,AmortizaciónInterés,""), "")</f>
        <v/>
      </c>
      <c r="H355" s="97" t="str">
        <f ca="1">IFERROR(IF(PréstamoNoPagado*PréstamoPagado,SaldoFinal,""), "")</f>
        <v/>
      </c>
    </row>
    <row r="356" spans="2:8" ht="20.100000000000001" customHeight="1" x14ac:dyDescent="0.3">
      <c r="B356" s="105" t="str">
        <f ca="1">IFERROR(IF(PréstamoNoPagado*PréstamoPagado,NúmeroDePago,""), "")</f>
        <v/>
      </c>
      <c r="C356" s="96" t="str">
        <f ca="1">IFERROR(IF(PréstamoNoPagado*PréstamoPagado,FechaDePago,""), "")</f>
        <v/>
      </c>
      <c r="D356" s="97" t="str">
        <f ca="1">IFERROR(IF(PréstamoNoPagado*PréstamoPagado,ValorPréstamo,""), "")</f>
        <v/>
      </c>
      <c r="E356" s="97" t="str">
        <f ca="1">IFERROR(IF(PréstamoNoPagado*PréstamoPagado,PagoMensual,""), "")</f>
        <v/>
      </c>
      <c r="F356" s="97" t="str">
        <f ca="1">IFERROR(IF(PréstamoNoPagado*PréstamoPagado,Capital,""), "")</f>
        <v/>
      </c>
      <c r="G356" s="97" t="str">
        <f ca="1">IFERROR(IF(PréstamoNoPagado*PréstamoPagado,AmortizaciónInterés,""), "")</f>
        <v/>
      </c>
      <c r="H356" s="97" t="str">
        <f ca="1">IFERROR(IF(PréstamoNoPagado*PréstamoPagado,SaldoFinal,""), "")</f>
        <v/>
      </c>
    </row>
    <row r="357" spans="2:8" ht="20.100000000000001" customHeight="1" x14ac:dyDescent="0.3">
      <c r="B357" s="105" t="str">
        <f ca="1">IFERROR(IF(PréstamoNoPagado*PréstamoPagado,NúmeroDePago,""), "")</f>
        <v/>
      </c>
      <c r="C357" s="96" t="str">
        <f ca="1">IFERROR(IF(PréstamoNoPagado*PréstamoPagado,FechaDePago,""), "")</f>
        <v/>
      </c>
      <c r="D357" s="97" t="str">
        <f ca="1">IFERROR(IF(PréstamoNoPagado*PréstamoPagado,ValorPréstamo,""), "")</f>
        <v/>
      </c>
      <c r="E357" s="97" t="str">
        <f ca="1">IFERROR(IF(PréstamoNoPagado*PréstamoPagado,PagoMensual,""), "")</f>
        <v/>
      </c>
      <c r="F357" s="97" t="str">
        <f ca="1">IFERROR(IF(PréstamoNoPagado*PréstamoPagado,Capital,""), "")</f>
        <v/>
      </c>
      <c r="G357" s="97" t="str">
        <f ca="1">IFERROR(IF(PréstamoNoPagado*PréstamoPagado,AmortizaciónInterés,""), "")</f>
        <v/>
      </c>
      <c r="H357" s="97" t="str">
        <f ca="1">IFERROR(IF(PréstamoNoPagado*PréstamoPagado,SaldoFinal,""), "")</f>
        <v/>
      </c>
    </row>
    <row r="358" spans="2:8" ht="20.100000000000001" customHeight="1" x14ac:dyDescent="0.3">
      <c r="B358" s="105" t="str">
        <f ca="1">IFERROR(IF(PréstamoNoPagado*PréstamoPagado,NúmeroDePago,""), "")</f>
        <v/>
      </c>
      <c r="C358" s="96" t="str">
        <f ca="1">IFERROR(IF(PréstamoNoPagado*PréstamoPagado,FechaDePago,""), "")</f>
        <v/>
      </c>
      <c r="D358" s="97" t="str">
        <f ca="1">IFERROR(IF(PréstamoNoPagado*PréstamoPagado,ValorPréstamo,""), "")</f>
        <v/>
      </c>
      <c r="E358" s="97" t="str">
        <f ca="1">IFERROR(IF(PréstamoNoPagado*PréstamoPagado,PagoMensual,""), "")</f>
        <v/>
      </c>
      <c r="F358" s="97" t="str">
        <f ca="1">IFERROR(IF(PréstamoNoPagado*PréstamoPagado,Capital,""), "")</f>
        <v/>
      </c>
      <c r="G358" s="97" t="str">
        <f ca="1">IFERROR(IF(PréstamoNoPagado*PréstamoPagado,AmortizaciónInterés,""), "")</f>
        <v/>
      </c>
      <c r="H358" s="97" t="str">
        <f ca="1">IFERROR(IF(PréstamoNoPagado*PréstamoPagado,SaldoFinal,""), "")</f>
        <v/>
      </c>
    </row>
    <row r="359" spans="2:8" ht="20.100000000000001" customHeight="1" x14ac:dyDescent="0.3">
      <c r="B359" s="105" t="str">
        <f ca="1">IFERROR(IF(PréstamoNoPagado*PréstamoPagado,NúmeroDePago,""), "")</f>
        <v/>
      </c>
      <c r="C359" s="96" t="str">
        <f ca="1">IFERROR(IF(PréstamoNoPagado*PréstamoPagado,FechaDePago,""), "")</f>
        <v/>
      </c>
      <c r="D359" s="97" t="str">
        <f ca="1">IFERROR(IF(PréstamoNoPagado*PréstamoPagado,ValorPréstamo,""), "")</f>
        <v/>
      </c>
      <c r="E359" s="97" t="str">
        <f ca="1">IFERROR(IF(PréstamoNoPagado*PréstamoPagado,PagoMensual,""), "")</f>
        <v/>
      </c>
      <c r="F359" s="97" t="str">
        <f ca="1">IFERROR(IF(PréstamoNoPagado*PréstamoPagado,Capital,""), "")</f>
        <v/>
      </c>
      <c r="G359" s="97" t="str">
        <f ca="1">IFERROR(IF(PréstamoNoPagado*PréstamoPagado,AmortizaciónInterés,""), "")</f>
        <v/>
      </c>
      <c r="H359" s="97" t="str">
        <f ca="1">IFERROR(IF(PréstamoNoPagado*PréstamoPagado,SaldoFinal,""), "")</f>
        <v/>
      </c>
    </row>
    <row r="360" spans="2:8" ht="20.100000000000001" customHeight="1" x14ac:dyDescent="0.3">
      <c r="B360" s="105" t="str">
        <f ca="1">IFERROR(IF(PréstamoNoPagado*PréstamoPagado,NúmeroDePago,""), "")</f>
        <v/>
      </c>
      <c r="C360" s="96" t="str">
        <f ca="1">IFERROR(IF(PréstamoNoPagado*PréstamoPagado,FechaDePago,""), "")</f>
        <v/>
      </c>
      <c r="D360" s="97" t="str">
        <f ca="1">IFERROR(IF(PréstamoNoPagado*PréstamoPagado,ValorPréstamo,""), "")</f>
        <v/>
      </c>
      <c r="E360" s="97" t="str">
        <f ca="1">IFERROR(IF(PréstamoNoPagado*PréstamoPagado,PagoMensual,""), "")</f>
        <v/>
      </c>
      <c r="F360" s="97" t="str">
        <f ca="1">IFERROR(IF(PréstamoNoPagado*PréstamoPagado,Capital,""), "")</f>
        <v/>
      </c>
      <c r="G360" s="97" t="str">
        <f ca="1">IFERROR(IF(PréstamoNoPagado*PréstamoPagado,AmortizaciónInterés,""), "")</f>
        <v/>
      </c>
      <c r="H360" s="97" t="str">
        <f ca="1">IFERROR(IF(PréstamoNoPagado*PréstamoPagado,SaldoFinal,""), "")</f>
        <v/>
      </c>
    </row>
    <row r="361" spans="2:8" ht="20.100000000000001" customHeight="1" x14ac:dyDescent="0.3">
      <c r="B361" s="105" t="str">
        <f ca="1">IFERROR(IF(PréstamoNoPagado*PréstamoPagado,NúmeroDePago,""), "")</f>
        <v/>
      </c>
      <c r="C361" s="96" t="str">
        <f ca="1">IFERROR(IF(PréstamoNoPagado*PréstamoPagado,FechaDePago,""), "")</f>
        <v/>
      </c>
      <c r="D361" s="97" t="str">
        <f ca="1">IFERROR(IF(PréstamoNoPagado*PréstamoPagado,ValorPréstamo,""), "")</f>
        <v/>
      </c>
      <c r="E361" s="97" t="str">
        <f ca="1">IFERROR(IF(PréstamoNoPagado*PréstamoPagado,PagoMensual,""), "")</f>
        <v/>
      </c>
      <c r="F361" s="97" t="str">
        <f ca="1">IFERROR(IF(PréstamoNoPagado*PréstamoPagado,Capital,""), "")</f>
        <v/>
      </c>
      <c r="G361" s="97" t="str">
        <f ca="1">IFERROR(IF(PréstamoNoPagado*PréstamoPagado,AmortizaciónInterés,""), "")</f>
        <v/>
      </c>
      <c r="H361" s="97" t="str">
        <f ca="1">IFERROR(IF(PréstamoNoPagado*PréstamoPagado,SaldoFinal,""), "")</f>
        <v/>
      </c>
    </row>
    <row r="362" spans="2:8" ht="20.100000000000001" customHeight="1" x14ac:dyDescent="0.3">
      <c r="B362" s="105" t="str">
        <f ca="1">IFERROR(IF(PréstamoNoPagado*PréstamoPagado,NúmeroDePago,""), "")</f>
        <v/>
      </c>
      <c r="C362" s="96" t="str">
        <f ca="1">IFERROR(IF(PréstamoNoPagado*PréstamoPagado,FechaDePago,""), "")</f>
        <v/>
      </c>
      <c r="D362" s="97" t="str">
        <f ca="1">IFERROR(IF(PréstamoNoPagado*PréstamoPagado,ValorPréstamo,""), "")</f>
        <v/>
      </c>
      <c r="E362" s="97" t="str">
        <f ca="1">IFERROR(IF(PréstamoNoPagado*PréstamoPagado,PagoMensual,""), "")</f>
        <v/>
      </c>
      <c r="F362" s="97" t="str">
        <f ca="1">IFERROR(IF(PréstamoNoPagado*PréstamoPagado,Capital,""), "")</f>
        <v/>
      </c>
      <c r="G362" s="97" t="str">
        <f ca="1">IFERROR(IF(PréstamoNoPagado*PréstamoPagado,AmortizaciónInterés,""), "")</f>
        <v/>
      </c>
      <c r="H362" s="97" t="str">
        <f ca="1">IFERROR(IF(PréstamoNoPagado*PréstamoPagado,SaldoFinal,""), "")</f>
        <v/>
      </c>
    </row>
    <row r="363" spans="2:8" ht="20.100000000000001" customHeight="1" x14ac:dyDescent="0.3">
      <c r="B363" s="105" t="str">
        <f ca="1">IFERROR(IF(PréstamoNoPagado*PréstamoPagado,NúmeroDePago,""), "")</f>
        <v/>
      </c>
      <c r="C363" s="96" t="str">
        <f ca="1">IFERROR(IF(PréstamoNoPagado*PréstamoPagado,FechaDePago,""), "")</f>
        <v/>
      </c>
      <c r="D363" s="97" t="str">
        <f ca="1">IFERROR(IF(PréstamoNoPagado*PréstamoPagado,ValorPréstamo,""), "")</f>
        <v/>
      </c>
      <c r="E363" s="97" t="str">
        <f ca="1">IFERROR(IF(PréstamoNoPagado*PréstamoPagado,PagoMensual,""), "")</f>
        <v/>
      </c>
      <c r="F363" s="97" t="str">
        <f ca="1">IFERROR(IF(PréstamoNoPagado*PréstamoPagado,Capital,""), "")</f>
        <v/>
      </c>
      <c r="G363" s="97" t="str">
        <f ca="1">IFERROR(IF(PréstamoNoPagado*PréstamoPagado,AmortizaciónInterés,""), "")</f>
        <v/>
      </c>
      <c r="H363" s="97" t="str">
        <f ca="1">IFERROR(IF(PréstamoNoPagado*PréstamoPagado,SaldoFinal,""), "")</f>
        <v/>
      </c>
    </row>
    <row r="364" spans="2:8" ht="20.100000000000001" customHeight="1" x14ac:dyDescent="0.3">
      <c r="B364" s="105" t="str">
        <f ca="1">IFERROR(IF(PréstamoNoPagado*PréstamoPagado,NúmeroDePago,""), "")</f>
        <v/>
      </c>
      <c r="C364" s="96" t="str">
        <f ca="1">IFERROR(IF(PréstamoNoPagado*PréstamoPagado,FechaDePago,""), "")</f>
        <v/>
      </c>
      <c r="D364" s="97" t="str">
        <f ca="1">IFERROR(IF(PréstamoNoPagado*PréstamoPagado,ValorPréstamo,""), "")</f>
        <v/>
      </c>
      <c r="E364" s="97" t="str">
        <f ca="1">IFERROR(IF(PréstamoNoPagado*PréstamoPagado,PagoMensual,""), "")</f>
        <v/>
      </c>
      <c r="F364" s="97" t="str">
        <f ca="1">IFERROR(IF(PréstamoNoPagado*PréstamoPagado,Capital,""), "")</f>
        <v/>
      </c>
      <c r="G364" s="97" t="str">
        <f ca="1">IFERROR(IF(PréstamoNoPagado*PréstamoPagado,AmortizaciónInterés,""), "")</f>
        <v/>
      </c>
      <c r="H364" s="97" t="str">
        <f ca="1">IFERROR(IF(PréstamoNoPagado*PréstamoPagado,SaldoFinal,""), "")</f>
        <v/>
      </c>
    </row>
    <row r="365" spans="2:8" ht="20.100000000000001" customHeight="1" x14ac:dyDescent="0.3">
      <c r="B365" s="105" t="str">
        <f ca="1">IFERROR(IF(PréstamoNoPagado*PréstamoPagado,NúmeroDePago,""), "")</f>
        <v/>
      </c>
      <c r="C365" s="96" t="str">
        <f ca="1">IFERROR(IF(PréstamoNoPagado*PréstamoPagado,FechaDePago,""), "")</f>
        <v/>
      </c>
      <c r="D365" s="97" t="str">
        <f ca="1">IFERROR(IF(PréstamoNoPagado*PréstamoPagado,ValorPréstamo,""), "")</f>
        <v/>
      </c>
      <c r="E365" s="97" t="str">
        <f ca="1">IFERROR(IF(PréstamoNoPagado*PréstamoPagado,PagoMensual,""), "")</f>
        <v/>
      </c>
      <c r="F365" s="97" t="str">
        <f ca="1">IFERROR(IF(PréstamoNoPagado*PréstamoPagado,Capital,""), "")</f>
        <v/>
      </c>
      <c r="G365" s="97" t="str">
        <f ca="1">IFERROR(IF(PréstamoNoPagado*PréstamoPagado,AmortizaciónInterés,""), "")</f>
        <v/>
      </c>
      <c r="H365" s="97" t="str">
        <f ca="1">IFERROR(IF(PréstamoNoPagado*PréstamoPagado,SaldoFinal,""), "")</f>
        <v/>
      </c>
    </row>
    <row r="366" spans="2:8" ht="20.100000000000001" customHeight="1" x14ac:dyDescent="0.3">
      <c r="B366" s="105" t="str">
        <f ca="1">IFERROR(IF(PréstamoNoPagado*PréstamoPagado,NúmeroDePago,""), "")</f>
        <v/>
      </c>
      <c r="C366" s="96" t="str">
        <f ca="1">IFERROR(IF(PréstamoNoPagado*PréstamoPagado,FechaDePago,""), "")</f>
        <v/>
      </c>
      <c r="D366" s="97" t="str">
        <f ca="1">IFERROR(IF(PréstamoNoPagado*PréstamoPagado,ValorPréstamo,""), "")</f>
        <v/>
      </c>
      <c r="E366" s="97" t="str">
        <f ca="1">IFERROR(IF(PréstamoNoPagado*PréstamoPagado,PagoMensual,""), "")</f>
        <v/>
      </c>
      <c r="F366" s="97" t="str">
        <f ca="1">IFERROR(IF(PréstamoNoPagado*PréstamoPagado,Capital,""), "")</f>
        <v/>
      </c>
      <c r="G366" s="97" t="str">
        <f ca="1">IFERROR(IF(PréstamoNoPagado*PréstamoPagado,AmortizaciónInterés,""), "")</f>
        <v/>
      </c>
      <c r="H366" s="97" t="str">
        <f ca="1">IFERROR(IF(PréstamoNoPagado*PréstamoPagado,SaldoFinal,""), "")</f>
        <v/>
      </c>
    </row>
    <row r="367" spans="2:8" ht="20.100000000000001" customHeight="1" x14ac:dyDescent="0.3">
      <c r="B367" s="105" t="str">
        <f ca="1">IFERROR(IF(PréstamoNoPagado*PréstamoPagado,NúmeroDePago,""), "")</f>
        <v/>
      </c>
      <c r="C367" s="96" t="str">
        <f ca="1">IFERROR(IF(PréstamoNoPagado*PréstamoPagado,FechaDePago,""), "")</f>
        <v/>
      </c>
      <c r="D367" s="97" t="str">
        <f ca="1">IFERROR(IF(PréstamoNoPagado*PréstamoPagado,ValorPréstamo,""), "")</f>
        <v/>
      </c>
      <c r="E367" s="97" t="str">
        <f ca="1">IFERROR(IF(PréstamoNoPagado*PréstamoPagado,PagoMensual,""), "")</f>
        <v/>
      </c>
      <c r="F367" s="97" t="str">
        <f ca="1">IFERROR(IF(PréstamoNoPagado*PréstamoPagado,Capital,""), "")</f>
        <v/>
      </c>
      <c r="G367" s="97" t="str">
        <f ca="1">IFERROR(IF(PréstamoNoPagado*PréstamoPagado,AmortizaciónInterés,""), "")</f>
        <v/>
      </c>
      <c r="H367" s="97" t="str">
        <f ca="1">IFERROR(IF(PréstamoNoPagado*PréstamoPagado,SaldoFinal,""), "")</f>
        <v/>
      </c>
    </row>
    <row r="368" spans="2:8" ht="20.100000000000001" customHeight="1" x14ac:dyDescent="0.3">
      <c r="B368" s="105" t="str">
        <f ca="1">IFERROR(IF(PréstamoNoPagado*PréstamoPagado,NúmeroDePago,""), "")</f>
        <v/>
      </c>
      <c r="C368" s="96" t="str">
        <f ca="1">IFERROR(IF(PréstamoNoPagado*PréstamoPagado,FechaDePago,""), "")</f>
        <v/>
      </c>
      <c r="D368" s="97" t="str">
        <f ca="1">IFERROR(IF(PréstamoNoPagado*PréstamoPagado,ValorPréstamo,""), "")</f>
        <v/>
      </c>
      <c r="E368" s="97" t="str">
        <f ca="1">IFERROR(IF(PréstamoNoPagado*PréstamoPagado,PagoMensual,""), "")</f>
        <v/>
      </c>
      <c r="F368" s="97" t="str">
        <f ca="1">IFERROR(IF(PréstamoNoPagado*PréstamoPagado,Capital,""), "")</f>
        <v/>
      </c>
      <c r="G368" s="97" t="str">
        <f ca="1">IFERROR(IF(PréstamoNoPagado*PréstamoPagado,AmortizaciónInterés,""), "")</f>
        <v/>
      </c>
      <c r="H368" s="97" t="str">
        <f ca="1">IFERROR(IF(PréstamoNoPagado*PréstamoPagado,SaldoFinal,""), "")</f>
        <v/>
      </c>
    </row>
    <row r="369" spans="2:8" ht="20.100000000000001" customHeight="1" x14ac:dyDescent="0.3">
      <c r="B369" s="105" t="str">
        <f ca="1">IFERROR(IF(PréstamoNoPagado*PréstamoPagado,NúmeroDePago,""), "")</f>
        <v/>
      </c>
      <c r="C369" s="96" t="str">
        <f ca="1">IFERROR(IF(PréstamoNoPagado*PréstamoPagado,FechaDePago,""), "")</f>
        <v/>
      </c>
      <c r="D369" s="97" t="str">
        <f ca="1">IFERROR(IF(PréstamoNoPagado*PréstamoPagado,ValorPréstamo,""), "")</f>
        <v/>
      </c>
      <c r="E369" s="97" t="str">
        <f ca="1">IFERROR(IF(PréstamoNoPagado*PréstamoPagado,PagoMensual,""), "")</f>
        <v/>
      </c>
      <c r="F369" s="97" t="str">
        <f ca="1">IFERROR(IF(PréstamoNoPagado*PréstamoPagado,Capital,""), "")</f>
        <v/>
      </c>
      <c r="G369" s="97" t="str">
        <f ca="1">IFERROR(IF(PréstamoNoPagado*PréstamoPagado,AmortizaciónInterés,""), "")</f>
        <v/>
      </c>
      <c r="H369" s="97" t="str">
        <f ca="1">IFERROR(IF(PréstamoNoPagado*PréstamoPagado,SaldoFinal,""),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20" priority="4" stopIfTrue="1">
      <formula>NOT(PréstamoNoPagado)</formula>
    </cfRule>
    <cfRule type="expression" dxfId="19" priority="5" stopIfTrue="1">
      <formula>IF(ROW(B10)=ÚltimaFila,TRUE,FALSE)</formula>
    </cfRule>
  </conditionalFormatting>
  <conditionalFormatting sqref="B10:H369">
    <cfRule type="expression" dxfId="18" priority="1">
      <formula>$B10=""</formula>
    </cfRule>
  </conditionalFormatting>
  <conditionalFormatting sqref="C10:G369">
    <cfRule type="expression" dxfId="17" priority="2" stopIfTrue="1">
      <formula>NOT(PréstamoNoPagado)</formula>
    </cfRule>
    <cfRule type="expression" dxfId="16" priority="3" stopIfTrue="1">
      <formula>IF(ROW(C10)=ÚltimaFila,TRUE,FALSE)</formula>
    </cfRule>
  </conditionalFormatting>
  <conditionalFormatting sqref="H10:H369">
    <cfRule type="expression" dxfId="15" priority="6" stopIfTrue="1">
      <formula>NOT(PréstamoNoPagado)</formula>
    </cfRule>
    <cfRule type="expression" dxfId="14" priority="7" stopIfTrue="1">
      <formula>IF(ROW(H10)=ÚltimaFila,TRUE,FALSE)</formula>
    </cfRule>
  </conditionalFormatting>
  <dataValidations count="29">
    <dataValidation allowBlank="1" showErrorMessage="1" prompt="Cree una programación para la amortización de un préstamo con esta hoja de cálculo Calculadora de préstamos. El importe total de los intereses y el número total de pagos se calculan automáticamente." sqref="A2" xr:uid="{E6E98CF9-D318-46EF-8530-45358AB5601C}"/>
    <dataValidation allowBlank="1" showInputMessage="1" showErrorMessage="1" prompt="El título de esta hoja de cálculo se encuentra en esta celda. Escriba los valores del préstamo en las celdas D4 a D7. El resumen del préstamo, en las celdas H4 a H7, y la tabla del préstamo se actualizan automáticamente." sqref="B1:H1" xr:uid="{91F6E6DD-989B-4BA9-82A4-8350FB920B66}"/>
    <dataValidation allowBlank="1" showInputMessage="1" showErrorMessage="1" prompt="Escriba los valores de préstamo en las celdas D4 a D7 para cada descripción en las siguientes celdas. El resumen del préstamo, en las celdas H4 a H7, y la tabla del préstamo se actualizan automáticamente." sqref="B3:D3" xr:uid="{50F2585D-7C53-4190-A7CD-0769364E4643}"/>
    <dataValidation allowBlank="1" showInputMessage="1" showErrorMessage="1" prompt="El saldo final se calcula automáticamente en la columna con este encabezado" sqref="H9" xr:uid="{A6DBF87E-E0E5-41AB-AEED-9AEEC031A25E}"/>
    <dataValidation allowBlank="1" showInputMessage="1" showErrorMessage="1" prompt="El importe del interés se calcula automáticamente en esta columna, debajo de este encabezado." sqref="G9" xr:uid="{A54689BC-0F24-4071-BF6A-9FC31CC5FA9C}"/>
    <dataValidation allowBlank="1" showInputMessage="1" showErrorMessage="1" prompt="El importe del principal se calcula automáticamente en esta columna, debajo de este encabezado." sqref="F9" xr:uid="{921F0046-DD28-4BD5-802B-426510B2D613}"/>
    <dataValidation allowBlank="1" showInputMessage="1" showErrorMessage="1" prompt="El importe del pago se calcula automáticamente en esta columna, debajo de este encabezado." sqref="E9" xr:uid="{CC82E9C6-EC4E-4C28-B268-C38240319ADD}"/>
    <dataValidation allowBlank="1" showInputMessage="1" showErrorMessage="1" prompt="El saldo inicial se calcula automáticamente en esta columna, debajo de este encabezado." sqref="D9" xr:uid="{F30DC258-330C-49A4-BDB2-3C0A62E24A1E}"/>
    <dataValidation allowBlank="1" showInputMessage="1" showErrorMessage="1" prompt="La fecha de los pagos se actualiza automáticamente en esta columna, debajo de este encabezado." sqref="C9" xr:uid="{8581AE0D-B0CC-48B0-A430-F61A151497A2}"/>
    <dataValidation allowBlank="1" showInputMessage="1" showErrorMessage="1" prompt="El número de los pagos se actualiza automáticamente en esta columna, debajo de este encabezado." sqref="B9" xr:uid="{2B92EF6D-28BE-406A-962B-AC0297A65B7D}"/>
    <dataValidation allowBlank="1" showInputMessage="1" showErrorMessage="1" prompt="El número de pagos se calcula automáticamente en esta celda." sqref="H5" xr:uid="{8079AD6B-7D2B-4208-8A1D-718C1A2BA9DE}"/>
    <dataValidation allowBlank="1" showInputMessage="1" showErrorMessage="1" prompt="El importe total de los intereses se calcula automáticamente en esta celda." sqref="H6" xr:uid="{77325CBE-3AD5-4EEC-BF45-DA81B9C34988}"/>
    <dataValidation allowBlank="1" showInputMessage="1" showErrorMessage="1" prompt="El coste total del préstamo se calcula automáticamente en esta celda." sqref="H7" xr:uid="{57F21856-A8DD-45AD-B8FB-23B00EFE78E1}"/>
    <dataValidation allowBlank="1" showInputMessage="1" showErrorMessage="1" prompt="El coste total del préstamo se calcula automáticamente en la celda de la derecha." sqref="F7:G7" xr:uid="{3C272C8E-DD69-45B8-8BC9-56148C78B589}"/>
    <dataValidation allowBlank="1" showInputMessage="1" showErrorMessage="1" prompt="El importe total de los intereses se calcula automáticamente en la celda de la derecha." sqref="F6:G6" xr:uid="{08FC27C1-D581-4535-BD0F-CA2277E078C2}"/>
    <dataValidation allowBlank="1" showInputMessage="1" showErrorMessage="1" prompt="El número de pagos se calcula automáticamente en la celda de la derecha." sqref="F5:G5" xr:uid="{0F1639B9-D378-4008-A487-2890788D97D1}"/>
    <dataValidation allowBlank="1" showInputMessage="1" showErrorMessage="1" prompt="El pago mensual se calcula automáticamente en la celda de la derecha." sqref="F4:G4" xr:uid="{B553F9C8-315C-4787-A2C6-840EF417BFF4}"/>
    <dataValidation allowBlank="1" showInputMessage="1" showErrorMessage="1" prompt="El pago mensual se calcula automáticamente en esta celda." sqref="H4" xr:uid="{2FFA6DB5-D627-4596-B032-9A9FD65476BF}"/>
    <dataValidation allowBlank="1" showInputMessage="1" showErrorMessage="1" prompt="Escriba la fecha de inicio del préstamo en la celda de la derecha." sqref="B7:C7" xr:uid="{92EF3D2E-5997-4F94-A5A5-552F74044E4C}"/>
    <dataValidation allowBlank="1" showInputMessage="1" showErrorMessage="1" prompt="Escriba la fecha de inicio del préstamo en esta celda." sqref="D7" xr:uid="{3F69FF05-82F8-4B02-AB78-10BE8A22B85B}"/>
    <dataValidation allowBlank="1" showInputMessage="1" showErrorMessage="1" prompt="Escriba el periodo del préstamo en años en la celda de la derecha." sqref="B6:C6" xr:uid="{137C6CAE-A620-4E3A-9B54-12A4D00CF63F}"/>
    <dataValidation allowBlank="1" showInputMessage="1" showErrorMessage="1" prompt="Escriba el periodo del préstamo en años en esta celda." sqref="D6" xr:uid="{7A252F73-A294-4C0E-BE5D-FD1392684E17}"/>
    <dataValidation allowBlank="1" showInputMessage="1" showErrorMessage="1" prompt="Escriba la tasa de interés anual en la celda de la derecha." sqref="B5:C5" xr:uid="{5EC58EEC-62F0-4C38-B677-B6B725C1AD3B}"/>
    <dataValidation allowBlank="1" showInputMessage="1" showErrorMessage="1" prompt="Escriba la tasa de interés anual en esta celda." sqref="D5" xr:uid="{630B8CA1-4E46-4D59-B1F3-575D47FDF8AE}"/>
    <dataValidation allowBlank="1" showInputMessage="1" showErrorMessage="1" prompt="Escriba el importe del préstamo en la celda de la derecha." sqref="B4:C4" xr:uid="{E9C41429-3AE0-4FB1-B0FD-116D72D58258}"/>
    <dataValidation allowBlank="1" showInputMessage="1" showErrorMessage="1" prompt="Escriba el importe del préstamo en esta celda." sqref="D4" xr:uid="{99A05325-3B74-41D1-AE66-1EF65E77A3BC}"/>
    <dataValidation allowBlank="1" showInputMessage="1" showErrorMessage="1" prompt="El resumen del préstamo se actualiza automáticamente en las siguientes celdas" sqref="F3" xr:uid="{24C1F333-63A7-4BDF-A038-D1D946D193F3}"/>
    <dataValidation allowBlank="1" showErrorMessage="1" prompt="El título de esta hoja de cálculo se encuentra en esta celda. Escriba los valores del préstamo en las celdas D3 a D6. El resumen del préstamo, en las celdas H3 a H6, y la tabla del préstamo se actualizan automáticamente" sqref="B2" xr:uid="{7E1FD71E-AFE3-47A3-961C-2A8240A9F544}"/>
    <dataValidation allowBlank="1" showInputMessage="1" showErrorMessage="1" prompt="Cree una programación para la amortización de un préstamo con esta hoja de cálculo Calculadora de préstamos. El importe total de los intereses y el número total de pagos se calculan automáticamente." sqref="A1" xr:uid="{26C834DE-F4A1-4783-9C19-E49F7DEFCCBC}"/>
  </dataValidations>
  <printOptions horizontalCentered="1"/>
  <pageMargins left="0.4" right="0.4" top="0.4" bottom="0.4" header="0.3" footer="0.3"/>
  <pageSetup paperSize="9" scale="10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8875-02F9-4078-AEC0-F9BB96F5768E}">
  <sheetPr>
    <tabColor theme="4"/>
    <pageSetUpPr fitToPage="1"/>
  </sheetPr>
  <dimension ref="B1:EA369"/>
  <sheetViews>
    <sheetView showGridLines="0" zoomScaleNormal="100" workbookViewId="0">
      <pane ySplit="9" topLeftCell="A10" activePane="bottomLeft" state="frozenSplit"/>
      <selection pane="bottomLeft" activeCell="D4" sqref="D4"/>
    </sheetView>
  </sheetViews>
  <sheetFormatPr baseColWidth="10" defaultColWidth="10.77734375" defaultRowHeight="14.4" x14ac:dyDescent="0.25"/>
  <cols>
    <col min="1" max="1" width="3.44140625" style="88" customWidth="1"/>
    <col min="2" max="2" width="6.21875" style="106" bestFit="1" customWidth="1"/>
    <col min="3" max="3" width="12.77734375" style="98" bestFit="1" customWidth="1"/>
    <col min="4" max="4" width="16.5546875" style="98" bestFit="1" customWidth="1"/>
    <col min="5" max="7" width="11.44140625" style="98" bestFit="1" customWidth="1"/>
    <col min="8" max="8" width="16.5546875" style="98" bestFit="1" customWidth="1"/>
    <col min="9" max="9" width="3.44140625" style="88" customWidth="1"/>
    <col min="10" max="10" width="10.44140625" style="88" bestFit="1" customWidth="1"/>
    <col min="11" max="11" width="12.5546875" style="88" bestFit="1" customWidth="1"/>
    <col min="12" max="97" width="16.44140625" style="88" bestFit="1" customWidth="1"/>
    <col min="98" max="128" width="15.44140625" style="88" bestFit="1" customWidth="1"/>
    <col min="129" max="131" width="14.44140625" style="88" bestFit="1" customWidth="1"/>
    <col min="132" max="16384" width="10.77734375" style="88"/>
  </cols>
  <sheetData>
    <row r="1" spans="2:131" ht="60.75" customHeight="1" x14ac:dyDescent="0.3">
      <c r="B1" s="219" t="s">
        <v>709</v>
      </c>
      <c r="C1" s="219"/>
      <c r="D1" s="219"/>
      <c r="E1" s="219"/>
      <c r="F1" s="219"/>
      <c r="G1" s="219"/>
      <c r="H1" s="219"/>
    </row>
    <row r="2" spans="2:131" ht="9.75" customHeight="1" x14ac:dyDescent="0.3">
      <c r="B2" s="102"/>
      <c r="C2" s="89"/>
      <c r="D2" s="89"/>
      <c r="E2" s="89"/>
      <c r="F2" s="89"/>
      <c r="G2" s="89"/>
      <c r="H2" s="89"/>
      <c r="L2" s="103" t="str" cm="1">
        <f t="array" aca="1" ref="L2:EA2" ca="1">+TRANSPOSE(B10:B129)</f>
        <v/>
      </c>
      <c r="M2" s="103" t="str">
        <f ca="1"/>
        <v/>
      </c>
      <c r="N2" s="103" t="str">
        <f ca="1"/>
        <v/>
      </c>
      <c r="O2" s="103" t="str">
        <f ca="1"/>
        <v/>
      </c>
      <c r="P2" s="103" t="str">
        <f ca="1"/>
        <v/>
      </c>
      <c r="Q2" s="103" t="str">
        <f ca="1"/>
        <v/>
      </c>
      <c r="R2" s="103" t="str">
        <f ca="1"/>
        <v/>
      </c>
      <c r="S2" s="103" t="str">
        <f ca="1"/>
        <v/>
      </c>
      <c r="T2" s="103" t="str">
        <f ca="1"/>
        <v/>
      </c>
      <c r="U2" s="103" t="str">
        <f ca="1"/>
        <v/>
      </c>
      <c r="V2" s="103" t="str">
        <f ca="1"/>
        <v/>
      </c>
      <c r="W2" s="103" t="str">
        <f ca="1"/>
        <v/>
      </c>
      <c r="X2" s="103" t="str">
        <f ca="1"/>
        <v/>
      </c>
      <c r="Y2" s="103" t="str">
        <f ca="1"/>
        <v/>
      </c>
      <c r="Z2" s="103" t="str">
        <f ca="1"/>
        <v/>
      </c>
      <c r="AA2" s="103" t="str">
        <f ca="1"/>
        <v/>
      </c>
      <c r="AB2" s="103" t="str">
        <f ca="1"/>
        <v/>
      </c>
      <c r="AC2" s="103" t="str">
        <f ca="1"/>
        <v/>
      </c>
      <c r="AD2" s="103" t="str">
        <f ca="1"/>
        <v/>
      </c>
      <c r="AE2" s="103" t="str">
        <f ca="1"/>
        <v/>
      </c>
      <c r="AF2" s="103" t="str">
        <f ca="1"/>
        <v/>
      </c>
      <c r="AG2" s="103" t="str">
        <f ca="1"/>
        <v/>
      </c>
      <c r="AH2" s="103" t="str">
        <f ca="1"/>
        <v/>
      </c>
      <c r="AI2" s="103" t="str">
        <f ca="1"/>
        <v/>
      </c>
      <c r="AJ2" s="103" t="str">
        <f ca="1"/>
        <v/>
      </c>
      <c r="AK2" s="103" t="str">
        <f ca="1"/>
        <v/>
      </c>
      <c r="AL2" s="103" t="str">
        <f ca="1"/>
        <v/>
      </c>
      <c r="AM2" s="103" t="str">
        <f ca="1"/>
        <v/>
      </c>
      <c r="AN2" s="103" t="str">
        <f ca="1"/>
        <v/>
      </c>
      <c r="AO2" s="103" t="str">
        <f ca="1"/>
        <v/>
      </c>
      <c r="AP2" s="103" t="str">
        <f ca="1"/>
        <v/>
      </c>
      <c r="AQ2" s="103" t="str">
        <f ca="1"/>
        <v/>
      </c>
      <c r="AR2" s="103" t="str">
        <f ca="1"/>
        <v/>
      </c>
      <c r="AS2" s="103" t="str">
        <f ca="1"/>
        <v/>
      </c>
      <c r="AT2" s="103" t="str">
        <f ca="1"/>
        <v/>
      </c>
      <c r="AU2" s="103" t="str">
        <f ca="1"/>
        <v/>
      </c>
      <c r="AV2" s="103" t="str">
        <f ca="1"/>
        <v/>
      </c>
      <c r="AW2" s="103" t="str">
        <f ca="1"/>
        <v/>
      </c>
      <c r="AX2" s="103" t="str">
        <f ca="1"/>
        <v/>
      </c>
      <c r="AY2" s="103" t="str">
        <f ca="1"/>
        <v/>
      </c>
      <c r="AZ2" s="103" t="str">
        <f ca="1"/>
        <v/>
      </c>
      <c r="BA2" s="103" t="str">
        <f ca="1"/>
        <v/>
      </c>
      <c r="BB2" s="103" t="str">
        <f ca="1"/>
        <v/>
      </c>
      <c r="BC2" s="103" t="str">
        <f ca="1"/>
        <v/>
      </c>
      <c r="BD2" s="103" t="str">
        <f ca="1"/>
        <v/>
      </c>
      <c r="BE2" s="103" t="str">
        <f ca="1"/>
        <v/>
      </c>
      <c r="BF2" s="103" t="str">
        <f ca="1"/>
        <v/>
      </c>
      <c r="BG2" s="103" t="str">
        <f ca="1"/>
        <v/>
      </c>
      <c r="BH2" s="103" t="str">
        <f ca="1"/>
        <v/>
      </c>
      <c r="BI2" s="103" t="str">
        <f ca="1"/>
        <v/>
      </c>
      <c r="BJ2" s="103" t="str">
        <f ca="1"/>
        <v/>
      </c>
      <c r="BK2" s="103" t="str">
        <f ca="1"/>
        <v/>
      </c>
      <c r="BL2" s="103" t="str">
        <f ca="1"/>
        <v/>
      </c>
      <c r="BM2" s="103" t="str">
        <f ca="1"/>
        <v/>
      </c>
      <c r="BN2" s="103" t="str">
        <f ca="1"/>
        <v/>
      </c>
      <c r="BO2" s="103" t="str">
        <f ca="1"/>
        <v/>
      </c>
      <c r="BP2" s="103" t="str">
        <f ca="1"/>
        <v/>
      </c>
      <c r="BQ2" s="103" t="str">
        <f ca="1"/>
        <v/>
      </c>
      <c r="BR2" s="103" t="str">
        <f ca="1"/>
        <v/>
      </c>
      <c r="BS2" s="103" t="str">
        <f ca="1"/>
        <v/>
      </c>
      <c r="BT2" s="103" t="str">
        <f ca="1"/>
        <v/>
      </c>
      <c r="BU2" s="103" t="str">
        <f ca="1"/>
        <v/>
      </c>
      <c r="BV2" s="103" t="str">
        <f ca="1"/>
        <v/>
      </c>
      <c r="BW2" s="103" t="str">
        <f ca="1"/>
        <v/>
      </c>
      <c r="BX2" s="103" t="str">
        <f ca="1"/>
        <v/>
      </c>
      <c r="BY2" s="103" t="str">
        <f ca="1"/>
        <v/>
      </c>
      <c r="BZ2" s="103" t="str">
        <f ca="1"/>
        <v/>
      </c>
      <c r="CA2" s="103" t="str">
        <f ca="1"/>
        <v/>
      </c>
      <c r="CB2" s="103" t="str">
        <f ca="1"/>
        <v/>
      </c>
      <c r="CC2" s="103" t="str">
        <f ca="1"/>
        <v/>
      </c>
      <c r="CD2" s="103" t="str">
        <f ca="1"/>
        <v/>
      </c>
      <c r="CE2" s="103" t="str">
        <f ca="1"/>
        <v/>
      </c>
      <c r="CF2" s="103" t="str">
        <f ca="1"/>
        <v/>
      </c>
      <c r="CG2" s="103" t="str">
        <f ca="1"/>
        <v/>
      </c>
      <c r="CH2" s="103" t="str">
        <f ca="1"/>
        <v/>
      </c>
      <c r="CI2" s="103" t="str">
        <f ca="1"/>
        <v/>
      </c>
      <c r="CJ2" s="103" t="str">
        <f ca="1"/>
        <v/>
      </c>
      <c r="CK2" s="103" t="str">
        <f ca="1"/>
        <v/>
      </c>
      <c r="CL2" s="103" t="str">
        <f ca="1"/>
        <v/>
      </c>
      <c r="CM2" s="103" t="str">
        <f ca="1"/>
        <v/>
      </c>
      <c r="CN2" s="103" t="str">
        <f ca="1"/>
        <v/>
      </c>
      <c r="CO2" s="103" t="str">
        <f ca="1"/>
        <v/>
      </c>
      <c r="CP2" s="103" t="str">
        <f ca="1"/>
        <v/>
      </c>
      <c r="CQ2" s="103" t="str">
        <f ca="1"/>
        <v/>
      </c>
      <c r="CR2" s="103" t="str">
        <f ca="1"/>
        <v/>
      </c>
      <c r="CS2" s="103" t="str">
        <f ca="1"/>
        <v/>
      </c>
      <c r="CT2" s="103" t="str">
        <f ca="1"/>
        <v/>
      </c>
      <c r="CU2" s="103" t="str">
        <f ca="1"/>
        <v/>
      </c>
      <c r="CV2" s="103" t="str">
        <f ca="1"/>
        <v/>
      </c>
      <c r="CW2" s="103" t="str">
        <f ca="1"/>
        <v/>
      </c>
      <c r="CX2" s="103" t="str">
        <f ca="1"/>
        <v/>
      </c>
      <c r="CY2" s="103" t="str">
        <f ca="1"/>
        <v/>
      </c>
      <c r="CZ2" s="103" t="str">
        <f ca="1"/>
        <v/>
      </c>
      <c r="DA2" s="103" t="str">
        <f ca="1"/>
        <v/>
      </c>
      <c r="DB2" s="103" t="str">
        <f ca="1"/>
        <v/>
      </c>
      <c r="DC2" s="103" t="str">
        <f ca="1"/>
        <v/>
      </c>
      <c r="DD2" s="103" t="str">
        <f ca="1"/>
        <v/>
      </c>
      <c r="DE2" s="103" t="str">
        <f ca="1"/>
        <v/>
      </c>
      <c r="DF2" s="103" t="str">
        <f ca="1"/>
        <v/>
      </c>
      <c r="DG2" s="103" t="str">
        <f ca="1"/>
        <v/>
      </c>
      <c r="DH2" s="103" t="str">
        <f ca="1"/>
        <v/>
      </c>
      <c r="DI2" s="103" t="str">
        <f ca="1"/>
        <v/>
      </c>
      <c r="DJ2" s="103" t="str">
        <f ca="1"/>
        <v/>
      </c>
      <c r="DK2" s="103" t="str">
        <f ca="1"/>
        <v/>
      </c>
      <c r="DL2" s="103" t="str">
        <f ca="1"/>
        <v/>
      </c>
      <c r="DM2" s="103" t="str">
        <f ca="1"/>
        <v/>
      </c>
      <c r="DN2" s="103" t="str">
        <f ca="1"/>
        <v/>
      </c>
      <c r="DO2" s="103" t="str">
        <f ca="1"/>
        <v/>
      </c>
      <c r="DP2" s="103" t="str">
        <f ca="1"/>
        <v/>
      </c>
      <c r="DQ2" s="103" t="str">
        <f ca="1"/>
        <v/>
      </c>
      <c r="DR2" s="103" t="str">
        <f ca="1"/>
        <v/>
      </c>
      <c r="DS2" s="103" t="str">
        <f ca="1"/>
        <v/>
      </c>
      <c r="DT2" s="103" t="str">
        <f ca="1"/>
        <v/>
      </c>
      <c r="DU2" s="103" t="str">
        <f ca="1"/>
        <v/>
      </c>
      <c r="DV2" s="103" t="str">
        <f ca="1"/>
        <v/>
      </c>
      <c r="DW2" s="103" t="str">
        <f ca="1"/>
        <v/>
      </c>
      <c r="DX2" s="103" t="str">
        <f ca="1"/>
        <v/>
      </c>
      <c r="DY2" s="103" t="str">
        <f ca="1"/>
        <v/>
      </c>
      <c r="DZ2" s="103" t="str">
        <f ca="1"/>
        <v/>
      </c>
      <c r="EA2" s="103" t="str">
        <f ca="1"/>
        <v/>
      </c>
    </row>
    <row r="3" spans="2:131" ht="20.100000000000001" customHeight="1" thickBot="1" x14ac:dyDescent="0.35">
      <c r="B3" s="220" t="s">
        <v>710</v>
      </c>
      <c r="C3" s="220"/>
      <c r="D3" s="220"/>
      <c r="E3" s="88"/>
      <c r="F3" s="220" t="s">
        <v>711</v>
      </c>
      <c r="G3" s="220"/>
      <c r="H3" s="220"/>
      <c r="K3" s="88" t="s">
        <v>640</v>
      </c>
      <c r="L3" s="88" t="str" cm="1">
        <f t="array" aca="1" ref="L3:EA3" ca="1">+TRANSPOSE(F10:F129)</f>
        <v/>
      </c>
      <c r="M3" s="88" t="str">
        <f ca="1"/>
        <v/>
      </c>
      <c r="N3" s="88" t="str">
        <f ca="1"/>
        <v/>
      </c>
      <c r="O3" s="88" t="str">
        <f ca="1"/>
        <v/>
      </c>
      <c r="P3" s="88" t="str">
        <f ca="1"/>
        <v/>
      </c>
      <c r="Q3" s="88" t="str">
        <f ca="1"/>
        <v/>
      </c>
      <c r="R3" s="88" t="str">
        <f ca="1"/>
        <v/>
      </c>
      <c r="S3" s="88" t="str">
        <f ca="1"/>
        <v/>
      </c>
      <c r="T3" s="88" t="str">
        <f ca="1"/>
        <v/>
      </c>
      <c r="U3" s="88" t="str">
        <f ca="1"/>
        <v/>
      </c>
      <c r="V3" s="88" t="str">
        <f ca="1"/>
        <v/>
      </c>
      <c r="W3" s="88" t="str">
        <f ca="1"/>
        <v/>
      </c>
      <c r="X3" s="88" t="str">
        <f ca="1"/>
        <v/>
      </c>
      <c r="Y3" s="88" t="str">
        <f ca="1"/>
        <v/>
      </c>
      <c r="Z3" s="88" t="str">
        <f ca="1"/>
        <v/>
      </c>
      <c r="AA3" s="88" t="str">
        <f ca="1"/>
        <v/>
      </c>
      <c r="AB3" s="88" t="str">
        <f ca="1"/>
        <v/>
      </c>
      <c r="AC3" s="88" t="str">
        <f ca="1"/>
        <v/>
      </c>
      <c r="AD3" s="88" t="str">
        <f ca="1"/>
        <v/>
      </c>
      <c r="AE3" s="88" t="str">
        <f ca="1"/>
        <v/>
      </c>
      <c r="AF3" s="88" t="str">
        <f ca="1"/>
        <v/>
      </c>
      <c r="AG3" s="88" t="str">
        <f ca="1"/>
        <v/>
      </c>
      <c r="AH3" s="88" t="str">
        <f ca="1"/>
        <v/>
      </c>
      <c r="AI3" s="88" t="str">
        <f ca="1"/>
        <v/>
      </c>
      <c r="AJ3" s="88" t="str">
        <f ca="1"/>
        <v/>
      </c>
      <c r="AK3" s="88" t="str">
        <f ca="1"/>
        <v/>
      </c>
      <c r="AL3" s="88" t="str">
        <f ca="1"/>
        <v/>
      </c>
      <c r="AM3" s="88" t="str">
        <f ca="1"/>
        <v/>
      </c>
      <c r="AN3" s="88" t="str">
        <f ca="1"/>
        <v/>
      </c>
      <c r="AO3" s="88" t="str">
        <f ca="1"/>
        <v/>
      </c>
      <c r="AP3" s="88" t="str">
        <f ca="1"/>
        <v/>
      </c>
      <c r="AQ3" s="88" t="str">
        <f ca="1"/>
        <v/>
      </c>
      <c r="AR3" s="88" t="str">
        <f ca="1"/>
        <v/>
      </c>
      <c r="AS3" s="88" t="str">
        <f ca="1"/>
        <v/>
      </c>
      <c r="AT3" s="88" t="str">
        <f ca="1"/>
        <v/>
      </c>
      <c r="AU3" s="88" t="str">
        <f ca="1"/>
        <v/>
      </c>
      <c r="AV3" s="88" t="str">
        <f ca="1"/>
        <v/>
      </c>
      <c r="AW3" s="88" t="str">
        <f ca="1"/>
        <v/>
      </c>
      <c r="AX3" s="88" t="str">
        <f ca="1"/>
        <v/>
      </c>
      <c r="AY3" s="88" t="str">
        <f ca="1"/>
        <v/>
      </c>
      <c r="AZ3" s="88" t="str">
        <f ca="1"/>
        <v/>
      </c>
      <c r="BA3" s="88" t="str">
        <f ca="1"/>
        <v/>
      </c>
      <c r="BB3" s="88" t="str">
        <f ca="1"/>
        <v/>
      </c>
      <c r="BC3" s="88" t="str">
        <f ca="1"/>
        <v/>
      </c>
      <c r="BD3" s="88" t="str">
        <f ca="1"/>
        <v/>
      </c>
      <c r="BE3" s="88" t="str">
        <f ca="1"/>
        <v/>
      </c>
      <c r="BF3" s="88" t="str">
        <f ca="1"/>
        <v/>
      </c>
      <c r="BG3" s="88" t="str">
        <f ca="1"/>
        <v/>
      </c>
      <c r="BH3" s="88" t="str">
        <f ca="1"/>
        <v/>
      </c>
      <c r="BI3" s="88" t="str">
        <f ca="1"/>
        <v/>
      </c>
      <c r="BJ3" s="88" t="str">
        <f ca="1"/>
        <v/>
      </c>
      <c r="BK3" s="88" t="str">
        <f ca="1"/>
        <v/>
      </c>
      <c r="BL3" s="88" t="str">
        <f ca="1"/>
        <v/>
      </c>
      <c r="BM3" s="88" t="str">
        <f ca="1"/>
        <v/>
      </c>
      <c r="BN3" s="88" t="str">
        <f ca="1"/>
        <v/>
      </c>
      <c r="BO3" s="88" t="str">
        <f ca="1"/>
        <v/>
      </c>
      <c r="BP3" s="88" t="str">
        <f ca="1"/>
        <v/>
      </c>
      <c r="BQ3" s="88" t="str">
        <f ca="1"/>
        <v/>
      </c>
      <c r="BR3" s="88" t="str">
        <f ca="1"/>
        <v/>
      </c>
      <c r="BS3" s="88" t="str">
        <f ca="1"/>
        <v/>
      </c>
      <c r="BT3" s="88" t="str">
        <f ca="1"/>
        <v/>
      </c>
      <c r="BU3" s="88" t="str">
        <f ca="1"/>
        <v/>
      </c>
      <c r="BV3" s="88" t="str">
        <f ca="1"/>
        <v/>
      </c>
      <c r="BW3" s="88" t="str">
        <f ca="1"/>
        <v/>
      </c>
      <c r="BX3" s="88" t="str">
        <f ca="1"/>
        <v/>
      </c>
      <c r="BY3" s="88" t="str">
        <f ca="1"/>
        <v/>
      </c>
      <c r="BZ3" s="88" t="str">
        <f ca="1"/>
        <v/>
      </c>
      <c r="CA3" s="88" t="str">
        <f ca="1"/>
        <v/>
      </c>
      <c r="CB3" s="88" t="str">
        <f ca="1"/>
        <v/>
      </c>
      <c r="CC3" s="88" t="str">
        <f ca="1"/>
        <v/>
      </c>
      <c r="CD3" s="88" t="str">
        <f ca="1"/>
        <v/>
      </c>
      <c r="CE3" s="88" t="str">
        <f ca="1"/>
        <v/>
      </c>
      <c r="CF3" s="88" t="str">
        <f ca="1"/>
        <v/>
      </c>
      <c r="CG3" s="88" t="str">
        <f ca="1"/>
        <v/>
      </c>
      <c r="CH3" s="88" t="str">
        <f ca="1"/>
        <v/>
      </c>
      <c r="CI3" s="88" t="str">
        <f ca="1"/>
        <v/>
      </c>
      <c r="CJ3" s="88" t="str">
        <f ca="1"/>
        <v/>
      </c>
      <c r="CK3" s="88" t="str">
        <f ca="1"/>
        <v/>
      </c>
      <c r="CL3" s="88" t="str">
        <f ca="1"/>
        <v/>
      </c>
      <c r="CM3" s="88" t="str">
        <f ca="1"/>
        <v/>
      </c>
      <c r="CN3" s="88" t="str">
        <f ca="1"/>
        <v/>
      </c>
      <c r="CO3" s="88" t="str">
        <f ca="1"/>
        <v/>
      </c>
      <c r="CP3" s="88" t="str">
        <f ca="1"/>
        <v/>
      </c>
      <c r="CQ3" s="88" t="str">
        <f ca="1"/>
        <v/>
      </c>
      <c r="CR3" s="88" t="str">
        <f ca="1"/>
        <v/>
      </c>
      <c r="CS3" s="88" t="str">
        <f ca="1"/>
        <v/>
      </c>
      <c r="CT3" s="88" t="str">
        <f ca="1"/>
        <v/>
      </c>
      <c r="CU3" s="88" t="str">
        <f ca="1"/>
        <v/>
      </c>
      <c r="CV3" s="88" t="str">
        <f ca="1"/>
        <v/>
      </c>
      <c r="CW3" s="88" t="str">
        <f ca="1"/>
        <v/>
      </c>
      <c r="CX3" s="88" t="str">
        <f ca="1"/>
        <v/>
      </c>
      <c r="CY3" s="88" t="str">
        <f ca="1"/>
        <v/>
      </c>
      <c r="CZ3" s="88" t="str">
        <f ca="1"/>
        <v/>
      </c>
      <c r="DA3" s="88" t="str">
        <f ca="1"/>
        <v/>
      </c>
      <c r="DB3" s="88" t="str">
        <f ca="1"/>
        <v/>
      </c>
      <c r="DC3" s="88" t="str">
        <f ca="1"/>
        <v/>
      </c>
      <c r="DD3" s="88" t="str">
        <f ca="1"/>
        <v/>
      </c>
      <c r="DE3" s="88" t="str">
        <f ca="1"/>
        <v/>
      </c>
      <c r="DF3" s="88" t="str">
        <f ca="1"/>
        <v/>
      </c>
      <c r="DG3" s="88" t="str">
        <f ca="1"/>
        <v/>
      </c>
      <c r="DH3" s="88" t="str">
        <f ca="1"/>
        <v/>
      </c>
      <c r="DI3" s="88" t="str">
        <f ca="1"/>
        <v/>
      </c>
      <c r="DJ3" s="88" t="str">
        <f ca="1"/>
        <v/>
      </c>
      <c r="DK3" s="88" t="str">
        <f ca="1"/>
        <v/>
      </c>
      <c r="DL3" s="88" t="str">
        <f ca="1"/>
        <v/>
      </c>
      <c r="DM3" s="88" t="str">
        <f ca="1"/>
        <v/>
      </c>
      <c r="DN3" s="88" t="str">
        <f ca="1"/>
        <v/>
      </c>
      <c r="DO3" s="88" t="str">
        <f ca="1"/>
        <v/>
      </c>
      <c r="DP3" s="88" t="str">
        <f ca="1"/>
        <v/>
      </c>
      <c r="DQ3" s="88" t="str">
        <f ca="1"/>
        <v/>
      </c>
      <c r="DR3" s="88" t="str">
        <f ca="1"/>
        <v/>
      </c>
      <c r="DS3" s="88" t="str">
        <f ca="1"/>
        <v/>
      </c>
      <c r="DT3" s="88" t="str">
        <f ca="1"/>
        <v/>
      </c>
      <c r="DU3" s="88" t="str">
        <f ca="1"/>
        <v/>
      </c>
      <c r="DV3" s="88" t="str">
        <f ca="1"/>
        <v/>
      </c>
      <c r="DW3" s="88" t="str">
        <f ca="1"/>
        <v/>
      </c>
      <c r="DX3" s="88" t="str">
        <f ca="1"/>
        <v/>
      </c>
      <c r="DY3" s="88" t="str">
        <f ca="1"/>
        <v/>
      </c>
      <c r="DZ3" s="88" t="str">
        <f ca="1"/>
        <v/>
      </c>
      <c r="EA3" s="88" t="str">
        <f ca="1"/>
        <v/>
      </c>
    </row>
    <row r="4" spans="2:131" ht="20.100000000000001" customHeight="1" thickTop="1" x14ac:dyDescent="0.3">
      <c r="B4" s="221" t="s">
        <v>712</v>
      </c>
      <c r="C4" s="221"/>
      <c r="D4" s="90" t="e">
        <f>+#REF!</f>
        <v>#REF!</v>
      </c>
      <c r="E4" s="88"/>
      <c r="F4" s="221" t="s">
        <v>713</v>
      </c>
      <c r="G4" s="221"/>
      <c r="H4" s="91" t="str">
        <f ca="1">IFERROR(IF(PréstamoPagado,PagoMensual,""), "")</f>
        <v/>
      </c>
      <c r="K4" s="88" t="s">
        <v>642</v>
      </c>
      <c r="L4" s="88" t="str" cm="1">
        <f t="array" aca="1" ref="L4:EA4" ca="1">+TRANSPOSE(G10:G129)</f>
        <v/>
      </c>
      <c r="M4" s="88" t="str">
        <f ca="1"/>
        <v/>
      </c>
      <c r="N4" s="88" t="str">
        <f ca="1"/>
        <v/>
      </c>
      <c r="O4" s="88" t="str">
        <f ca="1"/>
        <v/>
      </c>
      <c r="P4" s="88" t="str">
        <f ca="1"/>
        <v/>
      </c>
      <c r="Q4" s="88" t="str">
        <f ca="1"/>
        <v/>
      </c>
      <c r="R4" s="88" t="str">
        <f ca="1"/>
        <v/>
      </c>
      <c r="S4" s="88" t="str">
        <f ca="1"/>
        <v/>
      </c>
      <c r="T4" s="88" t="str">
        <f ca="1"/>
        <v/>
      </c>
      <c r="U4" s="88" t="str">
        <f ca="1"/>
        <v/>
      </c>
      <c r="V4" s="88" t="str">
        <f ca="1"/>
        <v/>
      </c>
      <c r="W4" s="88" t="str">
        <f ca="1"/>
        <v/>
      </c>
      <c r="X4" s="88" t="str">
        <f ca="1"/>
        <v/>
      </c>
      <c r="Y4" s="88" t="str">
        <f ca="1"/>
        <v/>
      </c>
      <c r="Z4" s="88" t="str">
        <f ca="1"/>
        <v/>
      </c>
      <c r="AA4" s="88" t="str">
        <f ca="1"/>
        <v/>
      </c>
      <c r="AB4" s="88" t="str">
        <f ca="1"/>
        <v/>
      </c>
      <c r="AC4" s="88" t="str">
        <f ca="1"/>
        <v/>
      </c>
      <c r="AD4" s="88" t="str">
        <f ca="1"/>
        <v/>
      </c>
      <c r="AE4" s="88" t="str">
        <f ca="1"/>
        <v/>
      </c>
      <c r="AF4" s="88" t="str">
        <f ca="1"/>
        <v/>
      </c>
      <c r="AG4" s="88" t="str">
        <f ca="1"/>
        <v/>
      </c>
      <c r="AH4" s="88" t="str">
        <f ca="1"/>
        <v/>
      </c>
      <c r="AI4" s="88" t="str">
        <f ca="1"/>
        <v/>
      </c>
      <c r="AJ4" s="88" t="str">
        <f ca="1"/>
        <v/>
      </c>
      <c r="AK4" s="88" t="str">
        <f ca="1"/>
        <v/>
      </c>
      <c r="AL4" s="88" t="str">
        <f ca="1"/>
        <v/>
      </c>
      <c r="AM4" s="88" t="str">
        <f ca="1"/>
        <v/>
      </c>
      <c r="AN4" s="88" t="str">
        <f ca="1"/>
        <v/>
      </c>
      <c r="AO4" s="88" t="str">
        <f ca="1"/>
        <v/>
      </c>
      <c r="AP4" s="88" t="str">
        <f ca="1"/>
        <v/>
      </c>
      <c r="AQ4" s="88" t="str">
        <f ca="1"/>
        <v/>
      </c>
      <c r="AR4" s="88" t="str">
        <f ca="1"/>
        <v/>
      </c>
      <c r="AS4" s="88" t="str">
        <f ca="1"/>
        <v/>
      </c>
      <c r="AT4" s="88" t="str">
        <f ca="1"/>
        <v/>
      </c>
      <c r="AU4" s="88" t="str">
        <f ca="1"/>
        <v/>
      </c>
      <c r="AV4" s="88" t="str">
        <f ca="1"/>
        <v/>
      </c>
      <c r="AW4" s="88" t="str">
        <f ca="1"/>
        <v/>
      </c>
      <c r="AX4" s="88" t="str">
        <f ca="1"/>
        <v/>
      </c>
      <c r="AY4" s="88" t="str">
        <f ca="1"/>
        <v/>
      </c>
      <c r="AZ4" s="88" t="str">
        <f ca="1"/>
        <v/>
      </c>
      <c r="BA4" s="88" t="str">
        <f ca="1"/>
        <v/>
      </c>
      <c r="BB4" s="88" t="str">
        <f ca="1"/>
        <v/>
      </c>
      <c r="BC4" s="88" t="str">
        <f ca="1"/>
        <v/>
      </c>
      <c r="BD4" s="88" t="str">
        <f ca="1"/>
        <v/>
      </c>
      <c r="BE4" s="88" t="str">
        <f ca="1"/>
        <v/>
      </c>
      <c r="BF4" s="88" t="str">
        <f ca="1"/>
        <v/>
      </c>
      <c r="BG4" s="88" t="str">
        <f ca="1"/>
        <v/>
      </c>
      <c r="BH4" s="88" t="str">
        <f ca="1"/>
        <v/>
      </c>
      <c r="BI4" s="88" t="str">
        <f ca="1"/>
        <v/>
      </c>
      <c r="BJ4" s="88" t="str">
        <f ca="1"/>
        <v/>
      </c>
      <c r="BK4" s="88" t="str">
        <f ca="1"/>
        <v/>
      </c>
      <c r="BL4" s="88" t="str">
        <f ca="1"/>
        <v/>
      </c>
      <c r="BM4" s="88" t="str">
        <f ca="1"/>
        <v/>
      </c>
      <c r="BN4" s="88" t="str">
        <f ca="1"/>
        <v/>
      </c>
      <c r="BO4" s="88" t="str">
        <f ca="1"/>
        <v/>
      </c>
      <c r="BP4" s="88" t="str">
        <f ca="1"/>
        <v/>
      </c>
      <c r="BQ4" s="88" t="str">
        <f ca="1"/>
        <v/>
      </c>
      <c r="BR4" s="88" t="str">
        <f ca="1"/>
        <v/>
      </c>
      <c r="BS4" s="88" t="str">
        <f ca="1"/>
        <v/>
      </c>
      <c r="BT4" s="88" t="str">
        <f ca="1"/>
        <v/>
      </c>
      <c r="BU4" s="88" t="str">
        <f ca="1"/>
        <v/>
      </c>
      <c r="BV4" s="88" t="str">
        <f ca="1"/>
        <v/>
      </c>
      <c r="BW4" s="88" t="str">
        <f ca="1"/>
        <v/>
      </c>
      <c r="BX4" s="88" t="str">
        <f ca="1"/>
        <v/>
      </c>
      <c r="BY4" s="88" t="str">
        <f ca="1"/>
        <v/>
      </c>
      <c r="BZ4" s="88" t="str">
        <f ca="1"/>
        <v/>
      </c>
      <c r="CA4" s="88" t="str">
        <f ca="1"/>
        <v/>
      </c>
      <c r="CB4" s="88" t="str">
        <f ca="1"/>
        <v/>
      </c>
      <c r="CC4" s="88" t="str">
        <f ca="1"/>
        <v/>
      </c>
      <c r="CD4" s="88" t="str">
        <f ca="1"/>
        <v/>
      </c>
      <c r="CE4" s="88" t="str">
        <f ca="1"/>
        <v/>
      </c>
      <c r="CF4" s="88" t="str">
        <f ca="1"/>
        <v/>
      </c>
      <c r="CG4" s="88" t="str">
        <f ca="1"/>
        <v/>
      </c>
      <c r="CH4" s="88" t="str">
        <f ca="1"/>
        <v/>
      </c>
      <c r="CI4" s="88" t="str">
        <f ca="1"/>
        <v/>
      </c>
      <c r="CJ4" s="88" t="str">
        <f ca="1"/>
        <v/>
      </c>
      <c r="CK4" s="88" t="str">
        <f ca="1"/>
        <v/>
      </c>
      <c r="CL4" s="88" t="str">
        <f ca="1"/>
        <v/>
      </c>
      <c r="CM4" s="88" t="str">
        <f ca="1"/>
        <v/>
      </c>
      <c r="CN4" s="88" t="str">
        <f ca="1"/>
        <v/>
      </c>
      <c r="CO4" s="88" t="str">
        <f ca="1"/>
        <v/>
      </c>
      <c r="CP4" s="88" t="str">
        <f ca="1"/>
        <v/>
      </c>
      <c r="CQ4" s="88" t="str">
        <f ca="1"/>
        <v/>
      </c>
      <c r="CR4" s="88" t="str">
        <f ca="1"/>
        <v/>
      </c>
      <c r="CS4" s="88" t="str">
        <f ca="1"/>
        <v/>
      </c>
      <c r="CT4" s="88" t="str">
        <f ca="1"/>
        <v/>
      </c>
      <c r="CU4" s="88" t="str">
        <f ca="1"/>
        <v/>
      </c>
      <c r="CV4" s="88" t="str">
        <f ca="1"/>
        <v/>
      </c>
      <c r="CW4" s="88" t="str">
        <f ca="1"/>
        <v/>
      </c>
      <c r="CX4" s="88" t="str">
        <f ca="1"/>
        <v/>
      </c>
      <c r="CY4" s="88" t="str">
        <f ca="1"/>
        <v/>
      </c>
      <c r="CZ4" s="88" t="str">
        <f ca="1"/>
        <v/>
      </c>
      <c r="DA4" s="88" t="str">
        <f ca="1"/>
        <v/>
      </c>
      <c r="DB4" s="88" t="str">
        <f ca="1"/>
        <v/>
      </c>
      <c r="DC4" s="88" t="str">
        <f ca="1"/>
        <v/>
      </c>
      <c r="DD4" s="88" t="str">
        <f ca="1"/>
        <v/>
      </c>
      <c r="DE4" s="88" t="str">
        <f ca="1"/>
        <v/>
      </c>
      <c r="DF4" s="88" t="str">
        <f ca="1"/>
        <v/>
      </c>
      <c r="DG4" s="88" t="str">
        <f ca="1"/>
        <v/>
      </c>
      <c r="DH4" s="88" t="str">
        <f ca="1"/>
        <v/>
      </c>
      <c r="DI4" s="88" t="str">
        <f ca="1"/>
        <v/>
      </c>
      <c r="DJ4" s="88" t="str">
        <f ca="1"/>
        <v/>
      </c>
      <c r="DK4" s="88" t="str">
        <f ca="1"/>
        <v/>
      </c>
      <c r="DL4" s="88" t="str">
        <f ca="1"/>
        <v/>
      </c>
      <c r="DM4" s="88" t="str">
        <f ca="1"/>
        <v/>
      </c>
      <c r="DN4" s="88" t="str">
        <f ca="1"/>
        <v/>
      </c>
      <c r="DO4" s="88" t="str">
        <f ca="1"/>
        <v/>
      </c>
      <c r="DP4" s="88" t="str">
        <f ca="1"/>
        <v/>
      </c>
      <c r="DQ4" s="88" t="str">
        <f ca="1"/>
        <v/>
      </c>
      <c r="DR4" s="88" t="str">
        <f ca="1"/>
        <v/>
      </c>
      <c r="DS4" s="88" t="str">
        <f ca="1"/>
        <v/>
      </c>
      <c r="DT4" s="88" t="str">
        <f ca="1"/>
        <v/>
      </c>
      <c r="DU4" s="88" t="str">
        <f ca="1"/>
        <v/>
      </c>
      <c r="DV4" s="88" t="str">
        <f ca="1"/>
        <v/>
      </c>
      <c r="DW4" s="88" t="str">
        <f ca="1"/>
        <v/>
      </c>
      <c r="DX4" s="88" t="str">
        <f ca="1"/>
        <v/>
      </c>
      <c r="DY4" s="88" t="str">
        <f ca="1"/>
        <v/>
      </c>
      <c r="DZ4" s="88" t="str">
        <f ca="1"/>
        <v/>
      </c>
      <c r="EA4" s="88" t="str">
        <f ca="1"/>
        <v/>
      </c>
    </row>
    <row r="5" spans="2:131" ht="20.100000000000001" customHeight="1" x14ac:dyDescent="0.3">
      <c r="B5" s="218" t="s">
        <v>714</v>
      </c>
      <c r="C5" s="218"/>
      <c r="D5" s="99">
        <v>0.13</v>
      </c>
      <c r="E5" s="88"/>
      <c r="F5" s="218" t="s">
        <v>715</v>
      </c>
      <c r="G5" s="218"/>
      <c r="H5" s="92" t="str">
        <f ca="1">IFERROR(IF(PréstamoPagado,AñosPréstamo*12,""), "")</f>
        <v/>
      </c>
      <c r="K5" s="88" t="s">
        <v>716</v>
      </c>
      <c r="L5" s="88" t="str" cm="1">
        <f t="array" aca="1" ref="L5:EA5" ca="1">+TRANSPOSE(H10:H129)</f>
        <v/>
      </c>
      <c r="M5" s="88" t="str">
        <f ca="1"/>
        <v/>
      </c>
      <c r="N5" s="88" t="str">
        <f ca="1"/>
        <v/>
      </c>
      <c r="O5" s="88" t="str">
        <f ca="1"/>
        <v/>
      </c>
      <c r="P5" s="88" t="str">
        <f ca="1"/>
        <v/>
      </c>
      <c r="Q5" s="88" t="str">
        <f ca="1"/>
        <v/>
      </c>
      <c r="R5" s="88" t="str">
        <f ca="1"/>
        <v/>
      </c>
      <c r="S5" s="88" t="str">
        <f ca="1"/>
        <v/>
      </c>
      <c r="T5" s="88" t="str">
        <f ca="1"/>
        <v/>
      </c>
      <c r="U5" s="88" t="str">
        <f ca="1"/>
        <v/>
      </c>
      <c r="V5" s="88" t="str">
        <f ca="1"/>
        <v/>
      </c>
      <c r="W5" s="88" t="str">
        <f ca="1"/>
        <v/>
      </c>
      <c r="X5" s="88" t="str">
        <f ca="1"/>
        <v/>
      </c>
      <c r="Y5" s="88" t="str">
        <f ca="1"/>
        <v/>
      </c>
      <c r="Z5" s="88" t="str">
        <f ca="1"/>
        <v/>
      </c>
      <c r="AA5" s="88" t="str">
        <f ca="1"/>
        <v/>
      </c>
      <c r="AB5" s="88" t="str">
        <f ca="1"/>
        <v/>
      </c>
      <c r="AC5" s="88" t="str">
        <f ca="1"/>
        <v/>
      </c>
      <c r="AD5" s="88" t="str">
        <f ca="1"/>
        <v/>
      </c>
      <c r="AE5" s="88" t="str">
        <f ca="1"/>
        <v/>
      </c>
      <c r="AF5" s="88" t="str">
        <f ca="1"/>
        <v/>
      </c>
      <c r="AG5" s="88" t="str">
        <f ca="1"/>
        <v/>
      </c>
      <c r="AH5" s="88" t="str">
        <f ca="1"/>
        <v/>
      </c>
      <c r="AI5" s="88" t="str">
        <f ca="1"/>
        <v/>
      </c>
      <c r="AJ5" s="88" t="str">
        <f ca="1"/>
        <v/>
      </c>
      <c r="AK5" s="88" t="str">
        <f ca="1"/>
        <v/>
      </c>
      <c r="AL5" s="88" t="str">
        <f ca="1"/>
        <v/>
      </c>
      <c r="AM5" s="88" t="str">
        <f ca="1"/>
        <v/>
      </c>
      <c r="AN5" s="88" t="str">
        <f ca="1"/>
        <v/>
      </c>
      <c r="AO5" s="88" t="str">
        <f ca="1"/>
        <v/>
      </c>
      <c r="AP5" s="88" t="str">
        <f ca="1"/>
        <v/>
      </c>
      <c r="AQ5" s="88" t="str">
        <f ca="1"/>
        <v/>
      </c>
      <c r="AR5" s="88" t="str">
        <f ca="1"/>
        <v/>
      </c>
      <c r="AS5" s="88" t="str">
        <f ca="1"/>
        <v/>
      </c>
      <c r="AT5" s="88" t="str">
        <f ca="1"/>
        <v/>
      </c>
      <c r="AU5" s="88" t="str">
        <f ca="1"/>
        <v/>
      </c>
      <c r="AV5" s="88" t="str">
        <f ca="1"/>
        <v/>
      </c>
      <c r="AW5" s="88" t="str">
        <f ca="1"/>
        <v/>
      </c>
      <c r="AX5" s="88" t="str">
        <f ca="1"/>
        <v/>
      </c>
      <c r="AY5" s="88" t="str">
        <f ca="1"/>
        <v/>
      </c>
      <c r="AZ5" s="88" t="str">
        <f ca="1"/>
        <v/>
      </c>
      <c r="BA5" s="88" t="str">
        <f ca="1"/>
        <v/>
      </c>
      <c r="BB5" s="88" t="str">
        <f ca="1"/>
        <v/>
      </c>
      <c r="BC5" s="88" t="str">
        <f ca="1"/>
        <v/>
      </c>
      <c r="BD5" s="88" t="str">
        <f ca="1"/>
        <v/>
      </c>
      <c r="BE5" s="88" t="str">
        <f ca="1"/>
        <v/>
      </c>
      <c r="BF5" s="88" t="str">
        <f ca="1"/>
        <v/>
      </c>
      <c r="BG5" s="88" t="str">
        <f ca="1"/>
        <v/>
      </c>
      <c r="BH5" s="88" t="str">
        <f ca="1"/>
        <v/>
      </c>
      <c r="BI5" s="88" t="str">
        <f ca="1"/>
        <v/>
      </c>
      <c r="BJ5" s="88" t="str">
        <f ca="1"/>
        <v/>
      </c>
      <c r="BK5" s="88" t="str">
        <f ca="1"/>
        <v/>
      </c>
      <c r="BL5" s="88" t="str">
        <f ca="1"/>
        <v/>
      </c>
      <c r="BM5" s="88" t="str">
        <f ca="1"/>
        <v/>
      </c>
      <c r="BN5" s="88" t="str">
        <f ca="1"/>
        <v/>
      </c>
      <c r="BO5" s="88" t="str">
        <f ca="1"/>
        <v/>
      </c>
      <c r="BP5" s="88" t="str">
        <f ca="1"/>
        <v/>
      </c>
      <c r="BQ5" s="88" t="str">
        <f ca="1"/>
        <v/>
      </c>
      <c r="BR5" s="88" t="str">
        <f ca="1"/>
        <v/>
      </c>
      <c r="BS5" s="88" t="str">
        <f ca="1"/>
        <v/>
      </c>
      <c r="BT5" s="88" t="str">
        <f ca="1"/>
        <v/>
      </c>
      <c r="BU5" s="88" t="str">
        <f ca="1"/>
        <v/>
      </c>
      <c r="BV5" s="88" t="str">
        <f ca="1"/>
        <v/>
      </c>
      <c r="BW5" s="88" t="str">
        <f ca="1"/>
        <v/>
      </c>
      <c r="BX5" s="88" t="str">
        <f ca="1"/>
        <v/>
      </c>
      <c r="BY5" s="88" t="str">
        <f ca="1"/>
        <v/>
      </c>
      <c r="BZ5" s="88" t="str">
        <f ca="1"/>
        <v/>
      </c>
      <c r="CA5" s="88" t="str">
        <f ca="1"/>
        <v/>
      </c>
      <c r="CB5" s="88" t="str">
        <f ca="1"/>
        <v/>
      </c>
      <c r="CC5" s="88" t="str">
        <f ca="1"/>
        <v/>
      </c>
      <c r="CD5" s="88" t="str">
        <f ca="1"/>
        <v/>
      </c>
      <c r="CE5" s="88" t="str">
        <f ca="1"/>
        <v/>
      </c>
      <c r="CF5" s="88" t="str">
        <f ca="1"/>
        <v/>
      </c>
      <c r="CG5" s="88" t="str">
        <f ca="1"/>
        <v/>
      </c>
      <c r="CH5" s="88" t="str">
        <f ca="1"/>
        <v/>
      </c>
      <c r="CI5" s="88" t="str">
        <f ca="1"/>
        <v/>
      </c>
      <c r="CJ5" s="88" t="str">
        <f ca="1"/>
        <v/>
      </c>
      <c r="CK5" s="88" t="str">
        <f ca="1"/>
        <v/>
      </c>
      <c r="CL5" s="88" t="str">
        <f ca="1"/>
        <v/>
      </c>
      <c r="CM5" s="88" t="str">
        <f ca="1"/>
        <v/>
      </c>
      <c r="CN5" s="88" t="str">
        <f ca="1"/>
        <v/>
      </c>
      <c r="CO5" s="88" t="str">
        <f ca="1"/>
        <v/>
      </c>
      <c r="CP5" s="88" t="str">
        <f ca="1"/>
        <v/>
      </c>
      <c r="CQ5" s="88" t="str">
        <f ca="1"/>
        <v/>
      </c>
      <c r="CR5" s="88" t="str">
        <f ca="1"/>
        <v/>
      </c>
      <c r="CS5" s="88" t="str">
        <f ca="1"/>
        <v/>
      </c>
      <c r="CT5" s="88" t="str">
        <f ca="1"/>
        <v/>
      </c>
      <c r="CU5" s="88" t="str">
        <f ca="1"/>
        <v/>
      </c>
      <c r="CV5" s="88" t="str">
        <f ca="1"/>
        <v/>
      </c>
      <c r="CW5" s="88" t="str">
        <f ca="1"/>
        <v/>
      </c>
      <c r="CX5" s="88" t="str">
        <f ca="1"/>
        <v/>
      </c>
      <c r="CY5" s="88" t="str">
        <f ca="1"/>
        <v/>
      </c>
      <c r="CZ5" s="88" t="str">
        <f ca="1"/>
        <v/>
      </c>
      <c r="DA5" s="88" t="str">
        <f ca="1"/>
        <v/>
      </c>
      <c r="DB5" s="88" t="str">
        <f ca="1"/>
        <v/>
      </c>
      <c r="DC5" s="88" t="str">
        <f ca="1"/>
        <v/>
      </c>
      <c r="DD5" s="88" t="str">
        <f ca="1"/>
        <v/>
      </c>
      <c r="DE5" s="88" t="str">
        <f ca="1"/>
        <v/>
      </c>
      <c r="DF5" s="88" t="str">
        <f ca="1"/>
        <v/>
      </c>
      <c r="DG5" s="88" t="str">
        <f ca="1"/>
        <v/>
      </c>
      <c r="DH5" s="88" t="str">
        <f ca="1"/>
        <v/>
      </c>
      <c r="DI5" s="88" t="str">
        <f ca="1"/>
        <v/>
      </c>
      <c r="DJ5" s="88" t="str">
        <f ca="1"/>
        <v/>
      </c>
      <c r="DK5" s="88" t="str">
        <f ca="1"/>
        <v/>
      </c>
      <c r="DL5" s="88" t="str">
        <f ca="1"/>
        <v/>
      </c>
      <c r="DM5" s="88" t="str">
        <f ca="1"/>
        <v/>
      </c>
      <c r="DN5" s="88" t="str">
        <f ca="1"/>
        <v/>
      </c>
      <c r="DO5" s="88" t="str">
        <f ca="1"/>
        <v/>
      </c>
      <c r="DP5" s="88" t="str">
        <f ca="1"/>
        <v/>
      </c>
      <c r="DQ5" s="88" t="str">
        <f ca="1"/>
        <v/>
      </c>
      <c r="DR5" s="88" t="str">
        <f ca="1"/>
        <v/>
      </c>
      <c r="DS5" s="88" t="str">
        <f ca="1"/>
        <v/>
      </c>
      <c r="DT5" s="88" t="str">
        <f ca="1"/>
        <v/>
      </c>
      <c r="DU5" s="88" t="str">
        <f ca="1"/>
        <v/>
      </c>
      <c r="DV5" s="88" t="str">
        <f ca="1"/>
        <v/>
      </c>
      <c r="DW5" s="88" t="str">
        <f ca="1"/>
        <v/>
      </c>
      <c r="DX5" s="88" t="str">
        <f ca="1"/>
        <v/>
      </c>
      <c r="DY5" s="88" t="str">
        <f ca="1"/>
        <v/>
      </c>
      <c r="DZ5" s="88" t="str">
        <f ca="1"/>
        <v/>
      </c>
      <c r="EA5" s="88" t="str">
        <f ca="1"/>
        <v/>
      </c>
    </row>
    <row r="6" spans="2:131" ht="20.100000000000001" customHeight="1" x14ac:dyDescent="0.3">
      <c r="B6" s="218" t="s">
        <v>717</v>
      </c>
      <c r="C6" s="218"/>
      <c r="D6" s="100">
        <v>10</v>
      </c>
      <c r="E6" s="88"/>
      <c r="F6" s="218" t="s">
        <v>718</v>
      </c>
      <c r="G6" s="218"/>
      <c r="H6" s="93" t="str">
        <f ca="1">IFERROR(IF(PréstamoPagado,CosteTotalPréstamo-CantidadPréstamo,""), "")</f>
        <v/>
      </c>
      <c r="J6" s="88">
        <v>1159</v>
      </c>
      <c r="K6" s="88" t="s">
        <v>719</v>
      </c>
      <c r="L6" s="88" t="e">
        <f ca="1">+(L5/1000000)*$J$6</f>
        <v>#VALUE!</v>
      </c>
      <c r="M6" s="88" t="e">
        <f ca="1">+(M5/1000000)*$J$6</f>
        <v>#VALUE!</v>
      </c>
      <c r="N6" s="88" t="e">
        <f t="shared" ref="N6:BS6" ca="1" si="0">+(N5/1000000)*$J$6</f>
        <v>#VALUE!</v>
      </c>
      <c r="O6" s="88" t="e">
        <f t="shared" ca="1" si="0"/>
        <v>#VALUE!</v>
      </c>
      <c r="P6" s="88" t="e">
        <f t="shared" ca="1" si="0"/>
        <v>#VALUE!</v>
      </c>
      <c r="Q6" s="88" t="e">
        <f t="shared" ca="1" si="0"/>
        <v>#VALUE!</v>
      </c>
      <c r="R6" s="88" t="e">
        <f t="shared" ca="1" si="0"/>
        <v>#VALUE!</v>
      </c>
      <c r="S6" s="88" t="e">
        <f t="shared" ca="1" si="0"/>
        <v>#VALUE!</v>
      </c>
      <c r="T6" s="88" t="e">
        <f t="shared" ca="1" si="0"/>
        <v>#VALUE!</v>
      </c>
      <c r="U6" s="88" t="e">
        <f t="shared" ca="1" si="0"/>
        <v>#VALUE!</v>
      </c>
      <c r="V6" s="88" t="e">
        <f t="shared" ca="1" si="0"/>
        <v>#VALUE!</v>
      </c>
      <c r="W6" s="88" t="e">
        <f t="shared" ca="1" si="0"/>
        <v>#VALUE!</v>
      </c>
      <c r="X6" s="88" t="e">
        <f t="shared" ca="1" si="0"/>
        <v>#VALUE!</v>
      </c>
      <c r="Y6" s="88" t="e">
        <f t="shared" ca="1" si="0"/>
        <v>#VALUE!</v>
      </c>
      <c r="Z6" s="88" t="e">
        <f t="shared" ca="1" si="0"/>
        <v>#VALUE!</v>
      </c>
      <c r="AA6" s="88" t="e">
        <f t="shared" ca="1" si="0"/>
        <v>#VALUE!</v>
      </c>
      <c r="AB6" s="88" t="e">
        <f t="shared" ca="1" si="0"/>
        <v>#VALUE!</v>
      </c>
      <c r="AC6" s="88" t="e">
        <f t="shared" ca="1" si="0"/>
        <v>#VALUE!</v>
      </c>
      <c r="AD6" s="88" t="e">
        <f t="shared" ca="1" si="0"/>
        <v>#VALUE!</v>
      </c>
      <c r="AE6" s="88" t="e">
        <f t="shared" ca="1" si="0"/>
        <v>#VALUE!</v>
      </c>
      <c r="AF6" s="88" t="e">
        <f t="shared" ca="1" si="0"/>
        <v>#VALUE!</v>
      </c>
      <c r="AG6" s="88" t="e">
        <f t="shared" ca="1" si="0"/>
        <v>#VALUE!</v>
      </c>
      <c r="AH6" s="88" t="e">
        <f t="shared" ca="1" si="0"/>
        <v>#VALUE!</v>
      </c>
      <c r="AI6" s="88" t="e">
        <f t="shared" ca="1" si="0"/>
        <v>#VALUE!</v>
      </c>
      <c r="AJ6" s="88" t="e">
        <f t="shared" ca="1" si="0"/>
        <v>#VALUE!</v>
      </c>
      <c r="AK6" s="88" t="e">
        <f t="shared" ca="1" si="0"/>
        <v>#VALUE!</v>
      </c>
      <c r="AL6" s="88" t="e">
        <f t="shared" ca="1" si="0"/>
        <v>#VALUE!</v>
      </c>
      <c r="AM6" s="88" t="e">
        <f t="shared" ca="1" si="0"/>
        <v>#VALUE!</v>
      </c>
      <c r="AN6" s="88" t="e">
        <f t="shared" ca="1" si="0"/>
        <v>#VALUE!</v>
      </c>
      <c r="AO6" s="88" t="e">
        <f t="shared" ca="1" si="0"/>
        <v>#VALUE!</v>
      </c>
      <c r="AP6" s="88" t="e">
        <f t="shared" ca="1" si="0"/>
        <v>#VALUE!</v>
      </c>
      <c r="AQ6" s="88" t="e">
        <f t="shared" ca="1" si="0"/>
        <v>#VALUE!</v>
      </c>
      <c r="AR6" s="88" t="e">
        <f t="shared" ca="1" si="0"/>
        <v>#VALUE!</v>
      </c>
      <c r="AS6" s="88" t="e">
        <f t="shared" ca="1" si="0"/>
        <v>#VALUE!</v>
      </c>
      <c r="AT6" s="88" t="e">
        <f t="shared" ca="1" si="0"/>
        <v>#VALUE!</v>
      </c>
      <c r="AU6" s="88" t="e">
        <f t="shared" ca="1" si="0"/>
        <v>#VALUE!</v>
      </c>
      <c r="AV6" s="88" t="e">
        <f t="shared" ca="1" si="0"/>
        <v>#VALUE!</v>
      </c>
      <c r="AW6" s="88" t="e">
        <f t="shared" ca="1" si="0"/>
        <v>#VALUE!</v>
      </c>
      <c r="AX6" s="88" t="e">
        <f t="shared" ca="1" si="0"/>
        <v>#VALUE!</v>
      </c>
      <c r="AY6" s="88" t="e">
        <f t="shared" ca="1" si="0"/>
        <v>#VALUE!</v>
      </c>
      <c r="AZ6" s="88" t="e">
        <f t="shared" ca="1" si="0"/>
        <v>#VALUE!</v>
      </c>
      <c r="BA6" s="88" t="e">
        <f t="shared" ca="1" si="0"/>
        <v>#VALUE!</v>
      </c>
      <c r="BB6" s="88" t="e">
        <f t="shared" ca="1" si="0"/>
        <v>#VALUE!</v>
      </c>
      <c r="BC6" s="88" t="e">
        <f t="shared" ca="1" si="0"/>
        <v>#VALUE!</v>
      </c>
      <c r="BD6" s="88" t="e">
        <f t="shared" ca="1" si="0"/>
        <v>#VALUE!</v>
      </c>
      <c r="BE6" s="88" t="e">
        <f t="shared" ca="1" si="0"/>
        <v>#VALUE!</v>
      </c>
      <c r="BF6" s="88" t="e">
        <f t="shared" ca="1" si="0"/>
        <v>#VALUE!</v>
      </c>
      <c r="BG6" s="88" t="e">
        <f t="shared" ca="1" si="0"/>
        <v>#VALUE!</v>
      </c>
      <c r="BH6" s="88" t="e">
        <f t="shared" ca="1" si="0"/>
        <v>#VALUE!</v>
      </c>
      <c r="BI6" s="88" t="e">
        <f t="shared" ca="1" si="0"/>
        <v>#VALUE!</v>
      </c>
      <c r="BJ6" s="88" t="e">
        <f t="shared" ca="1" si="0"/>
        <v>#VALUE!</v>
      </c>
      <c r="BK6" s="88" t="e">
        <f t="shared" ca="1" si="0"/>
        <v>#VALUE!</v>
      </c>
      <c r="BL6" s="88" t="e">
        <f t="shared" ca="1" si="0"/>
        <v>#VALUE!</v>
      </c>
      <c r="BM6" s="88" t="e">
        <f t="shared" ca="1" si="0"/>
        <v>#VALUE!</v>
      </c>
      <c r="BN6" s="88" t="e">
        <f t="shared" ca="1" si="0"/>
        <v>#VALUE!</v>
      </c>
      <c r="BO6" s="88" t="e">
        <f t="shared" ca="1" si="0"/>
        <v>#VALUE!</v>
      </c>
      <c r="BP6" s="88" t="e">
        <f t="shared" ca="1" si="0"/>
        <v>#VALUE!</v>
      </c>
      <c r="BQ6" s="88" t="e">
        <f t="shared" ca="1" si="0"/>
        <v>#VALUE!</v>
      </c>
      <c r="BR6" s="88" t="e">
        <f t="shared" ca="1" si="0"/>
        <v>#VALUE!</v>
      </c>
      <c r="BS6" s="88" t="e">
        <f t="shared" ca="1" si="0"/>
        <v>#VALUE!</v>
      </c>
      <c r="BT6" s="88" t="e">
        <f t="shared" ref="BT6" ca="1" si="1">+(BT5/1000000)*$J$6</f>
        <v>#VALUE!</v>
      </c>
      <c r="BU6" s="88" t="e">
        <f t="shared" ref="BU6" ca="1" si="2">+(BU5/1000000)*$J$6</f>
        <v>#VALUE!</v>
      </c>
      <c r="BV6" s="88" t="e">
        <f ca="1">+(BV5/1000000)*$J$6</f>
        <v>#VALUE!</v>
      </c>
      <c r="BW6" s="88" t="e">
        <f ca="1">+(BW5/1000000)*$J$6</f>
        <v>#VALUE!</v>
      </c>
      <c r="BX6" s="88" t="e">
        <f t="shared" ref="BX6" ca="1" si="3">+(BX5/1000000)*$J$6</f>
        <v>#VALUE!</v>
      </c>
      <c r="BY6" s="88" t="e">
        <f t="shared" ref="BY6" ca="1" si="4">+(BY5/1000000)*$J$6</f>
        <v>#VALUE!</v>
      </c>
      <c r="BZ6" s="88" t="e">
        <f t="shared" ref="BZ6" ca="1" si="5">+(BZ5/1000000)*$J$6</f>
        <v>#VALUE!</v>
      </c>
      <c r="CA6" s="88" t="e">
        <f t="shared" ref="CA6" ca="1" si="6">+(CA5/1000000)*$J$6</f>
        <v>#VALUE!</v>
      </c>
      <c r="CB6" s="88" t="e">
        <f t="shared" ref="CB6" ca="1" si="7">+(CB5/1000000)*$J$6</f>
        <v>#VALUE!</v>
      </c>
      <c r="CC6" s="88" t="e">
        <f t="shared" ref="CC6" ca="1" si="8">+(CC5/1000000)*$J$6</f>
        <v>#VALUE!</v>
      </c>
      <c r="CD6" s="88" t="e">
        <f t="shared" ref="CD6" ca="1" si="9">+(CD5/1000000)*$J$6</f>
        <v>#VALUE!</v>
      </c>
      <c r="CE6" s="88" t="e">
        <f t="shared" ref="CE6" ca="1" si="10">+(CE5/1000000)*$J$6</f>
        <v>#VALUE!</v>
      </c>
      <c r="CF6" s="88" t="e">
        <f t="shared" ref="CF6" ca="1" si="11">+(CF5/1000000)*$J$6</f>
        <v>#VALUE!</v>
      </c>
      <c r="CG6" s="88" t="e">
        <f t="shared" ref="CG6" ca="1" si="12">+(CG5/1000000)*$J$6</f>
        <v>#VALUE!</v>
      </c>
      <c r="CH6" s="88" t="e">
        <f t="shared" ref="CH6" ca="1" si="13">+(CH5/1000000)*$J$6</f>
        <v>#VALUE!</v>
      </c>
      <c r="CI6" s="88" t="e">
        <f t="shared" ref="CI6" ca="1" si="14">+(CI5/1000000)*$J$6</f>
        <v>#VALUE!</v>
      </c>
      <c r="CJ6" s="88" t="e">
        <f t="shared" ref="CJ6" ca="1" si="15">+(CJ5/1000000)*$J$6</f>
        <v>#VALUE!</v>
      </c>
      <c r="CK6" s="88" t="e">
        <f t="shared" ref="CK6" ca="1" si="16">+(CK5/1000000)*$J$6</f>
        <v>#VALUE!</v>
      </c>
      <c r="CL6" s="88" t="e">
        <f t="shared" ref="CL6" ca="1" si="17">+(CL5/1000000)*$J$6</f>
        <v>#VALUE!</v>
      </c>
      <c r="CM6" s="88" t="e">
        <f t="shared" ref="CM6" ca="1" si="18">+(CM5/1000000)*$J$6</f>
        <v>#VALUE!</v>
      </c>
      <c r="CN6" s="88" t="e">
        <f t="shared" ref="CN6" ca="1" si="19">+(CN5/1000000)*$J$6</f>
        <v>#VALUE!</v>
      </c>
      <c r="CO6" s="88" t="e">
        <f t="shared" ref="CO6" ca="1" si="20">+(CO5/1000000)*$J$6</f>
        <v>#VALUE!</v>
      </c>
      <c r="CP6" s="88" t="e">
        <f t="shared" ref="CP6" ca="1" si="21">+(CP5/1000000)*$J$6</f>
        <v>#VALUE!</v>
      </c>
      <c r="CQ6" s="88" t="e">
        <f t="shared" ref="CQ6" ca="1" si="22">+(CQ5/1000000)*$J$6</f>
        <v>#VALUE!</v>
      </c>
      <c r="CR6" s="88" t="e">
        <f t="shared" ref="CR6" ca="1" si="23">+(CR5/1000000)*$J$6</f>
        <v>#VALUE!</v>
      </c>
      <c r="CS6" s="88" t="e">
        <f t="shared" ref="CS6" ca="1" si="24">+(CS5/1000000)*$J$6</f>
        <v>#VALUE!</v>
      </c>
      <c r="CT6" s="88" t="e">
        <f t="shared" ref="CT6" ca="1" si="25">+(CT5/1000000)*$J$6</f>
        <v>#VALUE!</v>
      </c>
      <c r="CU6" s="88" t="e">
        <f t="shared" ref="CU6" ca="1" si="26">+(CU5/1000000)*$J$6</f>
        <v>#VALUE!</v>
      </c>
      <c r="CV6" s="88" t="e">
        <f t="shared" ref="CV6" ca="1" si="27">+(CV5/1000000)*$J$6</f>
        <v>#VALUE!</v>
      </c>
      <c r="CW6" s="88" t="e">
        <f t="shared" ref="CW6" ca="1" si="28">+(CW5/1000000)*$J$6</f>
        <v>#VALUE!</v>
      </c>
      <c r="CX6" s="88" t="e">
        <f t="shared" ref="CX6" ca="1" si="29">+(CX5/1000000)*$J$6</f>
        <v>#VALUE!</v>
      </c>
      <c r="CY6" s="88" t="e">
        <f t="shared" ref="CY6" ca="1" si="30">+(CY5/1000000)*$J$6</f>
        <v>#VALUE!</v>
      </c>
      <c r="CZ6" s="88" t="e">
        <f t="shared" ref="CZ6" ca="1" si="31">+(CZ5/1000000)*$J$6</f>
        <v>#VALUE!</v>
      </c>
      <c r="DA6" s="88" t="e">
        <f t="shared" ref="DA6" ca="1" si="32">+(DA5/1000000)*$J$6</f>
        <v>#VALUE!</v>
      </c>
      <c r="DB6" s="88" t="e">
        <f t="shared" ref="DB6" ca="1" si="33">+(DB5/1000000)*$J$6</f>
        <v>#VALUE!</v>
      </c>
      <c r="DC6" s="88" t="e">
        <f t="shared" ref="DC6" ca="1" si="34">+(DC5/1000000)*$J$6</f>
        <v>#VALUE!</v>
      </c>
      <c r="DD6" s="88" t="e">
        <f t="shared" ref="DD6" ca="1" si="35">+(DD5/1000000)*$J$6</f>
        <v>#VALUE!</v>
      </c>
      <c r="DE6" s="88" t="e">
        <f t="shared" ref="DE6" ca="1" si="36">+(DE5/1000000)*$J$6</f>
        <v>#VALUE!</v>
      </c>
      <c r="DF6" s="88" t="e">
        <f t="shared" ref="DF6" ca="1" si="37">+(DF5/1000000)*$J$6</f>
        <v>#VALUE!</v>
      </c>
      <c r="DG6" s="88" t="e">
        <f t="shared" ref="DG6" ca="1" si="38">+(DG5/1000000)*$J$6</f>
        <v>#VALUE!</v>
      </c>
      <c r="DH6" s="88" t="e">
        <f t="shared" ref="DH6" ca="1" si="39">+(DH5/1000000)*$J$6</f>
        <v>#VALUE!</v>
      </c>
      <c r="DI6" s="88" t="e">
        <f t="shared" ref="DI6" ca="1" si="40">+(DI5/1000000)*$J$6</f>
        <v>#VALUE!</v>
      </c>
      <c r="DJ6" s="88" t="e">
        <f t="shared" ref="DJ6" ca="1" si="41">+(DJ5/1000000)*$J$6</f>
        <v>#VALUE!</v>
      </c>
      <c r="DK6" s="88" t="e">
        <f t="shared" ref="DK6" ca="1" si="42">+(DK5/1000000)*$J$6</f>
        <v>#VALUE!</v>
      </c>
      <c r="DL6" s="88" t="e">
        <f t="shared" ref="DL6" ca="1" si="43">+(DL5/1000000)*$J$6</f>
        <v>#VALUE!</v>
      </c>
      <c r="DM6" s="88" t="e">
        <f t="shared" ref="DM6" ca="1" si="44">+(DM5/1000000)*$J$6</f>
        <v>#VALUE!</v>
      </c>
      <c r="DN6" s="88" t="e">
        <f t="shared" ref="DN6" ca="1" si="45">+(DN5/1000000)*$J$6</f>
        <v>#VALUE!</v>
      </c>
      <c r="DO6" s="88" t="e">
        <f t="shared" ref="DO6" ca="1" si="46">+(DO5/1000000)*$J$6</f>
        <v>#VALUE!</v>
      </c>
      <c r="DP6" s="88" t="e">
        <f t="shared" ref="DP6" ca="1" si="47">+(DP5/1000000)*$J$6</f>
        <v>#VALUE!</v>
      </c>
      <c r="DQ6" s="88" t="e">
        <f t="shared" ref="DQ6" ca="1" si="48">+(DQ5/1000000)*$J$6</f>
        <v>#VALUE!</v>
      </c>
      <c r="DR6" s="88" t="e">
        <f t="shared" ref="DR6" ca="1" si="49">+(DR5/1000000)*$J$6</f>
        <v>#VALUE!</v>
      </c>
      <c r="DS6" s="88" t="e">
        <f t="shared" ref="DS6" ca="1" si="50">+(DS5/1000000)*$J$6</f>
        <v>#VALUE!</v>
      </c>
      <c r="DT6" s="88" t="e">
        <f t="shared" ref="DT6" ca="1" si="51">+(DT5/1000000)*$J$6</f>
        <v>#VALUE!</v>
      </c>
      <c r="DU6" s="88" t="e">
        <f t="shared" ref="DU6" ca="1" si="52">+(DU5/1000000)*$J$6</f>
        <v>#VALUE!</v>
      </c>
      <c r="DV6" s="88" t="e">
        <f t="shared" ref="DV6" ca="1" si="53">+(DV5/1000000)*$J$6</f>
        <v>#VALUE!</v>
      </c>
      <c r="DW6" s="88" t="e">
        <f t="shared" ref="DW6" ca="1" si="54">+(DW5/1000000)*$J$6</f>
        <v>#VALUE!</v>
      </c>
      <c r="DX6" s="88" t="e">
        <f t="shared" ref="DX6" ca="1" si="55">+(DX5/1000000)*$J$6</f>
        <v>#VALUE!</v>
      </c>
      <c r="DY6" s="88" t="e">
        <f t="shared" ref="DY6" ca="1" si="56">+(DY5/1000000)*$J$6</f>
        <v>#VALUE!</v>
      </c>
      <c r="DZ6" s="88" t="e">
        <f t="shared" ref="DZ6" ca="1" si="57">+(DZ5/1000000)*$J$6</f>
        <v>#VALUE!</v>
      </c>
      <c r="EA6" s="88" t="e">
        <f t="shared" ref="EA6" ca="1" si="58">+(EA5/1000000)*$J$6</f>
        <v>#VALUE!</v>
      </c>
    </row>
    <row r="7" spans="2:131" ht="20.100000000000001" customHeight="1" x14ac:dyDescent="0.3">
      <c r="B7" s="218" t="s">
        <v>720</v>
      </c>
      <c r="C7" s="218"/>
      <c r="D7" s="101">
        <f ca="1">TODAY()</f>
        <v>46301</v>
      </c>
      <c r="E7" s="88"/>
      <c r="F7" s="218" t="s">
        <v>721</v>
      </c>
      <c r="G7" s="218"/>
      <c r="H7" s="93" t="str">
        <f ca="1">IFERROR(IF(PréstamoPagado,PagoMensual*NúmeroDePagos,""), "")</f>
        <v/>
      </c>
      <c r="K7" s="88" t="s">
        <v>11</v>
      </c>
      <c r="L7" s="88" t="e">
        <f ca="1">+L3+L4+L6</f>
        <v>#VALUE!</v>
      </c>
      <c r="M7" s="88" t="e">
        <f t="shared" ref="M7:BX7" ca="1" si="59">+M3+M4+M6</f>
        <v>#VALUE!</v>
      </c>
      <c r="N7" s="88" t="e">
        <f t="shared" ca="1" si="59"/>
        <v>#VALUE!</v>
      </c>
      <c r="O7" s="88" t="e">
        <f t="shared" ca="1" si="59"/>
        <v>#VALUE!</v>
      </c>
      <c r="P7" s="88" t="e">
        <f t="shared" ca="1" si="59"/>
        <v>#VALUE!</v>
      </c>
      <c r="Q7" s="88" t="e">
        <f t="shared" ca="1" si="59"/>
        <v>#VALUE!</v>
      </c>
      <c r="R7" s="88" t="e">
        <f t="shared" ca="1" si="59"/>
        <v>#VALUE!</v>
      </c>
      <c r="S7" s="88" t="e">
        <f t="shared" ca="1" si="59"/>
        <v>#VALUE!</v>
      </c>
      <c r="T7" s="88" t="e">
        <f t="shared" ca="1" si="59"/>
        <v>#VALUE!</v>
      </c>
      <c r="U7" s="88" t="e">
        <f t="shared" ca="1" si="59"/>
        <v>#VALUE!</v>
      </c>
      <c r="V7" s="88" t="e">
        <f t="shared" ca="1" si="59"/>
        <v>#VALUE!</v>
      </c>
      <c r="W7" s="88" t="e">
        <f t="shared" ca="1" si="59"/>
        <v>#VALUE!</v>
      </c>
      <c r="X7" s="88" t="e">
        <f t="shared" ca="1" si="59"/>
        <v>#VALUE!</v>
      </c>
      <c r="Y7" s="88" t="e">
        <f t="shared" ca="1" si="59"/>
        <v>#VALUE!</v>
      </c>
      <c r="Z7" s="88" t="e">
        <f t="shared" ca="1" si="59"/>
        <v>#VALUE!</v>
      </c>
      <c r="AA7" s="88" t="e">
        <f t="shared" ca="1" si="59"/>
        <v>#VALUE!</v>
      </c>
      <c r="AB7" s="88" t="e">
        <f t="shared" ca="1" si="59"/>
        <v>#VALUE!</v>
      </c>
      <c r="AC7" s="88" t="e">
        <f t="shared" ca="1" si="59"/>
        <v>#VALUE!</v>
      </c>
      <c r="AD7" s="88" t="e">
        <f t="shared" ca="1" si="59"/>
        <v>#VALUE!</v>
      </c>
      <c r="AE7" s="88" t="e">
        <f t="shared" ca="1" si="59"/>
        <v>#VALUE!</v>
      </c>
      <c r="AF7" s="88" t="e">
        <f t="shared" ca="1" si="59"/>
        <v>#VALUE!</v>
      </c>
      <c r="AG7" s="88" t="e">
        <f t="shared" ca="1" si="59"/>
        <v>#VALUE!</v>
      </c>
      <c r="AH7" s="88" t="e">
        <f t="shared" ca="1" si="59"/>
        <v>#VALUE!</v>
      </c>
      <c r="AI7" s="88" t="e">
        <f t="shared" ca="1" si="59"/>
        <v>#VALUE!</v>
      </c>
      <c r="AJ7" s="88" t="e">
        <f t="shared" ca="1" si="59"/>
        <v>#VALUE!</v>
      </c>
      <c r="AK7" s="88" t="e">
        <f t="shared" ca="1" si="59"/>
        <v>#VALUE!</v>
      </c>
      <c r="AL7" s="88" t="e">
        <f t="shared" ca="1" si="59"/>
        <v>#VALUE!</v>
      </c>
      <c r="AM7" s="88" t="e">
        <f t="shared" ca="1" si="59"/>
        <v>#VALUE!</v>
      </c>
      <c r="AN7" s="88" t="e">
        <f t="shared" ca="1" si="59"/>
        <v>#VALUE!</v>
      </c>
      <c r="AO7" s="88" t="e">
        <f t="shared" ca="1" si="59"/>
        <v>#VALUE!</v>
      </c>
      <c r="AP7" s="88" t="e">
        <f t="shared" ca="1" si="59"/>
        <v>#VALUE!</v>
      </c>
      <c r="AQ7" s="88" t="e">
        <f t="shared" ca="1" si="59"/>
        <v>#VALUE!</v>
      </c>
      <c r="AR7" s="88" t="e">
        <f t="shared" ca="1" si="59"/>
        <v>#VALUE!</v>
      </c>
      <c r="AS7" s="88" t="e">
        <f t="shared" ca="1" si="59"/>
        <v>#VALUE!</v>
      </c>
      <c r="AT7" s="88" t="e">
        <f t="shared" ca="1" si="59"/>
        <v>#VALUE!</v>
      </c>
      <c r="AU7" s="88" t="e">
        <f t="shared" ca="1" si="59"/>
        <v>#VALUE!</v>
      </c>
      <c r="AV7" s="88" t="e">
        <f t="shared" ca="1" si="59"/>
        <v>#VALUE!</v>
      </c>
      <c r="AW7" s="88" t="e">
        <f t="shared" ca="1" si="59"/>
        <v>#VALUE!</v>
      </c>
      <c r="AX7" s="88" t="e">
        <f t="shared" ca="1" si="59"/>
        <v>#VALUE!</v>
      </c>
      <c r="AY7" s="88" t="e">
        <f t="shared" ca="1" si="59"/>
        <v>#VALUE!</v>
      </c>
      <c r="AZ7" s="88" t="e">
        <f t="shared" ca="1" si="59"/>
        <v>#VALUE!</v>
      </c>
      <c r="BA7" s="88" t="e">
        <f t="shared" ca="1" si="59"/>
        <v>#VALUE!</v>
      </c>
      <c r="BB7" s="88" t="e">
        <f t="shared" ca="1" si="59"/>
        <v>#VALUE!</v>
      </c>
      <c r="BC7" s="88" t="e">
        <f t="shared" ca="1" si="59"/>
        <v>#VALUE!</v>
      </c>
      <c r="BD7" s="88" t="e">
        <f t="shared" ca="1" si="59"/>
        <v>#VALUE!</v>
      </c>
      <c r="BE7" s="88" t="e">
        <f t="shared" ca="1" si="59"/>
        <v>#VALUE!</v>
      </c>
      <c r="BF7" s="88" t="e">
        <f t="shared" ca="1" si="59"/>
        <v>#VALUE!</v>
      </c>
      <c r="BG7" s="88" t="e">
        <f t="shared" ca="1" si="59"/>
        <v>#VALUE!</v>
      </c>
      <c r="BH7" s="88" t="e">
        <f t="shared" ca="1" si="59"/>
        <v>#VALUE!</v>
      </c>
      <c r="BI7" s="88" t="e">
        <f t="shared" ca="1" si="59"/>
        <v>#VALUE!</v>
      </c>
      <c r="BJ7" s="88" t="e">
        <f t="shared" ca="1" si="59"/>
        <v>#VALUE!</v>
      </c>
      <c r="BK7" s="88" t="e">
        <f t="shared" ca="1" si="59"/>
        <v>#VALUE!</v>
      </c>
      <c r="BL7" s="88" t="e">
        <f t="shared" ca="1" si="59"/>
        <v>#VALUE!</v>
      </c>
      <c r="BM7" s="88" t="e">
        <f t="shared" ca="1" si="59"/>
        <v>#VALUE!</v>
      </c>
      <c r="BN7" s="88" t="e">
        <f t="shared" ca="1" si="59"/>
        <v>#VALUE!</v>
      </c>
      <c r="BO7" s="88" t="e">
        <f t="shared" ca="1" si="59"/>
        <v>#VALUE!</v>
      </c>
      <c r="BP7" s="88" t="e">
        <f t="shared" ca="1" si="59"/>
        <v>#VALUE!</v>
      </c>
      <c r="BQ7" s="88" t="e">
        <f t="shared" ca="1" si="59"/>
        <v>#VALUE!</v>
      </c>
      <c r="BR7" s="88" t="e">
        <f t="shared" ca="1" si="59"/>
        <v>#VALUE!</v>
      </c>
      <c r="BS7" s="88" t="e">
        <f t="shared" ca="1" si="59"/>
        <v>#VALUE!</v>
      </c>
      <c r="BT7" s="88" t="e">
        <f t="shared" ca="1" si="59"/>
        <v>#VALUE!</v>
      </c>
      <c r="BU7" s="88" t="e">
        <f t="shared" ca="1" si="59"/>
        <v>#VALUE!</v>
      </c>
      <c r="BV7" s="88" t="e">
        <f t="shared" ca="1" si="59"/>
        <v>#VALUE!</v>
      </c>
      <c r="BW7" s="88" t="e">
        <f t="shared" ca="1" si="59"/>
        <v>#VALUE!</v>
      </c>
      <c r="BX7" s="88" t="e">
        <f t="shared" ca="1" si="59"/>
        <v>#VALUE!</v>
      </c>
      <c r="BY7" s="88" t="e">
        <f t="shared" ref="BY7:EA7" ca="1" si="60">+BY3+BY4+BY6</f>
        <v>#VALUE!</v>
      </c>
      <c r="BZ7" s="88" t="e">
        <f t="shared" ca="1" si="60"/>
        <v>#VALUE!</v>
      </c>
      <c r="CA7" s="88" t="e">
        <f t="shared" ca="1" si="60"/>
        <v>#VALUE!</v>
      </c>
      <c r="CB7" s="88" t="e">
        <f t="shared" ca="1" si="60"/>
        <v>#VALUE!</v>
      </c>
      <c r="CC7" s="88" t="e">
        <f t="shared" ca="1" si="60"/>
        <v>#VALUE!</v>
      </c>
      <c r="CD7" s="88" t="e">
        <f t="shared" ca="1" si="60"/>
        <v>#VALUE!</v>
      </c>
      <c r="CE7" s="88" t="e">
        <f t="shared" ca="1" si="60"/>
        <v>#VALUE!</v>
      </c>
      <c r="CF7" s="88" t="e">
        <f t="shared" ca="1" si="60"/>
        <v>#VALUE!</v>
      </c>
      <c r="CG7" s="88" t="e">
        <f t="shared" ca="1" si="60"/>
        <v>#VALUE!</v>
      </c>
      <c r="CH7" s="88" t="e">
        <f t="shared" ca="1" si="60"/>
        <v>#VALUE!</v>
      </c>
      <c r="CI7" s="88" t="e">
        <f t="shared" ca="1" si="60"/>
        <v>#VALUE!</v>
      </c>
      <c r="CJ7" s="88" t="e">
        <f t="shared" ca="1" si="60"/>
        <v>#VALUE!</v>
      </c>
      <c r="CK7" s="88" t="e">
        <f t="shared" ca="1" si="60"/>
        <v>#VALUE!</v>
      </c>
      <c r="CL7" s="88" t="e">
        <f t="shared" ca="1" si="60"/>
        <v>#VALUE!</v>
      </c>
      <c r="CM7" s="88" t="e">
        <f t="shared" ca="1" si="60"/>
        <v>#VALUE!</v>
      </c>
      <c r="CN7" s="88" t="e">
        <f t="shared" ca="1" si="60"/>
        <v>#VALUE!</v>
      </c>
      <c r="CO7" s="88" t="e">
        <f t="shared" ca="1" si="60"/>
        <v>#VALUE!</v>
      </c>
      <c r="CP7" s="88" t="e">
        <f t="shared" ca="1" si="60"/>
        <v>#VALUE!</v>
      </c>
      <c r="CQ7" s="88" t="e">
        <f t="shared" ca="1" si="60"/>
        <v>#VALUE!</v>
      </c>
      <c r="CR7" s="88" t="e">
        <f t="shared" ca="1" si="60"/>
        <v>#VALUE!</v>
      </c>
      <c r="CS7" s="88" t="e">
        <f t="shared" ca="1" si="60"/>
        <v>#VALUE!</v>
      </c>
      <c r="CT7" s="88" t="e">
        <f t="shared" ca="1" si="60"/>
        <v>#VALUE!</v>
      </c>
      <c r="CU7" s="88" t="e">
        <f t="shared" ca="1" si="60"/>
        <v>#VALUE!</v>
      </c>
      <c r="CV7" s="88" t="e">
        <f t="shared" ca="1" si="60"/>
        <v>#VALUE!</v>
      </c>
      <c r="CW7" s="88" t="e">
        <f t="shared" ca="1" si="60"/>
        <v>#VALUE!</v>
      </c>
      <c r="CX7" s="88" t="e">
        <f t="shared" ca="1" si="60"/>
        <v>#VALUE!</v>
      </c>
      <c r="CY7" s="88" t="e">
        <f t="shared" ca="1" si="60"/>
        <v>#VALUE!</v>
      </c>
      <c r="CZ7" s="88" t="e">
        <f t="shared" ca="1" si="60"/>
        <v>#VALUE!</v>
      </c>
      <c r="DA7" s="88" t="e">
        <f t="shared" ca="1" si="60"/>
        <v>#VALUE!</v>
      </c>
      <c r="DB7" s="88" t="e">
        <f t="shared" ca="1" si="60"/>
        <v>#VALUE!</v>
      </c>
      <c r="DC7" s="88" t="e">
        <f t="shared" ca="1" si="60"/>
        <v>#VALUE!</v>
      </c>
      <c r="DD7" s="88" t="e">
        <f t="shared" ca="1" si="60"/>
        <v>#VALUE!</v>
      </c>
      <c r="DE7" s="88" t="e">
        <f t="shared" ca="1" si="60"/>
        <v>#VALUE!</v>
      </c>
      <c r="DF7" s="88" t="e">
        <f t="shared" ca="1" si="60"/>
        <v>#VALUE!</v>
      </c>
      <c r="DG7" s="88" t="e">
        <f t="shared" ca="1" si="60"/>
        <v>#VALUE!</v>
      </c>
      <c r="DH7" s="88" t="e">
        <f t="shared" ca="1" si="60"/>
        <v>#VALUE!</v>
      </c>
      <c r="DI7" s="88" t="e">
        <f t="shared" ca="1" si="60"/>
        <v>#VALUE!</v>
      </c>
      <c r="DJ7" s="88" t="e">
        <f t="shared" ca="1" si="60"/>
        <v>#VALUE!</v>
      </c>
      <c r="DK7" s="88" t="e">
        <f t="shared" ca="1" si="60"/>
        <v>#VALUE!</v>
      </c>
      <c r="DL7" s="88" t="e">
        <f t="shared" ca="1" si="60"/>
        <v>#VALUE!</v>
      </c>
      <c r="DM7" s="88" t="e">
        <f t="shared" ca="1" si="60"/>
        <v>#VALUE!</v>
      </c>
      <c r="DN7" s="88" t="e">
        <f t="shared" ca="1" si="60"/>
        <v>#VALUE!</v>
      </c>
      <c r="DO7" s="88" t="e">
        <f t="shared" ca="1" si="60"/>
        <v>#VALUE!</v>
      </c>
      <c r="DP7" s="88" t="e">
        <f t="shared" ca="1" si="60"/>
        <v>#VALUE!</v>
      </c>
      <c r="DQ7" s="88" t="e">
        <f t="shared" ca="1" si="60"/>
        <v>#VALUE!</v>
      </c>
      <c r="DR7" s="88" t="e">
        <f t="shared" ca="1" si="60"/>
        <v>#VALUE!</v>
      </c>
      <c r="DS7" s="88" t="e">
        <f t="shared" ca="1" si="60"/>
        <v>#VALUE!</v>
      </c>
      <c r="DT7" s="88" t="e">
        <f t="shared" ca="1" si="60"/>
        <v>#VALUE!</v>
      </c>
      <c r="DU7" s="88" t="e">
        <f t="shared" ca="1" si="60"/>
        <v>#VALUE!</v>
      </c>
      <c r="DV7" s="88" t="e">
        <f t="shared" ca="1" si="60"/>
        <v>#VALUE!</v>
      </c>
      <c r="DW7" s="88" t="e">
        <f t="shared" ca="1" si="60"/>
        <v>#VALUE!</v>
      </c>
      <c r="DX7" s="88" t="e">
        <f t="shared" ca="1" si="60"/>
        <v>#VALUE!</v>
      </c>
      <c r="DY7" s="88" t="e">
        <f t="shared" ca="1" si="60"/>
        <v>#VALUE!</v>
      </c>
      <c r="DZ7" s="88" t="e">
        <f t="shared" ca="1" si="60"/>
        <v>#VALUE!</v>
      </c>
      <c r="EA7" s="88" t="e">
        <f t="shared" ca="1" si="60"/>
        <v>#VALUE!</v>
      </c>
    </row>
    <row r="8" spans="2:131" ht="15" customHeight="1" x14ac:dyDescent="0.3">
      <c r="B8" s="103"/>
      <c r="C8" s="88"/>
      <c r="D8" s="88"/>
      <c r="E8" s="88"/>
      <c r="F8" s="88"/>
      <c r="G8" s="88"/>
      <c r="H8" s="88"/>
    </row>
    <row r="9" spans="2:131" ht="29.25" customHeight="1" x14ac:dyDescent="0.3">
      <c r="B9" s="104" t="s">
        <v>722</v>
      </c>
      <c r="C9" s="94" t="s">
        <v>723</v>
      </c>
      <c r="D9" s="95" t="s">
        <v>724</v>
      </c>
      <c r="E9" s="95" t="s">
        <v>725</v>
      </c>
      <c r="F9" s="95" t="s">
        <v>640</v>
      </c>
      <c r="G9" s="95" t="s">
        <v>642</v>
      </c>
      <c r="H9" s="95" t="s">
        <v>726</v>
      </c>
    </row>
    <row r="10" spans="2:131" ht="20.100000000000001" customHeight="1" x14ac:dyDescent="0.3">
      <c r="B10" s="105" t="str">
        <f ca="1">IFERROR(IF(PréstamoNoPagado*PréstamoPagado,NúmeroDePago,""), "")</f>
        <v/>
      </c>
      <c r="C10" s="96" t="str">
        <f ca="1">IFERROR(IF(PréstamoNoPagado*PréstamoPagado,FechaDePago,""), "")</f>
        <v/>
      </c>
      <c r="D10" s="97" t="str">
        <f ca="1">IFERROR(IF(PréstamoNoPagado*PréstamoPagado,ValorPréstamo,""), "")</f>
        <v/>
      </c>
      <c r="E10" s="97" t="str">
        <f ca="1">IFERROR(IF(PréstamoNoPagado*PréstamoPagado,PagoMensual,""), "")</f>
        <v/>
      </c>
      <c r="F10" s="97" t="str">
        <f ca="1">IFERROR(IF(PréstamoNoPagado*PréstamoPagado,Capital,""), "")</f>
        <v/>
      </c>
      <c r="G10" s="97" t="str">
        <f ca="1">IFERROR(IF(PréstamoNoPagado*PréstamoPagado,AmortizaciónInterés,""), "")</f>
        <v/>
      </c>
      <c r="H10" s="97" t="str">
        <f ca="1">IFERROR(IF(PréstamoNoPagado*PréstamoPagado,SaldoFinal,""), "")</f>
        <v/>
      </c>
    </row>
    <row r="11" spans="2:131" ht="20.100000000000001" customHeight="1" x14ac:dyDescent="0.3">
      <c r="B11" s="105" t="str">
        <f ca="1">IFERROR(IF(PréstamoNoPagado*PréstamoPagado,NúmeroDePago,""), "")</f>
        <v/>
      </c>
      <c r="C11" s="96" t="str">
        <f ca="1">IFERROR(IF(PréstamoNoPagado*PréstamoPagado,FechaDePago,""), "")</f>
        <v/>
      </c>
      <c r="D11" s="97" t="str">
        <f ca="1">IFERROR(IF(PréstamoNoPagado*PréstamoPagado,ValorPréstamo,""), "")</f>
        <v/>
      </c>
      <c r="E11" s="97" t="str">
        <f ca="1">IFERROR(IF(PréstamoNoPagado*PréstamoPagado,PagoMensual,""), "")</f>
        <v/>
      </c>
      <c r="F11" s="97" t="str">
        <f ca="1">IFERROR(IF(PréstamoNoPagado*PréstamoPagado,Capital,""), "")</f>
        <v/>
      </c>
      <c r="G11" s="97" t="str">
        <f ca="1">IFERROR(IF(PréstamoNoPagado*PréstamoPagado,AmortizaciónInterés,""), "")</f>
        <v/>
      </c>
      <c r="H11" s="97" t="str">
        <f ca="1">IFERROR(IF(PréstamoNoPagado*PréstamoPagado,SaldoFinal,""), "")</f>
        <v/>
      </c>
    </row>
    <row r="12" spans="2:131" ht="20.100000000000001" customHeight="1" x14ac:dyDescent="0.3">
      <c r="B12" s="105" t="str">
        <f ca="1">IFERROR(IF(PréstamoNoPagado*PréstamoPagado,NúmeroDePago,""), "")</f>
        <v/>
      </c>
      <c r="C12" s="96" t="str">
        <f ca="1">IFERROR(IF(PréstamoNoPagado*PréstamoPagado,FechaDePago,""), "")</f>
        <v/>
      </c>
      <c r="D12" s="97" t="str">
        <f ca="1">IFERROR(IF(PréstamoNoPagado*PréstamoPagado,ValorPréstamo,""), "")</f>
        <v/>
      </c>
      <c r="E12" s="97" t="str">
        <f ca="1">IFERROR(IF(PréstamoNoPagado*PréstamoPagado,PagoMensual,""), "")</f>
        <v/>
      </c>
      <c r="F12" s="97" t="str">
        <f ca="1">IFERROR(IF(PréstamoNoPagado*PréstamoPagado,Capital,""), "")</f>
        <v/>
      </c>
      <c r="G12" s="97" t="str">
        <f ca="1">IFERROR(IF(PréstamoNoPagado*PréstamoPagado,AmortizaciónInterés,""), "")</f>
        <v/>
      </c>
      <c r="H12" s="97" t="str">
        <f ca="1">IFERROR(IF(PréstamoNoPagado*PréstamoPagado,SaldoFinal,""), "")</f>
        <v/>
      </c>
    </row>
    <row r="13" spans="2:131" ht="20.100000000000001" customHeight="1" x14ac:dyDescent="0.3">
      <c r="B13" s="105" t="str">
        <f ca="1">IFERROR(IF(PréstamoNoPagado*PréstamoPagado,NúmeroDePago,""), "")</f>
        <v/>
      </c>
      <c r="C13" s="96" t="str">
        <f ca="1">IFERROR(IF(PréstamoNoPagado*PréstamoPagado,FechaDePago,""), "")</f>
        <v/>
      </c>
      <c r="D13" s="97" t="str">
        <f ca="1">IFERROR(IF(PréstamoNoPagado*PréstamoPagado,ValorPréstamo,""), "")</f>
        <v/>
      </c>
      <c r="E13" s="97" t="str">
        <f ca="1">IFERROR(IF(PréstamoNoPagado*PréstamoPagado,PagoMensual,""), "")</f>
        <v/>
      </c>
      <c r="F13" s="97" t="str">
        <f ca="1">IFERROR(IF(PréstamoNoPagado*PréstamoPagado,Capital,""), "")</f>
        <v/>
      </c>
      <c r="G13" s="97" t="str">
        <f ca="1">IFERROR(IF(PréstamoNoPagado*PréstamoPagado,AmortizaciónInterés,""), "")</f>
        <v/>
      </c>
      <c r="H13" s="97" t="str">
        <f ca="1">IFERROR(IF(PréstamoNoPagado*PréstamoPagado,SaldoFinal,""), "")</f>
        <v/>
      </c>
    </row>
    <row r="14" spans="2:131" ht="20.100000000000001" customHeight="1" x14ac:dyDescent="0.3">
      <c r="B14" s="105" t="str">
        <f ca="1">IFERROR(IF(PréstamoNoPagado*PréstamoPagado,NúmeroDePago,""), "")</f>
        <v/>
      </c>
      <c r="C14" s="96" t="str">
        <f ca="1">IFERROR(IF(PréstamoNoPagado*PréstamoPagado,FechaDePago,""), "")</f>
        <v/>
      </c>
      <c r="D14" s="97" t="str">
        <f ca="1">IFERROR(IF(PréstamoNoPagado*PréstamoPagado,ValorPréstamo,""), "")</f>
        <v/>
      </c>
      <c r="E14" s="97" t="str">
        <f ca="1">IFERROR(IF(PréstamoNoPagado*PréstamoPagado,PagoMensual,""), "")</f>
        <v/>
      </c>
      <c r="F14" s="97" t="str">
        <f ca="1">IFERROR(IF(PréstamoNoPagado*PréstamoPagado,Capital,""), "")</f>
        <v/>
      </c>
      <c r="G14" s="97" t="str">
        <f ca="1">IFERROR(IF(PréstamoNoPagado*PréstamoPagado,AmortizaciónInterés,""), "")</f>
        <v/>
      </c>
      <c r="H14" s="97" t="str">
        <f ca="1">IFERROR(IF(PréstamoNoPagado*PréstamoPagado,SaldoFinal,""), "")</f>
        <v/>
      </c>
    </row>
    <row r="15" spans="2:131" ht="20.100000000000001" customHeight="1" x14ac:dyDescent="0.3">
      <c r="B15" s="105" t="str">
        <f ca="1">IFERROR(IF(PréstamoNoPagado*PréstamoPagado,NúmeroDePago,""), "")</f>
        <v/>
      </c>
      <c r="C15" s="96" t="str">
        <f ca="1">IFERROR(IF(PréstamoNoPagado*PréstamoPagado,FechaDePago,""), "")</f>
        <v/>
      </c>
      <c r="D15" s="97" t="str">
        <f ca="1">IFERROR(IF(PréstamoNoPagado*PréstamoPagado,ValorPréstamo,""), "")</f>
        <v/>
      </c>
      <c r="E15" s="97" t="str">
        <f ca="1">IFERROR(IF(PréstamoNoPagado*PréstamoPagado,PagoMensual,""), "")</f>
        <v/>
      </c>
      <c r="F15" s="97" t="str">
        <f ca="1">IFERROR(IF(PréstamoNoPagado*PréstamoPagado,Capital,""), "")</f>
        <v/>
      </c>
      <c r="G15" s="97" t="str">
        <f ca="1">IFERROR(IF(PréstamoNoPagado*PréstamoPagado,AmortizaciónInterés,""), "")</f>
        <v/>
      </c>
      <c r="H15" s="97" t="str">
        <f ca="1">IFERROR(IF(PréstamoNoPagado*PréstamoPagado,SaldoFinal,""), "")</f>
        <v/>
      </c>
    </row>
    <row r="16" spans="2:131" ht="20.100000000000001" customHeight="1" x14ac:dyDescent="0.3">
      <c r="B16" s="105" t="str">
        <f ca="1">IFERROR(IF(PréstamoNoPagado*PréstamoPagado,NúmeroDePago,""), "")</f>
        <v/>
      </c>
      <c r="C16" s="96" t="str">
        <f ca="1">IFERROR(IF(PréstamoNoPagado*PréstamoPagado,FechaDePago,""), "")</f>
        <v/>
      </c>
      <c r="D16" s="97" t="str">
        <f ca="1">IFERROR(IF(PréstamoNoPagado*PréstamoPagado,ValorPréstamo,""), "")</f>
        <v/>
      </c>
      <c r="E16" s="97" t="str">
        <f ca="1">IFERROR(IF(PréstamoNoPagado*PréstamoPagado,PagoMensual,""), "")</f>
        <v/>
      </c>
      <c r="F16" s="97" t="str">
        <f ca="1">IFERROR(IF(PréstamoNoPagado*PréstamoPagado,Capital,""), "")</f>
        <v/>
      </c>
      <c r="G16" s="97" t="str">
        <f ca="1">IFERROR(IF(PréstamoNoPagado*PréstamoPagado,AmortizaciónInterés,""), "")</f>
        <v/>
      </c>
      <c r="H16" s="97" t="str">
        <f ca="1">IFERROR(IF(PréstamoNoPagado*PréstamoPagado,SaldoFinal,""), "")</f>
        <v/>
      </c>
    </row>
    <row r="17" spans="2:8" ht="20.100000000000001" customHeight="1" x14ac:dyDescent="0.3">
      <c r="B17" s="105" t="str">
        <f ca="1">IFERROR(IF(PréstamoNoPagado*PréstamoPagado,NúmeroDePago,""), "")</f>
        <v/>
      </c>
      <c r="C17" s="96" t="str">
        <f ca="1">IFERROR(IF(PréstamoNoPagado*PréstamoPagado,FechaDePago,""), "")</f>
        <v/>
      </c>
      <c r="D17" s="97" t="str">
        <f ca="1">IFERROR(IF(PréstamoNoPagado*PréstamoPagado,ValorPréstamo,""), "")</f>
        <v/>
      </c>
      <c r="E17" s="97" t="str">
        <f ca="1">IFERROR(IF(PréstamoNoPagado*PréstamoPagado,PagoMensual,""), "")</f>
        <v/>
      </c>
      <c r="F17" s="97" t="str">
        <f ca="1">IFERROR(IF(PréstamoNoPagado*PréstamoPagado,Capital,""), "")</f>
        <v/>
      </c>
      <c r="G17" s="97" t="str">
        <f ca="1">IFERROR(IF(PréstamoNoPagado*PréstamoPagado,AmortizaciónInterés,""), "")</f>
        <v/>
      </c>
      <c r="H17" s="97" t="str">
        <f ca="1">IFERROR(IF(PréstamoNoPagado*PréstamoPagado,SaldoFinal,""), "")</f>
        <v/>
      </c>
    </row>
    <row r="18" spans="2:8" ht="20.100000000000001" customHeight="1" x14ac:dyDescent="0.3">
      <c r="B18" s="105" t="str">
        <f ca="1">IFERROR(IF(PréstamoNoPagado*PréstamoPagado,NúmeroDePago,""), "")</f>
        <v/>
      </c>
      <c r="C18" s="96" t="str">
        <f ca="1">IFERROR(IF(PréstamoNoPagado*PréstamoPagado,FechaDePago,""), "")</f>
        <v/>
      </c>
      <c r="D18" s="97" t="str">
        <f ca="1">IFERROR(IF(PréstamoNoPagado*PréstamoPagado,ValorPréstamo,""), "")</f>
        <v/>
      </c>
      <c r="E18" s="97" t="str">
        <f ca="1">IFERROR(IF(PréstamoNoPagado*PréstamoPagado,PagoMensual,""), "")</f>
        <v/>
      </c>
      <c r="F18" s="97" t="str">
        <f ca="1">IFERROR(IF(PréstamoNoPagado*PréstamoPagado,Capital,""), "")</f>
        <v/>
      </c>
      <c r="G18" s="97" t="str">
        <f ca="1">IFERROR(IF(PréstamoNoPagado*PréstamoPagado,AmortizaciónInterés,""), "")</f>
        <v/>
      </c>
      <c r="H18" s="97" t="str">
        <f ca="1">IFERROR(IF(PréstamoNoPagado*PréstamoPagado,SaldoFinal,""), "")</f>
        <v/>
      </c>
    </row>
    <row r="19" spans="2:8" ht="20.100000000000001" customHeight="1" x14ac:dyDescent="0.3">
      <c r="B19" s="105" t="str">
        <f ca="1">IFERROR(IF(PréstamoNoPagado*PréstamoPagado,NúmeroDePago,""), "")</f>
        <v/>
      </c>
      <c r="C19" s="96" t="str">
        <f ca="1">IFERROR(IF(PréstamoNoPagado*PréstamoPagado,FechaDePago,""), "")</f>
        <v/>
      </c>
      <c r="D19" s="97" t="str">
        <f ca="1">IFERROR(IF(PréstamoNoPagado*PréstamoPagado,ValorPréstamo,""), "")</f>
        <v/>
      </c>
      <c r="E19" s="97" t="str">
        <f ca="1">IFERROR(IF(PréstamoNoPagado*PréstamoPagado,PagoMensual,""), "")</f>
        <v/>
      </c>
      <c r="F19" s="97" t="str">
        <f ca="1">IFERROR(IF(PréstamoNoPagado*PréstamoPagado,Capital,""), "")</f>
        <v/>
      </c>
      <c r="G19" s="97" t="str">
        <f ca="1">IFERROR(IF(PréstamoNoPagado*PréstamoPagado,AmortizaciónInterés,""), "")</f>
        <v/>
      </c>
      <c r="H19" s="97" t="str">
        <f ca="1">IFERROR(IF(PréstamoNoPagado*PréstamoPagado,SaldoFinal,""), "")</f>
        <v/>
      </c>
    </row>
    <row r="20" spans="2:8" ht="20.100000000000001" customHeight="1" x14ac:dyDescent="0.3">
      <c r="B20" s="105" t="str">
        <f ca="1">IFERROR(IF(PréstamoNoPagado*PréstamoPagado,NúmeroDePago,""), "")</f>
        <v/>
      </c>
      <c r="C20" s="96" t="str">
        <f ca="1">IFERROR(IF(PréstamoNoPagado*PréstamoPagado,FechaDePago,""), "")</f>
        <v/>
      </c>
      <c r="D20" s="97" t="str">
        <f ca="1">IFERROR(IF(PréstamoNoPagado*PréstamoPagado,ValorPréstamo,""), "")</f>
        <v/>
      </c>
      <c r="E20" s="97" t="str">
        <f ca="1">IFERROR(IF(PréstamoNoPagado*PréstamoPagado,PagoMensual,""), "")</f>
        <v/>
      </c>
      <c r="F20" s="97" t="str">
        <f ca="1">IFERROR(IF(PréstamoNoPagado*PréstamoPagado,Capital,""), "")</f>
        <v/>
      </c>
      <c r="G20" s="97" t="str">
        <f ca="1">IFERROR(IF(PréstamoNoPagado*PréstamoPagado,AmortizaciónInterés,""), "")</f>
        <v/>
      </c>
      <c r="H20" s="97" t="str">
        <f ca="1">IFERROR(IF(PréstamoNoPagado*PréstamoPagado,SaldoFinal,""), "")</f>
        <v/>
      </c>
    </row>
    <row r="21" spans="2:8" ht="20.100000000000001" customHeight="1" x14ac:dyDescent="0.3">
      <c r="B21" s="105" t="str">
        <f ca="1">IFERROR(IF(PréstamoNoPagado*PréstamoPagado,NúmeroDePago,""), "")</f>
        <v/>
      </c>
      <c r="C21" s="96" t="str">
        <f ca="1">IFERROR(IF(PréstamoNoPagado*PréstamoPagado,FechaDePago,""), "")</f>
        <v/>
      </c>
      <c r="D21" s="97" t="str">
        <f ca="1">IFERROR(IF(PréstamoNoPagado*PréstamoPagado,ValorPréstamo,""), "")</f>
        <v/>
      </c>
      <c r="E21" s="97" t="str">
        <f ca="1">IFERROR(IF(PréstamoNoPagado*PréstamoPagado,PagoMensual,""), "")</f>
        <v/>
      </c>
      <c r="F21" s="97" t="str">
        <f ca="1">IFERROR(IF(PréstamoNoPagado*PréstamoPagado,Capital,""), "")</f>
        <v/>
      </c>
      <c r="G21" s="97" t="str">
        <f ca="1">IFERROR(IF(PréstamoNoPagado*PréstamoPagado,AmortizaciónInterés,""), "")</f>
        <v/>
      </c>
      <c r="H21" s="97" t="str">
        <f ca="1">IFERROR(IF(PréstamoNoPagado*PréstamoPagado,SaldoFinal,""), "")</f>
        <v/>
      </c>
    </row>
    <row r="22" spans="2:8" ht="20.100000000000001" customHeight="1" x14ac:dyDescent="0.3">
      <c r="B22" s="105" t="str">
        <f ca="1">IFERROR(IF(PréstamoNoPagado*PréstamoPagado,NúmeroDePago,""), "")</f>
        <v/>
      </c>
      <c r="C22" s="96" t="str">
        <f ca="1">IFERROR(IF(PréstamoNoPagado*PréstamoPagado,FechaDePago,""), "")</f>
        <v/>
      </c>
      <c r="D22" s="97" t="str">
        <f ca="1">IFERROR(IF(PréstamoNoPagado*PréstamoPagado,ValorPréstamo,""), "")</f>
        <v/>
      </c>
      <c r="E22" s="97" t="str">
        <f ca="1">IFERROR(IF(PréstamoNoPagado*PréstamoPagado,PagoMensual,""), "")</f>
        <v/>
      </c>
      <c r="F22" s="97" t="str">
        <f ca="1">IFERROR(IF(PréstamoNoPagado*PréstamoPagado,Capital,""), "")</f>
        <v/>
      </c>
      <c r="G22" s="97" t="str">
        <f ca="1">IFERROR(IF(PréstamoNoPagado*PréstamoPagado,AmortizaciónInterés,""), "")</f>
        <v/>
      </c>
      <c r="H22" s="97" t="str">
        <f ca="1">IFERROR(IF(PréstamoNoPagado*PréstamoPagado,SaldoFinal,""), "")</f>
        <v/>
      </c>
    </row>
    <row r="23" spans="2:8" ht="20.100000000000001" customHeight="1" x14ac:dyDescent="0.3">
      <c r="B23" s="105" t="str">
        <f ca="1">IFERROR(IF(PréstamoNoPagado*PréstamoPagado,NúmeroDePago,""), "")</f>
        <v/>
      </c>
      <c r="C23" s="96" t="str">
        <f ca="1">IFERROR(IF(PréstamoNoPagado*PréstamoPagado,FechaDePago,""), "")</f>
        <v/>
      </c>
      <c r="D23" s="97" t="str">
        <f ca="1">IFERROR(IF(PréstamoNoPagado*PréstamoPagado,ValorPréstamo,""), "")</f>
        <v/>
      </c>
      <c r="E23" s="97" t="str">
        <f ca="1">IFERROR(IF(PréstamoNoPagado*PréstamoPagado,PagoMensual,""), "")</f>
        <v/>
      </c>
      <c r="F23" s="97" t="str">
        <f ca="1">IFERROR(IF(PréstamoNoPagado*PréstamoPagado,Capital,""), "")</f>
        <v/>
      </c>
      <c r="G23" s="97" t="str">
        <f ca="1">IFERROR(IF(PréstamoNoPagado*PréstamoPagado,AmortizaciónInterés,""), "")</f>
        <v/>
      </c>
      <c r="H23" s="97" t="str">
        <f ca="1">IFERROR(IF(PréstamoNoPagado*PréstamoPagado,SaldoFinal,""), "")</f>
        <v/>
      </c>
    </row>
    <row r="24" spans="2:8" ht="20.100000000000001" customHeight="1" x14ac:dyDescent="0.3">
      <c r="B24" s="105" t="str">
        <f ca="1">IFERROR(IF(PréstamoNoPagado*PréstamoPagado,NúmeroDePago,""), "")</f>
        <v/>
      </c>
      <c r="C24" s="96" t="str">
        <f ca="1">IFERROR(IF(PréstamoNoPagado*PréstamoPagado,FechaDePago,""), "")</f>
        <v/>
      </c>
      <c r="D24" s="97" t="str">
        <f ca="1">IFERROR(IF(PréstamoNoPagado*PréstamoPagado,ValorPréstamo,""), "")</f>
        <v/>
      </c>
      <c r="E24" s="97" t="str">
        <f ca="1">IFERROR(IF(PréstamoNoPagado*PréstamoPagado,PagoMensual,""), "")</f>
        <v/>
      </c>
      <c r="F24" s="97" t="str">
        <f ca="1">IFERROR(IF(PréstamoNoPagado*PréstamoPagado,Capital,""), "")</f>
        <v/>
      </c>
      <c r="G24" s="97" t="str">
        <f ca="1">IFERROR(IF(PréstamoNoPagado*PréstamoPagado,AmortizaciónInterés,""), "")</f>
        <v/>
      </c>
      <c r="H24" s="97" t="str">
        <f ca="1">IFERROR(IF(PréstamoNoPagado*PréstamoPagado,SaldoFinal,""), "")</f>
        <v/>
      </c>
    </row>
    <row r="25" spans="2:8" ht="20.100000000000001" customHeight="1" x14ac:dyDescent="0.3">
      <c r="B25" s="105" t="str">
        <f ca="1">IFERROR(IF(PréstamoNoPagado*PréstamoPagado,NúmeroDePago,""), "")</f>
        <v/>
      </c>
      <c r="C25" s="96" t="str">
        <f ca="1">IFERROR(IF(PréstamoNoPagado*PréstamoPagado,FechaDePago,""), "")</f>
        <v/>
      </c>
      <c r="D25" s="97" t="str">
        <f ca="1">IFERROR(IF(PréstamoNoPagado*PréstamoPagado,ValorPréstamo,""), "")</f>
        <v/>
      </c>
      <c r="E25" s="97" t="str">
        <f ca="1">IFERROR(IF(PréstamoNoPagado*PréstamoPagado,PagoMensual,""), "")</f>
        <v/>
      </c>
      <c r="F25" s="97" t="str">
        <f ca="1">IFERROR(IF(PréstamoNoPagado*PréstamoPagado,Capital,""), "")</f>
        <v/>
      </c>
      <c r="G25" s="97" t="str">
        <f ca="1">IFERROR(IF(PréstamoNoPagado*PréstamoPagado,AmortizaciónInterés,""), "")</f>
        <v/>
      </c>
      <c r="H25" s="97" t="str">
        <f ca="1">IFERROR(IF(PréstamoNoPagado*PréstamoPagado,SaldoFinal,""), "")</f>
        <v/>
      </c>
    </row>
    <row r="26" spans="2:8" ht="20.100000000000001" customHeight="1" x14ac:dyDescent="0.3">
      <c r="B26" s="105" t="str">
        <f ca="1">IFERROR(IF(PréstamoNoPagado*PréstamoPagado,NúmeroDePago,""), "")</f>
        <v/>
      </c>
      <c r="C26" s="96" t="str">
        <f ca="1">IFERROR(IF(PréstamoNoPagado*PréstamoPagado,FechaDePago,""), "")</f>
        <v/>
      </c>
      <c r="D26" s="97" t="str">
        <f ca="1">IFERROR(IF(PréstamoNoPagado*PréstamoPagado,ValorPréstamo,""), "")</f>
        <v/>
      </c>
      <c r="E26" s="97" t="str">
        <f ca="1">IFERROR(IF(PréstamoNoPagado*PréstamoPagado,PagoMensual,""), "")</f>
        <v/>
      </c>
      <c r="F26" s="97" t="str">
        <f ca="1">IFERROR(IF(PréstamoNoPagado*PréstamoPagado,Capital,""), "")</f>
        <v/>
      </c>
      <c r="G26" s="97" t="str">
        <f ca="1">IFERROR(IF(PréstamoNoPagado*PréstamoPagado,AmortizaciónInterés,""), "")</f>
        <v/>
      </c>
      <c r="H26" s="97" t="str">
        <f ca="1">IFERROR(IF(PréstamoNoPagado*PréstamoPagado,SaldoFinal,""), "")</f>
        <v/>
      </c>
    </row>
    <row r="27" spans="2:8" ht="20.100000000000001" customHeight="1" x14ac:dyDescent="0.3">
      <c r="B27" s="105" t="str">
        <f ca="1">IFERROR(IF(PréstamoNoPagado*PréstamoPagado,NúmeroDePago,""), "")</f>
        <v/>
      </c>
      <c r="C27" s="96" t="str">
        <f ca="1">IFERROR(IF(PréstamoNoPagado*PréstamoPagado,FechaDePago,""), "")</f>
        <v/>
      </c>
      <c r="D27" s="97" t="str">
        <f ca="1">IFERROR(IF(PréstamoNoPagado*PréstamoPagado,ValorPréstamo,""), "")</f>
        <v/>
      </c>
      <c r="E27" s="97" t="str">
        <f ca="1">IFERROR(IF(PréstamoNoPagado*PréstamoPagado,PagoMensual,""), "")</f>
        <v/>
      </c>
      <c r="F27" s="97" t="str">
        <f ca="1">IFERROR(IF(PréstamoNoPagado*PréstamoPagado,Capital,""), "")</f>
        <v/>
      </c>
      <c r="G27" s="97" t="str">
        <f ca="1">IFERROR(IF(PréstamoNoPagado*PréstamoPagado,AmortizaciónInterés,""), "")</f>
        <v/>
      </c>
      <c r="H27" s="97" t="str">
        <f ca="1">IFERROR(IF(PréstamoNoPagado*PréstamoPagado,SaldoFinal,""), "")</f>
        <v/>
      </c>
    </row>
    <row r="28" spans="2:8" ht="20.100000000000001" customHeight="1" x14ac:dyDescent="0.3">
      <c r="B28" s="105" t="str">
        <f ca="1">IFERROR(IF(PréstamoNoPagado*PréstamoPagado,NúmeroDePago,""), "")</f>
        <v/>
      </c>
      <c r="C28" s="96" t="str">
        <f ca="1">IFERROR(IF(PréstamoNoPagado*PréstamoPagado,FechaDePago,""), "")</f>
        <v/>
      </c>
      <c r="D28" s="97" t="str">
        <f ca="1">IFERROR(IF(PréstamoNoPagado*PréstamoPagado,ValorPréstamo,""), "")</f>
        <v/>
      </c>
      <c r="E28" s="97" t="str">
        <f ca="1">IFERROR(IF(PréstamoNoPagado*PréstamoPagado,PagoMensual,""), "")</f>
        <v/>
      </c>
      <c r="F28" s="97" t="str">
        <f ca="1">IFERROR(IF(PréstamoNoPagado*PréstamoPagado,Capital,""), "")</f>
        <v/>
      </c>
      <c r="G28" s="97" t="str">
        <f ca="1">IFERROR(IF(PréstamoNoPagado*PréstamoPagado,AmortizaciónInterés,""), "")</f>
        <v/>
      </c>
      <c r="H28" s="97" t="str">
        <f ca="1">IFERROR(IF(PréstamoNoPagado*PréstamoPagado,SaldoFinal,""), "")</f>
        <v/>
      </c>
    </row>
    <row r="29" spans="2:8" ht="20.100000000000001" customHeight="1" x14ac:dyDescent="0.3">
      <c r="B29" s="105" t="str">
        <f ca="1">IFERROR(IF(PréstamoNoPagado*PréstamoPagado,NúmeroDePago,""), "")</f>
        <v/>
      </c>
      <c r="C29" s="96" t="str">
        <f ca="1">IFERROR(IF(PréstamoNoPagado*PréstamoPagado,FechaDePago,""), "")</f>
        <v/>
      </c>
      <c r="D29" s="97" t="str">
        <f ca="1">IFERROR(IF(PréstamoNoPagado*PréstamoPagado,ValorPréstamo,""), "")</f>
        <v/>
      </c>
      <c r="E29" s="97" t="str">
        <f ca="1">IFERROR(IF(PréstamoNoPagado*PréstamoPagado,PagoMensual,""), "")</f>
        <v/>
      </c>
      <c r="F29" s="97" t="str">
        <f ca="1">IFERROR(IF(PréstamoNoPagado*PréstamoPagado,Capital,""), "")</f>
        <v/>
      </c>
      <c r="G29" s="97" t="str">
        <f ca="1">IFERROR(IF(PréstamoNoPagado*PréstamoPagado,AmortizaciónInterés,""), "")</f>
        <v/>
      </c>
      <c r="H29" s="97" t="str">
        <f ca="1">IFERROR(IF(PréstamoNoPagado*PréstamoPagado,SaldoFinal,""), "")</f>
        <v/>
      </c>
    </row>
    <row r="30" spans="2:8" ht="20.100000000000001" customHeight="1" x14ac:dyDescent="0.3">
      <c r="B30" s="105" t="str">
        <f ca="1">IFERROR(IF(PréstamoNoPagado*PréstamoPagado,NúmeroDePago,""), "")</f>
        <v/>
      </c>
      <c r="C30" s="96" t="str">
        <f ca="1">IFERROR(IF(PréstamoNoPagado*PréstamoPagado,FechaDePago,""), "")</f>
        <v/>
      </c>
      <c r="D30" s="97" t="str">
        <f ca="1">IFERROR(IF(PréstamoNoPagado*PréstamoPagado,ValorPréstamo,""), "")</f>
        <v/>
      </c>
      <c r="E30" s="97" t="str">
        <f ca="1">IFERROR(IF(PréstamoNoPagado*PréstamoPagado,PagoMensual,""), "")</f>
        <v/>
      </c>
      <c r="F30" s="97" t="str">
        <f ca="1">IFERROR(IF(PréstamoNoPagado*PréstamoPagado,Capital,""), "")</f>
        <v/>
      </c>
      <c r="G30" s="97" t="str">
        <f ca="1">IFERROR(IF(PréstamoNoPagado*PréstamoPagado,AmortizaciónInterés,""), "")</f>
        <v/>
      </c>
      <c r="H30" s="97" t="str">
        <f ca="1">IFERROR(IF(PréstamoNoPagado*PréstamoPagado,SaldoFinal,""), "")</f>
        <v/>
      </c>
    </row>
    <row r="31" spans="2:8" ht="20.100000000000001" customHeight="1" x14ac:dyDescent="0.3">
      <c r="B31" s="105" t="str">
        <f ca="1">IFERROR(IF(PréstamoNoPagado*PréstamoPagado,NúmeroDePago,""), "")</f>
        <v/>
      </c>
      <c r="C31" s="96" t="str">
        <f ca="1">IFERROR(IF(PréstamoNoPagado*PréstamoPagado,FechaDePago,""), "")</f>
        <v/>
      </c>
      <c r="D31" s="97" t="str">
        <f ca="1">IFERROR(IF(PréstamoNoPagado*PréstamoPagado,ValorPréstamo,""), "")</f>
        <v/>
      </c>
      <c r="E31" s="97" t="str">
        <f ca="1">IFERROR(IF(PréstamoNoPagado*PréstamoPagado,PagoMensual,""), "")</f>
        <v/>
      </c>
      <c r="F31" s="97" t="str">
        <f ca="1">IFERROR(IF(PréstamoNoPagado*PréstamoPagado,Capital,""), "")</f>
        <v/>
      </c>
      <c r="G31" s="97" t="str">
        <f ca="1">IFERROR(IF(PréstamoNoPagado*PréstamoPagado,AmortizaciónInterés,""), "")</f>
        <v/>
      </c>
      <c r="H31" s="97" t="str">
        <f ca="1">IFERROR(IF(PréstamoNoPagado*PréstamoPagado,SaldoFinal,""), "")</f>
        <v/>
      </c>
    </row>
    <row r="32" spans="2:8" ht="20.100000000000001" customHeight="1" x14ac:dyDescent="0.3">
      <c r="B32" s="105" t="str">
        <f ca="1">IFERROR(IF(PréstamoNoPagado*PréstamoPagado,NúmeroDePago,""), "")</f>
        <v/>
      </c>
      <c r="C32" s="96" t="str">
        <f ca="1">IFERROR(IF(PréstamoNoPagado*PréstamoPagado,FechaDePago,""), "")</f>
        <v/>
      </c>
      <c r="D32" s="97" t="str">
        <f ca="1">IFERROR(IF(PréstamoNoPagado*PréstamoPagado,ValorPréstamo,""), "")</f>
        <v/>
      </c>
      <c r="E32" s="97" t="str">
        <f ca="1">IFERROR(IF(PréstamoNoPagado*PréstamoPagado,PagoMensual,""), "")</f>
        <v/>
      </c>
      <c r="F32" s="97" t="str">
        <f ca="1">IFERROR(IF(PréstamoNoPagado*PréstamoPagado,Capital,""), "")</f>
        <v/>
      </c>
      <c r="G32" s="97" t="str">
        <f ca="1">IFERROR(IF(PréstamoNoPagado*PréstamoPagado,AmortizaciónInterés,""), "")</f>
        <v/>
      </c>
      <c r="H32" s="97" t="str">
        <f ca="1">IFERROR(IF(PréstamoNoPagado*PréstamoPagado,SaldoFinal,""), "")</f>
        <v/>
      </c>
    </row>
    <row r="33" spans="2:8" ht="20.100000000000001" customHeight="1" x14ac:dyDescent="0.3">
      <c r="B33" s="105" t="str">
        <f ca="1">IFERROR(IF(PréstamoNoPagado*PréstamoPagado,NúmeroDePago,""), "")</f>
        <v/>
      </c>
      <c r="C33" s="96" t="str">
        <f ca="1">IFERROR(IF(PréstamoNoPagado*PréstamoPagado,FechaDePago,""), "")</f>
        <v/>
      </c>
      <c r="D33" s="97" t="str">
        <f ca="1">IFERROR(IF(PréstamoNoPagado*PréstamoPagado,ValorPréstamo,""), "")</f>
        <v/>
      </c>
      <c r="E33" s="97" t="str">
        <f ca="1">IFERROR(IF(PréstamoNoPagado*PréstamoPagado,PagoMensual,""), "")</f>
        <v/>
      </c>
      <c r="F33" s="97" t="str">
        <f ca="1">IFERROR(IF(PréstamoNoPagado*PréstamoPagado,Capital,""), "")</f>
        <v/>
      </c>
      <c r="G33" s="97" t="str">
        <f ca="1">IFERROR(IF(PréstamoNoPagado*PréstamoPagado,AmortizaciónInterés,""), "")</f>
        <v/>
      </c>
      <c r="H33" s="97" t="str">
        <f ca="1">IFERROR(IF(PréstamoNoPagado*PréstamoPagado,SaldoFinal,""), "")</f>
        <v/>
      </c>
    </row>
    <row r="34" spans="2:8" ht="20.100000000000001" customHeight="1" x14ac:dyDescent="0.3">
      <c r="B34" s="105" t="str">
        <f ca="1">IFERROR(IF(PréstamoNoPagado*PréstamoPagado,NúmeroDePago,""), "")</f>
        <v/>
      </c>
      <c r="C34" s="96" t="str">
        <f ca="1">IFERROR(IF(PréstamoNoPagado*PréstamoPagado,FechaDePago,""), "")</f>
        <v/>
      </c>
      <c r="D34" s="97" t="str">
        <f ca="1">IFERROR(IF(PréstamoNoPagado*PréstamoPagado,ValorPréstamo,""), "")</f>
        <v/>
      </c>
      <c r="E34" s="97" t="str">
        <f ca="1">IFERROR(IF(PréstamoNoPagado*PréstamoPagado,PagoMensual,""), "")</f>
        <v/>
      </c>
      <c r="F34" s="97" t="str">
        <f ca="1">IFERROR(IF(PréstamoNoPagado*PréstamoPagado,Capital,""), "")</f>
        <v/>
      </c>
      <c r="G34" s="97" t="str">
        <f ca="1">IFERROR(IF(PréstamoNoPagado*PréstamoPagado,AmortizaciónInterés,""), "")</f>
        <v/>
      </c>
      <c r="H34" s="97" t="str">
        <f ca="1">IFERROR(IF(PréstamoNoPagado*PréstamoPagado,SaldoFinal,""), "")</f>
        <v/>
      </c>
    </row>
    <row r="35" spans="2:8" ht="20.100000000000001" customHeight="1" x14ac:dyDescent="0.3">
      <c r="B35" s="105" t="str">
        <f ca="1">IFERROR(IF(PréstamoNoPagado*PréstamoPagado,NúmeroDePago,""), "")</f>
        <v/>
      </c>
      <c r="C35" s="96" t="str">
        <f ca="1">IFERROR(IF(PréstamoNoPagado*PréstamoPagado,FechaDePago,""), "")</f>
        <v/>
      </c>
      <c r="D35" s="97" t="str">
        <f ca="1">IFERROR(IF(PréstamoNoPagado*PréstamoPagado,ValorPréstamo,""), "")</f>
        <v/>
      </c>
      <c r="E35" s="97" t="str">
        <f ca="1">IFERROR(IF(PréstamoNoPagado*PréstamoPagado,PagoMensual,""), "")</f>
        <v/>
      </c>
      <c r="F35" s="97" t="str">
        <f ca="1">IFERROR(IF(PréstamoNoPagado*PréstamoPagado,Capital,""), "")</f>
        <v/>
      </c>
      <c r="G35" s="97" t="str">
        <f ca="1">IFERROR(IF(PréstamoNoPagado*PréstamoPagado,AmortizaciónInterés,""), "")</f>
        <v/>
      </c>
      <c r="H35" s="97" t="str">
        <f ca="1">IFERROR(IF(PréstamoNoPagado*PréstamoPagado,SaldoFinal,""), "")</f>
        <v/>
      </c>
    </row>
    <row r="36" spans="2:8" ht="20.100000000000001" customHeight="1" x14ac:dyDescent="0.3">
      <c r="B36" s="105" t="str">
        <f ca="1">IFERROR(IF(PréstamoNoPagado*PréstamoPagado,NúmeroDePago,""), "")</f>
        <v/>
      </c>
      <c r="C36" s="96" t="str">
        <f ca="1">IFERROR(IF(PréstamoNoPagado*PréstamoPagado,FechaDePago,""), "")</f>
        <v/>
      </c>
      <c r="D36" s="97" t="str">
        <f ca="1">IFERROR(IF(PréstamoNoPagado*PréstamoPagado,ValorPréstamo,""), "")</f>
        <v/>
      </c>
      <c r="E36" s="97" t="str">
        <f ca="1">IFERROR(IF(PréstamoNoPagado*PréstamoPagado,PagoMensual,""), "")</f>
        <v/>
      </c>
      <c r="F36" s="97" t="str">
        <f ca="1">IFERROR(IF(PréstamoNoPagado*PréstamoPagado,Capital,""), "")</f>
        <v/>
      </c>
      <c r="G36" s="97" t="str">
        <f ca="1">IFERROR(IF(PréstamoNoPagado*PréstamoPagado,AmortizaciónInterés,""), "")</f>
        <v/>
      </c>
      <c r="H36" s="97" t="str">
        <f ca="1">IFERROR(IF(PréstamoNoPagado*PréstamoPagado,SaldoFinal,""), "")</f>
        <v/>
      </c>
    </row>
    <row r="37" spans="2:8" ht="20.100000000000001" customHeight="1" x14ac:dyDescent="0.3">
      <c r="B37" s="105" t="str">
        <f ca="1">IFERROR(IF(PréstamoNoPagado*PréstamoPagado,NúmeroDePago,""), "")</f>
        <v/>
      </c>
      <c r="C37" s="96" t="str">
        <f ca="1">IFERROR(IF(PréstamoNoPagado*PréstamoPagado,FechaDePago,""), "")</f>
        <v/>
      </c>
      <c r="D37" s="97" t="str">
        <f ca="1">IFERROR(IF(PréstamoNoPagado*PréstamoPagado,ValorPréstamo,""), "")</f>
        <v/>
      </c>
      <c r="E37" s="97" t="str">
        <f ca="1">IFERROR(IF(PréstamoNoPagado*PréstamoPagado,PagoMensual,""), "")</f>
        <v/>
      </c>
      <c r="F37" s="97" t="str">
        <f ca="1">IFERROR(IF(PréstamoNoPagado*PréstamoPagado,Capital,""), "")</f>
        <v/>
      </c>
      <c r="G37" s="97" t="str">
        <f ca="1">IFERROR(IF(PréstamoNoPagado*PréstamoPagado,AmortizaciónInterés,""), "")</f>
        <v/>
      </c>
      <c r="H37" s="97" t="str">
        <f ca="1">IFERROR(IF(PréstamoNoPagado*PréstamoPagado,SaldoFinal,""), "")</f>
        <v/>
      </c>
    </row>
    <row r="38" spans="2:8" ht="20.100000000000001" customHeight="1" x14ac:dyDescent="0.3">
      <c r="B38" s="105" t="str">
        <f ca="1">IFERROR(IF(PréstamoNoPagado*PréstamoPagado,NúmeroDePago,""), "")</f>
        <v/>
      </c>
      <c r="C38" s="96" t="str">
        <f ca="1">IFERROR(IF(PréstamoNoPagado*PréstamoPagado,FechaDePago,""), "")</f>
        <v/>
      </c>
      <c r="D38" s="97" t="str">
        <f ca="1">IFERROR(IF(PréstamoNoPagado*PréstamoPagado,ValorPréstamo,""), "")</f>
        <v/>
      </c>
      <c r="E38" s="97" t="str">
        <f ca="1">IFERROR(IF(PréstamoNoPagado*PréstamoPagado,PagoMensual,""), "")</f>
        <v/>
      </c>
      <c r="F38" s="97" t="str">
        <f ca="1">IFERROR(IF(PréstamoNoPagado*PréstamoPagado,Capital,""), "")</f>
        <v/>
      </c>
      <c r="G38" s="97" t="str">
        <f ca="1">IFERROR(IF(PréstamoNoPagado*PréstamoPagado,AmortizaciónInterés,""), "")</f>
        <v/>
      </c>
      <c r="H38" s="97" t="str">
        <f ca="1">IFERROR(IF(PréstamoNoPagado*PréstamoPagado,SaldoFinal,""), "")</f>
        <v/>
      </c>
    </row>
    <row r="39" spans="2:8" ht="20.100000000000001" customHeight="1" x14ac:dyDescent="0.3">
      <c r="B39" s="105" t="str">
        <f ca="1">IFERROR(IF(PréstamoNoPagado*PréstamoPagado,NúmeroDePago,""), "")</f>
        <v/>
      </c>
      <c r="C39" s="96" t="str">
        <f ca="1">IFERROR(IF(PréstamoNoPagado*PréstamoPagado,FechaDePago,""), "")</f>
        <v/>
      </c>
      <c r="D39" s="97" t="str">
        <f ca="1">IFERROR(IF(PréstamoNoPagado*PréstamoPagado,ValorPréstamo,""), "")</f>
        <v/>
      </c>
      <c r="E39" s="97" t="str">
        <f ca="1">IFERROR(IF(PréstamoNoPagado*PréstamoPagado,PagoMensual,""), "")</f>
        <v/>
      </c>
      <c r="F39" s="97" t="str">
        <f ca="1">IFERROR(IF(PréstamoNoPagado*PréstamoPagado,Capital,""), "")</f>
        <v/>
      </c>
      <c r="G39" s="97" t="str">
        <f ca="1">IFERROR(IF(PréstamoNoPagado*PréstamoPagado,AmortizaciónInterés,""), "")</f>
        <v/>
      </c>
      <c r="H39" s="97" t="str">
        <f ca="1">IFERROR(IF(PréstamoNoPagado*PréstamoPagado,SaldoFinal,""), "")</f>
        <v/>
      </c>
    </row>
    <row r="40" spans="2:8" ht="20.100000000000001" customHeight="1" x14ac:dyDescent="0.3">
      <c r="B40" s="105" t="str">
        <f ca="1">IFERROR(IF(PréstamoNoPagado*PréstamoPagado,NúmeroDePago,""), "")</f>
        <v/>
      </c>
      <c r="C40" s="96" t="str">
        <f ca="1">IFERROR(IF(PréstamoNoPagado*PréstamoPagado,FechaDePago,""), "")</f>
        <v/>
      </c>
      <c r="D40" s="97" t="str">
        <f ca="1">IFERROR(IF(PréstamoNoPagado*PréstamoPagado,ValorPréstamo,""), "")</f>
        <v/>
      </c>
      <c r="E40" s="97" t="str">
        <f ca="1">IFERROR(IF(PréstamoNoPagado*PréstamoPagado,PagoMensual,""), "")</f>
        <v/>
      </c>
      <c r="F40" s="97" t="str">
        <f ca="1">IFERROR(IF(PréstamoNoPagado*PréstamoPagado,Capital,""), "")</f>
        <v/>
      </c>
      <c r="G40" s="97" t="str">
        <f ca="1">IFERROR(IF(PréstamoNoPagado*PréstamoPagado,AmortizaciónInterés,""), "")</f>
        <v/>
      </c>
      <c r="H40" s="97" t="str">
        <f ca="1">IFERROR(IF(PréstamoNoPagado*PréstamoPagado,SaldoFinal,""), "")</f>
        <v/>
      </c>
    </row>
    <row r="41" spans="2:8" ht="20.100000000000001" customHeight="1" x14ac:dyDescent="0.3">
      <c r="B41" s="105" t="str">
        <f ca="1">IFERROR(IF(PréstamoNoPagado*PréstamoPagado,NúmeroDePago,""), "")</f>
        <v/>
      </c>
      <c r="C41" s="96" t="str">
        <f ca="1">IFERROR(IF(PréstamoNoPagado*PréstamoPagado,FechaDePago,""), "")</f>
        <v/>
      </c>
      <c r="D41" s="97" t="str">
        <f ca="1">IFERROR(IF(PréstamoNoPagado*PréstamoPagado,ValorPréstamo,""), "")</f>
        <v/>
      </c>
      <c r="E41" s="97" t="str">
        <f ca="1">IFERROR(IF(PréstamoNoPagado*PréstamoPagado,PagoMensual,""), "")</f>
        <v/>
      </c>
      <c r="F41" s="97" t="str">
        <f ca="1">IFERROR(IF(PréstamoNoPagado*PréstamoPagado,Capital,""), "")</f>
        <v/>
      </c>
      <c r="G41" s="97" t="str">
        <f ca="1">IFERROR(IF(PréstamoNoPagado*PréstamoPagado,AmortizaciónInterés,""), "")</f>
        <v/>
      </c>
      <c r="H41" s="97" t="str">
        <f ca="1">IFERROR(IF(PréstamoNoPagado*PréstamoPagado,SaldoFinal,""), "")</f>
        <v/>
      </c>
    </row>
    <row r="42" spans="2:8" ht="20.100000000000001" customHeight="1" x14ac:dyDescent="0.3">
      <c r="B42" s="105" t="str">
        <f ca="1">IFERROR(IF(PréstamoNoPagado*PréstamoPagado,NúmeroDePago,""), "")</f>
        <v/>
      </c>
      <c r="C42" s="96" t="str">
        <f ca="1">IFERROR(IF(PréstamoNoPagado*PréstamoPagado,FechaDePago,""), "")</f>
        <v/>
      </c>
      <c r="D42" s="97" t="str">
        <f ca="1">IFERROR(IF(PréstamoNoPagado*PréstamoPagado,ValorPréstamo,""), "")</f>
        <v/>
      </c>
      <c r="E42" s="97" t="str">
        <f ca="1">IFERROR(IF(PréstamoNoPagado*PréstamoPagado,PagoMensual,""), "")</f>
        <v/>
      </c>
      <c r="F42" s="97" t="str">
        <f ca="1">IFERROR(IF(PréstamoNoPagado*PréstamoPagado,Capital,""), "")</f>
        <v/>
      </c>
      <c r="G42" s="97" t="str">
        <f ca="1">IFERROR(IF(PréstamoNoPagado*PréstamoPagado,AmortizaciónInterés,""), "")</f>
        <v/>
      </c>
      <c r="H42" s="97" t="str">
        <f ca="1">IFERROR(IF(PréstamoNoPagado*PréstamoPagado,SaldoFinal,""), "")</f>
        <v/>
      </c>
    </row>
    <row r="43" spans="2:8" ht="20.100000000000001" customHeight="1" x14ac:dyDescent="0.3">
      <c r="B43" s="105" t="str">
        <f ca="1">IFERROR(IF(PréstamoNoPagado*PréstamoPagado,NúmeroDePago,""), "")</f>
        <v/>
      </c>
      <c r="C43" s="96" t="str">
        <f ca="1">IFERROR(IF(PréstamoNoPagado*PréstamoPagado,FechaDePago,""), "")</f>
        <v/>
      </c>
      <c r="D43" s="97" t="str">
        <f ca="1">IFERROR(IF(PréstamoNoPagado*PréstamoPagado,ValorPréstamo,""), "")</f>
        <v/>
      </c>
      <c r="E43" s="97" t="str">
        <f ca="1">IFERROR(IF(PréstamoNoPagado*PréstamoPagado,PagoMensual,""), "")</f>
        <v/>
      </c>
      <c r="F43" s="97" t="str">
        <f ca="1">IFERROR(IF(PréstamoNoPagado*PréstamoPagado,Capital,""), "")</f>
        <v/>
      </c>
      <c r="G43" s="97" t="str">
        <f ca="1">IFERROR(IF(PréstamoNoPagado*PréstamoPagado,AmortizaciónInterés,""), "")</f>
        <v/>
      </c>
      <c r="H43" s="97" t="str">
        <f ca="1">IFERROR(IF(PréstamoNoPagado*PréstamoPagado,SaldoFinal,""), "")</f>
        <v/>
      </c>
    </row>
    <row r="44" spans="2:8" ht="20.100000000000001" customHeight="1" x14ac:dyDescent="0.3">
      <c r="B44" s="105" t="str">
        <f ca="1">IFERROR(IF(PréstamoNoPagado*PréstamoPagado,NúmeroDePago,""), "")</f>
        <v/>
      </c>
      <c r="C44" s="96" t="str">
        <f ca="1">IFERROR(IF(PréstamoNoPagado*PréstamoPagado,FechaDePago,""), "")</f>
        <v/>
      </c>
      <c r="D44" s="97" t="str">
        <f ca="1">IFERROR(IF(PréstamoNoPagado*PréstamoPagado,ValorPréstamo,""), "")</f>
        <v/>
      </c>
      <c r="E44" s="97" t="str">
        <f ca="1">IFERROR(IF(PréstamoNoPagado*PréstamoPagado,PagoMensual,""), "")</f>
        <v/>
      </c>
      <c r="F44" s="97" t="str">
        <f ca="1">IFERROR(IF(PréstamoNoPagado*PréstamoPagado,Capital,""), "")</f>
        <v/>
      </c>
      <c r="G44" s="97" t="str">
        <f ca="1">IFERROR(IF(PréstamoNoPagado*PréstamoPagado,AmortizaciónInterés,""), "")</f>
        <v/>
      </c>
      <c r="H44" s="97" t="str">
        <f ca="1">IFERROR(IF(PréstamoNoPagado*PréstamoPagado,SaldoFinal,""), "")</f>
        <v/>
      </c>
    </row>
    <row r="45" spans="2:8" ht="20.100000000000001" customHeight="1" x14ac:dyDescent="0.3">
      <c r="B45" s="105" t="str">
        <f ca="1">IFERROR(IF(PréstamoNoPagado*PréstamoPagado,NúmeroDePago,""), "")</f>
        <v/>
      </c>
      <c r="C45" s="96" t="str">
        <f ca="1">IFERROR(IF(PréstamoNoPagado*PréstamoPagado,FechaDePago,""), "")</f>
        <v/>
      </c>
      <c r="D45" s="97" t="str">
        <f ca="1">IFERROR(IF(PréstamoNoPagado*PréstamoPagado,ValorPréstamo,""), "")</f>
        <v/>
      </c>
      <c r="E45" s="97" t="str">
        <f ca="1">IFERROR(IF(PréstamoNoPagado*PréstamoPagado,PagoMensual,""), "")</f>
        <v/>
      </c>
      <c r="F45" s="97" t="str">
        <f ca="1">IFERROR(IF(PréstamoNoPagado*PréstamoPagado,Capital,""), "")</f>
        <v/>
      </c>
      <c r="G45" s="97" t="str">
        <f ca="1">IFERROR(IF(PréstamoNoPagado*PréstamoPagado,AmortizaciónInterés,""), "")</f>
        <v/>
      </c>
      <c r="H45" s="97" t="str">
        <f ca="1">IFERROR(IF(PréstamoNoPagado*PréstamoPagado,SaldoFinal,""), "")</f>
        <v/>
      </c>
    </row>
    <row r="46" spans="2:8" ht="20.100000000000001" customHeight="1" x14ac:dyDescent="0.3">
      <c r="B46" s="105" t="str">
        <f ca="1">IFERROR(IF(PréstamoNoPagado*PréstamoPagado,NúmeroDePago,""), "")</f>
        <v/>
      </c>
      <c r="C46" s="96" t="str">
        <f ca="1">IFERROR(IF(PréstamoNoPagado*PréstamoPagado,FechaDePago,""), "")</f>
        <v/>
      </c>
      <c r="D46" s="97" t="str">
        <f ca="1">IFERROR(IF(PréstamoNoPagado*PréstamoPagado,ValorPréstamo,""), "")</f>
        <v/>
      </c>
      <c r="E46" s="97" t="str">
        <f ca="1">IFERROR(IF(PréstamoNoPagado*PréstamoPagado,PagoMensual,""), "")</f>
        <v/>
      </c>
      <c r="F46" s="97" t="str">
        <f ca="1">IFERROR(IF(PréstamoNoPagado*PréstamoPagado,Capital,""), "")</f>
        <v/>
      </c>
      <c r="G46" s="97" t="str">
        <f ca="1">IFERROR(IF(PréstamoNoPagado*PréstamoPagado,AmortizaciónInterés,""), "")</f>
        <v/>
      </c>
      <c r="H46" s="97" t="str">
        <f ca="1">IFERROR(IF(PréstamoNoPagado*PréstamoPagado,SaldoFinal,""), "")</f>
        <v/>
      </c>
    </row>
    <row r="47" spans="2:8" ht="20.100000000000001" customHeight="1" x14ac:dyDescent="0.3">
      <c r="B47" s="105" t="str">
        <f ca="1">IFERROR(IF(PréstamoNoPagado*PréstamoPagado,NúmeroDePago,""), "")</f>
        <v/>
      </c>
      <c r="C47" s="96" t="str">
        <f ca="1">IFERROR(IF(PréstamoNoPagado*PréstamoPagado,FechaDePago,""), "")</f>
        <v/>
      </c>
      <c r="D47" s="97" t="str">
        <f ca="1">IFERROR(IF(PréstamoNoPagado*PréstamoPagado,ValorPréstamo,""), "")</f>
        <v/>
      </c>
      <c r="E47" s="97" t="str">
        <f ca="1">IFERROR(IF(PréstamoNoPagado*PréstamoPagado,PagoMensual,""), "")</f>
        <v/>
      </c>
      <c r="F47" s="97" t="str">
        <f ca="1">IFERROR(IF(PréstamoNoPagado*PréstamoPagado,Capital,""), "")</f>
        <v/>
      </c>
      <c r="G47" s="97" t="str">
        <f ca="1">IFERROR(IF(PréstamoNoPagado*PréstamoPagado,AmortizaciónInterés,""), "")</f>
        <v/>
      </c>
      <c r="H47" s="97" t="str">
        <f ca="1">IFERROR(IF(PréstamoNoPagado*PréstamoPagado,SaldoFinal,""), "")</f>
        <v/>
      </c>
    </row>
    <row r="48" spans="2:8" ht="20.100000000000001" customHeight="1" x14ac:dyDescent="0.3">
      <c r="B48" s="105" t="str">
        <f ca="1">IFERROR(IF(PréstamoNoPagado*PréstamoPagado,NúmeroDePago,""), "")</f>
        <v/>
      </c>
      <c r="C48" s="96" t="str">
        <f ca="1">IFERROR(IF(PréstamoNoPagado*PréstamoPagado,FechaDePago,""), "")</f>
        <v/>
      </c>
      <c r="D48" s="97" t="str">
        <f ca="1">IFERROR(IF(PréstamoNoPagado*PréstamoPagado,ValorPréstamo,""), "")</f>
        <v/>
      </c>
      <c r="E48" s="97" t="str">
        <f ca="1">IFERROR(IF(PréstamoNoPagado*PréstamoPagado,PagoMensual,""), "")</f>
        <v/>
      </c>
      <c r="F48" s="97" t="str">
        <f ca="1">IFERROR(IF(PréstamoNoPagado*PréstamoPagado,Capital,""), "")</f>
        <v/>
      </c>
      <c r="G48" s="97" t="str">
        <f ca="1">IFERROR(IF(PréstamoNoPagado*PréstamoPagado,AmortizaciónInterés,""), "")</f>
        <v/>
      </c>
      <c r="H48" s="97" t="str">
        <f ca="1">IFERROR(IF(PréstamoNoPagado*PréstamoPagado,SaldoFinal,""), "")</f>
        <v/>
      </c>
    </row>
    <row r="49" spans="2:8" ht="20.100000000000001" customHeight="1" x14ac:dyDescent="0.3">
      <c r="B49" s="105" t="str">
        <f ca="1">IFERROR(IF(PréstamoNoPagado*PréstamoPagado,NúmeroDePago,""), "")</f>
        <v/>
      </c>
      <c r="C49" s="96" t="str">
        <f ca="1">IFERROR(IF(PréstamoNoPagado*PréstamoPagado,FechaDePago,""), "")</f>
        <v/>
      </c>
      <c r="D49" s="97" t="str">
        <f ca="1">IFERROR(IF(PréstamoNoPagado*PréstamoPagado,ValorPréstamo,""), "")</f>
        <v/>
      </c>
      <c r="E49" s="97" t="str">
        <f ca="1">IFERROR(IF(PréstamoNoPagado*PréstamoPagado,PagoMensual,""), "")</f>
        <v/>
      </c>
      <c r="F49" s="97" t="str">
        <f ca="1">IFERROR(IF(PréstamoNoPagado*PréstamoPagado,Capital,""), "")</f>
        <v/>
      </c>
      <c r="G49" s="97" t="str">
        <f ca="1">IFERROR(IF(PréstamoNoPagado*PréstamoPagado,AmortizaciónInterés,""), "")</f>
        <v/>
      </c>
      <c r="H49" s="97" t="str">
        <f ca="1">IFERROR(IF(PréstamoNoPagado*PréstamoPagado,SaldoFinal,""), "")</f>
        <v/>
      </c>
    </row>
    <row r="50" spans="2:8" ht="20.100000000000001" customHeight="1" x14ac:dyDescent="0.3">
      <c r="B50" s="105" t="str">
        <f ca="1">IFERROR(IF(PréstamoNoPagado*PréstamoPagado,NúmeroDePago,""), "")</f>
        <v/>
      </c>
      <c r="C50" s="96" t="str">
        <f ca="1">IFERROR(IF(PréstamoNoPagado*PréstamoPagado,FechaDePago,""), "")</f>
        <v/>
      </c>
      <c r="D50" s="97" t="str">
        <f ca="1">IFERROR(IF(PréstamoNoPagado*PréstamoPagado,ValorPréstamo,""), "")</f>
        <v/>
      </c>
      <c r="E50" s="97" t="str">
        <f ca="1">IFERROR(IF(PréstamoNoPagado*PréstamoPagado,PagoMensual,""), "")</f>
        <v/>
      </c>
      <c r="F50" s="97" t="str">
        <f ca="1">IFERROR(IF(PréstamoNoPagado*PréstamoPagado,Capital,""), "")</f>
        <v/>
      </c>
      <c r="G50" s="97" t="str">
        <f ca="1">IFERROR(IF(PréstamoNoPagado*PréstamoPagado,AmortizaciónInterés,""), "")</f>
        <v/>
      </c>
      <c r="H50" s="97" t="str">
        <f ca="1">IFERROR(IF(PréstamoNoPagado*PréstamoPagado,SaldoFinal,""), "")</f>
        <v/>
      </c>
    </row>
    <row r="51" spans="2:8" ht="20.100000000000001" customHeight="1" x14ac:dyDescent="0.3">
      <c r="B51" s="105" t="str">
        <f ca="1">IFERROR(IF(PréstamoNoPagado*PréstamoPagado,NúmeroDePago,""), "")</f>
        <v/>
      </c>
      <c r="C51" s="96" t="str">
        <f ca="1">IFERROR(IF(PréstamoNoPagado*PréstamoPagado,FechaDePago,""), "")</f>
        <v/>
      </c>
      <c r="D51" s="97" t="str">
        <f ca="1">IFERROR(IF(PréstamoNoPagado*PréstamoPagado,ValorPréstamo,""), "")</f>
        <v/>
      </c>
      <c r="E51" s="97" t="str">
        <f ca="1">IFERROR(IF(PréstamoNoPagado*PréstamoPagado,PagoMensual,""), "")</f>
        <v/>
      </c>
      <c r="F51" s="97" t="str">
        <f ca="1">IFERROR(IF(PréstamoNoPagado*PréstamoPagado,Capital,""), "")</f>
        <v/>
      </c>
      <c r="G51" s="97" t="str">
        <f ca="1">IFERROR(IF(PréstamoNoPagado*PréstamoPagado,AmortizaciónInterés,""), "")</f>
        <v/>
      </c>
      <c r="H51" s="97" t="str">
        <f ca="1">IFERROR(IF(PréstamoNoPagado*PréstamoPagado,SaldoFinal,""), "")</f>
        <v/>
      </c>
    </row>
    <row r="52" spans="2:8" ht="20.100000000000001" customHeight="1" x14ac:dyDescent="0.3">
      <c r="B52" s="105" t="str">
        <f ca="1">IFERROR(IF(PréstamoNoPagado*PréstamoPagado,NúmeroDePago,""), "")</f>
        <v/>
      </c>
      <c r="C52" s="96" t="str">
        <f ca="1">IFERROR(IF(PréstamoNoPagado*PréstamoPagado,FechaDePago,""), "")</f>
        <v/>
      </c>
      <c r="D52" s="97" t="str">
        <f ca="1">IFERROR(IF(PréstamoNoPagado*PréstamoPagado,ValorPréstamo,""), "")</f>
        <v/>
      </c>
      <c r="E52" s="97" t="str">
        <f ca="1">IFERROR(IF(PréstamoNoPagado*PréstamoPagado,PagoMensual,""), "")</f>
        <v/>
      </c>
      <c r="F52" s="97" t="str">
        <f ca="1">IFERROR(IF(PréstamoNoPagado*PréstamoPagado,Capital,""), "")</f>
        <v/>
      </c>
      <c r="G52" s="97" t="str">
        <f ca="1">IFERROR(IF(PréstamoNoPagado*PréstamoPagado,AmortizaciónInterés,""), "")</f>
        <v/>
      </c>
      <c r="H52" s="97" t="str">
        <f ca="1">IFERROR(IF(PréstamoNoPagado*PréstamoPagado,SaldoFinal,""), "")</f>
        <v/>
      </c>
    </row>
    <row r="53" spans="2:8" ht="20.100000000000001" customHeight="1" x14ac:dyDescent="0.3">
      <c r="B53" s="105" t="str">
        <f ca="1">IFERROR(IF(PréstamoNoPagado*PréstamoPagado,NúmeroDePago,""), "")</f>
        <v/>
      </c>
      <c r="C53" s="96" t="str">
        <f ca="1">IFERROR(IF(PréstamoNoPagado*PréstamoPagado,FechaDePago,""), "")</f>
        <v/>
      </c>
      <c r="D53" s="97" t="str">
        <f ca="1">IFERROR(IF(PréstamoNoPagado*PréstamoPagado,ValorPréstamo,""), "")</f>
        <v/>
      </c>
      <c r="E53" s="97" t="str">
        <f ca="1">IFERROR(IF(PréstamoNoPagado*PréstamoPagado,PagoMensual,""), "")</f>
        <v/>
      </c>
      <c r="F53" s="97" t="str">
        <f ca="1">IFERROR(IF(PréstamoNoPagado*PréstamoPagado,Capital,""), "")</f>
        <v/>
      </c>
      <c r="G53" s="97" t="str">
        <f ca="1">IFERROR(IF(PréstamoNoPagado*PréstamoPagado,AmortizaciónInterés,""), "")</f>
        <v/>
      </c>
      <c r="H53" s="97" t="str">
        <f ca="1">IFERROR(IF(PréstamoNoPagado*PréstamoPagado,SaldoFinal,""), "")</f>
        <v/>
      </c>
    </row>
    <row r="54" spans="2:8" ht="20.100000000000001" customHeight="1" x14ac:dyDescent="0.3">
      <c r="B54" s="105" t="str">
        <f ca="1">IFERROR(IF(PréstamoNoPagado*PréstamoPagado,NúmeroDePago,""), "")</f>
        <v/>
      </c>
      <c r="C54" s="96" t="str">
        <f ca="1">IFERROR(IF(PréstamoNoPagado*PréstamoPagado,FechaDePago,""), "")</f>
        <v/>
      </c>
      <c r="D54" s="97" t="str">
        <f ca="1">IFERROR(IF(PréstamoNoPagado*PréstamoPagado,ValorPréstamo,""), "")</f>
        <v/>
      </c>
      <c r="E54" s="97" t="str">
        <f ca="1">IFERROR(IF(PréstamoNoPagado*PréstamoPagado,PagoMensual,""), "")</f>
        <v/>
      </c>
      <c r="F54" s="97" t="str">
        <f ca="1">IFERROR(IF(PréstamoNoPagado*PréstamoPagado,Capital,""), "")</f>
        <v/>
      </c>
      <c r="G54" s="97" t="str">
        <f ca="1">IFERROR(IF(PréstamoNoPagado*PréstamoPagado,AmortizaciónInterés,""), "")</f>
        <v/>
      </c>
      <c r="H54" s="97" t="str">
        <f ca="1">IFERROR(IF(PréstamoNoPagado*PréstamoPagado,SaldoFinal,""), "")</f>
        <v/>
      </c>
    </row>
    <row r="55" spans="2:8" ht="20.100000000000001" customHeight="1" x14ac:dyDescent="0.3">
      <c r="B55" s="105" t="str">
        <f ca="1">IFERROR(IF(PréstamoNoPagado*PréstamoPagado,NúmeroDePago,""), "")</f>
        <v/>
      </c>
      <c r="C55" s="96" t="str">
        <f ca="1">IFERROR(IF(PréstamoNoPagado*PréstamoPagado,FechaDePago,""), "")</f>
        <v/>
      </c>
      <c r="D55" s="97" t="str">
        <f ca="1">IFERROR(IF(PréstamoNoPagado*PréstamoPagado,ValorPréstamo,""), "")</f>
        <v/>
      </c>
      <c r="E55" s="97" t="str">
        <f ca="1">IFERROR(IF(PréstamoNoPagado*PréstamoPagado,PagoMensual,""), "")</f>
        <v/>
      </c>
      <c r="F55" s="97" t="str">
        <f ca="1">IFERROR(IF(PréstamoNoPagado*PréstamoPagado,Capital,""), "")</f>
        <v/>
      </c>
      <c r="G55" s="97" t="str">
        <f ca="1">IFERROR(IF(PréstamoNoPagado*PréstamoPagado,AmortizaciónInterés,""), "")</f>
        <v/>
      </c>
      <c r="H55" s="97" t="str">
        <f ca="1">IFERROR(IF(PréstamoNoPagado*PréstamoPagado,SaldoFinal,""), "")</f>
        <v/>
      </c>
    </row>
    <row r="56" spans="2:8" ht="20.100000000000001" customHeight="1" x14ac:dyDescent="0.3">
      <c r="B56" s="105" t="str">
        <f ca="1">IFERROR(IF(PréstamoNoPagado*PréstamoPagado,NúmeroDePago,""), "")</f>
        <v/>
      </c>
      <c r="C56" s="96" t="str">
        <f ca="1">IFERROR(IF(PréstamoNoPagado*PréstamoPagado,FechaDePago,""), "")</f>
        <v/>
      </c>
      <c r="D56" s="97" t="str">
        <f ca="1">IFERROR(IF(PréstamoNoPagado*PréstamoPagado,ValorPréstamo,""), "")</f>
        <v/>
      </c>
      <c r="E56" s="97" t="str">
        <f ca="1">IFERROR(IF(PréstamoNoPagado*PréstamoPagado,PagoMensual,""), "")</f>
        <v/>
      </c>
      <c r="F56" s="97" t="str">
        <f ca="1">IFERROR(IF(PréstamoNoPagado*PréstamoPagado,Capital,""), "")</f>
        <v/>
      </c>
      <c r="G56" s="97" t="str">
        <f ca="1">IFERROR(IF(PréstamoNoPagado*PréstamoPagado,AmortizaciónInterés,""), "")</f>
        <v/>
      </c>
      <c r="H56" s="97" t="str">
        <f ca="1">IFERROR(IF(PréstamoNoPagado*PréstamoPagado,SaldoFinal,""), "")</f>
        <v/>
      </c>
    </row>
    <row r="57" spans="2:8" ht="20.100000000000001" customHeight="1" x14ac:dyDescent="0.3">
      <c r="B57" s="105" t="str">
        <f ca="1">IFERROR(IF(PréstamoNoPagado*PréstamoPagado,NúmeroDePago,""), "")</f>
        <v/>
      </c>
      <c r="C57" s="96" t="str">
        <f ca="1">IFERROR(IF(PréstamoNoPagado*PréstamoPagado,FechaDePago,""), "")</f>
        <v/>
      </c>
      <c r="D57" s="97" t="str">
        <f ca="1">IFERROR(IF(PréstamoNoPagado*PréstamoPagado,ValorPréstamo,""), "")</f>
        <v/>
      </c>
      <c r="E57" s="97" t="str">
        <f ca="1">IFERROR(IF(PréstamoNoPagado*PréstamoPagado,PagoMensual,""), "")</f>
        <v/>
      </c>
      <c r="F57" s="97" t="str">
        <f ca="1">IFERROR(IF(PréstamoNoPagado*PréstamoPagado,Capital,""), "")</f>
        <v/>
      </c>
      <c r="G57" s="97" t="str">
        <f ca="1">IFERROR(IF(PréstamoNoPagado*PréstamoPagado,AmortizaciónInterés,""), "")</f>
        <v/>
      </c>
      <c r="H57" s="97" t="str">
        <f ca="1">IFERROR(IF(PréstamoNoPagado*PréstamoPagado,SaldoFinal,""), "")</f>
        <v/>
      </c>
    </row>
    <row r="58" spans="2:8" ht="20.100000000000001" customHeight="1" x14ac:dyDescent="0.3">
      <c r="B58" s="105" t="str">
        <f ca="1">IFERROR(IF(PréstamoNoPagado*PréstamoPagado,NúmeroDePago,""), "")</f>
        <v/>
      </c>
      <c r="C58" s="96" t="str">
        <f ca="1">IFERROR(IF(PréstamoNoPagado*PréstamoPagado,FechaDePago,""), "")</f>
        <v/>
      </c>
      <c r="D58" s="97" t="str">
        <f ca="1">IFERROR(IF(PréstamoNoPagado*PréstamoPagado,ValorPréstamo,""), "")</f>
        <v/>
      </c>
      <c r="E58" s="97" t="str">
        <f ca="1">IFERROR(IF(PréstamoNoPagado*PréstamoPagado,PagoMensual,""), "")</f>
        <v/>
      </c>
      <c r="F58" s="97" t="str">
        <f ca="1">IFERROR(IF(PréstamoNoPagado*PréstamoPagado,Capital,""), "")</f>
        <v/>
      </c>
      <c r="G58" s="97" t="str">
        <f ca="1">IFERROR(IF(PréstamoNoPagado*PréstamoPagado,AmortizaciónInterés,""), "")</f>
        <v/>
      </c>
      <c r="H58" s="97" t="str">
        <f ca="1">IFERROR(IF(PréstamoNoPagado*PréstamoPagado,SaldoFinal,""), "")</f>
        <v/>
      </c>
    </row>
    <row r="59" spans="2:8" ht="20.100000000000001" customHeight="1" x14ac:dyDescent="0.3">
      <c r="B59" s="105" t="str">
        <f ca="1">IFERROR(IF(PréstamoNoPagado*PréstamoPagado,NúmeroDePago,""), "")</f>
        <v/>
      </c>
      <c r="C59" s="96" t="str">
        <f ca="1">IFERROR(IF(PréstamoNoPagado*PréstamoPagado,FechaDePago,""), "")</f>
        <v/>
      </c>
      <c r="D59" s="97" t="str">
        <f ca="1">IFERROR(IF(PréstamoNoPagado*PréstamoPagado,ValorPréstamo,""), "")</f>
        <v/>
      </c>
      <c r="E59" s="97" t="str">
        <f ca="1">IFERROR(IF(PréstamoNoPagado*PréstamoPagado,PagoMensual,""), "")</f>
        <v/>
      </c>
      <c r="F59" s="97" t="str">
        <f ca="1">IFERROR(IF(PréstamoNoPagado*PréstamoPagado,Capital,""), "")</f>
        <v/>
      </c>
      <c r="G59" s="97" t="str">
        <f ca="1">IFERROR(IF(PréstamoNoPagado*PréstamoPagado,AmortizaciónInterés,""), "")</f>
        <v/>
      </c>
      <c r="H59" s="97" t="str">
        <f ca="1">IFERROR(IF(PréstamoNoPagado*PréstamoPagado,SaldoFinal,""), "")</f>
        <v/>
      </c>
    </row>
    <row r="60" spans="2:8" ht="20.100000000000001" customHeight="1" x14ac:dyDescent="0.3">
      <c r="B60" s="105" t="str">
        <f ca="1">IFERROR(IF(PréstamoNoPagado*PréstamoPagado,NúmeroDePago,""), "")</f>
        <v/>
      </c>
      <c r="C60" s="96" t="str">
        <f ca="1">IFERROR(IF(PréstamoNoPagado*PréstamoPagado,FechaDePago,""), "")</f>
        <v/>
      </c>
      <c r="D60" s="97" t="str">
        <f ca="1">IFERROR(IF(PréstamoNoPagado*PréstamoPagado,ValorPréstamo,""), "")</f>
        <v/>
      </c>
      <c r="E60" s="97" t="str">
        <f ca="1">IFERROR(IF(PréstamoNoPagado*PréstamoPagado,PagoMensual,""), "")</f>
        <v/>
      </c>
      <c r="F60" s="97" t="str">
        <f ca="1">IFERROR(IF(PréstamoNoPagado*PréstamoPagado,Capital,""), "")</f>
        <v/>
      </c>
      <c r="G60" s="97" t="str">
        <f ca="1">IFERROR(IF(PréstamoNoPagado*PréstamoPagado,AmortizaciónInterés,""), "")</f>
        <v/>
      </c>
      <c r="H60" s="97" t="str">
        <f ca="1">IFERROR(IF(PréstamoNoPagado*PréstamoPagado,SaldoFinal,""), "")</f>
        <v/>
      </c>
    </row>
    <row r="61" spans="2:8" ht="20.100000000000001" customHeight="1" x14ac:dyDescent="0.3">
      <c r="B61" s="105" t="str">
        <f ca="1">IFERROR(IF(PréstamoNoPagado*PréstamoPagado,NúmeroDePago,""), "")</f>
        <v/>
      </c>
      <c r="C61" s="96" t="str">
        <f ca="1">IFERROR(IF(PréstamoNoPagado*PréstamoPagado,FechaDePago,""), "")</f>
        <v/>
      </c>
      <c r="D61" s="97" t="str">
        <f ca="1">IFERROR(IF(PréstamoNoPagado*PréstamoPagado,ValorPréstamo,""), "")</f>
        <v/>
      </c>
      <c r="E61" s="97" t="str">
        <f ca="1">IFERROR(IF(PréstamoNoPagado*PréstamoPagado,PagoMensual,""), "")</f>
        <v/>
      </c>
      <c r="F61" s="97" t="str">
        <f ca="1">IFERROR(IF(PréstamoNoPagado*PréstamoPagado,Capital,""), "")</f>
        <v/>
      </c>
      <c r="G61" s="97" t="str">
        <f ca="1">IFERROR(IF(PréstamoNoPagado*PréstamoPagado,AmortizaciónInterés,""), "")</f>
        <v/>
      </c>
      <c r="H61" s="97" t="str">
        <f ca="1">IFERROR(IF(PréstamoNoPagado*PréstamoPagado,SaldoFinal,""), "")</f>
        <v/>
      </c>
    </row>
    <row r="62" spans="2:8" ht="20.100000000000001" customHeight="1" x14ac:dyDescent="0.3">
      <c r="B62" s="105" t="str">
        <f ca="1">IFERROR(IF(PréstamoNoPagado*PréstamoPagado,NúmeroDePago,""), "")</f>
        <v/>
      </c>
      <c r="C62" s="96" t="str">
        <f ca="1">IFERROR(IF(PréstamoNoPagado*PréstamoPagado,FechaDePago,""), "")</f>
        <v/>
      </c>
      <c r="D62" s="97" t="str">
        <f ca="1">IFERROR(IF(PréstamoNoPagado*PréstamoPagado,ValorPréstamo,""), "")</f>
        <v/>
      </c>
      <c r="E62" s="97" t="str">
        <f ca="1">IFERROR(IF(PréstamoNoPagado*PréstamoPagado,PagoMensual,""), "")</f>
        <v/>
      </c>
      <c r="F62" s="97" t="str">
        <f ca="1">IFERROR(IF(PréstamoNoPagado*PréstamoPagado,Capital,""), "")</f>
        <v/>
      </c>
      <c r="G62" s="97" t="str">
        <f ca="1">IFERROR(IF(PréstamoNoPagado*PréstamoPagado,AmortizaciónInterés,""), "")</f>
        <v/>
      </c>
      <c r="H62" s="97" t="str">
        <f ca="1">IFERROR(IF(PréstamoNoPagado*PréstamoPagado,SaldoFinal,""), "")</f>
        <v/>
      </c>
    </row>
    <row r="63" spans="2:8" ht="20.100000000000001" customHeight="1" x14ac:dyDescent="0.3">
      <c r="B63" s="105" t="str">
        <f ca="1">IFERROR(IF(PréstamoNoPagado*PréstamoPagado,NúmeroDePago,""), "")</f>
        <v/>
      </c>
      <c r="C63" s="96" t="str">
        <f ca="1">IFERROR(IF(PréstamoNoPagado*PréstamoPagado,FechaDePago,""), "")</f>
        <v/>
      </c>
      <c r="D63" s="97" t="str">
        <f ca="1">IFERROR(IF(PréstamoNoPagado*PréstamoPagado,ValorPréstamo,""), "")</f>
        <v/>
      </c>
      <c r="E63" s="97" t="str">
        <f ca="1">IFERROR(IF(PréstamoNoPagado*PréstamoPagado,PagoMensual,""), "")</f>
        <v/>
      </c>
      <c r="F63" s="97" t="str">
        <f ca="1">IFERROR(IF(PréstamoNoPagado*PréstamoPagado,Capital,""), "")</f>
        <v/>
      </c>
      <c r="G63" s="97" t="str">
        <f ca="1">IFERROR(IF(PréstamoNoPagado*PréstamoPagado,AmortizaciónInterés,""), "")</f>
        <v/>
      </c>
      <c r="H63" s="97" t="str">
        <f ca="1">IFERROR(IF(PréstamoNoPagado*PréstamoPagado,SaldoFinal,""), "")</f>
        <v/>
      </c>
    </row>
    <row r="64" spans="2:8" ht="20.100000000000001" customHeight="1" x14ac:dyDescent="0.3">
      <c r="B64" s="105" t="str">
        <f ca="1">IFERROR(IF(PréstamoNoPagado*PréstamoPagado,NúmeroDePago,""), "")</f>
        <v/>
      </c>
      <c r="C64" s="96" t="str">
        <f ca="1">IFERROR(IF(PréstamoNoPagado*PréstamoPagado,FechaDePago,""), "")</f>
        <v/>
      </c>
      <c r="D64" s="97" t="str">
        <f ca="1">IFERROR(IF(PréstamoNoPagado*PréstamoPagado,ValorPréstamo,""), "")</f>
        <v/>
      </c>
      <c r="E64" s="97" t="str">
        <f ca="1">IFERROR(IF(PréstamoNoPagado*PréstamoPagado,PagoMensual,""), "")</f>
        <v/>
      </c>
      <c r="F64" s="97" t="str">
        <f ca="1">IFERROR(IF(PréstamoNoPagado*PréstamoPagado,Capital,""), "")</f>
        <v/>
      </c>
      <c r="G64" s="97" t="str">
        <f ca="1">IFERROR(IF(PréstamoNoPagado*PréstamoPagado,AmortizaciónInterés,""), "")</f>
        <v/>
      </c>
      <c r="H64" s="97" t="str">
        <f ca="1">IFERROR(IF(PréstamoNoPagado*PréstamoPagado,SaldoFinal,""), "")</f>
        <v/>
      </c>
    </row>
    <row r="65" spans="2:8" ht="20.100000000000001" customHeight="1" x14ac:dyDescent="0.3">
      <c r="B65" s="105" t="str">
        <f ca="1">IFERROR(IF(PréstamoNoPagado*PréstamoPagado,NúmeroDePago,""), "")</f>
        <v/>
      </c>
      <c r="C65" s="96" t="str">
        <f ca="1">IFERROR(IF(PréstamoNoPagado*PréstamoPagado,FechaDePago,""), "")</f>
        <v/>
      </c>
      <c r="D65" s="97" t="str">
        <f ca="1">IFERROR(IF(PréstamoNoPagado*PréstamoPagado,ValorPréstamo,""), "")</f>
        <v/>
      </c>
      <c r="E65" s="97" t="str">
        <f ca="1">IFERROR(IF(PréstamoNoPagado*PréstamoPagado,PagoMensual,""), "")</f>
        <v/>
      </c>
      <c r="F65" s="97" t="str">
        <f ca="1">IFERROR(IF(PréstamoNoPagado*PréstamoPagado,Capital,""), "")</f>
        <v/>
      </c>
      <c r="G65" s="97" t="str">
        <f ca="1">IFERROR(IF(PréstamoNoPagado*PréstamoPagado,AmortizaciónInterés,""), "")</f>
        <v/>
      </c>
      <c r="H65" s="97" t="str">
        <f ca="1">IFERROR(IF(PréstamoNoPagado*PréstamoPagado,SaldoFinal,""), "")</f>
        <v/>
      </c>
    </row>
    <row r="66" spans="2:8" ht="20.100000000000001" customHeight="1" x14ac:dyDescent="0.3">
      <c r="B66" s="105" t="str">
        <f ca="1">IFERROR(IF(PréstamoNoPagado*PréstamoPagado,NúmeroDePago,""), "")</f>
        <v/>
      </c>
      <c r="C66" s="96" t="str">
        <f ca="1">IFERROR(IF(PréstamoNoPagado*PréstamoPagado,FechaDePago,""), "")</f>
        <v/>
      </c>
      <c r="D66" s="97" t="str">
        <f ca="1">IFERROR(IF(PréstamoNoPagado*PréstamoPagado,ValorPréstamo,""), "")</f>
        <v/>
      </c>
      <c r="E66" s="97" t="str">
        <f ca="1">IFERROR(IF(PréstamoNoPagado*PréstamoPagado,PagoMensual,""), "")</f>
        <v/>
      </c>
      <c r="F66" s="97" t="str">
        <f ca="1">IFERROR(IF(PréstamoNoPagado*PréstamoPagado,Capital,""), "")</f>
        <v/>
      </c>
      <c r="G66" s="97" t="str">
        <f ca="1">IFERROR(IF(PréstamoNoPagado*PréstamoPagado,AmortizaciónInterés,""), "")</f>
        <v/>
      </c>
      <c r="H66" s="97" t="str">
        <f ca="1">IFERROR(IF(PréstamoNoPagado*PréstamoPagado,SaldoFinal,""), "")</f>
        <v/>
      </c>
    </row>
    <row r="67" spans="2:8" ht="20.100000000000001" customHeight="1" x14ac:dyDescent="0.3">
      <c r="B67" s="105" t="str">
        <f ca="1">IFERROR(IF(PréstamoNoPagado*PréstamoPagado,NúmeroDePago,""), "")</f>
        <v/>
      </c>
      <c r="C67" s="96" t="str">
        <f ca="1">IFERROR(IF(PréstamoNoPagado*PréstamoPagado,FechaDePago,""), "")</f>
        <v/>
      </c>
      <c r="D67" s="97" t="str">
        <f ca="1">IFERROR(IF(PréstamoNoPagado*PréstamoPagado,ValorPréstamo,""), "")</f>
        <v/>
      </c>
      <c r="E67" s="97" t="str">
        <f ca="1">IFERROR(IF(PréstamoNoPagado*PréstamoPagado,PagoMensual,""), "")</f>
        <v/>
      </c>
      <c r="F67" s="97" t="str">
        <f ca="1">IFERROR(IF(PréstamoNoPagado*PréstamoPagado,Capital,""), "")</f>
        <v/>
      </c>
      <c r="G67" s="97" t="str">
        <f ca="1">IFERROR(IF(PréstamoNoPagado*PréstamoPagado,AmortizaciónInterés,""), "")</f>
        <v/>
      </c>
      <c r="H67" s="97" t="str">
        <f ca="1">IFERROR(IF(PréstamoNoPagado*PréstamoPagado,SaldoFinal,""), "")</f>
        <v/>
      </c>
    </row>
    <row r="68" spans="2:8" ht="20.100000000000001" customHeight="1" x14ac:dyDescent="0.3">
      <c r="B68" s="105" t="str">
        <f ca="1">IFERROR(IF(PréstamoNoPagado*PréstamoPagado,NúmeroDePago,""), "")</f>
        <v/>
      </c>
      <c r="C68" s="96" t="str">
        <f ca="1">IFERROR(IF(PréstamoNoPagado*PréstamoPagado,FechaDePago,""), "")</f>
        <v/>
      </c>
      <c r="D68" s="97" t="str">
        <f ca="1">IFERROR(IF(PréstamoNoPagado*PréstamoPagado,ValorPréstamo,""), "")</f>
        <v/>
      </c>
      <c r="E68" s="97" t="str">
        <f ca="1">IFERROR(IF(PréstamoNoPagado*PréstamoPagado,PagoMensual,""), "")</f>
        <v/>
      </c>
      <c r="F68" s="97" t="str">
        <f ca="1">IFERROR(IF(PréstamoNoPagado*PréstamoPagado,Capital,""), "")</f>
        <v/>
      </c>
      <c r="G68" s="97" t="str">
        <f ca="1">IFERROR(IF(PréstamoNoPagado*PréstamoPagado,AmortizaciónInterés,""), "")</f>
        <v/>
      </c>
      <c r="H68" s="97" t="str">
        <f ca="1">IFERROR(IF(PréstamoNoPagado*PréstamoPagado,SaldoFinal,""), "")</f>
        <v/>
      </c>
    </row>
    <row r="69" spans="2:8" ht="20.100000000000001" customHeight="1" x14ac:dyDescent="0.3">
      <c r="B69" s="105" t="str">
        <f ca="1">IFERROR(IF(PréstamoNoPagado*PréstamoPagado,NúmeroDePago,""), "")</f>
        <v/>
      </c>
      <c r="C69" s="96" t="str">
        <f ca="1">IFERROR(IF(PréstamoNoPagado*PréstamoPagado,FechaDePago,""), "")</f>
        <v/>
      </c>
      <c r="D69" s="97" t="str">
        <f ca="1">IFERROR(IF(PréstamoNoPagado*PréstamoPagado,ValorPréstamo,""), "")</f>
        <v/>
      </c>
      <c r="E69" s="97" t="str">
        <f ca="1">IFERROR(IF(PréstamoNoPagado*PréstamoPagado,PagoMensual,""), "")</f>
        <v/>
      </c>
      <c r="F69" s="97" t="str">
        <f ca="1">IFERROR(IF(PréstamoNoPagado*PréstamoPagado,Capital,""), "")</f>
        <v/>
      </c>
      <c r="G69" s="97" t="str">
        <f ca="1">IFERROR(IF(PréstamoNoPagado*PréstamoPagado,AmortizaciónInterés,""), "")</f>
        <v/>
      </c>
      <c r="H69" s="97" t="str">
        <f ca="1">IFERROR(IF(PréstamoNoPagado*PréstamoPagado,SaldoFinal,""), "")</f>
        <v/>
      </c>
    </row>
    <row r="70" spans="2:8" ht="20.100000000000001" customHeight="1" x14ac:dyDescent="0.3">
      <c r="B70" s="105" t="str">
        <f ca="1">IFERROR(IF(PréstamoNoPagado*PréstamoPagado,NúmeroDePago,""), "")</f>
        <v/>
      </c>
      <c r="C70" s="96" t="str">
        <f ca="1">IFERROR(IF(PréstamoNoPagado*PréstamoPagado,FechaDePago,""), "")</f>
        <v/>
      </c>
      <c r="D70" s="97" t="str">
        <f ca="1">IFERROR(IF(PréstamoNoPagado*PréstamoPagado,ValorPréstamo,""), "")</f>
        <v/>
      </c>
      <c r="E70" s="97" t="str">
        <f ca="1">IFERROR(IF(PréstamoNoPagado*PréstamoPagado,PagoMensual,""), "")</f>
        <v/>
      </c>
      <c r="F70" s="97" t="str">
        <f ca="1">IFERROR(IF(PréstamoNoPagado*PréstamoPagado,Capital,""), "")</f>
        <v/>
      </c>
      <c r="G70" s="97" t="str">
        <f ca="1">IFERROR(IF(PréstamoNoPagado*PréstamoPagado,AmortizaciónInterés,""), "")</f>
        <v/>
      </c>
      <c r="H70" s="97" t="str">
        <f ca="1">IFERROR(IF(PréstamoNoPagado*PréstamoPagado,SaldoFinal,""), "")</f>
        <v/>
      </c>
    </row>
    <row r="71" spans="2:8" ht="20.100000000000001" customHeight="1" x14ac:dyDescent="0.3">
      <c r="B71" s="105" t="str">
        <f ca="1">IFERROR(IF(PréstamoNoPagado*PréstamoPagado,NúmeroDePago,""), "")</f>
        <v/>
      </c>
      <c r="C71" s="96" t="str">
        <f ca="1">IFERROR(IF(PréstamoNoPagado*PréstamoPagado,FechaDePago,""), "")</f>
        <v/>
      </c>
      <c r="D71" s="97" t="str">
        <f ca="1">IFERROR(IF(PréstamoNoPagado*PréstamoPagado,ValorPréstamo,""), "")</f>
        <v/>
      </c>
      <c r="E71" s="97" t="str">
        <f ca="1">IFERROR(IF(PréstamoNoPagado*PréstamoPagado,PagoMensual,""), "")</f>
        <v/>
      </c>
      <c r="F71" s="97" t="str">
        <f ca="1">IFERROR(IF(PréstamoNoPagado*PréstamoPagado,Capital,""), "")</f>
        <v/>
      </c>
      <c r="G71" s="97" t="str">
        <f ca="1">IFERROR(IF(PréstamoNoPagado*PréstamoPagado,AmortizaciónInterés,""), "")</f>
        <v/>
      </c>
      <c r="H71" s="97" t="str">
        <f ca="1">IFERROR(IF(PréstamoNoPagado*PréstamoPagado,SaldoFinal,""), "")</f>
        <v/>
      </c>
    </row>
    <row r="72" spans="2:8" ht="20.100000000000001" customHeight="1" x14ac:dyDescent="0.3">
      <c r="B72" s="105" t="str">
        <f ca="1">IFERROR(IF(PréstamoNoPagado*PréstamoPagado,NúmeroDePago,""), "")</f>
        <v/>
      </c>
      <c r="C72" s="96" t="str">
        <f ca="1">IFERROR(IF(PréstamoNoPagado*PréstamoPagado,FechaDePago,""), "")</f>
        <v/>
      </c>
      <c r="D72" s="97" t="str">
        <f ca="1">IFERROR(IF(PréstamoNoPagado*PréstamoPagado,ValorPréstamo,""), "")</f>
        <v/>
      </c>
      <c r="E72" s="97" t="str">
        <f ca="1">IFERROR(IF(PréstamoNoPagado*PréstamoPagado,PagoMensual,""), "")</f>
        <v/>
      </c>
      <c r="F72" s="97" t="str">
        <f ca="1">IFERROR(IF(PréstamoNoPagado*PréstamoPagado,Capital,""), "")</f>
        <v/>
      </c>
      <c r="G72" s="97" t="str">
        <f ca="1">IFERROR(IF(PréstamoNoPagado*PréstamoPagado,AmortizaciónInterés,""), "")</f>
        <v/>
      </c>
      <c r="H72" s="97" t="str">
        <f ca="1">IFERROR(IF(PréstamoNoPagado*PréstamoPagado,SaldoFinal,""), "")</f>
        <v/>
      </c>
    </row>
    <row r="73" spans="2:8" ht="20.100000000000001" customHeight="1" x14ac:dyDescent="0.3">
      <c r="B73" s="105" t="str">
        <f ca="1">IFERROR(IF(PréstamoNoPagado*PréstamoPagado,NúmeroDePago,""), "")</f>
        <v/>
      </c>
      <c r="C73" s="96" t="str">
        <f ca="1">IFERROR(IF(PréstamoNoPagado*PréstamoPagado,FechaDePago,""), "")</f>
        <v/>
      </c>
      <c r="D73" s="97" t="str">
        <f ca="1">IFERROR(IF(PréstamoNoPagado*PréstamoPagado,ValorPréstamo,""), "")</f>
        <v/>
      </c>
      <c r="E73" s="97" t="str">
        <f ca="1">IFERROR(IF(PréstamoNoPagado*PréstamoPagado,PagoMensual,""), "")</f>
        <v/>
      </c>
      <c r="F73" s="97" t="str">
        <f ca="1">IFERROR(IF(PréstamoNoPagado*PréstamoPagado,Capital,""), "")</f>
        <v/>
      </c>
      <c r="G73" s="97" t="str">
        <f ca="1">IFERROR(IF(PréstamoNoPagado*PréstamoPagado,AmortizaciónInterés,""), "")</f>
        <v/>
      </c>
      <c r="H73" s="97" t="str">
        <f ca="1">IFERROR(IF(PréstamoNoPagado*PréstamoPagado,SaldoFinal,""), "")</f>
        <v/>
      </c>
    </row>
    <row r="74" spans="2:8" ht="20.100000000000001" customHeight="1" x14ac:dyDescent="0.3">
      <c r="B74" s="105" t="str">
        <f ca="1">IFERROR(IF(PréstamoNoPagado*PréstamoPagado,NúmeroDePago,""), "")</f>
        <v/>
      </c>
      <c r="C74" s="96" t="str">
        <f ca="1">IFERROR(IF(PréstamoNoPagado*PréstamoPagado,FechaDePago,""), "")</f>
        <v/>
      </c>
      <c r="D74" s="97" t="str">
        <f ca="1">IFERROR(IF(PréstamoNoPagado*PréstamoPagado,ValorPréstamo,""), "")</f>
        <v/>
      </c>
      <c r="E74" s="97" t="str">
        <f ca="1">IFERROR(IF(PréstamoNoPagado*PréstamoPagado,PagoMensual,""), "")</f>
        <v/>
      </c>
      <c r="F74" s="97" t="str">
        <f ca="1">IFERROR(IF(PréstamoNoPagado*PréstamoPagado,Capital,""), "")</f>
        <v/>
      </c>
      <c r="G74" s="97" t="str">
        <f ca="1">IFERROR(IF(PréstamoNoPagado*PréstamoPagado,AmortizaciónInterés,""), "")</f>
        <v/>
      </c>
      <c r="H74" s="97" t="str">
        <f ca="1">IFERROR(IF(PréstamoNoPagado*PréstamoPagado,SaldoFinal,""), "")</f>
        <v/>
      </c>
    </row>
    <row r="75" spans="2:8" ht="20.100000000000001" customHeight="1" x14ac:dyDescent="0.3">
      <c r="B75" s="105" t="str">
        <f ca="1">IFERROR(IF(PréstamoNoPagado*PréstamoPagado,NúmeroDePago,""), "")</f>
        <v/>
      </c>
      <c r="C75" s="96" t="str">
        <f ca="1">IFERROR(IF(PréstamoNoPagado*PréstamoPagado,FechaDePago,""), "")</f>
        <v/>
      </c>
      <c r="D75" s="97" t="str">
        <f ca="1">IFERROR(IF(PréstamoNoPagado*PréstamoPagado,ValorPréstamo,""), "")</f>
        <v/>
      </c>
      <c r="E75" s="97" t="str">
        <f ca="1">IFERROR(IF(PréstamoNoPagado*PréstamoPagado,PagoMensual,""), "")</f>
        <v/>
      </c>
      <c r="F75" s="97" t="str">
        <f ca="1">IFERROR(IF(PréstamoNoPagado*PréstamoPagado,Capital,""), "")</f>
        <v/>
      </c>
      <c r="G75" s="97" t="str">
        <f ca="1">IFERROR(IF(PréstamoNoPagado*PréstamoPagado,AmortizaciónInterés,""), "")</f>
        <v/>
      </c>
      <c r="H75" s="97" t="str">
        <f ca="1">IFERROR(IF(PréstamoNoPagado*PréstamoPagado,SaldoFinal,""), "")</f>
        <v/>
      </c>
    </row>
    <row r="76" spans="2:8" ht="20.100000000000001" customHeight="1" x14ac:dyDescent="0.3">
      <c r="B76" s="105" t="str">
        <f ca="1">IFERROR(IF(PréstamoNoPagado*PréstamoPagado,NúmeroDePago,""), "")</f>
        <v/>
      </c>
      <c r="C76" s="96" t="str">
        <f ca="1">IFERROR(IF(PréstamoNoPagado*PréstamoPagado,FechaDePago,""), "")</f>
        <v/>
      </c>
      <c r="D76" s="97" t="str">
        <f ca="1">IFERROR(IF(PréstamoNoPagado*PréstamoPagado,ValorPréstamo,""), "")</f>
        <v/>
      </c>
      <c r="E76" s="97" t="str">
        <f ca="1">IFERROR(IF(PréstamoNoPagado*PréstamoPagado,PagoMensual,""), "")</f>
        <v/>
      </c>
      <c r="F76" s="97" t="str">
        <f ca="1">IFERROR(IF(PréstamoNoPagado*PréstamoPagado,Capital,""), "")</f>
        <v/>
      </c>
      <c r="G76" s="97" t="str">
        <f ca="1">IFERROR(IF(PréstamoNoPagado*PréstamoPagado,AmortizaciónInterés,""), "")</f>
        <v/>
      </c>
      <c r="H76" s="97" t="str">
        <f ca="1">IFERROR(IF(PréstamoNoPagado*PréstamoPagado,SaldoFinal,""), "")</f>
        <v/>
      </c>
    </row>
    <row r="77" spans="2:8" ht="20.100000000000001" customHeight="1" x14ac:dyDescent="0.3">
      <c r="B77" s="105" t="str">
        <f ca="1">IFERROR(IF(PréstamoNoPagado*PréstamoPagado,NúmeroDePago,""), "")</f>
        <v/>
      </c>
      <c r="C77" s="96" t="str">
        <f ca="1">IFERROR(IF(PréstamoNoPagado*PréstamoPagado,FechaDePago,""), "")</f>
        <v/>
      </c>
      <c r="D77" s="97" t="str">
        <f ca="1">IFERROR(IF(PréstamoNoPagado*PréstamoPagado,ValorPréstamo,""), "")</f>
        <v/>
      </c>
      <c r="E77" s="97" t="str">
        <f ca="1">IFERROR(IF(PréstamoNoPagado*PréstamoPagado,PagoMensual,""), "")</f>
        <v/>
      </c>
      <c r="F77" s="97" t="str">
        <f ca="1">IFERROR(IF(PréstamoNoPagado*PréstamoPagado,Capital,""), "")</f>
        <v/>
      </c>
      <c r="G77" s="97" t="str">
        <f ca="1">IFERROR(IF(PréstamoNoPagado*PréstamoPagado,AmortizaciónInterés,""), "")</f>
        <v/>
      </c>
      <c r="H77" s="97" t="str">
        <f ca="1">IFERROR(IF(PréstamoNoPagado*PréstamoPagado,SaldoFinal,""), "")</f>
        <v/>
      </c>
    </row>
    <row r="78" spans="2:8" ht="20.100000000000001" customHeight="1" x14ac:dyDescent="0.3">
      <c r="B78" s="105" t="str">
        <f ca="1">IFERROR(IF(PréstamoNoPagado*PréstamoPagado,NúmeroDePago,""), "")</f>
        <v/>
      </c>
      <c r="C78" s="96" t="str">
        <f ca="1">IFERROR(IF(PréstamoNoPagado*PréstamoPagado,FechaDePago,""), "")</f>
        <v/>
      </c>
      <c r="D78" s="97" t="str">
        <f ca="1">IFERROR(IF(PréstamoNoPagado*PréstamoPagado,ValorPréstamo,""), "")</f>
        <v/>
      </c>
      <c r="E78" s="97" t="str">
        <f ca="1">IFERROR(IF(PréstamoNoPagado*PréstamoPagado,PagoMensual,""), "")</f>
        <v/>
      </c>
      <c r="F78" s="97" t="str">
        <f ca="1">IFERROR(IF(PréstamoNoPagado*PréstamoPagado,Capital,""), "")</f>
        <v/>
      </c>
      <c r="G78" s="97" t="str">
        <f ca="1">IFERROR(IF(PréstamoNoPagado*PréstamoPagado,AmortizaciónInterés,""), "")</f>
        <v/>
      </c>
      <c r="H78" s="97" t="str">
        <f ca="1">IFERROR(IF(PréstamoNoPagado*PréstamoPagado,SaldoFinal,""), "")</f>
        <v/>
      </c>
    </row>
    <row r="79" spans="2:8" ht="20.100000000000001" customHeight="1" x14ac:dyDescent="0.3">
      <c r="B79" s="105" t="str">
        <f ca="1">IFERROR(IF(PréstamoNoPagado*PréstamoPagado,NúmeroDePago,""), "")</f>
        <v/>
      </c>
      <c r="C79" s="96" t="str">
        <f ca="1">IFERROR(IF(PréstamoNoPagado*PréstamoPagado,FechaDePago,""), "")</f>
        <v/>
      </c>
      <c r="D79" s="97" t="str">
        <f ca="1">IFERROR(IF(PréstamoNoPagado*PréstamoPagado,ValorPréstamo,""), "")</f>
        <v/>
      </c>
      <c r="E79" s="97" t="str">
        <f ca="1">IFERROR(IF(PréstamoNoPagado*PréstamoPagado,PagoMensual,""), "")</f>
        <v/>
      </c>
      <c r="F79" s="97" t="str">
        <f ca="1">IFERROR(IF(PréstamoNoPagado*PréstamoPagado,Capital,""), "")</f>
        <v/>
      </c>
      <c r="G79" s="97" t="str">
        <f ca="1">IFERROR(IF(PréstamoNoPagado*PréstamoPagado,AmortizaciónInterés,""), "")</f>
        <v/>
      </c>
      <c r="H79" s="97" t="str">
        <f ca="1">IFERROR(IF(PréstamoNoPagado*PréstamoPagado,SaldoFinal,""), "")</f>
        <v/>
      </c>
    </row>
    <row r="80" spans="2:8" ht="20.100000000000001" customHeight="1" x14ac:dyDescent="0.3">
      <c r="B80" s="105" t="str">
        <f ca="1">IFERROR(IF(PréstamoNoPagado*PréstamoPagado,NúmeroDePago,""), "")</f>
        <v/>
      </c>
      <c r="C80" s="96" t="str">
        <f ca="1">IFERROR(IF(PréstamoNoPagado*PréstamoPagado,FechaDePago,""), "")</f>
        <v/>
      </c>
      <c r="D80" s="97" t="str">
        <f ca="1">IFERROR(IF(PréstamoNoPagado*PréstamoPagado,ValorPréstamo,""), "")</f>
        <v/>
      </c>
      <c r="E80" s="97" t="str">
        <f ca="1">IFERROR(IF(PréstamoNoPagado*PréstamoPagado,PagoMensual,""), "")</f>
        <v/>
      </c>
      <c r="F80" s="97" t="str">
        <f ca="1">IFERROR(IF(PréstamoNoPagado*PréstamoPagado,Capital,""), "")</f>
        <v/>
      </c>
      <c r="G80" s="97" t="str">
        <f ca="1">IFERROR(IF(PréstamoNoPagado*PréstamoPagado,AmortizaciónInterés,""), "")</f>
        <v/>
      </c>
      <c r="H80" s="97" t="str">
        <f ca="1">IFERROR(IF(PréstamoNoPagado*PréstamoPagado,SaldoFinal,""), "")</f>
        <v/>
      </c>
    </row>
    <row r="81" spans="2:8" ht="20.100000000000001" customHeight="1" x14ac:dyDescent="0.3">
      <c r="B81" s="105" t="str">
        <f ca="1">IFERROR(IF(PréstamoNoPagado*PréstamoPagado,NúmeroDePago,""), "")</f>
        <v/>
      </c>
      <c r="C81" s="96" t="str">
        <f ca="1">IFERROR(IF(PréstamoNoPagado*PréstamoPagado,FechaDePago,""), "")</f>
        <v/>
      </c>
      <c r="D81" s="97" t="str">
        <f ca="1">IFERROR(IF(PréstamoNoPagado*PréstamoPagado,ValorPréstamo,""), "")</f>
        <v/>
      </c>
      <c r="E81" s="97" t="str">
        <f ca="1">IFERROR(IF(PréstamoNoPagado*PréstamoPagado,PagoMensual,""), "")</f>
        <v/>
      </c>
      <c r="F81" s="97" t="str">
        <f ca="1">IFERROR(IF(PréstamoNoPagado*PréstamoPagado,Capital,""), "")</f>
        <v/>
      </c>
      <c r="G81" s="97" t="str">
        <f ca="1">IFERROR(IF(PréstamoNoPagado*PréstamoPagado,AmortizaciónInterés,""), "")</f>
        <v/>
      </c>
      <c r="H81" s="97" t="str">
        <f ca="1">IFERROR(IF(PréstamoNoPagado*PréstamoPagado,SaldoFinal,""), "")</f>
        <v/>
      </c>
    </row>
    <row r="82" spans="2:8" ht="20.100000000000001" customHeight="1" x14ac:dyDescent="0.3">
      <c r="B82" s="105" t="str">
        <f ca="1">IFERROR(IF(PréstamoNoPagado*PréstamoPagado,NúmeroDePago,""), "")</f>
        <v/>
      </c>
      <c r="C82" s="96" t="str">
        <f ca="1">IFERROR(IF(PréstamoNoPagado*PréstamoPagado,FechaDePago,""), "")</f>
        <v/>
      </c>
      <c r="D82" s="97" t="str">
        <f ca="1">IFERROR(IF(PréstamoNoPagado*PréstamoPagado,ValorPréstamo,""), "")</f>
        <v/>
      </c>
      <c r="E82" s="97" t="str">
        <f ca="1">IFERROR(IF(PréstamoNoPagado*PréstamoPagado,PagoMensual,""), "")</f>
        <v/>
      </c>
      <c r="F82" s="97" t="str">
        <f ca="1">IFERROR(IF(PréstamoNoPagado*PréstamoPagado,Capital,""), "")</f>
        <v/>
      </c>
      <c r="G82" s="97" t="str">
        <f ca="1">IFERROR(IF(PréstamoNoPagado*PréstamoPagado,AmortizaciónInterés,""), "")</f>
        <v/>
      </c>
      <c r="H82" s="97" t="str">
        <f ca="1">IFERROR(IF(PréstamoNoPagado*PréstamoPagado,SaldoFinal,""), "")</f>
        <v/>
      </c>
    </row>
    <row r="83" spans="2:8" ht="20.100000000000001" customHeight="1" x14ac:dyDescent="0.3">
      <c r="B83" s="105" t="str">
        <f ca="1">IFERROR(IF(PréstamoNoPagado*PréstamoPagado,NúmeroDePago,""), "")</f>
        <v/>
      </c>
      <c r="C83" s="96" t="str">
        <f ca="1">IFERROR(IF(PréstamoNoPagado*PréstamoPagado,FechaDePago,""), "")</f>
        <v/>
      </c>
      <c r="D83" s="97" t="str">
        <f ca="1">IFERROR(IF(PréstamoNoPagado*PréstamoPagado,ValorPréstamo,""), "")</f>
        <v/>
      </c>
      <c r="E83" s="97" t="str">
        <f ca="1">IFERROR(IF(PréstamoNoPagado*PréstamoPagado,PagoMensual,""), "")</f>
        <v/>
      </c>
      <c r="F83" s="97" t="str">
        <f ca="1">IFERROR(IF(PréstamoNoPagado*PréstamoPagado,Capital,""), "")</f>
        <v/>
      </c>
      <c r="G83" s="97" t="str">
        <f ca="1">IFERROR(IF(PréstamoNoPagado*PréstamoPagado,AmortizaciónInterés,""), "")</f>
        <v/>
      </c>
      <c r="H83" s="97" t="str">
        <f ca="1">IFERROR(IF(PréstamoNoPagado*PréstamoPagado,SaldoFinal,""), "")</f>
        <v/>
      </c>
    </row>
    <row r="84" spans="2:8" ht="20.100000000000001" customHeight="1" x14ac:dyDescent="0.3">
      <c r="B84" s="105" t="str">
        <f ca="1">IFERROR(IF(PréstamoNoPagado*PréstamoPagado,NúmeroDePago,""), "")</f>
        <v/>
      </c>
      <c r="C84" s="96" t="str">
        <f ca="1">IFERROR(IF(PréstamoNoPagado*PréstamoPagado,FechaDePago,""), "")</f>
        <v/>
      </c>
      <c r="D84" s="97" t="str">
        <f ca="1">IFERROR(IF(PréstamoNoPagado*PréstamoPagado,ValorPréstamo,""), "")</f>
        <v/>
      </c>
      <c r="E84" s="97" t="str">
        <f ca="1">IFERROR(IF(PréstamoNoPagado*PréstamoPagado,PagoMensual,""), "")</f>
        <v/>
      </c>
      <c r="F84" s="97" t="str">
        <f ca="1">IFERROR(IF(PréstamoNoPagado*PréstamoPagado,Capital,""), "")</f>
        <v/>
      </c>
      <c r="G84" s="97" t="str">
        <f ca="1">IFERROR(IF(PréstamoNoPagado*PréstamoPagado,AmortizaciónInterés,""), "")</f>
        <v/>
      </c>
      <c r="H84" s="97" t="str">
        <f ca="1">IFERROR(IF(PréstamoNoPagado*PréstamoPagado,SaldoFinal,""), "")</f>
        <v/>
      </c>
    </row>
    <row r="85" spans="2:8" ht="20.100000000000001" customHeight="1" x14ac:dyDescent="0.3">
      <c r="B85" s="105" t="str">
        <f ca="1">IFERROR(IF(PréstamoNoPagado*PréstamoPagado,NúmeroDePago,""), "")</f>
        <v/>
      </c>
      <c r="C85" s="96" t="str">
        <f ca="1">IFERROR(IF(PréstamoNoPagado*PréstamoPagado,FechaDePago,""), "")</f>
        <v/>
      </c>
      <c r="D85" s="97" t="str">
        <f ca="1">IFERROR(IF(PréstamoNoPagado*PréstamoPagado,ValorPréstamo,""), "")</f>
        <v/>
      </c>
      <c r="E85" s="97" t="str">
        <f ca="1">IFERROR(IF(PréstamoNoPagado*PréstamoPagado,PagoMensual,""), "")</f>
        <v/>
      </c>
      <c r="F85" s="97" t="str">
        <f ca="1">IFERROR(IF(PréstamoNoPagado*PréstamoPagado,Capital,""), "")</f>
        <v/>
      </c>
      <c r="G85" s="97" t="str">
        <f ca="1">IFERROR(IF(PréstamoNoPagado*PréstamoPagado,AmortizaciónInterés,""), "")</f>
        <v/>
      </c>
      <c r="H85" s="97" t="str">
        <f ca="1">IFERROR(IF(PréstamoNoPagado*PréstamoPagado,SaldoFinal,""), "")</f>
        <v/>
      </c>
    </row>
    <row r="86" spans="2:8" ht="20.100000000000001" customHeight="1" x14ac:dyDescent="0.3">
      <c r="B86" s="105" t="str">
        <f ca="1">IFERROR(IF(PréstamoNoPagado*PréstamoPagado,NúmeroDePago,""), "")</f>
        <v/>
      </c>
      <c r="C86" s="96" t="str">
        <f ca="1">IFERROR(IF(PréstamoNoPagado*PréstamoPagado,FechaDePago,""), "")</f>
        <v/>
      </c>
      <c r="D86" s="97" t="str">
        <f ca="1">IFERROR(IF(PréstamoNoPagado*PréstamoPagado,ValorPréstamo,""), "")</f>
        <v/>
      </c>
      <c r="E86" s="97" t="str">
        <f ca="1">IFERROR(IF(PréstamoNoPagado*PréstamoPagado,PagoMensual,""), "")</f>
        <v/>
      </c>
      <c r="F86" s="97" t="str">
        <f ca="1">IFERROR(IF(PréstamoNoPagado*PréstamoPagado,Capital,""), "")</f>
        <v/>
      </c>
      <c r="G86" s="97" t="str">
        <f ca="1">IFERROR(IF(PréstamoNoPagado*PréstamoPagado,AmortizaciónInterés,""), "")</f>
        <v/>
      </c>
      <c r="H86" s="97" t="str">
        <f ca="1">IFERROR(IF(PréstamoNoPagado*PréstamoPagado,SaldoFinal,""), "")</f>
        <v/>
      </c>
    </row>
    <row r="87" spans="2:8" ht="20.100000000000001" customHeight="1" x14ac:dyDescent="0.3">
      <c r="B87" s="105" t="str">
        <f ca="1">IFERROR(IF(PréstamoNoPagado*PréstamoPagado,NúmeroDePago,""), "")</f>
        <v/>
      </c>
      <c r="C87" s="96" t="str">
        <f ca="1">IFERROR(IF(PréstamoNoPagado*PréstamoPagado,FechaDePago,""), "")</f>
        <v/>
      </c>
      <c r="D87" s="97" t="str">
        <f ca="1">IFERROR(IF(PréstamoNoPagado*PréstamoPagado,ValorPréstamo,""), "")</f>
        <v/>
      </c>
      <c r="E87" s="97" t="str">
        <f ca="1">IFERROR(IF(PréstamoNoPagado*PréstamoPagado,PagoMensual,""), "")</f>
        <v/>
      </c>
      <c r="F87" s="97" t="str">
        <f ca="1">IFERROR(IF(PréstamoNoPagado*PréstamoPagado,Capital,""), "")</f>
        <v/>
      </c>
      <c r="G87" s="97" t="str">
        <f ca="1">IFERROR(IF(PréstamoNoPagado*PréstamoPagado,AmortizaciónInterés,""), "")</f>
        <v/>
      </c>
      <c r="H87" s="97" t="str">
        <f ca="1">IFERROR(IF(PréstamoNoPagado*PréstamoPagado,SaldoFinal,""), "")</f>
        <v/>
      </c>
    </row>
    <row r="88" spans="2:8" ht="20.100000000000001" customHeight="1" x14ac:dyDescent="0.3">
      <c r="B88" s="105" t="str">
        <f ca="1">IFERROR(IF(PréstamoNoPagado*PréstamoPagado,NúmeroDePago,""), "")</f>
        <v/>
      </c>
      <c r="C88" s="96" t="str">
        <f ca="1">IFERROR(IF(PréstamoNoPagado*PréstamoPagado,FechaDePago,""), "")</f>
        <v/>
      </c>
      <c r="D88" s="97" t="str">
        <f ca="1">IFERROR(IF(PréstamoNoPagado*PréstamoPagado,ValorPréstamo,""), "")</f>
        <v/>
      </c>
      <c r="E88" s="97" t="str">
        <f ca="1">IFERROR(IF(PréstamoNoPagado*PréstamoPagado,PagoMensual,""), "")</f>
        <v/>
      </c>
      <c r="F88" s="97" t="str">
        <f ca="1">IFERROR(IF(PréstamoNoPagado*PréstamoPagado,Capital,""), "")</f>
        <v/>
      </c>
      <c r="G88" s="97" t="str">
        <f ca="1">IFERROR(IF(PréstamoNoPagado*PréstamoPagado,AmortizaciónInterés,""), "")</f>
        <v/>
      </c>
      <c r="H88" s="97" t="str">
        <f ca="1">IFERROR(IF(PréstamoNoPagado*PréstamoPagado,SaldoFinal,""), "")</f>
        <v/>
      </c>
    </row>
    <row r="89" spans="2:8" ht="20.100000000000001" customHeight="1" x14ac:dyDescent="0.3">
      <c r="B89" s="105" t="str">
        <f ca="1">IFERROR(IF(PréstamoNoPagado*PréstamoPagado,NúmeroDePago,""), "")</f>
        <v/>
      </c>
      <c r="C89" s="96" t="str">
        <f ca="1">IFERROR(IF(PréstamoNoPagado*PréstamoPagado,FechaDePago,""), "")</f>
        <v/>
      </c>
      <c r="D89" s="97" t="str">
        <f ca="1">IFERROR(IF(PréstamoNoPagado*PréstamoPagado,ValorPréstamo,""), "")</f>
        <v/>
      </c>
      <c r="E89" s="97" t="str">
        <f ca="1">IFERROR(IF(PréstamoNoPagado*PréstamoPagado,PagoMensual,""), "")</f>
        <v/>
      </c>
      <c r="F89" s="97" t="str">
        <f ca="1">IFERROR(IF(PréstamoNoPagado*PréstamoPagado,Capital,""), "")</f>
        <v/>
      </c>
      <c r="G89" s="97" t="str">
        <f ca="1">IFERROR(IF(PréstamoNoPagado*PréstamoPagado,AmortizaciónInterés,""), "")</f>
        <v/>
      </c>
      <c r="H89" s="97" t="str">
        <f ca="1">IFERROR(IF(PréstamoNoPagado*PréstamoPagado,SaldoFinal,""), "")</f>
        <v/>
      </c>
    </row>
    <row r="90" spans="2:8" ht="20.100000000000001" customHeight="1" x14ac:dyDescent="0.3">
      <c r="B90" s="105" t="str">
        <f ca="1">IFERROR(IF(PréstamoNoPagado*PréstamoPagado,NúmeroDePago,""), "")</f>
        <v/>
      </c>
      <c r="C90" s="96" t="str">
        <f ca="1">IFERROR(IF(PréstamoNoPagado*PréstamoPagado,FechaDePago,""), "")</f>
        <v/>
      </c>
      <c r="D90" s="97" t="str">
        <f ca="1">IFERROR(IF(PréstamoNoPagado*PréstamoPagado,ValorPréstamo,""), "")</f>
        <v/>
      </c>
      <c r="E90" s="97" t="str">
        <f ca="1">IFERROR(IF(PréstamoNoPagado*PréstamoPagado,PagoMensual,""), "")</f>
        <v/>
      </c>
      <c r="F90" s="97" t="str">
        <f ca="1">IFERROR(IF(PréstamoNoPagado*PréstamoPagado,Capital,""), "")</f>
        <v/>
      </c>
      <c r="G90" s="97" t="str">
        <f ca="1">IFERROR(IF(PréstamoNoPagado*PréstamoPagado,AmortizaciónInterés,""), "")</f>
        <v/>
      </c>
      <c r="H90" s="97" t="str">
        <f ca="1">IFERROR(IF(PréstamoNoPagado*PréstamoPagado,SaldoFinal,""), "")</f>
        <v/>
      </c>
    </row>
    <row r="91" spans="2:8" ht="20.100000000000001" customHeight="1" x14ac:dyDescent="0.3">
      <c r="B91" s="105" t="str">
        <f ca="1">IFERROR(IF(PréstamoNoPagado*PréstamoPagado,NúmeroDePago,""), "")</f>
        <v/>
      </c>
      <c r="C91" s="96" t="str">
        <f ca="1">IFERROR(IF(PréstamoNoPagado*PréstamoPagado,FechaDePago,""), "")</f>
        <v/>
      </c>
      <c r="D91" s="97" t="str">
        <f ca="1">IFERROR(IF(PréstamoNoPagado*PréstamoPagado,ValorPréstamo,""), "")</f>
        <v/>
      </c>
      <c r="E91" s="97" t="str">
        <f ca="1">IFERROR(IF(PréstamoNoPagado*PréstamoPagado,PagoMensual,""), "")</f>
        <v/>
      </c>
      <c r="F91" s="97" t="str">
        <f ca="1">IFERROR(IF(PréstamoNoPagado*PréstamoPagado,Capital,""), "")</f>
        <v/>
      </c>
      <c r="G91" s="97" t="str">
        <f ca="1">IFERROR(IF(PréstamoNoPagado*PréstamoPagado,AmortizaciónInterés,""), "")</f>
        <v/>
      </c>
      <c r="H91" s="97" t="str">
        <f ca="1">IFERROR(IF(PréstamoNoPagado*PréstamoPagado,SaldoFinal,""), "")</f>
        <v/>
      </c>
    </row>
    <row r="92" spans="2:8" ht="20.100000000000001" customHeight="1" x14ac:dyDescent="0.3">
      <c r="B92" s="105" t="str">
        <f ca="1">IFERROR(IF(PréstamoNoPagado*PréstamoPagado,NúmeroDePago,""), "")</f>
        <v/>
      </c>
      <c r="C92" s="96" t="str">
        <f ca="1">IFERROR(IF(PréstamoNoPagado*PréstamoPagado,FechaDePago,""), "")</f>
        <v/>
      </c>
      <c r="D92" s="97" t="str">
        <f ca="1">IFERROR(IF(PréstamoNoPagado*PréstamoPagado,ValorPréstamo,""), "")</f>
        <v/>
      </c>
      <c r="E92" s="97" t="str">
        <f ca="1">IFERROR(IF(PréstamoNoPagado*PréstamoPagado,PagoMensual,""), "")</f>
        <v/>
      </c>
      <c r="F92" s="97" t="str">
        <f ca="1">IFERROR(IF(PréstamoNoPagado*PréstamoPagado,Capital,""), "")</f>
        <v/>
      </c>
      <c r="G92" s="97" t="str">
        <f ca="1">IFERROR(IF(PréstamoNoPagado*PréstamoPagado,AmortizaciónInterés,""), "")</f>
        <v/>
      </c>
      <c r="H92" s="97" t="str">
        <f ca="1">IFERROR(IF(PréstamoNoPagado*PréstamoPagado,SaldoFinal,""), "")</f>
        <v/>
      </c>
    </row>
    <row r="93" spans="2:8" ht="20.100000000000001" customHeight="1" x14ac:dyDescent="0.3">
      <c r="B93" s="105" t="str">
        <f ca="1">IFERROR(IF(PréstamoNoPagado*PréstamoPagado,NúmeroDePago,""), "")</f>
        <v/>
      </c>
      <c r="C93" s="96" t="str">
        <f ca="1">IFERROR(IF(PréstamoNoPagado*PréstamoPagado,FechaDePago,""), "")</f>
        <v/>
      </c>
      <c r="D93" s="97" t="str">
        <f ca="1">IFERROR(IF(PréstamoNoPagado*PréstamoPagado,ValorPréstamo,""), "")</f>
        <v/>
      </c>
      <c r="E93" s="97" t="str">
        <f ca="1">IFERROR(IF(PréstamoNoPagado*PréstamoPagado,PagoMensual,""), "")</f>
        <v/>
      </c>
      <c r="F93" s="97" t="str">
        <f ca="1">IFERROR(IF(PréstamoNoPagado*PréstamoPagado,Capital,""), "")</f>
        <v/>
      </c>
      <c r="G93" s="97" t="str">
        <f ca="1">IFERROR(IF(PréstamoNoPagado*PréstamoPagado,AmortizaciónInterés,""), "")</f>
        <v/>
      </c>
      <c r="H93" s="97" t="str">
        <f ca="1">IFERROR(IF(PréstamoNoPagado*PréstamoPagado,SaldoFinal,""), "")</f>
        <v/>
      </c>
    </row>
    <row r="94" spans="2:8" ht="20.100000000000001" customHeight="1" x14ac:dyDescent="0.3">
      <c r="B94" s="105" t="str">
        <f ca="1">IFERROR(IF(PréstamoNoPagado*PréstamoPagado,NúmeroDePago,""), "")</f>
        <v/>
      </c>
      <c r="C94" s="96" t="str">
        <f ca="1">IFERROR(IF(PréstamoNoPagado*PréstamoPagado,FechaDePago,""), "")</f>
        <v/>
      </c>
      <c r="D94" s="97" t="str">
        <f ca="1">IFERROR(IF(PréstamoNoPagado*PréstamoPagado,ValorPréstamo,""), "")</f>
        <v/>
      </c>
      <c r="E94" s="97" t="str">
        <f ca="1">IFERROR(IF(PréstamoNoPagado*PréstamoPagado,PagoMensual,""), "")</f>
        <v/>
      </c>
      <c r="F94" s="97" t="str">
        <f ca="1">IFERROR(IF(PréstamoNoPagado*PréstamoPagado,Capital,""), "")</f>
        <v/>
      </c>
      <c r="G94" s="97" t="str">
        <f ca="1">IFERROR(IF(PréstamoNoPagado*PréstamoPagado,AmortizaciónInterés,""), "")</f>
        <v/>
      </c>
      <c r="H94" s="97" t="str">
        <f ca="1">IFERROR(IF(PréstamoNoPagado*PréstamoPagado,SaldoFinal,""), "")</f>
        <v/>
      </c>
    </row>
    <row r="95" spans="2:8" ht="20.100000000000001" customHeight="1" x14ac:dyDescent="0.3">
      <c r="B95" s="105" t="str">
        <f ca="1">IFERROR(IF(PréstamoNoPagado*PréstamoPagado,NúmeroDePago,""), "")</f>
        <v/>
      </c>
      <c r="C95" s="96" t="str">
        <f ca="1">IFERROR(IF(PréstamoNoPagado*PréstamoPagado,FechaDePago,""), "")</f>
        <v/>
      </c>
      <c r="D95" s="97" t="str">
        <f ca="1">IFERROR(IF(PréstamoNoPagado*PréstamoPagado,ValorPréstamo,""), "")</f>
        <v/>
      </c>
      <c r="E95" s="97" t="str">
        <f ca="1">IFERROR(IF(PréstamoNoPagado*PréstamoPagado,PagoMensual,""), "")</f>
        <v/>
      </c>
      <c r="F95" s="97" t="str">
        <f ca="1">IFERROR(IF(PréstamoNoPagado*PréstamoPagado,Capital,""), "")</f>
        <v/>
      </c>
      <c r="G95" s="97" t="str">
        <f ca="1">IFERROR(IF(PréstamoNoPagado*PréstamoPagado,AmortizaciónInterés,""), "")</f>
        <v/>
      </c>
      <c r="H95" s="97" t="str">
        <f ca="1">IFERROR(IF(PréstamoNoPagado*PréstamoPagado,SaldoFinal,""), "")</f>
        <v/>
      </c>
    </row>
    <row r="96" spans="2:8" ht="20.100000000000001" customHeight="1" x14ac:dyDescent="0.3">
      <c r="B96" s="105" t="str">
        <f ca="1">IFERROR(IF(PréstamoNoPagado*PréstamoPagado,NúmeroDePago,""), "")</f>
        <v/>
      </c>
      <c r="C96" s="96" t="str">
        <f ca="1">IFERROR(IF(PréstamoNoPagado*PréstamoPagado,FechaDePago,""), "")</f>
        <v/>
      </c>
      <c r="D96" s="97" t="str">
        <f ca="1">IFERROR(IF(PréstamoNoPagado*PréstamoPagado,ValorPréstamo,""), "")</f>
        <v/>
      </c>
      <c r="E96" s="97" t="str">
        <f ca="1">IFERROR(IF(PréstamoNoPagado*PréstamoPagado,PagoMensual,""), "")</f>
        <v/>
      </c>
      <c r="F96" s="97" t="str">
        <f ca="1">IFERROR(IF(PréstamoNoPagado*PréstamoPagado,Capital,""), "")</f>
        <v/>
      </c>
      <c r="G96" s="97" t="str">
        <f ca="1">IFERROR(IF(PréstamoNoPagado*PréstamoPagado,AmortizaciónInterés,""), "")</f>
        <v/>
      </c>
      <c r="H96" s="97" t="str">
        <f ca="1">IFERROR(IF(PréstamoNoPagado*PréstamoPagado,SaldoFinal,""), "")</f>
        <v/>
      </c>
    </row>
    <row r="97" spans="2:8" ht="20.100000000000001" customHeight="1" x14ac:dyDescent="0.3">
      <c r="B97" s="105" t="str">
        <f ca="1">IFERROR(IF(PréstamoNoPagado*PréstamoPagado,NúmeroDePago,""), "")</f>
        <v/>
      </c>
      <c r="C97" s="96" t="str">
        <f ca="1">IFERROR(IF(PréstamoNoPagado*PréstamoPagado,FechaDePago,""), "")</f>
        <v/>
      </c>
      <c r="D97" s="97" t="str">
        <f ca="1">IFERROR(IF(PréstamoNoPagado*PréstamoPagado,ValorPréstamo,""), "")</f>
        <v/>
      </c>
      <c r="E97" s="97" t="str">
        <f ca="1">IFERROR(IF(PréstamoNoPagado*PréstamoPagado,PagoMensual,""), "")</f>
        <v/>
      </c>
      <c r="F97" s="97" t="str">
        <f ca="1">IFERROR(IF(PréstamoNoPagado*PréstamoPagado,Capital,""), "")</f>
        <v/>
      </c>
      <c r="G97" s="97" t="str">
        <f ca="1">IFERROR(IF(PréstamoNoPagado*PréstamoPagado,AmortizaciónInterés,""), "")</f>
        <v/>
      </c>
      <c r="H97" s="97" t="str">
        <f ca="1">IFERROR(IF(PréstamoNoPagado*PréstamoPagado,SaldoFinal,""), "")</f>
        <v/>
      </c>
    </row>
    <row r="98" spans="2:8" ht="20.100000000000001" customHeight="1" x14ac:dyDescent="0.3">
      <c r="B98" s="105" t="str">
        <f ca="1">IFERROR(IF(PréstamoNoPagado*PréstamoPagado,NúmeroDePago,""), "")</f>
        <v/>
      </c>
      <c r="C98" s="96" t="str">
        <f ca="1">IFERROR(IF(PréstamoNoPagado*PréstamoPagado,FechaDePago,""), "")</f>
        <v/>
      </c>
      <c r="D98" s="97" t="str">
        <f ca="1">IFERROR(IF(PréstamoNoPagado*PréstamoPagado,ValorPréstamo,""), "")</f>
        <v/>
      </c>
      <c r="E98" s="97" t="str">
        <f ca="1">IFERROR(IF(PréstamoNoPagado*PréstamoPagado,PagoMensual,""), "")</f>
        <v/>
      </c>
      <c r="F98" s="97" t="str">
        <f ca="1">IFERROR(IF(PréstamoNoPagado*PréstamoPagado,Capital,""), "")</f>
        <v/>
      </c>
      <c r="G98" s="97" t="str">
        <f ca="1">IFERROR(IF(PréstamoNoPagado*PréstamoPagado,AmortizaciónInterés,""), "")</f>
        <v/>
      </c>
      <c r="H98" s="97" t="str">
        <f ca="1">IFERROR(IF(PréstamoNoPagado*PréstamoPagado,SaldoFinal,""), "")</f>
        <v/>
      </c>
    </row>
    <row r="99" spans="2:8" ht="20.100000000000001" customHeight="1" x14ac:dyDescent="0.3">
      <c r="B99" s="105" t="str">
        <f ca="1">IFERROR(IF(PréstamoNoPagado*PréstamoPagado,NúmeroDePago,""), "")</f>
        <v/>
      </c>
      <c r="C99" s="96" t="str">
        <f ca="1">IFERROR(IF(PréstamoNoPagado*PréstamoPagado,FechaDePago,""), "")</f>
        <v/>
      </c>
      <c r="D99" s="97" t="str">
        <f ca="1">IFERROR(IF(PréstamoNoPagado*PréstamoPagado,ValorPréstamo,""), "")</f>
        <v/>
      </c>
      <c r="E99" s="97" t="str">
        <f ca="1">IFERROR(IF(PréstamoNoPagado*PréstamoPagado,PagoMensual,""), "")</f>
        <v/>
      </c>
      <c r="F99" s="97" t="str">
        <f ca="1">IFERROR(IF(PréstamoNoPagado*PréstamoPagado,Capital,""), "")</f>
        <v/>
      </c>
      <c r="G99" s="97" t="str">
        <f ca="1">IFERROR(IF(PréstamoNoPagado*PréstamoPagado,AmortizaciónInterés,""), "")</f>
        <v/>
      </c>
      <c r="H99" s="97" t="str">
        <f ca="1">IFERROR(IF(PréstamoNoPagado*PréstamoPagado,SaldoFinal,""), "")</f>
        <v/>
      </c>
    </row>
    <row r="100" spans="2:8" ht="20.100000000000001" customHeight="1" x14ac:dyDescent="0.3">
      <c r="B100" s="105" t="str">
        <f ca="1">IFERROR(IF(PréstamoNoPagado*PréstamoPagado,NúmeroDePago,""), "")</f>
        <v/>
      </c>
      <c r="C100" s="96" t="str">
        <f ca="1">IFERROR(IF(PréstamoNoPagado*PréstamoPagado,FechaDePago,""), "")</f>
        <v/>
      </c>
      <c r="D100" s="97" t="str">
        <f ca="1">IFERROR(IF(PréstamoNoPagado*PréstamoPagado,ValorPréstamo,""), "")</f>
        <v/>
      </c>
      <c r="E100" s="97" t="str">
        <f ca="1">IFERROR(IF(PréstamoNoPagado*PréstamoPagado,PagoMensual,""), "")</f>
        <v/>
      </c>
      <c r="F100" s="97" t="str">
        <f ca="1">IFERROR(IF(PréstamoNoPagado*PréstamoPagado,Capital,""), "")</f>
        <v/>
      </c>
      <c r="G100" s="97" t="str">
        <f ca="1">IFERROR(IF(PréstamoNoPagado*PréstamoPagado,AmortizaciónInterés,""), "")</f>
        <v/>
      </c>
      <c r="H100" s="97" t="str">
        <f ca="1">IFERROR(IF(PréstamoNoPagado*PréstamoPagado,SaldoFinal,""), "")</f>
        <v/>
      </c>
    </row>
    <row r="101" spans="2:8" ht="20.100000000000001" customHeight="1" x14ac:dyDescent="0.3">
      <c r="B101" s="105" t="str">
        <f ca="1">IFERROR(IF(PréstamoNoPagado*PréstamoPagado,NúmeroDePago,""), "")</f>
        <v/>
      </c>
      <c r="C101" s="96" t="str">
        <f ca="1">IFERROR(IF(PréstamoNoPagado*PréstamoPagado,FechaDePago,""), "")</f>
        <v/>
      </c>
      <c r="D101" s="97" t="str">
        <f ca="1">IFERROR(IF(PréstamoNoPagado*PréstamoPagado,ValorPréstamo,""), "")</f>
        <v/>
      </c>
      <c r="E101" s="97" t="str">
        <f ca="1">IFERROR(IF(PréstamoNoPagado*PréstamoPagado,PagoMensual,""), "")</f>
        <v/>
      </c>
      <c r="F101" s="97" t="str">
        <f ca="1">IFERROR(IF(PréstamoNoPagado*PréstamoPagado,Capital,""), "")</f>
        <v/>
      </c>
      <c r="G101" s="97" t="str">
        <f ca="1">IFERROR(IF(PréstamoNoPagado*PréstamoPagado,AmortizaciónInterés,""), "")</f>
        <v/>
      </c>
      <c r="H101" s="97" t="str">
        <f ca="1">IFERROR(IF(PréstamoNoPagado*PréstamoPagado,SaldoFinal,""), "")</f>
        <v/>
      </c>
    </row>
    <row r="102" spans="2:8" ht="20.100000000000001" customHeight="1" x14ac:dyDescent="0.3">
      <c r="B102" s="105" t="str">
        <f ca="1">IFERROR(IF(PréstamoNoPagado*PréstamoPagado,NúmeroDePago,""), "")</f>
        <v/>
      </c>
      <c r="C102" s="96" t="str">
        <f ca="1">IFERROR(IF(PréstamoNoPagado*PréstamoPagado,FechaDePago,""), "")</f>
        <v/>
      </c>
      <c r="D102" s="97" t="str">
        <f ca="1">IFERROR(IF(PréstamoNoPagado*PréstamoPagado,ValorPréstamo,""), "")</f>
        <v/>
      </c>
      <c r="E102" s="97" t="str">
        <f ca="1">IFERROR(IF(PréstamoNoPagado*PréstamoPagado,PagoMensual,""), "")</f>
        <v/>
      </c>
      <c r="F102" s="97" t="str">
        <f ca="1">IFERROR(IF(PréstamoNoPagado*PréstamoPagado,Capital,""), "")</f>
        <v/>
      </c>
      <c r="G102" s="97" t="str">
        <f ca="1">IFERROR(IF(PréstamoNoPagado*PréstamoPagado,AmortizaciónInterés,""), "")</f>
        <v/>
      </c>
      <c r="H102" s="97" t="str">
        <f ca="1">IFERROR(IF(PréstamoNoPagado*PréstamoPagado,SaldoFinal,""), "")</f>
        <v/>
      </c>
    </row>
    <row r="103" spans="2:8" ht="20.100000000000001" customHeight="1" x14ac:dyDescent="0.3">
      <c r="B103" s="105" t="str">
        <f ca="1">IFERROR(IF(PréstamoNoPagado*PréstamoPagado,NúmeroDePago,""), "")</f>
        <v/>
      </c>
      <c r="C103" s="96" t="str">
        <f ca="1">IFERROR(IF(PréstamoNoPagado*PréstamoPagado,FechaDePago,""), "")</f>
        <v/>
      </c>
      <c r="D103" s="97" t="str">
        <f ca="1">IFERROR(IF(PréstamoNoPagado*PréstamoPagado,ValorPréstamo,""), "")</f>
        <v/>
      </c>
      <c r="E103" s="97" t="str">
        <f ca="1">IFERROR(IF(PréstamoNoPagado*PréstamoPagado,PagoMensual,""), "")</f>
        <v/>
      </c>
      <c r="F103" s="97" t="str">
        <f ca="1">IFERROR(IF(PréstamoNoPagado*PréstamoPagado,Capital,""), "")</f>
        <v/>
      </c>
      <c r="G103" s="97" t="str">
        <f ca="1">IFERROR(IF(PréstamoNoPagado*PréstamoPagado,AmortizaciónInterés,""), "")</f>
        <v/>
      </c>
      <c r="H103" s="97" t="str">
        <f ca="1">IFERROR(IF(PréstamoNoPagado*PréstamoPagado,SaldoFinal,""), "")</f>
        <v/>
      </c>
    </row>
    <row r="104" spans="2:8" ht="20.100000000000001" customHeight="1" x14ac:dyDescent="0.3">
      <c r="B104" s="105" t="str">
        <f ca="1">IFERROR(IF(PréstamoNoPagado*PréstamoPagado,NúmeroDePago,""), "")</f>
        <v/>
      </c>
      <c r="C104" s="96" t="str">
        <f ca="1">IFERROR(IF(PréstamoNoPagado*PréstamoPagado,FechaDePago,""), "")</f>
        <v/>
      </c>
      <c r="D104" s="97" t="str">
        <f ca="1">IFERROR(IF(PréstamoNoPagado*PréstamoPagado,ValorPréstamo,""), "")</f>
        <v/>
      </c>
      <c r="E104" s="97" t="str">
        <f ca="1">IFERROR(IF(PréstamoNoPagado*PréstamoPagado,PagoMensual,""), "")</f>
        <v/>
      </c>
      <c r="F104" s="97" t="str">
        <f ca="1">IFERROR(IF(PréstamoNoPagado*PréstamoPagado,Capital,""), "")</f>
        <v/>
      </c>
      <c r="G104" s="97" t="str">
        <f ca="1">IFERROR(IF(PréstamoNoPagado*PréstamoPagado,AmortizaciónInterés,""), "")</f>
        <v/>
      </c>
      <c r="H104" s="97" t="str">
        <f ca="1">IFERROR(IF(PréstamoNoPagado*PréstamoPagado,SaldoFinal,""), "")</f>
        <v/>
      </c>
    </row>
    <row r="105" spans="2:8" ht="20.100000000000001" customHeight="1" x14ac:dyDescent="0.3">
      <c r="B105" s="105" t="str">
        <f ca="1">IFERROR(IF(PréstamoNoPagado*PréstamoPagado,NúmeroDePago,""), "")</f>
        <v/>
      </c>
      <c r="C105" s="96" t="str">
        <f ca="1">IFERROR(IF(PréstamoNoPagado*PréstamoPagado,FechaDePago,""), "")</f>
        <v/>
      </c>
      <c r="D105" s="97" t="str">
        <f ca="1">IFERROR(IF(PréstamoNoPagado*PréstamoPagado,ValorPréstamo,""), "")</f>
        <v/>
      </c>
      <c r="E105" s="97" t="str">
        <f ca="1">IFERROR(IF(PréstamoNoPagado*PréstamoPagado,PagoMensual,""), "")</f>
        <v/>
      </c>
      <c r="F105" s="97" t="str">
        <f ca="1">IFERROR(IF(PréstamoNoPagado*PréstamoPagado,Capital,""), "")</f>
        <v/>
      </c>
      <c r="G105" s="97" t="str">
        <f ca="1">IFERROR(IF(PréstamoNoPagado*PréstamoPagado,AmortizaciónInterés,""), "")</f>
        <v/>
      </c>
      <c r="H105" s="97" t="str">
        <f ca="1">IFERROR(IF(PréstamoNoPagado*PréstamoPagado,SaldoFinal,""), "")</f>
        <v/>
      </c>
    </row>
    <row r="106" spans="2:8" ht="20.100000000000001" customHeight="1" x14ac:dyDescent="0.3">
      <c r="B106" s="105" t="str">
        <f ca="1">IFERROR(IF(PréstamoNoPagado*PréstamoPagado,NúmeroDePago,""), "")</f>
        <v/>
      </c>
      <c r="C106" s="96" t="str">
        <f ca="1">IFERROR(IF(PréstamoNoPagado*PréstamoPagado,FechaDePago,""), "")</f>
        <v/>
      </c>
      <c r="D106" s="97" t="str">
        <f ca="1">IFERROR(IF(PréstamoNoPagado*PréstamoPagado,ValorPréstamo,""), "")</f>
        <v/>
      </c>
      <c r="E106" s="97" t="str">
        <f ca="1">IFERROR(IF(PréstamoNoPagado*PréstamoPagado,PagoMensual,""), "")</f>
        <v/>
      </c>
      <c r="F106" s="97" t="str">
        <f ca="1">IFERROR(IF(PréstamoNoPagado*PréstamoPagado,Capital,""), "")</f>
        <v/>
      </c>
      <c r="G106" s="97" t="str">
        <f ca="1">IFERROR(IF(PréstamoNoPagado*PréstamoPagado,AmortizaciónInterés,""), "")</f>
        <v/>
      </c>
      <c r="H106" s="97" t="str">
        <f ca="1">IFERROR(IF(PréstamoNoPagado*PréstamoPagado,SaldoFinal,""), "")</f>
        <v/>
      </c>
    </row>
    <row r="107" spans="2:8" ht="20.100000000000001" customHeight="1" x14ac:dyDescent="0.3">
      <c r="B107" s="105" t="str">
        <f ca="1">IFERROR(IF(PréstamoNoPagado*PréstamoPagado,NúmeroDePago,""), "")</f>
        <v/>
      </c>
      <c r="C107" s="96" t="str">
        <f ca="1">IFERROR(IF(PréstamoNoPagado*PréstamoPagado,FechaDePago,""), "")</f>
        <v/>
      </c>
      <c r="D107" s="97" t="str">
        <f ca="1">IFERROR(IF(PréstamoNoPagado*PréstamoPagado,ValorPréstamo,""), "")</f>
        <v/>
      </c>
      <c r="E107" s="97" t="str">
        <f ca="1">IFERROR(IF(PréstamoNoPagado*PréstamoPagado,PagoMensual,""), "")</f>
        <v/>
      </c>
      <c r="F107" s="97" t="str">
        <f ca="1">IFERROR(IF(PréstamoNoPagado*PréstamoPagado,Capital,""), "")</f>
        <v/>
      </c>
      <c r="G107" s="97" t="str">
        <f ca="1">IFERROR(IF(PréstamoNoPagado*PréstamoPagado,AmortizaciónInterés,""), "")</f>
        <v/>
      </c>
      <c r="H107" s="97" t="str">
        <f ca="1">IFERROR(IF(PréstamoNoPagado*PréstamoPagado,SaldoFinal,""), "")</f>
        <v/>
      </c>
    </row>
    <row r="108" spans="2:8" ht="20.100000000000001" customHeight="1" x14ac:dyDescent="0.3">
      <c r="B108" s="105" t="str">
        <f ca="1">IFERROR(IF(PréstamoNoPagado*PréstamoPagado,NúmeroDePago,""), "")</f>
        <v/>
      </c>
      <c r="C108" s="96" t="str">
        <f ca="1">IFERROR(IF(PréstamoNoPagado*PréstamoPagado,FechaDePago,""), "")</f>
        <v/>
      </c>
      <c r="D108" s="97" t="str">
        <f ca="1">IFERROR(IF(PréstamoNoPagado*PréstamoPagado,ValorPréstamo,""), "")</f>
        <v/>
      </c>
      <c r="E108" s="97" t="str">
        <f ca="1">IFERROR(IF(PréstamoNoPagado*PréstamoPagado,PagoMensual,""), "")</f>
        <v/>
      </c>
      <c r="F108" s="97" t="str">
        <f ca="1">IFERROR(IF(PréstamoNoPagado*PréstamoPagado,Capital,""), "")</f>
        <v/>
      </c>
      <c r="G108" s="97" t="str">
        <f ca="1">IFERROR(IF(PréstamoNoPagado*PréstamoPagado,AmortizaciónInterés,""), "")</f>
        <v/>
      </c>
      <c r="H108" s="97" t="str">
        <f ca="1">IFERROR(IF(PréstamoNoPagado*PréstamoPagado,SaldoFinal,""), "")</f>
        <v/>
      </c>
    </row>
    <row r="109" spans="2:8" ht="20.100000000000001" customHeight="1" x14ac:dyDescent="0.3">
      <c r="B109" s="105" t="str">
        <f ca="1">IFERROR(IF(PréstamoNoPagado*PréstamoPagado,NúmeroDePago,""), "")</f>
        <v/>
      </c>
      <c r="C109" s="96" t="str">
        <f ca="1">IFERROR(IF(PréstamoNoPagado*PréstamoPagado,FechaDePago,""), "")</f>
        <v/>
      </c>
      <c r="D109" s="97" t="str">
        <f ca="1">IFERROR(IF(PréstamoNoPagado*PréstamoPagado,ValorPréstamo,""), "")</f>
        <v/>
      </c>
      <c r="E109" s="97" t="str">
        <f ca="1">IFERROR(IF(PréstamoNoPagado*PréstamoPagado,PagoMensual,""), "")</f>
        <v/>
      </c>
      <c r="F109" s="97" t="str">
        <f ca="1">IFERROR(IF(PréstamoNoPagado*PréstamoPagado,Capital,""), "")</f>
        <v/>
      </c>
      <c r="G109" s="97" t="str">
        <f ca="1">IFERROR(IF(PréstamoNoPagado*PréstamoPagado,AmortizaciónInterés,""), "")</f>
        <v/>
      </c>
      <c r="H109" s="97" t="str">
        <f ca="1">IFERROR(IF(PréstamoNoPagado*PréstamoPagado,SaldoFinal,""), "")</f>
        <v/>
      </c>
    </row>
    <row r="110" spans="2:8" ht="20.100000000000001" customHeight="1" x14ac:dyDescent="0.3">
      <c r="B110" s="105" t="str">
        <f ca="1">IFERROR(IF(PréstamoNoPagado*PréstamoPagado,NúmeroDePago,""), "")</f>
        <v/>
      </c>
      <c r="C110" s="96" t="str">
        <f ca="1">IFERROR(IF(PréstamoNoPagado*PréstamoPagado,FechaDePago,""), "")</f>
        <v/>
      </c>
      <c r="D110" s="97" t="str">
        <f ca="1">IFERROR(IF(PréstamoNoPagado*PréstamoPagado,ValorPréstamo,""), "")</f>
        <v/>
      </c>
      <c r="E110" s="97" t="str">
        <f ca="1">IFERROR(IF(PréstamoNoPagado*PréstamoPagado,PagoMensual,""), "")</f>
        <v/>
      </c>
      <c r="F110" s="97" t="str">
        <f ca="1">IFERROR(IF(PréstamoNoPagado*PréstamoPagado,Capital,""), "")</f>
        <v/>
      </c>
      <c r="G110" s="97" t="str">
        <f ca="1">IFERROR(IF(PréstamoNoPagado*PréstamoPagado,AmortizaciónInterés,""), "")</f>
        <v/>
      </c>
      <c r="H110" s="97" t="str">
        <f ca="1">IFERROR(IF(PréstamoNoPagado*PréstamoPagado,SaldoFinal,""), "")</f>
        <v/>
      </c>
    </row>
    <row r="111" spans="2:8" ht="20.100000000000001" customHeight="1" x14ac:dyDescent="0.3">
      <c r="B111" s="105" t="str">
        <f ca="1">IFERROR(IF(PréstamoNoPagado*PréstamoPagado,NúmeroDePago,""), "")</f>
        <v/>
      </c>
      <c r="C111" s="96" t="str">
        <f ca="1">IFERROR(IF(PréstamoNoPagado*PréstamoPagado,FechaDePago,""), "")</f>
        <v/>
      </c>
      <c r="D111" s="97" t="str">
        <f ca="1">IFERROR(IF(PréstamoNoPagado*PréstamoPagado,ValorPréstamo,""), "")</f>
        <v/>
      </c>
      <c r="E111" s="97" t="str">
        <f ca="1">IFERROR(IF(PréstamoNoPagado*PréstamoPagado,PagoMensual,""), "")</f>
        <v/>
      </c>
      <c r="F111" s="97" t="str">
        <f ca="1">IFERROR(IF(PréstamoNoPagado*PréstamoPagado,Capital,""), "")</f>
        <v/>
      </c>
      <c r="G111" s="97" t="str">
        <f ca="1">IFERROR(IF(PréstamoNoPagado*PréstamoPagado,AmortizaciónInterés,""), "")</f>
        <v/>
      </c>
      <c r="H111" s="97" t="str">
        <f ca="1">IFERROR(IF(PréstamoNoPagado*PréstamoPagado,SaldoFinal,""), "")</f>
        <v/>
      </c>
    </row>
    <row r="112" spans="2:8" ht="20.100000000000001" customHeight="1" x14ac:dyDescent="0.3">
      <c r="B112" s="105" t="str">
        <f ca="1">IFERROR(IF(PréstamoNoPagado*PréstamoPagado,NúmeroDePago,""), "")</f>
        <v/>
      </c>
      <c r="C112" s="96" t="str">
        <f ca="1">IFERROR(IF(PréstamoNoPagado*PréstamoPagado,FechaDePago,""), "")</f>
        <v/>
      </c>
      <c r="D112" s="97" t="str">
        <f ca="1">IFERROR(IF(PréstamoNoPagado*PréstamoPagado,ValorPréstamo,""), "")</f>
        <v/>
      </c>
      <c r="E112" s="97" t="str">
        <f ca="1">IFERROR(IF(PréstamoNoPagado*PréstamoPagado,PagoMensual,""), "")</f>
        <v/>
      </c>
      <c r="F112" s="97" t="str">
        <f ca="1">IFERROR(IF(PréstamoNoPagado*PréstamoPagado,Capital,""), "")</f>
        <v/>
      </c>
      <c r="G112" s="97" t="str">
        <f ca="1">IFERROR(IF(PréstamoNoPagado*PréstamoPagado,AmortizaciónInterés,""), "")</f>
        <v/>
      </c>
      <c r="H112" s="97" t="str">
        <f ca="1">IFERROR(IF(PréstamoNoPagado*PréstamoPagado,SaldoFinal,""), "")</f>
        <v/>
      </c>
    </row>
    <row r="113" spans="2:8" ht="20.100000000000001" customHeight="1" x14ac:dyDescent="0.3">
      <c r="B113" s="105" t="str">
        <f ca="1">IFERROR(IF(PréstamoNoPagado*PréstamoPagado,NúmeroDePago,""), "")</f>
        <v/>
      </c>
      <c r="C113" s="96" t="str">
        <f ca="1">IFERROR(IF(PréstamoNoPagado*PréstamoPagado,FechaDePago,""), "")</f>
        <v/>
      </c>
      <c r="D113" s="97" t="str">
        <f ca="1">IFERROR(IF(PréstamoNoPagado*PréstamoPagado,ValorPréstamo,""), "")</f>
        <v/>
      </c>
      <c r="E113" s="97" t="str">
        <f ca="1">IFERROR(IF(PréstamoNoPagado*PréstamoPagado,PagoMensual,""), "")</f>
        <v/>
      </c>
      <c r="F113" s="97" t="str">
        <f ca="1">IFERROR(IF(PréstamoNoPagado*PréstamoPagado,Capital,""), "")</f>
        <v/>
      </c>
      <c r="G113" s="97" t="str">
        <f ca="1">IFERROR(IF(PréstamoNoPagado*PréstamoPagado,AmortizaciónInterés,""), "")</f>
        <v/>
      </c>
      <c r="H113" s="97" t="str">
        <f ca="1">IFERROR(IF(PréstamoNoPagado*PréstamoPagado,SaldoFinal,""), "")</f>
        <v/>
      </c>
    </row>
    <row r="114" spans="2:8" ht="20.100000000000001" customHeight="1" x14ac:dyDescent="0.3">
      <c r="B114" s="105" t="str">
        <f ca="1">IFERROR(IF(PréstamoNoPagado*PréstamoPagado,NúmeroDePago,""), "")</f>
        <v/>
      </c>
      <c r="C114" s="96" t="str">
        <f ca="1">IFERROR(IF(PréstamoNoPagado*PréstamoPagado,FechaDePago,""), "")</f>
        <v/>
      </c>
      <c r="D114" s="97" t="str">
        <f ca="1">IFERROR(IF(PréstamoNoPagado*PréstamoPagado,ValorPréstamo,""), "")</f>
        <v/>
      </c>
      <c r="E114" s="97" t="str">
        <f ca="1">IFERROR(IF(PréstamoNoPagado*PréstamoPagado,PagoMensual,""), "")</f>
        <v/>
      </c>
      <c r="F114" s="97" t="str">
        <f ca="1">IFERROR(IF(PréstamoNoPagado*PréstamoPagado,Capital,""), "")</f>
        <v/>
      </c>
      <c r="G114" s="97" t="str">
        <f ca="1">IFERROR(IF(PréstamoNoPagado*PréstamoPagado,AmortizaciónInterés,""), "")</f>
        <v/>
      </c>
      <c r="H114" s="97" t="str">
        <f ca="1">IFERROR(IF(PréstamoNoPagado*PréstamoPagado,SaldoFinal,""), "")</f>
        <v/>
      </c>
    </row>
    <row r="115" spans="2:8" ht="20.100000000000001" customHeight="1" x14ac:dyDescent="0.3">
      <c r="B115" s="105" t="str">
        <f ca="1">IFERROR(IF(PréstamoNoPagado*PréstamoPagado,NúmeroDePago,""), "")</f>
        <v/>
      </c>
      <c r="C115" s="96" t="str">
        <f ca="1">IFERROR(IF(PréstamoNoPagado*PréstamoPagado,FechaDePago,""), "")</f>
        <v/>
      </c>
      <c r="D115" s="97" t="str">
        <f ca="1">IFERROR(IF(PréstamoNoPagado*PréstamoPagado,ValorPréstamo,""), "")</f>
        <v/>
      </c>
      <c r="E115" s="97" t="str">
        <f ca="1">IFERROR(IF(PréstamoNoPagado*PréstamoPagado,PagoMensual,""), "")</f>
        <v/>
      </c>
      <c r="F115" s="97" t="str">
        <f ca="1">IFERROR(IF(PréstamoNoPagado*PréstamoPagado,Capital,""), "")</f>
        <v/>
      </c>
      <c r="G115" s="97" t="str">
        <f ca="1">IFERROR(IF(PréstamoNoPagado*PréstamoPagado,AmortizaciónInterés,""), "")</f>
        <v/>
      </c>
      <c r="H115" s="97" t="str">
        <f ca="1">IFERROR(IF(PréstamoNoPagado*PréstamoPagado,SaldoFinal,""), "")</f>
        <v/>
      </c>
    </row>
    <row r="116" spans="2:8" ht="20.100000000000001" customHeight="1" x14ac:dyDescent="0.3">
      <c r="B116" s="105" t="str">
        <f ca="1">IFERROR(IF(PréstamoNoPagado*PréstamoPagado,NúmeroDePago,""), "")</f>
        <v/>
      </c>
      <c r="C116" s="96" t="str">
        <f ca="1">IFERROR(IF(PréstamoNoPagado*PréstamoPagado,FechaDePago,""), "")</f>
        <v/>
      </c>
      <c r="D116" s="97" t="str">
        <f ca="1">IFERROR(IF(PréstamoNoPagado*PréstamoPagado,ValorPréstamo,""), "")</f>
        <v/>
      </c>
      <c r="E116" s="97" t="str">
        <f ca="1">IFERROR(IF(PréstamoNoPagado*PréstamoPagado,PagoMensual,""), "")</f>
        <v/>
      </c>
      <c r="F116" s="97" t="str">
        <f ca="1">IFERROR(IF(PréstamoNoPagado*PréstamoPagado,Capital,""), "")</f>
        <v/>
      </c>
      <c r="G116" s="97" t="str">
        <f ca="1">IFERROR(IF(PréstamoNoPagado*PréstamoPagado,AmortizaciónInterés,""), "")</f>
        <v/>
      </c>
      <c r="H116" s="97" t="str">
        <f ca="1">IFERROR(IF(PréstamoNoPagado*PréstamoPagado,SaldoFinal,""), "")</f>
        <v/>
      </c>
    </row>
    <row r="117" spans="2:8" ht="20.100000000000001" customHeight="1" x14ac:dyDescent="0.3">
      <c r="B117" s="105" t="str">
        <f ca="1">IFERROR(IF(PréstamoNoPagado*PréstamoPagado,NúmeroDePago,""), "")</f>
        <v/>
      </c>
      <c r="C117" s="96" t="str">
        <f ca="1">IFERROR(IF(PréstamoNoPagado*PréstamoPagado,FechaDePago,""), "")</f>
        <v/>
      </c>
      <c r="D117" s="97" t="str">
        <f ca="1">IFERROR(IF(PréstamoNoPagado*PréstamoPagado,ValorPréstamo,""), "")</f>
        <v/>
      </c>
      <c r="E117" s="97" t="str">
        <f ca="1">IFERROR(IF(PréstamoNoPagado*PréstamoPagado,PagoMensual,""), "")</f>
        <v/>
      </c>
      <c r="F117" s="97" t="str">
        <f ca="1">IFERROR(IF(PréstamoNoPagado*PréstamoPagado,Capital,""), "")</f>
        <v/>
      </c>
      <c r="G117" s="97" t="str">
        <f ca="1">IFERROR(IF(PréstamoNoPagado*PréstamoPagado,AmortizaciónInterés,""), "")</f>
        <v/>
      </c>
      <c r="H117" s="97" t="str">
        <f ca="1">IFERROR(IF(PréstamoNoPagado*PréstamoPagado,SaldoFinal,""), "")</f>
        <v/>
      </c>
    </row>
    <row r="118" spans="2:8" ht="20.100000000000001" customHeight="1" x14ac:dyDescent="0.3">
      <c r="B118" s="105" t="str">
        <f ca="1">IFERROR(IF(PréstamoNoPagado*PréstamoPagado,NúmeroDePago,""), "")</f>
        <v/>
      </c>
      <c r="C118" s="96" t="str">
        <f ca="1">IFERROR(IF(PréstamoNoPagado*PréstamoPagado,FechaDePago,""), "")</f>
        <v/>
      </c>
      <c r="D118" s="97" t="str">
        <f ca="1">IFERROR(IF(PréstamoNoPagado*PréstamoPagado,ValorPréstamo,""), "")</f>
        <v/>
      </c>
      <c r="E118" s="97" t="str">
        <f ca="1">IFERROR(IF(PréstamoNoPagado*PréstamoPagado,PagoMensual,""), "")</f>
        <v/>
      </c>
      <c r="F118" s="97" t="str">
        <f ca="1">IFERROR(IF(PréstamoNoPagado*PréstamoPagado,Capital,""), "")</f>
        <v/>
      </c>
      <c r="G118" s="97" t="str">
        <f ca="1">IFERROR(IF(PréstamoNoPagado*PréstamoPagado,AmortizaciónInterés,""), "")</f>
        <v/>
      </c>
      <c r="H118" s="97" t="str">
        <f ca="1">IFERROR(IF(PréstamoNoPagado*PréstamoPagado,SaldoFinal,""), "")</f>
        <v/>
      </c>
    </row>
    <row r="119" spans="2:8" ht="20.100000000000001" customHeight="1" x14ac:dyDescent="0.3">
      <c r="B119" s="105" t="str">
        <f ca="1">IFERROR(IF(PréstamoNoPagado*PréstamoPagado,NúmeroDePago,""), "")</f>
        <v/>
      </c>
      <c r="C119" s="96" t="str">
        <f ca="1">IFERROR(IF(PréstamoNoPagado*PréstamoPagado,FechaDePago,""), "")</f>
        <v/>
      </c>
      <c r="D119" s="97" t="str">
        <f ca="1">IFERROR(IF(PréstamoNoPagado*PréstamoPagado,ValorPréstamo,""), "")</f>
        <v/>
      </c>
      <c r="E119" s="97" t="str">
        <f ca="1">IFERROR(IF(PréstamoNoPagado*PréstamoPagado,PagoMensual,""), "")</f>
        <v/>
      </c>
      <c r="F119" s="97" t="str">
        <f ca="1">IFERROR(IF(PréstamoNoPagado*PréstamoPagado,Capital,""), "")</f>
        <v/>
      </c>
      <c r="G119" s="97" t="str">
        <f ca="1">IFERROR(IF(PréstamoNoPagado*PréstamoPagado,AmortizaciónInterés,""), "")</f>
        <v/>
      </c>
      <c r="H119" s="97" t="str">
        <f ca="1">IFERROR(IF(PréstamoNoPagado*PréstamoPagado,SaldoFinal,""), "")</f>
        <v/>
      </c>
    </row>
    <row r="120" spans="2:8" ht="20.100000000000001" customHeight="1" x14ac:dyDescent="0.3">
      <c r="B120" s="105" t="str">
        <f ca="1">IFERROR(IF(PréstamoNoPagado*PréstamoPagado,NúmeroDePago,""), "")</f>
        <v/>
      </c>
      <c r="C120" s="96" t="str">
        <f ca="1">IFERROR(IF(PréstamoNoPagado*PréstamoPagado,FechaDePago,""), "")</f>
        <v/>
      </c>
      <c r="D120" s="97" t="str">
        <f ca="1">IFERROR(IF(PréstamoNoPagado*PréstamoPagado,ValorPréstamo,""), "")</f>
        <v/>
      </c>
      <c r="E120" s="97" t="str">
        <f ca="1">IFERROR(IF(PréstamoNoPagado*PréstamoPagado,PagoMensual,""), "")</f>
        <v/>
      </c>
      <c r="F120" s="97" t="str">
        <f ca="1">IFERROR(IF(PréstamoNoPagado*PréstamoPagado,Capital,""), "")</f>
        <v/>
      </c>
      <c r="G120" s="97" t="str">
        <f ca="1">IFERROR(IF(PréstamoNoPagado*PréstamoPagado,AmortizaciónInterés,""), "")</f>
        <v/>
      </c>
      <c r="H120" s="97" t="str">
        <f ca="1">IFERROR(IF(PréstamoNoPagado*PréstamoPagado,SaldoFinal,""), "")</f>
        <v/>
      </c>
    </row>
    <row r="121" spans="2:8" ht="20.100000000000001" customHeight="1" x14ac:dyDescent="0.3">
      <c r="B121" s="105" t="str">
        <f ca="1">IFERROR(IF(PréstamoNoPagado*PréstamoPagado,NúmeroDePago,""), "")</f>
        <v/>
      </c>
      <c r="C121" s="96" t="str">
        <f ca="1">IFERROR(IF(PréstamoNoPagado*PréstamoPagado,FechaDePago,""), "")</f>
        <v/>
      </c>
      <c r="D121" s="97" t="str">
        <f ca="1">IFERROR(IF(PréstamoNoPagado*PréstamoPagado,ValorPréstamo,""), "")</f>
        <v/>
      </c>
      <c r="E121" s="97" t="str">
        <f ca="1">IFERROR(IF(PréstamoNoPagado*PréstamoPagado,PagoMensual,""), "")</f>
        <v/>
      </c>
      <c r="F121" s="97" t="str">
        <f ca="1">IFERROR(IF(PréstamoNoPagado*PréstamoPagado,Capital,""), "")</f>
        <v/>
      </c>
      <c r="G121" s="97" t="str">
        <f ca="1">IFERROR(IF(PréstamoNoPagado*PréstamoPagado,AmortizaciónInterés,""), "")</f>
        <v/>
      </c>
      <c r="H121" s="97" t="str">
        <f ca="1">IFERROR(IF(PréstamoNoPagado*PréstamoPagado,SaldoFinal,""), "")</f>
        <v/>
      </c>
    </row>
    <row r="122" spans="2:8" ht="20.100000000000001" customHeight="1" x14ac:dyDescent="0.3">
      <c r="B122" s="105" t="str">
        <f ca="1">IFERROR(IF(PréstamoNoPagado*PréstamoPagado,NúmeroDePago,""), "")</f>
        <v/>
      </c>
      <c r="C122" s="96" t="str">
        <f ca="1">IFERROR(IF(PréstamoNoPagado*PréstamoPagado,FechaDePago,""), "")</f>
        <v/>
      </c>
      <c r="D122" s="97" t="str">
        <f ca="1">IFERROR(IF(PréstamoNoPagado*PréstamoPagado,ValorPréstamo,""), "")</f>
        <v/>
      </c>
      <c r="E122" s="97" t="str">
        <f ca="1">IFERROR(IF(PréstamoNoPagado*PréstamoPagado,PagoMensual,""), "")</f>
        <v/>
      </c>
      <c r="F122" s="97" t="str">
        <f ca="1">IFERROR(IF(PréstamoNoPagado*PréstamoPagado,Capital,""), "")</f>
        <v/>
      </c>
      <c r="G122" s="97" t="str">
        <f ca="1">IFERROR(IF(PréstamoNoPagado*PréstamoPagado,AmortizaciónInterés,""), "")</f>
        <v/>
      </c>
      <c r="H122" s="97" t="str">
        <f ca="1">IFERROR(IF(PréstamoNoPagado*PréstamoPagado,SaldoFinal,""), "")</f>
        <v/>
      </c>
    </row>
    <row r="123" spans="2:8" ht="20.100000000000001" customHeight="1" x14ac:dyDescent="0.3">
      <c r="B123" s="105" t="str">
        <f ca="1">IFERROR(IF(PréstamoNoPagado*PréstamoPagado,NúmeroDePago,""), "")</f>
        <v/>
      </c>
      <c r="C123" s="96" t="str">
        <f ca="1">IFERROR(IF(PréstamoNoPagado*PréstamoPagado,FechaDePago,""), "")</f>
        <v/>
      </c>
      <c r="D123" s="97" t="str">
        <f ca="1">IFERROR(IF(PréstamoNoPagado*PréstamoPagado,ValorPréstamo,""), "")</f>
        <v/>
      </c>
      <c r="E123" s="97" t="str">
        <f ca="1">IFERROR(IF(PréstamoNoPagado*PréstamoPagado,PagoMensual,""), "")</f>
        <v/>
      </c>
      <c r="F123" s="97" t="str">
        <f ca="1">IFERROR(IF(PréstamoNoPagado*PréstamoPagado,Capital,""), "")</f>
        <v/>
      </c>
      <c r="G123" s="97" t="str">
        <f ca="1">IFERROR(IF(PréstamoNoPagado*PréstamoPagado,AmortizaciónInterés,""), "")</f>
        <v/>
      </c>
      <c r="H123" s="97" t="str">
        <f ca="1">IFERROR(IF(PréstamoNoPagado*PréstamoPagado,SaldoFinal,""), "")</f>
        <v/>
      </c>
    </row>
    <row r="124" spans="2:8" ht="20.100000000000001" customHeight="1" x14ac:dyDescent="0.3">
      <c r="B124" s="105" t="str">
        <f ca="1">IFERROR(IF(PréstamoNoPagado*PréstamoPagado,NúmeroDePago,""), "")</f>
        <v/>
      </c>
      <c r="C124" s="96" t="str">
        <f ca="1">IFERROR(IF(PréstamoNoPagado*PréstamoPagado,FechaDePago,""), "")</f>
        <v/>
      </c>
      <c r="D124" s="97" t="str">
        <f ca="1">IFERROR(IF(PréstamoNoPagado*PréstamoPagado,ValorPréstamo,""), "")</f>
        <v/>
      </c>
      <c r="E124" s="97" t="str">
        <f ca="1">IFERROR(IF(PréstamoNoPagado*PréstamoPagado,PagoMensual,""), "")</f>
        <v/>
      </c>
      <c r="F124" s="97" t="str">
        <f ca="1">IFERROR(IF(PréstamoNoPagado*PréstamoPagado,Capital,""), "")</f>
        <v/>
      </c>
      <c r="G124" s="97" t="str">
        <f ca="1">IFERROR(IF(PréstamoNoPagado*PréstamoPagado,AmortizaciónInterés,""), "")</f>
        <v/>
      </c>
      <c r="H124" s="97" t="str">
        <f ca="1">IFERROR(IF(PréstamoNoPagado*PréstamoPagado,SaldoFinal,""), "")</f>
        <v/>
      </c>
    </row>
    <row r="125" spans="2:8" ht="20.100000000000001" customHeight="1" x14ac:dyDescent="0.3">
      <c r="B125" s="105" t="str">
        <f ca="1">IFERROR(IF(PréstamoNoPagado*PréstamoPagado,NúmeroDePago,""), "")</f>
        <v/>
      </c>
      <c r="C125" s="96" t="str">
        <f ca="1">IFERROR(IF(PréstamoNoPagado*PréstamoPagado,FechaDePago,""), "")</f>
        <v/>
      </c>
      <c r="D125" s="97" t="str">
        <f ca="1">IFERROR(IF(PréstamoNoPagado*PréstamoPagado,ValorPréstamo,""), "")</f>
        <v/>
      </c>
      <c r="E125" s="97" t="str">
        <f ca="1">IFERROR(IF(PréstamoNoPagado*PréstamoPagado,PagoMensual,""), "")</f>
        <v/>
      </c>
      <c r="F125" s="97" t="str">
        <f ca="1">IFERROR(IF(PréstamoNoPagado*PréstamoPagado,Capital,""), "")</f>
        <v/>
      </c>
      <c r="G125" s="97" t="str">
        <f ca="1">IFERROR(IF(PréstamoNoPagado*PréstamoPagado,AmortizaciónInterés,""), "")</f>
        <v/>
      </c>
      <c r="H125" s="97" t="str">
        <f ca="1">IFERROR(IF(PréstamoNoPagado*PréstamoPagado,SaldoFinal,""), "")</f>
        <v/>
      </c>
    </row>
    <row r="126" spans="2:8" ht="20.100000000000001" customHeight="1" x14ac:dyDescent="0.3">
      <c r="B126" s="105" t="str">
        <f ca="1">IFERROR(IF(PréstamoNoPagado*PréstamoPagado,NúmeroDePago,""), "")</f>
        <v/>
      </c>
      <c r="C126" s="96" t="str">
        <f ca="1">IFERROR(IF(PréstamoNoPagado*PréstamoPagado,FechaDePago,""), "")</f>
        <v/>
      </c>
      <c r="D126" s="97" t="str">
        <f ca="1">IFERROR(IF(PréstamoNoPagado*PréstamoPagado,ValorPréstamo,""), "")</f>
        <v/>
      </c>
      <c r="E126" s="97" t="str">
        <f ca="1">IFERROR(IF(PréstamoNoPagado*PréstamoPagado,PagoMensual,""), "")</f>
        <v/>
      </c>
      <c r="F126" s="97" t="str">
        <f ca="1">IFERROR(IF(PréstamoNoPagado*PréstamoPagado,Capital,""), "")</f>
        <v/>
      </c>
      <c r="G126" s="97" t="str">
        <f ca="1">IFERROR(IF(PréstamoNoPagado*PréstamoPagado,AmortizaciónInterés,""), "")</f>
        <v/>
      </c>
      <c r="H126" s="97" t="str">
        <f ca="1">IFERROR(IF(PréstamoNoPagado*PréstamoPagado,SaldoFinal,""), "")</f>
        <v/>
      </c>
    </row>
    <row r="127" spans="2:8" ht="20.100000000000001" customHeight="1" x14ac:dyDescent="0.3">
      <c r="B127" s="105" t="str">
        <f ca="1">IFERROR(IF(PréstamoNoPagado*PréstamoPagado,NúmeroDePago,""), "")</f>
        <v/>
      </c>
      <c r="C127" s="96" t="str">
        <f ca="1">IFERROR(IF(PréstamoNoPagado*PréstamoPagado,FechaDePago,""), "")</f>
        <v/>
      </c>
      <c r="D127" s="97" t="str">
        <f ca="1">IFERROR(IF(PréstamoNoPagado*PréstamoPagado,ValorPréstamo,""), "")</f>
        <v/>
      </c>
      <c r="E127" s="97" t="str">
        <f ca="1">IFERROR(IF(PréstamoNoPagado*PréstamoPagado,PagoMensual,""), "")</f>
        <v/>
      </c>
      <c r="F127" s="97" t="str">
        <f ca="1">IFERROR(IF(PréstamoNoPagado*PréstamoPagado,Capital,""), "")</f>
        <v/>
      </c>
      <c r="G127" s="97" t="str">
        <f ca="1">IFERROR(IF(PréstamoNoPagado*PréstamoPagado,AmortizaciónInterés,""), "")</f>
        <v/>
      </c>
      <c r="H127" s="97" t="str">
        <f ca="1">IFERROR(IF(PréstamoNoPagado*PréstamoPagado,SaldoFinal,""), "")</f>
        <v/>
      </c>
    </row>
    <row r="128" spans="2:8" ht="20.100000000000001" customHeight="1" x14ac:dyDescent="0.3">
      <c r="B128" s="105" t="str">
        <f ca="1">IFERROR(IF(PréstamoNoPagado*PréstamoPagado,NúmeroDePago,""), "")</f>
        <v/>
      </c>
      <c r="C128" s="96" t="str">
        <f ca="1">IFERROR(IF(PréstamoNoPagado*PréstamoPagado,FechaDePago,""), "")</f>
        <v/>
      </c>
      <c r="D128" s="97" t="str">
        <f ca="1">IFERROR(IF(PréstamoNoPagado*PréstamoPagado,ValorPréstamo,""), "")</f>
        <v/>
      </c>
      <c r="E128" s="97" t="str">
        <f ca="1">IFERROR(IF(PréstamoNoPagado*PréstamoPagado,PagoMensual,""), "")</f>
        <v/>
      </c>
      <c r="F128" s="97" t="str">
        <f ca="1">IFERROR(IF(PréstamoNoPagado*PréstamoPagado,Capital,""), "")</f>
        <v/>
      </c>
      <c r="G128" s="97" t="str">
        <f ca="1">IFERROR(IF(PréstamoNoPagado*PréstamoPagado,AmortizaciónInterés,""), "")</f>
        <v/>
      </c>
      <c r="H128" s="97" t="str">
        <f ca="1">IFERROR(IF(PréstamoNoPagado*PréstamoPagado,SaldoFinal,""), "")</f>
        <v/>
      </c>
    </row>
    <row r="129" spans="2:8" ht="20.100000000000001" customHeight="1" x14ac:dyDescent="0.3">
      <c r="B129" s="105" t="str">
        <f ca="1">IFERROR(IF(PréstamoNoPagado*PréstamoPagado,NúmeroDePago,""), "")</f>
        <v/>
      </c>
      <c r="C129" s="96" t="str">
        <f ca="1">IFERROR(IF(PréstamoNoPagado*PréstamoPagado,FechaDePago,""), "")</f>
        <v/>
      </c>
      <c r="D129" s="97" t="str">
        <f ca="1">IFERROR(IF(PréstamoNoPagado*PréstamoPagado,ValorPréstamo,""), "")</f>
        <v/>
      </c>
      <c r="E129" s="97" t="str">
        <f ca="1">IFERROR(IF(PréstamoNoPagado*PréstamoPagado,PagoMensual,""), "")</f>
        <v/>
      </c>
      <c r="F129" s="97" t="str">
        <f ca="1">IFERROR(IF(PréstamoNoPagado*PréstamoPagado,Capital,""), "")</f>
        <v/>
      </c>
      <c r="G129" s="97" t="str">
        <f ca="1">IFERROR(IF(PréstamoNoPagado*PréstamoPagado,AmortizaciónInterés,""), "")</f>
        <v/>
      </c>
      <c r="H129" s="97" t="str">
        <f ca="1">IFERROR(IF(PréstamoNoPagado*PréstamoPagado,SaldoFinal,""), "")</f>
        <v/>
      </c>
    </row>
    <row r="130" spans="2:8" ht="20.100000000000001" customHeight="1" x14ac:dyDescent="0.3">
      <c r="B130" s="105" t="str">
        <f ca="1">IFERROR(IF(PréstamoNoPagado*PréstamoPagado,NúmeroDePago,""), "")</f>
        <v/>
      </c>
      <c r="C130" s="96" t="str">
        <f ca="1">IFERROR(IF(PréstamoNoPagado*PréstamoPagado,FechaDePago,""), "")</f>
        <v/>
      </c>
      <c r="D130" s="97" t="str">
        <f ca="1">IFERROR(IF(PréstamoNoPagado*PréstamoPagado,ValorPréstamo,""), "")</f>
        <v/>
      </c>
      <c r="E130" s="97" t="str">
        <f ca="1">IFERROR(IF(PréstamoNoPagado*PréstamoPagado,PagoMensual,""), "")</f>
        <v/>
      </c>
      <c r="F130" s="97" t="str">
        <f ca="1">IFERROR(IF(PréstamoNoPagado*PréstamoPagado,Capital,""), "")</f>
        <v/>
      </c>
      <c r="G130" s="97" t="str">
        <f ca="1">IFERROR(IF(PréstamoNoPagado*PréstamoPagado,AmortizaciónInterés,""), "")</f>
        <v/>
      </c>
      <c r="H130" s="97" t="str">
        <f ca="1">IFERROR(IF(PréstamoNoPagado*PréstamoPagado,SaldoFinal,""), "")</f>
        <v/>
      </c>
    </row>
    <row r="131" spans="2:8" ht="20.100000000000001" customHeight="1" x14ac:dyDescent="0.3">
      <c r="B131" s="105" t="str">
        <f ca="1">IFERROR(IF(PréstamoNoPagado*PréstamoPagado,NúmeroDePago,""), "")</f>
        <v/>
      </c>
      <c r="C131" s="96" t="str">
        <f ca="1">IFERROR(IF(PréstamoNoPagado*PréstamoPagado,FechaDePago,""), "")</f>
        <v/>
      </c>
      <c r="D131" s="97" t="str">
        <f ca="1">IFERROR(IF(PréstamoNoPagado*PréstamoPagado,ValorPréstamo,""), "")</f>
        <v/>
      </c>
      <c r="E131" s="97" t="str">
        <f ca="1">IFERROR(IF(PréstamoNoPagado*PréstamoPagado,PagoMensual,""), "")</f>
        <v/>
      </c>
      <c r="F131" s="97" t="str">
        <f ca="1">IFERROR(IF(PréstamoNoPagado*PréstamoPagado,Capital,""), "")</f>
        <v/>
      </c>
      <c r="G131" s="97" t="str">
        <f ca="1">IFERROR(IF(PréstamoNoPagado*PréstamoPagado,AmortizaciónInterés,""), "")</f>
        <v/>
      </c>
      <c r="H131" s="97" t="str">
        <f ca="1">IFERROR(IF(PréstamoNoPagado*PréstamoPagado,SaldoFinal,""), "")</f>
        <v/>
      </c>
    </row>
    <row r="132" spans="2:8" ht="20.100000000000001" customHeight="1" x14ac:dyDescent="0.3">
      <c r="B132" s="105" t="str">
        <f ca="1">IFERROR(IF(PréstamoNoPagado*PréstamoPagado,NúmeroDePago,""), "")</f>
        <v/>
      </c>
      <c r="C132" s="96" t="str">
        <f ca="1">IFERROR(IF(PréstamoNoPagado*PréstamoPagado,FechaDePago,""), "")</f>
        <v/>
      </c>
      <c r="D132" s="97" t="str">
        <f ca="1">IFERROR(IF(PréstamoNoPagado*PréstamoPagado,ValorPréstamo,""), "")</f>
        <v/>
      </c>
      <c r="E132" s="97" t="str">
        <f ca="1">IFERROR(IF(PréstamoNoPagado*PréstamoPagado,PagoMensual,""), "")</f>
        <v/>
      </c>
      <c r="F132" s="97" t="str">
        <f ca="1">IFERROR(IF(PréstamoNoPagado*PréstamoPagado,Capital,""), "")</f>
        <v/>
      </c>
      <c r="G132" s="97" t="str">
        <f ca="1">IFERROR(IF(PréstamoNoPagado*PréstamoPagado,AmortizaciónInterés,""), "")</f>
        <v/>
      </c>
      <c r="H132" s="97" t="str">
        <f ca="1">IFERROR(IF(PréstamoNoPagado*PréstamoPagado,SaldoFinal,""), "")</f>
        <v/>
      </c>
    </row>
    <row r="133" spans="2:8" ht="20.100000000000001" customHeight="1" x14ac:dyDescent="0.3">
      <c r="B133" s="105" t="str">
        <f ca="1">IFERROR(IF(PréstamoNoPagado*PréstamoPagado,NúmeroDePago,""), "")</f>
        <v/>
      </c>
      <c r="C133" s="96" t="str">
        <f ca="1">IFERROR(IF(PréstamoNoPagado*PréstamoPagado,FechaDePago,""), "")</f>
        <v/>
      </c>
      <c r="D133" s="97" t="str">
        <f ca="1">IFERROR(IF(PréstamoNoPagado*PréstamoPagado,ValorPréstamo,""), "")</f>
        <v/>
      </c>
      <c r="E133" s="97" t="str">
        <f ca="1">IFERROR(IF(PréstamoNoPagado*PréstamoPagado,PagoMensual,""), "")</f>
        <v/>
      </c>
      <c r="F133" s="97" t="str">
        <f ca="1">IFERROR(IF(PréstamoNoPagado*PréstamoPagado,Capital,""), "")</f>
        <v/>
      </c>
      <c r="G133" s="97" t="str">
        <f ca="1">IFERROR(IF(PréstamoNoPagado*PréstamoPagado,AmortizaciónInterés,""), "")</f>
        <v/>
      </c>
      <c r="H133" s="97" t="str">
        <f ca="1">IFERROR(IF(PréstamoNoPagado*PréstamoPagado,SaldoFinal,""), "")</f>
        <v/>
      </c>
    </row>
    <row r="134" spans="2:8" ht="20.100000000000001" customHeight="1" x14ac:dyDescent="0.3">
      <c r="B134" s="105" t="str">
        <f ca="1">IFERROR(IF(PréstamoNoPagado*PréstamoPagado,NúmeroDePago,""), "")</f>
        <v/>
      </c>
      <c r="C134" s="96" t="str">
        <f ca="1">IFERROR(IF(PréstamoNoPagado*PréstamoPagado,FechaDePago,""), "")</f>
        <v/>
      </c>
      <c r="D134" s="97" t="str">
        <f ca="1">IFERROR(IF(PréstamoNoPagado*PréstamoPagado,ValorPréstamo,""), "")</f>
        <v/>
      </c>
      <c r="E134" s="97" t="str">
        <f ca="1">IFERROR(IF(PréstamoNoPagado*PréstamoPagado,PagoMensual,""), "")</f>
        <v/>
      </c>
      <c r="F134" s="97" t="str">
        <f ca="1">IFERROR(IF(PréstamoNoPagado*PréstamoPagado,Capital,""), "")</f>
        <v/>
      </c>
      <c r="G134" s="97" t="str">
        <f ca="1">IFERROR(IF(PréstamoNoPagado*PréstamoPagado,AmortizaciónInterés,""), "")</f>
        <v/>
      </c>
      <c r="H134" s="97" t="str">
        <f ca="1">IFERROR(IF(PréstamoNoPagado*PréstamoPagado,SaldoFinal,""), "")</f>
        <v/>
      </c>
    </row>
    <row r="135" spans="2:8" ht="20.100000000000001" customHeight="1" x14ac:dyDescent="0.3">
      <c r="B135" s="105" t="str">
        <f ca="1">IFERROR(IF(PréstamoNoPagado*PréstamoPagado,NúmeroDePago,""), "")</f>
        <v/>
      </c>
      <c r="C135" s="96" t="str">
        <f ca="1">IFERROR(IF(PréstamoNoPagado*PréstamoPagado,FechaDePago,""), "")</f>
        <v/>
      </c>
      <c r="D135" s="97" t="str">
        <f ca="1">IFERROR(IF(PréstamoNoPagado*PréstamoPagado,ValorPréstamo,""), "")</f>
        <v/>
      </c>
      <c r="E135" s="97" t="str">
        <f ca="1">IFERROR(IF(PréstamoNoPagado*PréstamoPagado,PagoMensual,""), "")</f>
        <v/>
      </c>
      <c r="F135" s="97" t="str">
        <f ca="1">IFERROR(IF(PréstamoNoPagado*PréstamoPagado,Capital,""), "")</f>
        <v/>
      </c>
      <c r="G135" s="97" t="str">
        <f ca="1">IFERROR(IF(PréstamoNoPagado*PréstamoPagado,AmortizaciónInterés,""), "")</f>
        <v/>
      </c>
      <c r="H135" s="97" t="str">
        <f ca="1">IFERROR(IF(PréstamoNoPagado*PréstamoPagado,SaldoFinal,""), "")</f>
        <v/>
      </c>
    </row>
    <row r="136" spans="2:8" ht="20.100000000000001" customHeight="1" x14ac:dyDescent="0.3">
      <c r="B136" s="105" t="str">
        <f ca="1">IFERROR(IF(PréstamoNoPagado*PréstamoPagado,NúmeroDePago,""), "")</f>
        <v/>
      </c>
      <c r="C136" s="96" t="str">
        <f ca="1">IFERROR(IF(PréstamoNoPagado*PréstamoPagado,FechaDePago,""), "")</f>
        <v/>
      </c>
      <c r="D136" s="97" t="str">
        <f ca="1">IFERROR(IF(PréstamoNoPagado*PréstamoPagado,ValorPréstamo,""), "")</f>
        <v/>
      </c>
      <c r="E136" s="97" t="str">
        <f ca="1">IFERROR(IF(PréstamoNoPagado*PréstamoPagado,PagoMensual,""), "")</f>
        <v/>
      </c>
      <c r="F136" s="97" t="str">
        <f ca="1">IFERROR(IF(PréstamoNoPagado*PréstamoPagado,Capital,""), "")</f>
        <v/>
      </c>
      <c r="G136" s="97" t="str">
        <f ca="1">IFERROR(IF(PréstamoNoPagado*PréstamoPagado,AmortizaciónInterés,""), "")</f>
        <v/>
      </c>
      <c r="H136" s="97" t="str">
        <f ca="1">IFERROR(IF(PréstamoNoPagado*PréstamoPagado,SaldoFinal,""), "")</f>
        <v/>
      </c>
    </row>
    <row r="137" spans="2:8" ht="20.100000000000001" customHeight="1" x14ac:dyDescent="0.3">
      <c r="B137" s="105" t="str">
        <f ca="1">IFERROR(IF(PréstamoNoPagado*PréstamoPagado,NúmeroDePago,""), "")</f>
        <v/>
      </c>
      <c r="C137" s="96" t="str">
        <f ca="1">IFERROR(IF(PréstamoNoPagado*PréstamoPagado,FechaDePago,""), "")</f>
        <v/>
      </c>
      <c r="D137" s="97" t="str">
        <f ca="1">IFERROR(IF(PréstamoNoPagado*PréstamoPagado,ValorPréstamo,""), "")</f>
        <v/>
      </c>
      <c r="E137" s="97" t="str">
        <f ca="1">IFERROR(IF(PréstamoNoPagado*PréstamoPagado,PagoMensual,""), "")</f>
        <v/>
      </c>
      <c r="F137" s="97" t="str">
        <f ca="1">IFERROR(IF(PréstamoNoPagado*PréstamoPagado,Capital,""), "")</f>
        <v/>
      </c>
      <c r="G137" s="97" t="str">
        <f ca="1">IFERROR(IF(PréstamoNoPagado*PréstamoPagado,AmortizaciónInterés,""), "")</f>
        <v/>
      </c>
      <c r="H137" s="97" t="str">
        <f ca="1">IFERROR(IF(PréstamoNoPagado*PréstamoPagado,SaldoFinal,""), "")</f>
        <v/>
      </c>
    </row>
    <row r="138" spans="2:8" ht="20.100000000000001" customHeight="1" x14ac:dyDescent="0.3">
      <c r="B138" s="105" t="str">
        <f ca="1">IFERROR(IF(PréstamoNoPagado*PréstamoPagado,NúmeroDePago,""), "")</f>
        <v/>
      </c>
      <c r="C138" s="96" t="str">
        <f ca="1">IFERROR(IF(PréstamoNoPagado*PréstamoPagado,FechaDePago,""), "")</f>
        <v/>
      </c>
      <c r="D138" s="97" t="str">
        <f ca="1">IFERROR(IF(PréstamoNoPagado*PréstamoPagado,ValorPréstamo,""), "")</f>
        <v/>
      </c>
      <c r="E138" s="97" t="str">
        <f ca="1">IFERROR(IF(PréstamoNoPagado*PréstamoPagado,PagoMensual,""), "")</f>
        <v/>
      </c>
      <c r="F138" s="97" t="str">
        <f ca="1">IFERROR(IF(PréstamoNoPagado*PréstamoPagado,Capital,""), "")</f>
        <v/>
      </c>
      <c r="G138" s="97" t="str">
        <f ca="1">IFERROR(IF(PréstamoNoPagado*PréstamoPagado,AmortizaciónInterés,""), "")</f>
        <v/>
      </c>
      <c r="H138" s="97" t="str">
        <f ca="1">IFERROR(IF(PréstamoNoPagado*PréstamoPagado,SaldoFinal,""), "")</f>
        <v/>
      </c>
    </row>
    <row r="139" spans="2:8" ht="20.100000000000001" customHeight="1" x14ac:dyDescent="0.3">
      <c r="B139" s="105" t="str">
        <f ca="1">IFERROR(IF(PréstamoNoPagado*PréstamoPagado,NúmeroDePago,""), "")</f>
        <v/>
      </c>
      <c r="C139" s="96" t="str">
        <f ca="1">IFERROR(IF(PréstamoNoPagado*PréstamoPagado,FechaDePago,""), "")</f>
        <v/>
      </c>
      <c r="D139" s="97" t="str">
        <f ca="1">IFERROR(IF(PréstamoNoPagado*PréstamoPagado,ValorPréstamo,""), "")</f>
        <v/>
      </c>
      <c r="E139" s="97" t="str">
        <f ca="1">IFERROR(IF(PréstamoNoPagado*PréstamoPagado,PagoMensual,""), "")</f>
        <v/>
      </c>
      <c r="F139" s="97" t="str">
        <f ca="1">IFERROR(IF(PréstamoNoPagado*PréstamoPagado,Capital,""), "")</f>
        <v/>
      </c>
      <c r="G139" s="97" t="str">
        <f ca="1">IFERROR(IF(PréstamoNoPagado*PréstamoPagado,AmortizaciónInterés,""), "")</f>
        <v/>
      </c>
      <c r="H139" s="97" t="str">
        <f ca="1">IFERROR(IF(PréstamoNoPagado*PréstamoPagado,SaldoFinal,""), "")</f>
        <v/>
      </c>
    </row>
    <row r="140" spans="2:8" ht="20.100000000000001" customHeight="1" x14ac:dyDescent="0.3">
      <c r="B140" s="105" t="str">
        <f ca="1">IFERROR(IF(PréstamoNoPagado*PréstamoPagado,NúmeroDePago,""), "")</f>
        <v/>
      </c>
      <c r="C140" s="96" t="str">
        <f ca="1">IFERROR(IF(PréstamoNoPagado*PréstamoPagado,FechaDePago,""), "")</f>
        <v/>
      </c>
      <c r="D140" s="97" t="str">
        <f ca="1">IFERROR(IF(PréstamoNoPagado*PréstamoPagado,ValorPréstamo,""), "")</f>
        <v/>
      </c>
      <c r="E140" s="97" t="str">
        <f ca="1">IFERROR(IF(PréstamoNoPagado*PréstamoPagado,PagoMensual,""), "")</f>
        <v/>
      </c>
      <c r="F140" s="97" t="str">
        <f ca="1">IFERROR(IF(PréstamoNoPagado*PréstamoPagado,Capital,""), "")</f>
        <v/>
      </c>
      <c r="G140" s="97" t="str">
        <f ca="1">IFERROR(IF(PréstamoNoPagado*PréstamoPagado,AmortizaciónInterés,""), "")</f>
        <v/>
      </c>
      <c r="H140" s="97" t="str">
        <f ca="1">IFERROR(IF(PréstamoNoPagado*PréstamoPagado,SaldoFinal,""), "")</f>
        <v/>
      </c>
    </row>
    <row r="141" spans="2:8" ht="20.100000000000001" customHeight="1" x14ac:dyDescent="0.3">
      <c r="B141" s="105" t="str">
        <f ca="1">IFERROR(IF(PréstamoNoPagado*PréstamoPagado,NúmeroDePago,""), "")</f>
        <v/>
      </c>
      <c r="C141" s="96" t="str">
        <f ca="1">IFERROR(IF(PréstamoNoPagado*PréstamoPagado,FechaDePago,""), "")</f>
        <v/>
      </c>
      <c r="D141" s="97" t="str">
        <f ca="1">IFERROR(IF(PréstamoNoPagado*PréstamoPagado,ValorPréstamo,""), "")</f>
        <v/>
      </c>
      <c r="E141" s="97" t="str">
        <f ca="1">IFERROR(IF(PréstamoNoPagado*PréstamoPagado,PagoMensual,""), "")</f>
        <v/>
      </c>
      <c r="F141" s="97" t="str">
        <f ca="1">IFERROR(IF(PréstamoNoPagado*PréstamoPagado,Capital,""), "")</f>
        <v/>
      </c>
      <c r="G141" s="97" t="str">
        <f ca="1">IFERROR(IF(PréstamoNoPagado*PréstamoPagado,AmortizaciónInterés,""), "")</f>
        <v/>
      </c>
      <c r="H141" s="97" t="str">
        <f ca="1">IFERROR(IF(PréstamoNoPagado*PréstamoPagado,SaldoFinal,""), "")</f>
        <v/>
      </c>
    </row>
    <row r="142" spans="2:8" ht="20.100000000000001" customHeight="1" x14ac:dyDescent="0.3">
      <c r="B142" s="105" t="str">
        <f ca="1">IFERROR(IF(PréstamoNoPagado*PréstamoPagado,NúmeroDePago,""), "")</f>
        <v/>
      </c>
      <c r="C142" s="96" t="str">
        <f ca="1">IFERROR(IF(PréstamoNoPagado*PréstamoPagado,FechaDePago,""), "")</f>
        <v/>
      </c>
      <c r="D142" s="97" t="str">
        <f ca="1">IFERROR(IF(PréstamoNoPagado*PréstamoPagado,ValorPréstamo,""), "")</f>
        <v/>
      </c>
      <c r="E142" s="97" t="str">
        <f ca="1">IFERROR(IF(PréstamoNoPagado*PréstamoPagado,PagoMensual,""), "")</f>
        <v/>
      </c>
      <c r="F142" s="97" t="str">
        <f ca="1">IFERROR(IF(PréstamoNoPagado*PréstamoPagado,Capital,""), "")</f>
        <v/>
      </c>
      <c r="G142" s="97" t="str">
        <f ca="1">IFERROR(IF(PréstamoNoPagado*PréstamoPagado,AmortizaciónInterés,""), "")</f>
        <v/>
      </c>
      <c r="H142" s="97" t="str">
        <f ca="1">IFERROR(IF(PréstamoNoPagado*PréstamoPagado,SaldoFinal,""), "")</f>
        <v/>
      </c>
    </row>
    <row r="143" spans="2:8" ht="20.100000000000001" customHeight="1" x14ac:dyDescent="0.3">
      <c r="B143" s="105" t="str">
        <f ca="1">IFERROR(IF(PréstamoNoPagado*PréstamoPagado,NúmeroDePago,""), "")</f>
        <v/>
      </c>
      <c r="C143" s="96" t="str">
        <f ca="1">IFERROR(IF(PréstamoNoPagado*PréstamoPagado,FechaDePago,""), "")</f>
        <v/>
      </c>
      <c r="D143" s="97" t="str">
        <f ca="1">IFERROR(IF(PréstamoNoPagado*PréstamoPagado,ValorPréstamo,""), "")</f>
        <v/>
      </c>
      <c r="E143" s="97" t="str">
        <f ca="1">IFERROR(IF(PréstamoNoPagado*PréstamoPagado,PagoMensual,""), "")</f>
        <v/>
      </c>
      <c r="F143" s="97" t="str">
        <f ca="1">IFERROR(IF(PréstamoNoPagado*PréstamoPagado,Capital,""), "")</f>
        <v/>
      </c>
      <c r="G143" s="97" t="str">
        <f ca="1">IFERROR(IF(PréstamoNoPagado*PréstamoPagado,AmortizaciónInterés,""), "")</f>
        <v/>
      </c>
      <c r="H143" s="97" t="str">
        <f ca="1">IFERROR(IF(PréstamoNoPagado*PréstamoPagado,SaldoFinal,""), "")</f>
        <v/>
      </c>
    </row>
    <row r="144" spans="2:8" ht="20.100000000000001" customHeight="1" x14ac:dyDescent="0.3">
      <c r="B144" s="105" t="str">
        <f ca="1">IFERROR(IF(PréstamoNoPagado*PréstamoPagado,NúmeroDePago,""), "")</f>
        <v/>
      </c>
      <c r="C144" s="96" t="str">
        <f ca="1">IFERROR(IF(PréstamoNoPagado*PréstamoPagado,FechaDePago,""), "")</f>
        <v/>
      </c>
      <c r="D144" s="97" t="str">
        <f ca="1">IFERROR(IF(PréstamoNoPagado*PréstamoPagado,ValorPréstamo,""), "")</f>
        <v/>
      </c>
      <c r="E144" s="97" t="str">
        <f ca="1">IFERROR(IF(PréstamoNoPagado*PréstamoPagado,PagoMensual,""), "")</f>
        <v/>
      </c>
      <c r="F144" s="97" t="str">
        <f ca="1">IFERROR(IF(PréstamoNoPagado*PréstamoPagado,Capital,""), "")</f>
        <v/>
      </c>
      <c r="G144" s="97" t="str">
        <f ca="1">IFERROR(IF(PréstamoNoPagado*PréstamoPagado,AmortizaciónInterés,""), "")</f>
        <v/>
      </c>
      <c r="H144" s="97" t="str">
        <f ca="1">IFERROR(IF(PréstamoNoPagado*PréstamoPagado,SaldoFinal,""), "")</f>
        <v/>
      </c>
    </row>
    <row r="145" spans="2:8" ht="20.100000000000001" customHeight="1" x14ac:dyDescent="0.3">
      <c r="B145" s="105" t="str">
        <f ca="1">IFERROR(IF(PréstamoNoPagado*PréstamoPagado,NúmeroDePago,""), "")</f>
        <v/>
      </c>
      <c r="C145" s="96" t="str">
        <f ca="1">IFERROR(IF(PréstamoNoPagado*PréstamoPagado,FechaDePago,""), "")</f>
        <v/>
      </c>
      <c r="D145" s="97" t="str">
        <f ca="1">IFERROR(IF(PréstamoNoPagado*PréstamoPagado,ValorPréstamo,""), "")</f>
        <v/>
      </c>
      <c r="E145" s="97" t="str">
        <f ca="1">IFERROR(IF(PréstamoNoPagado*PréstamoPagado,PagoMensual,""), "")</f>
        <v/>
      </c>
      <c r="F145" s="97" t="str">
        <f ca="1">IFERROR(IF(PréstamoNoPagado*PréstamoPagado,Capital,""), "")</f>
        <v/>
      </c>
      <c r="G145" s="97" t="str">
        <f ca="1">IFERROR(IF(PréstamoNoPagado*PréstamoPagado,AmortizaciónInterés,""), "")</f>
        <v/>
      </c>
      <c r="H145" s="97" t="str">
        <f ca="1">IFERROR(IF(PréstamoNoPagado*PréstamoPagado,SaldoFinal,""), "")</f>
        <v/>
      </c>
    </row>
    <row r="146" spans="2:8" ht="20.100000000000001" customHeight="1" x14ac:dyDescent="0.3">
      <c r="B146" s="105" t="str">
        <f ca="1">IFERROR(IF(PréstamoNoPagado*PréstamoPagado,NúmeroDePago,""), "")</f>
        <v/>
      </c>
      <c r="C146" s="96" t="str">
        <f ca="1">IFERROR(IF(PréstamoNoPagado*PréstamoPagado,FechaDePago,""), "")</f>
        <v/>
      </c>
      <c r="D146" s="97" t="str">
        <f ca="1">IFERROR(IF(PréstamoNoPagado*PréstamoPagado,ValorPréstamo,""), "")</f>
        <v/>
      </c>
      <c r="E146" s="97" t="str">
        <f ca="1">IFERROR(IF(PréstamoNoPagado*PréstamoPagado,PagoMensual,""), "")</f>
        <v/>
      </c>
      <c r="F146" s="97" t="str">
        <f ca="1">IFERROR(IF(PréstamoNoPagado*PréstamoPagado,Capital,""), "")</f>
        <v/>
      </c>
      <c r="G146" s="97" t="str">
        <f ca="1">IFERROR(IF(PréstamoNoPagado*PréstamoPagado,AmortizaciónInterés,""), "")</f>
        <v/>
      </c>
      <c r="H146" s="97" t="str">
        <f ca="1">IFERROR(IF(PréstamoNoPagado*PréstamoPagado,SaldoFinal,""), "")</f>
        <v/>
      </c>
    </row>
    <row r="147" spans="2:8" ht="20.100000000000001" customHeight="1" x14ac:dyDescent="0.3">
      <c r="B147" s="105" t="str">
        <f ca="1">IFERROR(IF(PréstamoNoPagado*PréstamoPagado,NúmeroDePago,""), "")</f>
        <v/>
      </c>
      <c r="C147" s="96" t="str">
        <f ca="1">IFERROR(IF(PréstamoNoPagado*PréstamoPagado,FechaDePago,""), "")</f>
        <v/>
      </c>
      <c r="D147" s="97" t="str">
        <f ca="1">IFERROR(IF(PréstamoNoPagado*PréstamoPagado,ValorPréstamo,""), "")</f>
        <v/>
      </c>
      <c r="E147" s="97" t="str">
        <f ca="1">IFERROR(IF(PréstamoNoPagado*PréstamoPagado,PagoMensual,""), "")</f>
        <v/>
      </c>
      <c r="F147" s="97" t="str">
        <f ca="1">IFERROR(IF(PréstamoNoPagado*PréstamoPagado,Capital,""), "")</f>
        <v/>
      </c>
      <c r="G147" s="97" t="str">
        <f ca="1">IFERROR(IF(PréstamoNoPagado*PréstamoPagado,AmortizaciónInterés,""), "")</f>
        <v/>
      </c>
      <c r="H147" s="97" t="str">
        <f ca="1">IFERROR(IF(PréstamoNoPagado*PréstamoPagado,SaldoFinal,""), "")</f>
        <v/>
      </c>
    </row>
    <row r="148" spans="2:8" ht="20.100000000000001" customHeight="1" x14ac:dyDescent="0.3">
      <c r="B148" s="105" t="str">
        <f ca="1">IFERROR(IF(PréstamoNoPagado*PréstamoPagado,NúmeroDePago,""), "")</f>
        <v/>
      </c>
      <c r="C148" s="96" t="str">
        <f ca="1">IFERROR(IF(PréstamoNoPagado*PréstamoPagado,FechaDePago,""), "")</f>
        <v/>
      </c>
      <c r="D148" s="97" t="str">
        <f ca="1">IFERROR(IF(PréstamoNoPagado*PréstamoPagado,ValorPréstamo,""), "")</f>
        <v/>
      </c>
      <c r="E148" s="97" t="str">
        <f ca="1">IFERROR(IF(PréstamoNoPagado*PréstamoPagado,PagoMensual,""), "")</f>
        <v/>
      </c>
      <c r="F148" s="97" t="str">
        <f ca="1">IFERROR(IF(PréstamoNoPagado*PréstamoPagado,Capital,""), "")</f>
        <v/>
      </c>
      <c r="G148" s="97" t="str">
        <f ca="1">IFERROR(IF(PréstamoNoPagado*PréstamoPagado,AmortizaciónInterés,""), "")</f>
        <v/>
      </c>
      <c r="H148" s="97" t="str">
        <f ca="1">IFERROR(IF(PréstamoNoPagado*PréstamoPagado,SaldoFinal,""), "")</f>
        <v/>
      </c>
    </row>
    <row r="149" spans="2:8" ht="20.100000000000001" customHeight="1" x14ac:dyDescent="0.3">
      <c r="B149" s="105" t="str">
        <f ca="1">IFERROR(IF(PréstamoNoPagado*PréstamoPagado,NúmeroDePago,""), "")</f>
        <v/>
      </c>
      <c r="C149" s="96" t="str">
        <f ca="1">IFERROR(IF(PréstamoNoPagado*PréstamoPagado,FechaDePago,""), "")</f>
        <v/>
      </c>
      <c r="D149" s="97" t="str">
        <f ca="1">IFERROR(IF(PréstamoNoPagado*PréstamoPagado,ValorPréstamo,""), "")</f>
        <v/>
      </c>
      <c r="E149" s="97" t="str">
        <f ca="1">IFERROR(IF(PréstamoNoPagado*PréstamoPagado,PagoMensual,""), "")</f>
        <v/>
      </c>
      <c r="F149" s="97" t="str">
        <f ca="1">IFERROR(IF(PréstamoNoPagado*PréstamoPagado,Capital,""), "")</f>
        <v/>
      </c>
      <c r="G149" s="97" t="str">
        <f ca="1">IFERROR(IF(PréstamoNoPagado*PréstamoPagado,AmortizaciónInterés,""), "")</f>
        <v/>
      </c>
      <c r="H149" s="97" t="str">
        <f ca="1">IFERROR(IF(PréstamoNoPagado*PréstamoPagado,SaldoFinal,""), "")</f>
        <v/>
      </c>
    </row>
    <row r="150" spans="2:8" ht="20.100000000000001" customHeight="1" x14ac:dyDescent="0.3">
      <c r="B150" s="105" t="str">
        <f ca="1">IFERROR(IF(PréstamoNoPagado*PréstamoPagado,NúmeroDePago,""), "")</f>
        <v/>
      </c>
      <c r="C150" s="96" t="str">
        <f ca="1">IFERROR(IF(PréstamoNoPagado*PréstamoPagado,FechaDePago,""), "")</f>
        <v/>
      </c>
      <c r="D150" s="97" t="str">
        <f ca="1">IFERROR(IF(PréstamoNoPagado*PréstamoPagado,ValorPréstamo,""), "")</f>
        <v/>
      </c>
      <c r="E150" s="97" t="str">
        <f ca="1">IFERROR(IF(PréstamoNoPagado*PréstamoPagado,PagoMensual,""), "")</f>
        <v/>
      </c>
      <c r="F150" s="97" t="str">
        <f ca="1">IFERROR(IF(PréstamoNoPagado*PréstamoPagado,Capital,""), "")</f>
        <v/>
      </c>
      <c r="G150" s="97" t="str">
        <f ca="1">IFERROR(IF(PréstamoNoPagado*PréstamoPagado,AmortizaciónInterés,""), "")</f>
        <v/>
      </c>
      <c r="H150" s="97" t="str">
        <f ca="1">IFERROR(IF(PréstamoNoPagado*PréstamoPagado,SaldoFinal,""), "")</f>
        <v/>
      </c>
    </row>
    <row r="151" spans="2:8" ht="20.100000000000001" customHeight="1" x14ac:dyDescent="0.3">
      <c r="B151" s="105" t="str">
        <f ca="1">IFERROR(IF(PréstamoNoPagado*PréstamoPagado,NúmeroDePago,""), "")</f>
        <v/>
      </c>
      <c r="C151" s="96" t="str">
        <f ca="1">IFERROR(IF(PréstamoNoPagado*PréstamoPagado,FechaDePago,""), "")</f>
        <v/>
      </c>
      <c r="D151" s="97" t="str">
        <f ca="1">IFERROR(IF(PréstamoNoPagado*PréstamoPagado,ValorPréstamo,""), "")</f>
        <v/>
      </c>
      <c r="E151" s="97" t="str">
        <f ca="1">IFERROR(IF(PréstamoNoPagado*PréstamoPagado,PagoMensual,""), "")</f>
        <v/>
      </c>
      <c r="F151" s="97" t="str">
        <f ca="1">IFERROR(IF(PréstamoNoPagado*PréstamoPagado,Capital,""), "")</f>
        <v/>
      </c>
      <c r="G151" s="97" t="str">
        <f ca="1">IFERROR(IF(PréstamoNoPagado*PréstamoPagado,AmortizaciónInterés,""), "")</f>
        <v/>
      </c>
      <c r="H151" s="97" t="str">
        <f ca="1">IFERROR(IF(PréstamoNoPagado*PréstamoPagado,SaldoFinal,""), "")</f>
        <v/>
      </c>
    </row>
    <row r="152" spans="2:8" ht="20.100000000000001" customHeight="1" x14ac:dyDescent="0.3">
      <c r="B152" s="105" t="str">
        <f ca="1">IFERROR(IF(PréstamoNoPagado*PréstamoPagado,NúmeroDePago,""), "")</f>
        <v/>
      </c>
      <c r="C152" s="96" t="str">
        <f ca="1">IFERROR(IF(PréstamoNoPagado*PréstamoPagado,FechaDePago,""), "")</f>
        <v/>
      </c>
      <c r="D152" s="97" t="str">
        <f ca="1">IFERROR(IF(PréstamoNoPagado*PréstamoPagado,ValorPréstamo,""), "")</f>
        <v/>
      </c>
      <c r="E152" s="97" t="str">
        <f ca="1">IFERROR(IF(PréstamoNoPagado*PréstamoPagado,PagoMensual,""), "")</f>
        <v/>
      </c>
      <c r="F152" s="97" t="str">
        <f ca="1">IFERROR(IF(PréstamoNoPagado*PréstamoPagado,Capital,""), "")</f>
        <v/>
      </c>
      <c r="G152" s="97" t="str">
        <f ca="1">IFERROR(IF(PréstamoNoPagado*PréstamoPagado,AmortizaciónInterés,""), "")</f>
        <v/>
      </c>
      <c r="H152" s="97" t="str">
        <f ca="1">IFERROR(IF(PréstamoNoPagado*PréstamoPagado,SaldoFinal,""), "")</f>
        <v/>
      </c>
    </row>
    <row r="153" spans="2:8" ht="20.100000000000001" customHeight="1" x14ac:dyDescent="0.3">
      <c r="B153" s="105" t="str">
        <f ca="1">IFERROR(IF(PréstamoNoPagado*PréstamoPagado,NúmeroDePago,""), "")</f>
        <v/>
      </c>
      <c r="C153" s="96" t="str">
        <f ca="1">IFERROR(IF(PréstamoNoPagado*PréstamoPagado,FechaDePago,""), "")</f>
        <v/>
      </c>
      <c r="D153" s="97" t="str">
        <f ca="1">IFERROR(IF(PréstamoNoPagado*PréstamoPagado,ValorPréstamo,""), "")</f>
        <v/>
      </c>
      <c r="E153" s="97" t="str">
        <f ca="1">IFERROR(IF(PréstamoNoPagado*PréstamoPagado,PagoMensual,""), "")</f>
        <v/>
      </c>
      <c r="F153" s="97" t="str">
        <f ca="1">IFERROR(IF(PréstamoNoPagado*PréstamoPagado,Capital,""), "")</f>
        <v/>
      </c>
      <c r="G153" s="97" t="str">
        <f ca="1">IFERROR(IF(PréstamoNoPagado*PréstamoPagado,AmortizaciónInterés,""), "")</f>
        <v/>
      </c>
      <c r="H153" s="97" t="str">
        <f ca="1">IFERROR(IF(PréstamoNoPagado*PréstamoPagado,SaldoFinal,""), "")</f>
        <v/>
      </c>
    </row>
    <row r="154" spans="2:8" ht="20.100000000000001" customHeight="1" x14ac:dyDescent="0.3">
      <c r="B154" s="105" t="str">
        <f ca="1">IFERROR(IF(PréstamoNoPagado*PréstamoPagado,NúmeroDePago,""), "")</f>
        <v/>
      </c>
      <c r="C154" s="96" t="str">
        <f ca="1">IFERROR(IF(PréstamoNoPagado*PréstamoPagado,FechaDePago,""), "")</f>
        <v/>
      </c>
      <c r="D154" s="97" t="str">
        <f ca="1">IFERROR(IF(PréstamoNoPagado*PréstamoPagado,ValorPréstamo,""), "")</f>
        <v/>
      </c>
      <c r="E154" s="97" t="str">
        <f ca="1">IFERROR(IF(PréstamoNoPagado*PréstamoPagado,PagoMensual,""), "")</f>
        <v/>
      </c>
      <c r="F154" s="97" t="str">
        <f ca="1">IFERROR(IF(PréstamoNoPagado*PréstamoPagado,Capital,""), "")</f>
        <v/>
      </c>
      <c r="G154" s="97" t="str">
        <f ca="1">IFERROR(IF(PréstamoNoPagado*PréstamoPagado,AmortizaciónInterés,""), "")</f>
        <v/>
      </c>
      <c r="H154" s="97" t="str">
        <f ca="1">IFERROR(IF(PréstamoNoPagado*PréstamoPagado,SaldoFinal,""), "")</f>
        <v/>
      </c>
    </row>
    <row r="155" spans="2:8" ht="20.100000000000001" customHeight="1" x14ac:dyDescent="0.3">
      <c r="B155" s="105" t="str">
        <f ca="1">IFERROR(IF(PréstamoNoPagado*PréstamoPagado,NúmeroDePago,""), "")</f>
        <v/>
      </c>
      <c r="C155" s="96" t="str">
        <f ca="1">IFERROR(IF(PréstamoNoPagado*PréstamoPagado,FechaDePago,""), "")</f>
        <v/>
      </c>
      <c r="D155" s="97" t="str">
        <f ca="1">IFERROR(IF(PréstamoNoPagado*PréstamoPagado,ValorPréstamo,""), "")</f>
        <v/>
      </c>
      <c r="E155" s="97" t="str">
        <f ca="1">IFERROR(IF(PréstamoNoPagado*PréstamoPagado,PagoMensual,""), "")</f>
        <v/>
      </c>
      <c r="F155" s="97" t="str">
        <f ca="1">IFERROR(IF(PréstamoNoPagado*PréstamoPagado,Capital,""), "")</f>
        <v/>
      </c>
      <c r="G155" s="97" t="str">
        <f ca="1">IFERROR(IF(PréstamoNoPagado*PréstamoPagado,AmortizaciónInterés,""), "")</f>
        <v/>
      </c>
      <c r="H155" s="97" t="str">
        <f ca="1">IFERROR(IF(PréstamoNoPagado*PréstamoPagado,SaldoFinal,""), "")</f>
        <v/>
      </c>
    </row>
    <row r="156" spans="2:8" ht="20.100000000000001" customHeight="1" x14ac:dyDescent="0.3">
      <c r="B156" s="105" t="str">
        <f ca="1">IFERROR(IF(PréstamoNoPagado*PréstamoPagado,NúmeroDePago,""), "")</f>
        <v/>
      </c>
      <c r="C156" s="96" t="str">
        <f ca="1">IFERROR(IF(PréstamoNoPagado*PréstamoPagado,FechaDePago,""), "")</f>
        <v/>
      </c>
      <c r="D156" s="97" t="str">
        <f ca="1">IFERROR(IF(PréstamoNoPagado*PréstamoPagado,ValorPréstamo,""), "")</f>
        <v/>
      </c>
      <c r="E156" s="97" t="str">
        <f ca="1">IFERROR(IF(PréstamoNoPagado*PréstamoPagado,PagoMensual,""), "")</f>
        <v/>
      </c>
      <c r="F156" s="97" t="str">
        <f ca="1">IFERROR(IF(PréstamoNoPagado*PréstamoPagado,Capital,""), "")</f>
        <v/>
      </c>
      <c r="G156" s="97" t="str">
        <f ca="1">IFERROR(IF(PréstamoNoPagado*PréstamoPagado,AmortizaciónInterés,""), "")</f>
        <v/>
      </c>
      <c r="H156" s="97" t="str">
        <f ca="1">IFERROR(IF(PréstamoNoPagado*PréstamoPagado,SaldoFinal,""), "")</f>
        <v/>
      </c>
    </row>
    <row r="157" spans="2:8" ht="20.100000000000001" customHeight="1" x14ac:dyDescent="0.3">
      <c r="B157" s="105" t="str">
        <f ca="1">IFERROR(IF(PréstamoNoPagado*PréstamoPagado,NúmeroDePago,""), "")</f>
        <v/>
      </c>
      <c r="C157" s="96" t="str">
        <f ca="1">IFERROR(IF(PréstamoNoPagado*PréstamoPagado,FechaDePago,""), "")</f>
        <v/>
      </c>
      <c r="D157" s="97" t="str">
        <f ca="1">IFERROR(IF(PréstamoNoPagado*PréstamoPagado,ValorPréstamo,""), "")</f>
        <v/>
      </c>
      <c r="E157" s="97" t="str">
        <f ca="1">IFERROR(IF(PréstamoNoPagado*PréstamoPagado,PagoMensual,""), "")</f>
        <v/>
      </c>
      <c r="F157" s="97" t="str">
        <f ca="1">IFERROR(IF(PréstamoNoPagado*PréstamoPagado,Capital,""), "")</f>
        <v/>
      </c>
      <c r="G157" s="97" t="str">
        <f ca="1">IFERROR(IF(PréstamoNoPagado*PréstamoPagado,AmortizaciónInterés,""), "")</f>
        <v/>
      </c>
      <c r="H157" s="97" t="str">
        <f ca="1">IFERROR(IF(PréstamoNoPagado*PréstamoPagado,SaldoFinal,""), "")</f>
        <v/>
      </c>
    </row>
    <row r="158" spans="2:8" ht="20.100000000000001" customHeight="1" x14ac:dyDescent="0.3">
      <c r="B158" s="105" t="str">
        <f ca="1">IFERROR(IF(PréstamoNoPagado*PréstamoPagado,NúmeroDePago,""), "")</f>
        <v/>
      </c>
      <c r="C158" s="96" t="str">
        <f ca="1">IFERROR(IF(PréstamoNoPagado*PréstamoPagado,FechaDePago,""), "")</f>
        <v/>
      </c>
      <c r="D158" s="97" t="str">
        <f ca="1">IFERROR(IF(PréstamoNoPagado*PréstamoPagado,ValorPréstamo,""), "")</f>
        <v/>
      </c>
      <c r="E158" s="97" t="str">
        <f ca="1">IFERROR(IF(PréstamoNoPagado*PréstamoPagado,PagoMensual,""), "")</f>
        <v/>
      </c>
      <c r="F158" s="97" t="str">
        <f ca="1">IFERROR(IF(PréstamoNoPagado*PréstamoPagado,Capital,""), "")</f>
        <v/>
      </c>
      <c r="G158" s="97" t="str">
        <f ca="1">IFERROR(IF(PréstamoNoPagado*PréstamoPagado,AmortizaciónInterés,""), "")</f>
        <v/>
      </c>
      <c r="H158" s="97" t="str">
        <f ca="1">IFERROR(IF(PréstamoNoPagado*PréstamoPagado,SaldoFinal,""), "")</f>
        <v/>
      </c>
    </row>
    <row r="159" spans="2:8" ht="20.100000000000001" customHeight="1" x14ac:dyDescent="0.3">
      <c r="B159" s="105" t="str">
        <f ca="1">IFERROR(IF(PréstamoNoPagado*PréstamoPagado,NúmeroDePago,""), "")</f>
        <v/>
      </c>
      <c r="C159" s="96" t="str">
        <f ca="1">IFERROR(IF(PréstamoNoPagado*PréstamoPagado,FechaDePago,""), "")</f>
        <v/>
      </c>
      <c r="D159" s="97" t="str">
        <f ca="1">IFERROR(IF(PréstamoNoPagado*PréstamoPagado,ValorPréstamo,""), "")</f>
        <v/>
      </c>
      <c r="E159" s="97" t="str">
        <f ca="1">IFERROR(IF(PréstamoNoPagado*PréstamoPagado,PagoMensual,""), "")</f>
        <v/>
      </c>
      <c r="F159" s="97" t="str">
        <f ca="1">IFERROR(IF(PréstamoNoPagado*PréstamoPagado,Capital,""), "")</f>
        <v/>
      </c>
      <c r="G159" s="97" t="str">
        <f ca="1">IFERROR(IF(PréstamoNoPagado*PréstamoPagado,AmortizaciónInterés,""), "")</f>
        <v/>
      </c>
      <c r="H159" s="97" t="str">
        <f ca="1">IFERROR(IF(PréstamoNoPagado*PréstamoPagado,SaldoFinal,""), "")</f>
        <v/>
      </c>
    </row>
    <row r="160" spans="2:8" ht="20.100000000000001" customHeight="1" x14ac:dyDescent="0.3">
      <c r="B160" s="105" t="str">
        <f ca="1">IFERROR(IF(PréstamoNoPagado*PréstamoPagado,NúmeroDePago,""), "")</f>
        <v/>
      </c>
      <c r="C160" s="96" t="str">
        <f ca="1">IFERROR(IF(PréstamoNoPagado*PréstamoPagado,FechaDePago,""), "")</f>
        <v/>
      </c>
      <c r="D160" s="97" t="str">
        <f ca="1">IFERROR(IF(PréstamoNoPagado*PréstamoPagado,ValorPréstamo,""), "")</f>
        <v/>
      </c>
      <c r="E160" s="97" t="str">
        <f ca="1">IFERROR(IF(PréstamoNoPagado*PréstamoPagado,PagoMensual,""), "")</f>
        <v/>
      </c>
      <c r="F160" s="97" t="str">
        <f ca="1">IFERROR(IF(PréstamoNoPagado*PréstamoPagado,Capital,""), "")</f>
        <v/>
      </c>
      <c r="G160" s="97" t="str">
        <f ca="1">IFERROR(IF(PréstamoNoPagado*PréstamoPagado,AmortizaciónInterés,""), "")</f>
        <v/>
      </c>
      <c r="H160" s="97" t="str">
        <f ca="1">IFERROR(IF(PréstamoNoPagado*PréstamoPagado,SaldoFinal,""), "")</f>
        <v/>
      </c>
    </row>
    <row r="161" spans="2:8" ht="20.100000000000001" customHeight="1" x14ac:dyDescent="0.3">
      <c r="B161" s="105" t="str">
        <f ca="1">IFERROR(IF(PréstamoNoPagado*PréstamoPagado,NúmeroDePago,""), "")</f>
        <v/>
      </c>
      <c r="C161" s="96" t="str">
        <f ca="1">IFERROR(IF(PréstamoNoPagado*PréstamoPagado,FechaDePago,""), "")</f>
        <v/>
      </c>
      <c r="D161" s="97" t="str">
        <f ca="1">IFERROR(IF(PréstamoNoPagado*PréstamoPagado,ValorPréstamo,""), "")</f>
        <v/>
      </c>
      <c r="E161" s="97" t="str">
        <f ca="1">IFERROR(IF(PréstamoNoPagado*PréstamoPagado,PagoMensual,""), "")</f>
        <v/>
      </c>
      <c r="F161" s="97" t="str">
        <f ca="1">IFERROR(IF(PréstamoNoPagado*PréstamoPagado,Capital,""), "")</f>
        <v/>
      </c>
      <c r="G161" s="97" t="str">
        <f ca="1">IFERROR(IF(PréstamoNoPagado*PréstamoPagado,AmortizaciónInterés,""), "")</f>
        <v/>
      </c>
      <c r="H161" s="97" t="str">
        <f ca="1">IFERROR(IF(PréstamoNoPagado*PréstamoPagado,SaldoFinal,""), "")</f>
        <v/>
      </c>
    </row>
    <row r="162" spans="2:8" ht="20.100000000000001" customHeight="1" x14ac:dyDescent="0.3">
      <c r="B162" s="105" t="str">
        <f ca="1">IFERROR(IF(PréstamoNoPagado*PréstamoPagado,NúmeroDePago,""), "")</f>
        <v/>
      </c>
      <c r="C162" s="96" t="str">
        <f ca="1">IFERROR(IF(PréstamoNoPagado*PréstamoPagado,FechaDePago,""), "")</f>
        <v/>
      </c>
      <c r="D162" s="97" t="str">
        <f ca="1">IFERROR(IF(PréstamoNoPagado*PréstamoPagado,ValorPréstamo,""), "")</f>
        <v/>
      </c>
      <c r="E162" s="97" t="str">
        <f ca="1">IFERROR(IF(PréstamoNoPagado*PréstamoPagado,PagoMensual,""), "")</f>
        <v/>
      </c>
      <c r="F162" s="97" t="str">
        <f ca="1">IFERROR(IF(PréstamoNoPagado*PréstamoPagado,Capital,""), "")</f>
        <v/>
      </c>
      <c r="G162" s="97" t="str">
        <f ca="1">IFERROR(IF(PréstamoNoPagado*PréstamoPagado,AmortizaciónInterés,""), "")</f>
        <v/>
      </c>
      <c r="H162" s="97" t="str">
        <f ca="1">IFERROR(IF(PréstamoNoPagado*PréstamoPagado,SaldoFinal,""), "")</f>
        <v/>
      </c>
    </row>
    <row r="163" spans="2:8" ht="20.100000000000001" customHeight="1" x14ac:dyDescent="0.3">
      <c r="B163" s="105" t="str">
        <f ca="1">IFERROR(IF(PréstamoNoPagado*PréstamoPagado,NúmeroDePago,""), "")</f>
        <v/>
      </c>
      <c r="C163" s="96" t="str">
        <f ca="1">IFERROR(IF(PréstamoNoPagado*PréstamoPagado,FechaDePago,""), "")</f>
        <v/>
      </c>
      <c r="D163" s="97" t="str">
        <f ca="1">IFERROR(IF(PréstamoNoPagado*PréstamoPagado,ValorPréstamo,""), "")</f>
        <v/>
      </c>
      <c r="E163" s="97" t="str">
        <f ca="1">IFERROR(IF(PréstamoNoPagado*PréstamoPagado,PagoMensual,""), "")</f>
        <v/>
      </c>
      <c r="F163" s="97" t="str">
        <f ca="1">IFERROR(IF(PréstamoNoPagado*PréstamoPagado,Capital,""), "")</f>
        <v/>
      </c>
      <c r="G163" s="97" t="str">
        <f ca="1">IFERROR(IF(PréstamoNoPagado*PréstamoPagado,AmortizaciónInterés,""), "")</f>
        <v/>
      </c>
      <c r="H163" s="97" t="str">
        <f ca="1">IFERROR(IF(PréstamoNoPagado*PréstamoPagado,SaldoFinal,""), "")</f>
        <v/>
      </c>
    </row>
    <row r="164" spans="2:8" ht="20.100000000000001" customHeight="1" x14ac:dyDescent="0.3">
      <c r="B164" s="105" t="str">
        <f ca="1">IFERROR(IF(PréstamoNoPagado*PréstamoPagado,NúmeroDePago,""), "")</f>
        <v/>
      </c>
      <c r="C164" s="96" t="str">
        <f ca="1">IFERROR(IF(PréstamoNoPagado*PréstamoPagado,FechaDePago,""), "")</f>
        <v/>
      </c>
      <c r="D164" s="97" t="str">
        <f ca="1">IFERROR(IF(PréstamoNoPagado*PréstamoPagado,ValorPréstamo,""), "")</f>
        <v/>
      </c>
      <c r="E164" s="97" t="str">
        <f ca="1">IFERROR(IF(PréstamoNoPagado*PréstamoPagado,PagoMensual,""), "")</f>
        <v/>
      </c>
      <c r="F164" s="97" t="str">
        <f ca="1">IFERROR(IF(PréstamoNoPagado*PréstamoPagado,Capital,""), "")</f>
        <v/>
      </c>
      <c r="G164" s="97" t="str">
        <f ca="1">IFERROR(IF(PréstamoNoPagado*PréstamoPagado,AmortizaciónInterés,""), "")</f>
        <v/>
      </c>
      <c r="H164" s="97" t="str">
        <f ca="1">IFERROR(IF(PréstamoNoPagado*PréstamoPagado,SaldoFinal,""), "")</f>
        <v/>
      </c>
    </row>
    <row r="165" spans="2:8" ht="20.100000000000001" customHeight="1" x14ac:dyDescent="0.3">
      <c r="B165" s="105" t="str">
        <f ca="1">IFERROR(IF(PréstamoNoPagado*PréstamoPagado,NúmeroDePago,""), "")</f>
        <v/>
      </c>
      <c r="C165" s="96" t="str">
        <f ca="1">IFERROR(IF(PréstamoNoPagado*PréstamoPagado,FechaDePago,""), "")</f>
        <v/>
      </c>
      <c r="D165" s="97" t="str">
        <f ca="1">IFERROR(IF(PréstamoNoPagado*PréstamoPagado,ValorPréstamo,""), "")</f>
        <v/>
      </c>
      <c r="E165" s="97" t="str">
        <f ca="1">IFERROR(IF(PréstamoNoPagado*PréstamoPagado,PagoMensual,""), "")</f>
        <v/>
      </c>
      <c r="F165" s="97" t="str">
        <f ca="1">IFERROR(IF(PréstamoNoPagado*PréstamoPagado,Capital,""), "")</f>
        <v/>
      </c>
      <c r="G165" s="97" t="str">
        <f ca="1">IFERROR(IF(PréstamoNoPagado*PréstamoPagado,AmortizaciónInterés,""), "")</f>
        <v/>
      </c>
      <c r="H165" s="97" t="str">
        <f ca="1">IFERROR(IF(PréstamoNoPagado*PréstamoPagado,SaldoFinal,""), "")</f>
        <v/>
      </c>
    </row>
    <row r="166" spans="2:8" ht="20.100000000000001" customHeight="1" x14ac:dyDescent="0.3">
      <c r="B166" s="105" t="str">
        <f ca="1">IFERROR(IF(PréstamoNoPagado*PréstamoPagado,NúmeroDePago,""), "")</f>
        <v/>
      </c>
      <c r="C166" s="96" t="str">
        <f ca="1">IFERROR(IF(PréstamoNoPagado*PréstamoPagado,FechaDePago,""), "")</f>
        <v/>
      </c>
      <c r="D166" s="97" t="str">
        <f ca="1">IFERROR(IF(PréstamoNoPagado*PréstamoPagado,ValorPréstamo,""), "")</f>
        <v/>
      </c>
      <c r="E166" s="97" t="str">
        <f ca="1">IFERROR(IF(PréstamoNoPagado*PréstamoPagado,PagoMensual,""), "")</f>
        <v/>
      </c>
      <c r="F166" s="97" t="str">
        <f ca="1">IFERROR(IF(PréstamoNoPagado*PréstamoPagado,Capital,""), "")</f>
        <v/>
      </c>
      <c r="G166" s="97" t="str">
        <f ca="1">IFERROR(IF(PréstamoNoPagado*PréstamoPagado,AmortizaciónInterés,""), "")</f>
        <v/>
      </c>
      <c r="H166" s="97" t="str">
        <f ca="1">IFERROR(IF(PréstamoNoPagado*PréstamoPagado,SaldoFinal,""), "")</f>
        <v/>
      </c>
    </row>
    <row r="167" spans="2:8" ht="20.100000000000001" customHeight="1" x14ac:dyDescent="0.3">
      <c r="B167" s="105" t="str">
        <f ca="1">IFERROR(IF(PréstamoNoPagado*PréstamoPagado,NúmeroDePago,""), "")</f>
        <v/>
      </c>
      <c r="C167" s="96" t="str">
        <f ca="1">IFERROR(IF(PréstamoNoPagado*PréstamoPagado,FechaDePago,""), "")</f>
        <v/>
      </c>
      <c r="D167" s="97" t="str">
        <f ca="1">IFERROR(IF(PréstamoNoPagado*PréstamoPagado,ValorPréstamo,""), "")</f>
        <v/>
      </c>
      <c r="E167" s="97" t="str">
        <f ca="1">IFERROR(IF(PréstamoNoPagado*PréstamoPagado,PagoMensual,""), "")</f>
        <v/>
      </c>
      <c r="F167" s="97" t="str">
        <f ca="1">IFERROR(IF(PréstamoNoPagado*PréstamoPagado,Capital,""), "")</f>
        <v/>
      </c>
      <c r="G167" s="97" t="str">
        <f ca="1">IFERROR(IF(PréstamoNoPagado*PréstamoPagado,AmortizaciónInterés,""), "")</f>
        <v/>
      </c>
      <c r="H167" s="97" t="str">
        <f ca="1">IFERROR(IF(PréstamoNoPagado*PréstamoPagado,SaldoFinal,""), "")</f>
        <v/>
      </c>
    </row>
    <row r="168" spans="2:8" ht="20.100000000000001" customHeight="1" x14ac:dyDescent="0.3">
      <c r="B168" s="105" t="str">
        <f ca="1">IFERROR(IF(PréstamoNoPagado*PréstamoPagado,NúmeroDePago,""), "")</f>
        <v/>
      </c>
      <c r="C168" s="96" t="str">
        <f ca="1">IFERROR(IF(PréstamoNoPagado*PréstamoPagado,FechaDePago,""), "")</f>
        <v/>
      </c>
      <c r="D168" s="97" t="str">
        <f ca="1">IFERROR(IF(PréstamoNoPagado*PréstamoPagado,ValorPréstamo,""), "")</f>
        <v/>
      </c>
      <c r="E168" s="97" t="str">
        <f ca="1">IFERROR(IF(PréstamoNoPagado*PréstamoPagado,PagoMensual,""), "")</f>
        <v/>
      </c>
      <c r="F168" s="97" t="str">
        <f ca="1">IFERROR(IF(PréstamoNoPagado*PréstamoPagado,Capital,""), "")</f>
        <v/>
      </c>
      <c r="G168" s="97" t="str">
        <f ca="1">IFERROR(IF(PréstamoNoPagado*PréstamoPagado,AmortizaciónInterés,""), "")</f>
        <v/>
      </c>
      <c r="H168" s="97" t="str">
        <f ca="1">IFERROR(IF(PréstamoNoPagado*PréstamoPagado,SaldoFinal,""), "")</f>
        <v/>
      </c>
    </row>
    <row r="169" spans="2:8" ht="20.100000000000001" customHeight="1" x14ac:dyDescent="0.3">
      <c r="B169" s="105" t="str">
        <f ca="1">IFERROR(IF(PréstamoNoPagado*PréstamoPagado,NúmeroDePago,""), "")</f>
        <v/>
      </c>
      <c r="C169" s="96" t="str">
        <f ca="1">IFERROR(IF(PréstamoNoPagado*PréstamoPagado,FechaDePago,""), "")</f>
        <v/>
      </c>
      <c r="D169" s="97" t="str">
        <f ca="1">IFERROR(IF(PréstamoNoPagado*PréstamoPagado,ValorPréstamo,""), "")</f>
        <v/>
      </c>
      <c r="E169" s="97" t="str">
        <f ca="1">IFERROR(IF(PréstamoNoPagado*PréstamoPagado,PagoMensual,""), "")</f>
        <v/>
      </c>
      <c r="F169" s="97" t="str">
        <f ca="1">IFERROR(IF(PréstamoNoPagado*PréstamoPagado,Capital,""), "")</f>
        <v/>
      </c>
      <c r="G169" s="97" t="str">
        <f ca="1">IFERROR(IF(PréstamoNoPagado*PréstamoPagado,AmortizaciónInterés,""), "")</f>
        <v/>
      </c>
      <c r="H169" s="97" t="str">
        <f ca="1">IFERROR(IF(PréstamoNoPagado*PréstamoPagado,SaldoFinal,""), "")</f>
        <v/>
      </c>
    </row>
    <row r="170" spans="2:8" ht="20.100000000000001" customHeight="1" x14ac:dyDescent="0.3">
      <c r="B170" s="105" t="str">
        <f ca="1">IFERROR(IF(PréstamoNoPagado*PréstamoPagado,NúmeroDePago,""), "")</f>
        <v/>
      </c>
      <c r="C170" s="96" t="str">
        <f ca="1">IFERROR(IF(PréstamoNoPagado*PréstamoPagado,FechaDePago,""), "")</f>
        <v/>
      </c>
      <c r="D170" s="97" t="str">
        <f ca="1">IFERROR(IF(PréstamoNoPagado*PréstamoPagado,ValorPréstamo,""), "")</f>
        <v/>
      </c>
      <c r="E170" s="97" t="str">
        <f ca="1">IFERROR(IF(PréstamoNoPagado*PréstamoPagado,PagoMensual,""), "")</f>
        <v/>
      </c>
      <c r="F170" s="97" t="str">
        <f ca="1">IFERROR(IF(PréstamoNoPagado*PréstamoPagado,Capital,""), "")</f>
        <v/>
      </c>
      <c r="G170" s="97" t="str">
        <f ca="1">IFERROR(IF(PréstamoNoPagado*PréstamoPagado,AmortizaciónInterés,""), "")</f>
        <v/>
      </c>
      <c r="H170" s="97" t="str">
        <f ca="1">IFERROR(IF(PréstamoNoPagado*PréstamoPagado,SaldoFinal,""), "")</f>
        <v/>
      </c>
    </row>
    <row r="171" spans="2:8" ht="20.100000000000001" customHeight="1" x14ac:dyDescent="0.3">
      <c r="B171" s="105" t="str">
        <f ca="1">IFERROR(IF(PréstamoNoPagado*PréstamoPagado,NúmeroDePago,""), "")</f>
        <v/>
      </c>
      <c r="C171" s="96" t="str">
        <f ca="1">IFERROR(IF(PréstamoNoPagado*PréstamoPagado,FechaDePago,""), "")</f>
        <v/>
      </c>
      <c r="D171" s="97" t="str">
        <f ca="1">IFERROR(IF(PréstamoNoPagado*PréstamoPagado,ValorPréstamo,""), "")</f>
        <v/>
      </c>
      <c r="E171" s="97" t="str">
        <f ca="1">IFERROR(IF(PréstamoNoPagado*PréstamoPagado,PagoMensual,""), "")</f>
        <v/>
      </c>
      <c r="F171" s="97" t="str">
        <f ca="1">IFERROR(IF(PréstamoNoPagado*PréstamoPagado,Capital,""), "")</f>
        <v/>
      </c>
      <c r="G171" s="97" t="str">
        <f ca="1">IFERROR(IF(PréstamoNoPagado*PréstamoPagado,AmortizaciónInterés,""), "")</f>
        <v/>
      </c>
      <c r="H171" s="97" t="str">
        <f ca="1">IFERROR(IF(PréstamoNoPagado*PréstamoPagado,SaldoFinal,""), "")</f>
        <v/>
      </c>
    </row>
    <row r="172" spans="2:8" ht="20.100000000000001" customHeight="1" x14ac:dyDescent="0.3">
      <c r="B172" s="105" t="str">
        <f ca="1">IFERROR(IF(PréstamoNoPagado*PréstamoPagado,NúmeroDePago,""), "")</f>
        <v/>
      </c>
      <c r="C172" s="96" t="str">
        <f ca="1">IFERROR(IF(PréstamoNoPagado*PréstamoPagado,FechaDePago,""), "")</f>
        <v/>
      </c>
      <c r="D172" s="97" t="str">
        <f ca="1">IFERROR(IF(PréstamoNoPagado*PréstamoPagado,ValorPréstamo,""), "")</f>
        <v/>
      </c>
      <c r="E172" s="97" t="str">
        <f ca="1">IFERROR(IF(PréstamoNoPagado*PréstamoPagado,PagoMensual,""), "")</f>
        <v/>
      </c>
      <c r="F172" s="97" t="str">
        <f ca="1">IFERROR(IF(PréstamoNoPagado*PréstamoPagado,Capital,""), "")</f>
        <v/>
      </c>
      <c r="G172" s="97" t="str">
        <f ca="1">IFERROR(IF(PréstamoNoPagado*PréstamoPagado,AmortizaciónInterés,""), "")</f>
        <v/>
      </c>
      <c r="H172" s="97" t="str">
        <f ca="1">IFERROR(IF(PréstamoNoPagado*PréstamoPagado,SaldoFinal,""), "")</f>
        <v/>
      </c>
    </row>
    <row r="173" spans="2:8" ht="20.100000000000001" customHeight="1" x14ac:dyDescent="0.3">
      <c r="B173" s="105" t="str">
        <f ca="1">IFERROR(IF(PréstamoNoPagado*PréstamoPagado,NúmeroDePago,""), "")</f>
        <v/>
      </c>
      <c r="C173" s="96" t="str">
        <f ca="1">IFERROR(IF(PréstamoNoPagado*PréstamoPagado,FechaDePago,""), "")</f>
        <v/>
      </c>
      <c r="D173" s="97" t="str">
        <f ca="1">IFERROR(IF(PréstamoNoPagado*PréstamoPagado,ValorPréstamo,""), "")</f>
        <v/>
      </c>
      <c r="E173" s="97" t="str">
        <f ca="1">IFERROR(IF(PréstamoNoPagado*PréstamoPagado,PagoMensual,""), "")</f>
        <v/>
      </c>
      <c r="F173" s="97" t="str">
        <f ca="1">IFERROR(IF(PréstamoNoPagado*PréstamoPagado,Capital,""), "")</f>
        <v/>
      </c>
      <c r="G173" s="97" t="str">
        <f ca="1">IFERROR(IF(PréstamoNoPagado*PréstamoPagado,AmortizaciónInterés,""), "")</f>
        <v/>
      </c>
      <c r="H173" s="97" t="str">
        <f ca="1">IFERROR(IF(PréstamoNoPagado*PréstamoPagado,SaldoFinal,""), "")</f>
        <v/>
      </c>
    </row>
    <row r="174" spans="2:8" ht="20.100000000000001" customHeight="1" x14ac:dyDescent="0.3">
      <c r="B174" s="105" t="str">
        <f ca="1">IFERROR(IF(PréstamoNoPagado*PréstamoPagado,NúmeroDePago,""), "")</f>
        <v/>
      </c>
      <c r="C174" s="96" t="str">
        <f ca="1">IFERROR(IF(PréstamoNoPagado*PréstamoPagado,FechaDePago,""), "")</f>
        <v/>
      </c>
      <c r="D174" s="97" t="str">
        <f ca="1">IFERROR(IF(PréstamoNoPagado*PréstamoPagado,ValorPréstamo,""), "")</f>
        <v/>
      </c>
      <c r="E174" s="97" t="str">
        <f ca="1">IFERROR(IF(PréstamoNoPagado*PréstamoPagado,PagoMensual,""), "")</f>
        <v/>
      </c>
      <c r="F174" s="97" t="str">
        <f ca="1">IFERROR(IF(PréstamoNoPagado*PréstamoPagado,Capital,""), "")</f>
        <v/>
      </c>
      <c r="G174" s="97" t="str">
        <f ca="1">IFERROR(IF(PréstamoNoPagado*PréstamoPagado,AmortizaciónInterés,""), "")</f>
        <v/>
      </c>
      <c r="H174" s="97" t="str">
        <f ca="1">IFERROR(IF(PréstamoNoPagado*PréstamoPagado,SaldoFinal,""), "")</f>
        <v/>
      </c>
    </row>
    <row r="175" spans="2:8" ht="20.100000000000001" customHeight="1" x14ac:dyDescent="0.3">
      <c r="B175" s="105" t="str">
        <f ca="1">IFERROR(IF(PréstamoNoPagado*PréstamoPagado,NúmeroDePago,""), "")</f>
        <v/>
      </c>
      <c r="C175" s="96" t="str">
        <f ca="1">IFERROR(IF(PréstamoNoPagado*PréstamoPagado,FechaDePago,""), "")</f>
        <v/>
      </c>
      <c r="D175" s="97" t="str">
        <f ca="1">IFERROR(IF(PréstamoNoPagado*PréstamoPagado,ValorPréstamo,""), "")</f>
        <v/>
      </c>
      <c r="E175" s="97" t="str">
        <f ca="1">IFERROR(IF(PréstamoNoPagado*PréstamoPagado,PagoMensual,""), "")</f>
        <v/>
      </c>
      <c r="F175" s="97" t="str">
        <f ca="1">IFERROR(IF(PréstamoNoPagado*PréstamoPagado,Capital,""), "")</f>
        <v/>
      </c>
      <c r="G175" s="97" t="str">
        <f ca="1">IFERROR(IF(PréstamoNoPagado*PréstamoPagado,AmortizaciónInterés,""), "")</f>
        <v/>
      </c>
      <c r="H175" s="97" t="str">
        <f ca="1">IFERROR(IF(PréstamoNoPagado*PréstamoPagado,SaldoFinal,""), "")</f>
        <v/>
      </c>
    </row>
    <row r="176" spans="2:8" ht="20.100000000000001" customHeight="1" x14ac:dyDescent="0.3">
      <c r="B176" s="105" t="str">
        <f ca="1">IFERROR(IF(PréstamoNoPagado*PréstamoPagado,NúmeroDePago,""), "")</f>
        <v/>
      </c>
      <c r="C176" s="96" t="str">
        <f ca="1">IFERROR(IF(PréstamoNoPagado*PréstamoPagado,FechaDePago,""), "")</f>
        <v/>
      </c>
      <c r="D176" s="97" t="str">
        <f ca="1">IFERROR(IF(PréstamoNoPagado*PréstamoPagado,ValorPréstamo,""), "")</f>
        <v/>
      </c>
      <c r="E176" s="97" t="str">
        <f ca="1">IFERROR(IF(PréstamoNoPagado*PréstamoPagado,PagoMensual,""), "")</f>
        <v/>
      </c>
      <c r="F176" s="97" t="str">
        <f ca="1">IFERROR(IF(PréstamoNoPagado*PréstamoPagado,Capital,""), "")</f>
        <v/>
      </c>
      <c r="G176" s="97" t="str">
        <f ca="1">IFERROR(IF(PréstamoNoPagado*PréstamoPagado,AmortizaciónInterés,""), "")</f>
        <v/>
      </c>
      <c r="H176" s="97" t="str">
        <f ca="1">IFERROR(IF(PréstamoNoPagado*PréstamoPagado,SaldoFinal,""), "")</f>
        <v/>
      </c>
    </row>
    <row r="177" spans="2:8" ht="20.100000000000001" customHeight="1" x14ac:dyDescent="0.3">
      <c r="B177" s="105" t="str">
        <f ca="1">IFERROR(IF(PréstamoNoPagado*PréstamoPagado,NúmeroDePago,""), "")</f>
        <v/>
      </c>
      <c r="C177" s="96" t="str">
        <f ca="1">IFERROR(IF(PréstamoNoPagado*PréstamoPagado,FechaDePago,""), "")</f>
        <v/>
      </c>
      <c r="D177" s="97" t="str">
        <f ca="1">IFERROR(IF(PréstamoNoPagado*PréstamoPagado,ValorPréstamo,""), "")</f>
        <v/>
      </c>
      <c r="E177" s="97" t="str">
        <f ca="1">IFERROR(IF(PréstamoNoPagado*PréstamoPagado,PagoMensual,""), "")</f>
        <v/>
      </c>
      <c r="F177" s="97" t="str">
        <f ca="1">IFERROR(IF(PréstamoNoPagado*PréstamoPagado,Capital,""), "")</f>
        <v/>
      </c>
      <c r="G177" s="97" t="str">
        <f ca="1">IFERROR(IF(PréstamoNoPagado*PréstamoPagado,AmortizaciónInterés,""), "")</f>
        <v/>
      </c>
      <c r="H177" s="97" t="str">
        <f ca="1">IFERROR(IF(PréstamoNoPagado*PréstamoPagado,SaldoFinal,""), "")</f>
        <v/>
      </c>
    </row>
    <row r="178" spans="2:8" ht="20.100000000000001" customHeight="1" x14ac:dyDescent="0.3">
      <c r="B178" s="105" t="str">
        <f ca="1">IFERROR(IF(PréstamoNoPagado*PréstamoPagado,NúmeroDePago,""), "")</f>
        <v/>
      </c>
      <c r="C178" s="96" t="str">
        <f ca="1">IFERROR(IF(PréstamoNoPagado*PréstamoPagado,FechaDePago,""), "")</f>
        <v/>
      </c>
      <c r="D178" s="97" t="str">
        <f ca="1">IFERROR(IF(PréstamoNoPagado*PréstamoPagado,ValorPréstamo,""), "")</f>
        <v/>
      </c>
      <c r="E178" s="97" t="str">
        <f ca="1">IFERROR(IF(PréstamoNoPagado*PréstamoPagado,PagoMensual,""), "")</f>
        <v/>
      </c>
      <c r="F178" s="97" t="str">
        <f ca="1">IFERROR(IF(PréstamoNoPagado*PréstamoPagado,Capital,""), "")</f>
        <v/>
      </c>
      <c r="G178" s="97" t="str">
        <f ca="1">IFERROR(IF(PréstamoNoPagado*PréstamoPagado,AmortizaciónInterés,""), "")</f>
        <v/>
      </c>
      <c r="H178" s="97" t="str">
        <f ca="1">IFERROR(IF(PréstamoNoPagado*PréstamoPagado,SaldoFinal,""), "")</f>
        <v/>
      </c>
    </row>
    <row r="179" spans="2:8" ht="20.100000000000001" customHeight="1" x14ac:dyDescent="0.3">
      <c r="B179" s="105" t="str">
        <f ca="1">IFERROR(IF(PréstamoNoPagado*PréstamoPagado,NúmeroDePago,""), "")</f>
        <v/>
      </c>
      <c r="C179" s="96" t="str">
        <f ca="1">IFERROR(IF(PréstamoNoPagado*PréstamoPagado,FechaDePago,""), "")</f>
        <v/>
      </c>
      <c r="D179" s="97" t="str">
        <f ca="1">IFERROR(IF(PréstamoNoPagado*PréstamoPagado,ValorPréstamo,""), "")</f>
        <v/>
      </c>
      <c r="E179" s="97" t="str">
        <f ca="1">IFERROR(IF(PréstamoNoPagado*PréstamoPagado,PagoMensual,""), "")</f>
        <v/>
      </c>
      <c r="F179" s="97" t="str">
        <f ca="1">IFERROR(IF(PréstamoNoPagado*PréstamoPagado,Capital,""), "")</f>
        <v/>
      </c>
      <c r="G179" s="97" t="str">
        <f ca="1">IFERROR(IF(PréstamoNoPagado*PréstamoPagado,AmortizaciónInterés,""), "")</f>
        <v/>
      </c>
      <c r="H179" s="97" t="str">
        <f ca="1">IFERROR(IF(PréstamoNoPagado*PréstamoPagado,SaldoFinal,""), "")</f>
        <v/>
      </c>
    </row>
    <row r="180" spans="2:8" ht="20.100000000000001" customHeight="1" x14ac:dyDescent="0.3">
      <c r="B180" s="105" t="str">
        <f ca="1">IFERROR(IF(PréstamoNoPagado*PréstamoPagado,NúmeroDePago,""), "")</f>
        <v/>
      </c>
      <c r="C180" s="96" t="str">
        <f ca="1">IFERROR(IF(PréstamoNoPagado*PréstamoPagado,FechaDePago,""), "")</f>
        <v/>
      </c>
      <c r="D180" s="97" t="str">
        <f ca="1">IFERROR(IF(PréstamoNoPagado*PréstamoPagado,ValorPréstamo,""), "")</f>
        <v/>
      </c>
      <c r="E180" s="97" t="str">
        <f ca="1">IFERROR(IF(PréstamoNoPagado*PréstamoPagado,PagoMensual,""), "")</f>
        <v/>
      </c>
      <c r="F180" s="97" t="str">
        <f ca="1">IFERROR(IF(PréstamoNoPagado*PréstamoPagado,Capital,""), "")</f>
        <v/>
      </c>
      <c r="G180" s="97" t="str">
        <f ca="1">IFERROR(IF(PréstamoNoPagado*PréstamoPagado,AmortizaciónInterés,""), "")</f>
        <v/>
      </c>
      <c r="H180" s="97" t="str">
        <f ca="1">IFERROR(IF(PréstamoNoPagado*PréstamoPagado,SaldoFinal,""), "")</f>
        <v/>
      </c>
    </row>
    <row r="181" spans="2:8" ht="20.100000000000001" customHeight="1" x14ac:dyDescent="0.3">
      <c r="B181" s="105" t="str">
        <f ca="1">IFERROR(IF(PréstamoNoPagado*PréstamoPagado,NúmeroDePago,""), "")</f>
        <v/>
      </c>
      <c r="C181" s="96" t="str">
        <f ca="1">IFERROR(IF(PréstamoNoPagado*PréstamoPagado,FechaDePago,""), "")</f>
        <v/>
      </c>
      <c r="D181" s="97" t="str">
        <f ca="1">IFERROR(IF(PréstamoNoPagado*PréstamoPagado,ValorPréstamo,""), "")</f>
        <v/>
      </c>
      <c r="E181" s="97" t="str">
        <f ca="1">IFERROR(IF(PréstamoNoPagado*PréstamoPagado,PagoMensual,""), "")</f>
        <v/>
      </c>
      <c r="F181" s="97" t="str">
        <f ca="1">IFERROR(IF(PréstamoNoPagado*PréstamoPagado,Capital,""), "")</f>
        <v/>
      </c>
      <c r="G181" s="97" t="str">
        <f ca="1">IFERROR(IF(PréstamoNoPagado*PréstamoPagado,AmortizaciónInterés,""), "")</f>
        <v/>
      </c>
      <c r="H181" s="97" t="str">
        <f ca="1">IFERROR(IF(PréstamoNoPagado*PréstamoPagado,SaldoFinal,""), "")</f>
        <v/>
      </c>
    </row>
    <row r="182" spans="2:8" ht="20.100000000000001" customHeight="1" x14ac:dyDescent="0.3">
      <c r="B182" s="105" t="str">
        <f ca="1">IFERROR(IF(PréstamoNoPagado*PréstamoPagado,NúmeroDePago,""), "")</f>
        <v/>
      </c>
      <c r="C182" s="96" t="str">
        <f ca="1">IFERROR(IF(PréstamoNoPagado*PréstamoPagado,FechaDePago,""), "")</f>
        <v/>
      </c>
      <c r="D182" s="97" t="str">
        <f ca="1">IFERROR(IF(PréstamoNoPagado*PréstamoPagado,ValorPréstamo,""), "")</f>
        <v/>
      </c>
      <c r="E182" s="97" t="str">
        <f ca="1">IFERROR(IF(PréstamoNoPagado*PréstamoPagado,PagoMensual,""), "")</f>
        <v/>
      </c>
      <c r="F182" s="97" t="str">
        <f ca="1">IFERROR(IF(PréstamoNoPagado*PréstamoPagado,Capital,""), "")</f>
        <v/>
      </c>
      <c r="G182" s="97" t="str">
        <f ca="1">IFERROR(IF(PréstamoNoPagado*PréstamoPagado,AmortizaciónInterés,""), "")</f>
        <v/>
      </c>
      <c r="H182" s="97" t="str">
        <f ca="1">IFERROR(IF(PréstamoNoPagado*PréstamoPagado,SaldoFinal,""), "")</f>
        <v/>
      </c>
    </row>
    <row r="183" spans="2:8" ht="20.100000000000001" customHeight="1" x14ac:dyDescent="0.3">
      <c r="B183" s="105" t="str">
        <f ca="1">IFERROR(IF(PréstamoNoPagado*PréstamoPagado,NúmeroDePago,""), "")</f>
        <v/>
      </c>
      <c r="C183" s="96" t="str">
        <f ca="1">IFERROR(IF(PréstamoNoPagado*PréstamoPagado,FechaDePago,""), "")</f>
        <v/>
      </c>
      <c r="D183" s="97" t="str">
        <f ca="1">IFERROR(IF(PréstamoNoPagado*PréstamoPagado,ValorPréstamo,""), "")</f>
        <v/>
      </c>
      <c r="E183" s="97" t="str">
        <f ca="1">IFERROR(IF(PréstamoNoPagado*PréstamoPagado,PagoMensual,""), "")</f>
        <v/>
      </c>
      <c r="F183" s="97" t="str">
        <f ca="1">IFERROR(IF(PréstamoNoPagado*PréstamoPagado,Capital,""), "")</f>
        <v/>
      </c>
      <c r="G183" s="97" t="str">
        <f ca="1">IFERROR(IF(PréstamoNoPagado*PréstamoPagado,AmortizaciónInterés,""), "")</f>
        <v/>
      </c>
      <c r="H183" s="97" t="str">
        <f ca="1">IFERROR(IF(PréstamoNoPagado*PréstamoPagado,SaldoFinal,""), "")</f>
        <v/>
      </c>
    </row>
    <row r="184" spans="2:8" ht="20.100000000000001" customHeight="1" x14ac:dyDescent="0.3">
      <c r="B184" s="105" t="str">
        <f ca="1">IFERROR(IF(PréstamoNoPagado*PréstamoPagado,NúmeroDePago,""), "")</f>
        <v/>
      </c>
      <c r="C184" s="96" t="str">
        <f ca="1">IFERROR(IF(PréstamoNoPagado*PréstamoPagado,FechaDePago,""), "")</f>
        <v/>
      </c>
      <c r="D184" s="97" t="str">
        <f ca="1">IFERROR(IF(PréstamoNoPagado*PréstamoPagado,ValorPréstamo,""), "")</f>
        <v/>
      </c>
      <c r="E184" s="97" t="str">
        <f ca="1">IFERROR(IF(PréstamoNoPagado*PréstamoPagado,PagoMensual,""), "")</f>
        <v/>
      </c>
      <c r="F184" s="97" t="str">
        <f ca="1">IFERROR(IF(PréstamoNoPagado*PréstamoPagado,Capital,""), "")</f>
        <v/>
      </c>
      <c r="G184" s="97" t="str">
        <f ca="1">IFERROR(IF(PréstamoNoPagado*PréstamoPagado,AmortizaciónInterés,""), "")</f>
        <v/>
      </c>
      <c r="H184" s="97" t="str">
        <f ca="1">IFERROR(IF(PréstamoNoPagado*PréstamoPagado,SaldoFinal,""), "")</f>
        <v/>
      </c>
    </row>
    <row r="185" spans="2:8" ht="20.100000000000001" customHeight="1" x14ac:dyDescent="0.3">
      <c r="B185" s="105" t="str">
        <f ca="1">IFERROR(IF(PréstamoNoPagado*PréstamoPagado,NúmeroDePago,""), "")</f>
        <v/>
      </c>
      <c r="C185" s="96" t="str">
        <f ca="1">IFERROR(IF(PréstamoNoPagado*PréstamoPagado,FechaDePago,""), "")</f>
        <v/>
      </c>
      <c r="D185" s="97" t="str">
        <f ca="1">IFERROR(IF(PréstamoNoPagado*PréstamoPagado,ValorPréstamo,""), "")</f>
        <v/>
      </c>
      <c r="E185" s="97" t="str">
        <f ca="1">IFERROR(IF(PréstamoNoPagado*PréstamoPagado,PagoMensual,""), "")</f>
        <v/>
      </c>
      <c r="F185" s="97" t="str">
        <f ca="1">IFERROR(IF(PréstamoNoPagado*PréstamoPagado,Capital,""), "")</f>
        <v/>
      </c>
      <c r="G185" s="97" t="str">
        <f ca="1">IFERROR(IF(PréstamoNoPagado*PréstamoPagado,AmortizaciónInterés,""), "")</f>
        <v/>
      </c>
      <c r="H185" s="97" t="str">
        <f ca="1">IFERROR(IF(PréstamoNoPagado*PréstamoPagado,SaldoFinal,""), "")</f>
        <v/>
      </c>
    </row>
    <row r="186" spans="2:8" ht="20.100000000000001" customHeight="1" x14ac:dyDescent="0.3">
      <c r="B186" s="105" t="str">
        <f ca="1">IFERROR(IF(PréstamoNoPagado*PréstamoPagado,NúmeroDePago,""), "")</f>
        <v/>
      </c>
      <c r="C186" s="96" t="str">
        <f ca="1">IFERROR(IF(PréstamoNoPagado*PréstamoPagado,FechaDePago,""), "")</f>
        <v/>
      </c>
      <c r="D186" s="97" t="str">
        <f ca="1">IFERROR(IF(PréstamoNoPagado*PréstamoPagado,ValorPréstamo,""), "")</f>
        <v/>
      </c>
      <c r="E186" s="97" t="str">
        <f ca="1">IFERROR(IF(PréstamoNoPagado*PréstamoPagado,PagoMensual,""), "")</f>
        <v/>
      </c>
      <c r="F186" s="97" t="str">
        <f ca="1">IFERROR(IF(PréstamoNoPagado*PréstamoPagado,Capital,""), "")</f>
        <v/>
      </c>
      <c r="G186" s="97" t="str">
        <f ca="1">IFERROR(IF(PréstamoNoPagado*PréstamoPagado,AmortizaciónInterés,""), "")</f>
        <v/>
      </c>
      <c r="H186" s="97" t="str">
        <f ca="1">IFERROR(IF(PréstamoNoPagado*PréstamoPagado,SaldoFinal,""), "")</f>
        <v/>
      </c>
    </row>
    <row r="187" spans="2:8" ht="20.100000000000001" customHeight="1" x14ac:dyDescent="0.3">
      <c r="B187" s="105" t="str">
        <f ca="1">IFERROR(IF(PréstamoNoPagado*PréstamoPagado,NúmeroDePago,""), "")</f>
        <v/>
      </c>
      <c r="C187" s="96" t="str">
        <f ca="1">IFERROR(IF(PréstamoNoPagado*PréstamoPagado,FechaDePago,""), "")</f>
        <v/>
      </c>
      <c r="D187" s="97" t="str">
        <f ca="1">IFERROR(IF(PréstamoNoPagado*PréstamoPagado,ValorPréstamo,""), "")</f>
        <v/>
      </c>
      <c r="E187" s="97" t="str">
        <f ca="1">IFERROR(IF(PréstamoNoPagado*PréstamoPagado,PagoMensual,""), "")</f>
        <v/>
      </c>
      <c r="F187" s="97" t="str">
        <f ca="1">IFERROR(IF(PréstamoNoPagado*PréstamoPagado,Capital,""), "")</f>
        <v/>
      </c>
      <c r="G187" s="97" t="str">
        <f ca="1">IFERROR(IF(PréstamoNoPagado*PréstamoPagado,AmortizaciónInterés,""), "")</f>
        <v/>
      </c>
      <c r="H187" s="97" t="str">
        <f ca="1">IFERROR(IF(PréstamoNoPagado*PréstamoPagado,SaldoFinal,""), "")</f>
        <v/>
      </c>
    </row>
    <row r="188" spans="2:8" ht="20.100000000000001" customHeight="1" x14ac:dyDescent="0.3">
      <c r="B188" s="105" t="str">
        <f ca="1">IFERROR(IF(PréstamoNoPagado*PréstamoPagado,NúmeroDePago,""), "")</f>
        <v/>
      </c>
      <c r="C188" s="96" t="str">
        <f ca="1">IFERROR(IF(PréstamoNoPagado*PréstamoPagado,FechaDePago,""), "")</f>
        <v/>
      </c>
      <c r="D188" s="97" t="str">
        <f ca="1">IFERROR(IF(PréstamoNoPagado*PréstamoPagado,ValorPréstamo,""), "")</f>
        <v/>
      </c>
      <c r="E188" s="97" t="str">
        <f ca="1">IFERROR(IF(PréstamoNoPagado*PréstamoPagado,PagoMensual,""), "")</f>
        <v/>
      </c>
      <c r="F188" s="97" t="str">
        <f ca="1">IFERROR(IF(PréstamoNoPagado*PréstamoPagado,Capital,""), "")</f>
        <v/>
      </c>
      <c r="G188" s="97" t="str">
        <f ca="1">IFERROR(IF(PréstamoNoPagado*PréstamoPagado,AmortizaciónInterés,""), "")</f>
        <v/>
      </c>
      <c r="H188" s="97" t="str">
        <f ca="1">IFERROR(IF(PréstamoNoPagado*PréstamoPagado,SaldoFinal,""), "")</f>
        <v/>
      </c>
    </row>
    <row r="189" spans="2:8" ht="20.100000000000001" customHeight="1" x14ac:dyDescent="0.3">
      <c r="B189" s="105" t="str">
        <f ca="1">IFERROR(IF(PréstamoNoPagado*PréstamoPagado,NúmeroDePago,""), "")</f>
        <v/>
      </c>
      <c r="C189" s="96" t="str">
        <f ca="1">IFERROR(IF(PréstamoNoPagado*PréstamoPagado,FechaDePago,""), "")</f>
        <v/>
      </c>
      <c r="D189" s="97" t="str">
        <f ca="1">IFERROR(IF(PréstamoNoPagado*PréstamoPagado,ValorPréstamo,""), "")</f>
        <v/>
      </c>
      <c r="E189" s="97" t="str">
        <f ca="1">IFERROR(IF(PréstamoNoPagado*PréstamoPagado,PagoMensual,""), "")</f>
        <v/>
      </c>
      <c r="F189" s="97" t="str">
        <f ca="1">IFERROR(IF(PréstamoNoPagado*PréstamoPagado,Capital,""), "")</f>
        <v/>
      </c>
      <c r="G189" s="97" t="str">
        <f ca="1">IFERROR(IF(PréstamoNoPagado*PréstamoPagado,AmortizaciónInterés,""), "")</f>
        <v/>
      </c>
      <c r="H189" s="97" t="str">
        <f ca="1">IFERROR(IF(PréstamoNoPagado*PréstamoPagado,SaldoFinal,""), "")</f>
        <v/>
      </c>
    </row>
    <row r="190" spans="2:8" ht="20.100000000000001" customHeight="1" x14ac:dyDescent="0.3">
      <c r="B190" s="105" t="str">
        <f ca="1">IFERROR(IF(PréstamoNoPagado*PréstamoPagado,NúmeroDePago,""), "")</f>
        <v/>
      </c>
      <c r="C190" s="96" t="str">
        <f ca="1">IFERROR(IF(PréstamoNoPagado*PréstamoPagado,FechaDePago,""), "")</f>
        <v/>
      </c>
      <c r="D190" s="97" t="str">
        <f ca="1">IFERROR(IF(PréstamoNoPagado*PréstamoPagado,ValorPréstamo,""), "")</f>
        <v/>
      </c>
      <c r="E190" s="97" t="str">
        <f ca="1">IFERROR(IF(PréstamoNoPagado*PréstamoPagado,PagoMensual,""), "")</f>
        <v/>
      </c>
      <c r="F190" s="97" t="str">
        <f ca="1">IFERROR(IF(PréstamoNoPagado*PréstamoPagado,Capital,""), "")</f>
        <v/>
      </c>
      <c r="G190" s="97" t="str">
        <f ca="1">IFERROR(IF(PréstamoNoPagado*PréstamoPagado,AmortizaciónInterés,""), "")</f>
        <v/>
      </c>
      <c r="H190" s="97" t="str">
        <f ca="1">IFERROR(IF(PréstamoNoPagado*PréstamoPagado,SaldoFinal,""), "")</f>
        <v/>
      </c>
    </row>
    <row r="191" spans="2:8" ht="20.100000000000001" customHeight="1" x14ac:dyDescent="0.3">
      <c r="B191" s="105" t="str">
        <f ca="1">IFERROR(IF(PréstamoNoPagado*PréstamoPagado,NúmeroDePago,""), "")</f>
        <v/>
      </c>
      <c r="C191" s="96" t="str">
        <f ca="1">IFERROR(IF(PréstamoNoPagado*PréstamoPagado,FechaDePago,""), "")</f>
        <v/>
      </c>
      <c r="D191" s="97" t="str">
        <f ca="1">IFERROR(IF(PréstamoNoPagado*PréstamoPagado,ValorPréstamo,""), "")</f>
        <v/>
      </c>
      <c r="E191" s="97" t="str">
        <f ca="1">IFERROR(IF(PréstamoNoPagado*PréstamoPagado,PagoMensual,""), "")</f>
        <v/>
      </c>
      <c r="F191" s="97" t="str">
        <f ca="1">IFERROR(IF(PréstamoNoPagado*PréstamoPagado,Capital,""), "")</f>
        <v/>
      </c>
      <c r="G191" s="97" t="str">
        <f ca="1">IFERROR(IF(PréstamoNoPagado*PréstamoPagado,AmortizaciónInterés,""), "")</f>
        <v/>
      </c>
      <c r="H191" s="97" t="str">
        <f ca="1">IFERROR(IF(PréstamoNoPagado*PréstamoPagado,SaldoFinal,""), "")</f>
        <v/>
      </c>
    </row>
    <row r="192" spans="2:8" ht="20.100000000000001" customHeight="1" x14ac:dyDescent="0.3">
      <c r="B192" s="105" t="str">
        <f ca="1">IFERROR(IF(PréstamoNoPagado*PréstamoPagado,NúmeroDePago,""), "")</f>
        <v/>
      </c>
      <c r="C192" s="96" t="str">
        <f ca="1">IFERROR(IF(PréstamoNoPagado*PréstamoPagado,FechaDePago,""), "")</f>
        <v/>
      </c>
      <c r="D192" s="97" t="str">
        <f ca="1">IFERROR(IF(PréstamoNoPagado*PréstamoPagado,ValorPréstamo,""), "")</f>
        <v/>
      </c>
      <c r="E192" s="97" t="str">
        <f ca="1">IFERROR(IF(PréstamoNoPagado*PréstamoPagado,PagoMensual,""), "")</f>
        <v/>
      </c>
      <c r="F192" s="97" t="str">
        <f ca="1">IFERROR(IF(PréstamoNoPagado*PréstamoPagado,Capital,""), "")</f>
        <v/>
      </c>
      <c r="G192" s="97" t="str">
        <f ca="1">IFERROR(IF(PréstamoNoPagado*PréstamoPagado,AmortizaciónInterés,""), "")</f>
        <v/>
      </c>
      <c r="H192" s="97" t="str">
        <f ca="1">IFERROR(IF(PréstamoNoPagado*PréstamoPagado,SaldoFinal,""), "")</f>
        <v/>
      </c>
    </row>
    <row r="193" spans="2:8" ht="20.100000000000001" customHeight="1" x14ac:dyDescent="0.3">
      <c r="B193" s="105" t="str">
        <f ca="1">IFERROR(IF(PréstamoNoPagado*PréstamoPagado,NúmeroDePago,""), "")</f>
        <v/>
      </c>
      <c r="C193" s="96" t="str">
        <f ca="1">IFERROR(IF(PréstamoNoPagado*PréstamoPagado,FechaDePago,""), "")</f>
        <v/>
      </c>
      <c r="D193" s="97" t="str">
        <f ca="1">IFERROR(IF(PréstamoNoPagado*PréstamoPagado,ValorPréstamo,""), "")</f>
        <v/>
      </c>
      <c r="E193" s="97" t="str">
        <f ca="1">IFERROR(IF(PréstamoNoPagado*PréstamoPagado,PagoMensual,""), "")</f>
        <v/>
      </c>
      <c r="F193" s="97" t="str">
        <f ca="1">IFERROR(IF(PréstamoNoPagado*PréstamoPagado,Capital,""), "")</f>
        <v/>
      </c>
      <c r="G193" s="97" t="str">
        <f ca="1">IFERROR(IF(PréstamoNoPagado*PréstamoPagado,AmortizaciónInterés,""), "")</f>
        <v/>
      </c>
      <c r="H193" s="97" t="str">
        <f ca="1">IFERROR(IF(PréstamoNoPagado*PréstamoPagado,SaldoFinal,""), "")</f>
        <v/>
      </c>
    </row>
    <row r="194" spans="2:8" ht="20.100000000000001" customHeight="1" x14ac:dyDescent="0.3">
      <c r="B194" s="105" t="str">
        <f ca="1">IFERROR(IF(PréstamoNoPagado*PréstamoPagado,NúmeroDePago,""), "")</f>
        <v/>
      </c>
      <c r="C194" s="96" t="str">
        <f ca="1">IFERROR(IF(PréstamoNoPagado*PréstamoPagado,FechaDePago,""), "")</f>
        <v/>
      </c>
      <c r="D194" s="97" t="str">
        <f ca="1">IFERROR(IF(PréstamoNoPagado*PréstamoPagado,ValorPréstamo,""), "")</f>
        <v/>
      </c>
      <c r="E194" s="97" t="str">
        <f ca="1">IFERROR(IF(PréstamoNoPagado*PréstamoPagado,PagoMensual,""), "")</f>
        <v/>
      </c>
      <c r="F194" s="97" t="str">
        <f ca="1">IFERROR(IF(PréstamoNoPagado*PréstamoPagado,Capital,""), "")</f>
        <v/>
      </c>
      <c r="G194" s="97" t="str">
        <f ca="1">IFERROR(IF(PréstamoNoPagado*PréstamoPagado,AmortizaciónInterés,""), "")</f>
        <v/>
      </c>
      <c r="H194" s="97" t="str">
        <f ca="1">IFERROR(IF(PréstamoNoPagado*PréstamoPagado,SaldoFinal,""), "")</f>
        <v/>
      </c>
    </row>
    <row r="195" spans="2:8" ht="20.100000000000001" customHeight="1" x14ac:dyDescent="0.3">
      <c r="B195" s="105" t="str">
        <f ca="1">IFERROR(IF(PréstamoNoPagado*PréstamoPagado,NúmeroDePago,""), "")</f>
        <v/>
      </c>
      <c r="C195" s="96" t="str">
        <f ca="1">IFERROR(IF(PréstamoNoPagado*PréstamoPagado,FechaDePago,""), "")</f>
        <v/>
      </c>
      <c r="D195" s="97" t="str">
        <f ca="1">IFERROR(IF(PréstamoNoPagado*PréstamoPagado,ValorPréstamo,""), "")</f>
        <v/>
      </c>
      <c r="E195" s="97" t="str">
        <f ca="1">IFERROR(IF(PréstamoNoPagado*PréstamoPagado,PagoMensual,""), "")</f>
        <v/>
      </c>
      <c r="F195" s="97" t="str">
        <f ca="1">IFERROR(IF(PréstamoNoPagado*PréstamoPagado,Capital,""), "")</f>
        <v/>
      </c>
      <c r="G195" s="97" t="str">
        <f ca="1">IFERROR(IF(PréstamoNoPagado*PréstamoPagado,AmortizaciónInterés,""), "")</f>
        <v/>
      </c>
      <c r="H195" s="97" t="str">
        <f ca="1">IFERROR(IF(PréstamoNoPagado*PréstamoPagado,SaldoFinal,""), "")</f>
        <v/>
      </c>
    </row>
    <row r="196" spans="2:8" ht="20.100000000000001" customHeight="1" x14ac:dyDescent="0.3">
      <c r="B196" s="105" t="str">
        <f ca="1">IFERROR(IF(PréstamoNoPagado*PréstamoPagado,NúmeroDePago,""), "")</f>
        <v/>
      </c>
      <c r="C196" s="96" t="str">
        <f ca="1">IFERROR(IF(PréstamoNoPagado*PréstamoPagado,FechaDePago,""), "")</f>
        <v/>
      </c>
      <c r="D196" s="97" t="str">
        <f ca="1">IFERROR(IF(PréstamoNoPagado*PréstamoPagado,ValorPréstamo,""), "")</f>
        <v/>
      </c>
      <c r="E196" s="97" t="str">
        <f ca="1">IFERROR(IF(PréstamoNoPagado*PréstamoPagado,PagoMensual,""), "")</f>
        <v/>
      </c>
      <c r="F196" s="97" t="str">
        <f ca="1">IFERROR(IF(PréstamoNoPagado*PréstamoPagado,Capital,""), "")</f>
        <v/>
      </c>
      <c r="G196" s="97" t="str">
        <f ca="1">IFERROR(IF(PréstamoNoPagado*PréstamoPagado,AmortizaciónInterés,""), "")</f>
        <v/>
      </c>
      <c r="H196" s="97" t="str">
        <f ca="1">IFERROR(IF(PréstamoNoPagado*PréstamoPagado,SaldoFinal,""), "")</f>
        <v/>
      </c>
    </row>
    <row r="197" spans="2:8" ht="20.100000000000001" customHeight="1" x14ac:dyDescent="0.3">
      <c r="B197" s="105" t="str">
        <f ca="1">IFERROR(IF(PréstamoNoPagado*PréstamoPagado,NúmeroDePago,""), "")</f>
        <v/>
      </c>
      <c r="C197" s="96" t="str">
        <f ca="1">IFERROR(IF(PréstamoNoPagado*PréstamoPagado,FechaDePago,""), "")</f>
        <v/>
      </c>
      <c r="D197" s="97" t="str">
        <f ca="1">IFERROR(IF(PréstamoNoPagado*PréstamoPagado,ValorPréstamo,""), "")</f>
        <v/>
      </c>
      <c r="E197" s="97" t="str">
        <f ca="1">IFERROR(IF(PréstamoNoPagado*PréstamoPagado,PagoMensual,""), "")</f>
        <v/>
      </c>
      <c r="F197" s="97" t="str">
        <f ca="1">IFERROR(IF(PréstamoNoPagado*PréstamoPagado,Capital,""), "")</f>
        <v/>
      </c>
      <c r="G197" s="97" t="str">
        <f ca="1">IFERROR(IF(PréstamoNoPagado*PréstamoPagado,AmortizaciónInterés,""), "")</f>
        <v/>
      </c>
      <c r="H197" s="97" t="str">
        <f ca="1">IFERROR(IF(PréstamoNoPagado*PréstamoPagado,SaldoFinal,""), "")</f>
        <v/>
      </c>
    </row>
    <row r="198" spans="2:8" ht="20.100000000000001" customHeight="1" x14ac:dyDescent="0.3">
      <c r="B198" s="105" t="str">
        <f ca="1">IFERROR(IF(PréstamoNoPagado*PréstamoPagado,NúmeroDePago,""), "")</f>
        <v/>
      </c>
      <c r="C198" s="96" t="str">
        <f ca="1">IFERROR(IF(PréstamoNoPagado*PréstamoPagado,FechaDePago,""), "")</f>
        <v/>
      </c>
      <c r="D198" s="97" t="str">
        <f ca="1">IFERROR(IF(PréstamoNoPagado*PréstamoPagado,ValorPréstamo,""), "")</f>
        <v/>
      </c>
      <c r="E198" s="97" t="str">
        <f ca="1">IFERROR(IF(PréstamoNoPagado*PréstamoPagado,PagoMensual,""), "")</f>
        <v/>
      </c>
      <c r="F198" s="97" t="str">
        <f ca="1">IFERROR(IF(PréstamoNoPagado*PréstamoPagado,Capital,""), "")</f>
        <v/>
      </c>
      <c r="G198" s="97" t="str">
        <f ca="1">IFERROR(IF(PréstamoNoPagado*PréstamoPagado,AmortizaciónInterés,""), "")</f>
        <v/>
      </c>
      <c r="H198" s="97" t="str">
        <f ca="1">IFERROR(IF(PréstamoNoPagado*PréstamoPagado,SaldoFinal,""), "")</f>
        <v/>
      </c>
    </row>
    <row r="199" spans="2:8" ht="20.100000000000001" customHeight="1" x14ac:dyDescent="0.3">
      <c r="B199" s="105" t="str">
        <f ca="1">IFERROR(IF(PréstamoNoPagado*PréstamoPagado,NúmeroDePago,""), "")</f>
        <v/>
      </c>
      <c r="C199" s="96" t="str">
        <f ca="1">IFERROR(IF(PréstamoNoPagado*PréstamoPagado,FechaDePago,""), "")</f>
        <v/>
      </c>
      <c r="D199" s="97" t="str">
        <f ca="1">IFERROR(IF(PréstamoNoPagado*PréstamoPagado,ValorPréstamo,""), "")</f>
        <v/>
      </c>
      <c r="E199" s="97" t="str">
        <f ca="1">IFERROR(IF(PréstamoNoPagado*PréstamoPagado,PagoMensual,""), "")</f>
        <v/>
      </c>
      <c r="F199" s="97" t="str">
        <f ca="1">IFERROR(IF(PréstamoNoPagado*PréstamoPagado,Capital,""), "")</f>
        <v/>
      </c>
      <c r="G199" s="97" t="str">
        <f ca="1">IFERROR(IF(PréstamoNoPagado*PréstamoPagado,AmortizaciónInterés,""), "")</f>
        <v/>
      </c>
      <c r="H199" s="97" t="str">
        <f ca="1">IFERROR(IF(PréstamoNoPagado*PréstamoPagado,SaldoFinal,""), "")</f>
        <v/>
      </c>
    </row>
    <row r="200" spans="2:8" ht="20.100000000000001" customHeight="1" x14ac:dyDescent="0.3">
      <c r="B200" s="105" t="str">
        <f ca="1">IFERROR(IF(PréstamoNoPagado*PréstamoPagado,NúmeroDePago,""), "")</f>
        <v/>
      </c>
      <c r="C200" s="96" t="str">
        <f ca="1">IFERROR(IF(PréstamoNoPagado*PréstamoPagado,FechaDePago,""), "")</f>
        <v/>
      </c>
      <c r="D200" s="97" t="str">
        <f ca="1">IFERROR(IF(PréstamoNoPagado*PréstamoPagado,ValorPréstamo,""), "")</f>
        <v/>
      </c>
      <c r="E200" s="97" t="str">
        <f ca="1">IFERROR(IF(PréstamoNoPagado*PréstamoPagado,PagoMensual,""), "")</f>
        <v/>
      </c>
      <c r="F200" s="97" t="str">
        <f ca="1">IFERROR(IF(PréstamoNoPagado*PréstamoPagado,Capital,""), "")</f>
        <v/>
      </c>
      <c r="G200" s="97" t="str">
        <f ca="1">IFERROR(IF(PréstamoNoPagado*PréstamoPagado,AmortizaciónInterés,""), "")</f>
        <v/>
      </c>
      <c r="H200" s="97" t="str">
        <f ca="1">IFERROR(IF(PréstamoNoPagado*PréstamoPagado,SaldoFinal,""), "")</f>
        <v/>
      </c>
    </row>
    <row r="201" spans="2:8" ht="20.100000000000001" customHeight="1" x14ac:dyDescent="0.3">
      <c r="B201" s="105" t="str">
        <f ca="1">IFERROR(IF(PréstamoNoPagado*PréstamoPagado,NúmeroDePago,""), "")</f>
        <v/>
      </c>
      <c r="C201" s="96" t="str">
        <f ca="1">IFERROR(IF(PréstamoNoPagado*PréstamoPagado,FechaDePago,""), "")</f>
        <v/>
      </c>
      <c r="D201" s="97" t="str">
        <f ca="1">IFERROR(IF(PréstamoNoPagado*PréstamoPagado,ValorPréstamo,""), "")</f>
        <v/>
      </c>
      <c r="E201" s="97" t="str">
        <f ca="1">IFERROR(IF(PréstamoNoPagado*PréstamoPagado,PagoMensual,""), "")</f>
        <v/>
      </c>
      <c r="F201" s="97" t="str">
        <f ca="1">IFERROR(IF(PréstamoNoPagado*PréstamoPagado,Capital,""), "")</f>
        <v/>
      </c>
      <c r="G201" s="97" t="str">
        <f ca="1">IFERROR(IF(PréstamoNoPagado*PréstamoPagado,AmortizaciónInterés,""), "")</f>
        <v/>
      </c>
      <c r="H201" s="97" t="str">
        <f ca="1">IFERROR(IF(PréstamoNoPagado*PréstamoPagado,SaldoFinal,""), "")</f>
        <v/>
      </c>
    </row>
    <row r="202" spans="2:8" ht="20.100000000000001" customHeight="1" x14ac:dyDescent="0.3">
      <c r="B202" s="105" t="str">
        <f ca="1">IFERROR(IF(PréstamoNoPagado*PréstamoPagado,NúmeroDePago,""), "")</f>
        <v/>
      </c>
      <c r="C202" s="96" t="str">
        <f ca="1">IFERROR(IF(PréstamoNoPagado*PréstamoPagado,FechaDePago,""), "")</f>
        <v/>
      </c>
      <c r="D202" s="97" t="str">
        <f ca="1">IFERROR(IF(PréstamoNoPagado*PréstamoPagado,ValorPréstamo,""), "")</f>
        <v/>
      </c>
      <c r="E202" s="97" t="str">
        <f ca="1">IFERROR(IF(PréstamoNoPagado*PréstamoPagado,PagoMensual,""), "")</f>
        <v/>
      </c>
      <c r="F202" s="97" t="str">
        <f ca="1">IFERROR(IF(PréstamoNoPagado*PréstamoPagado,Capital,""), "")</f>
        <v/>
      </c>
      <c r="G202" s="97" t="str">
        <f ca="1">IFERROR(IF(PréstamoNoPagado*PréstamoPagado,AmortizaciónInterés,""), "")</f>
        <v/>
      </c>
      <c r="H202" s="97" t="str">
        <f ca="1">IFERROR(IF(PréstamoNoPagado*PréstamoPagado,SaldoFinal,""), "")</f>
        <v/>
      </c>
    </row>
    <row r="203" spans="2:8" ht="20.100000000000001" customHeight="1" x14ac:dyDescent="0.3">
      <c r="B203" s="105" t="str">
        <f ca="1">IFERROR(IF(PréstamoNoPagado*PréstamoPagado,NúmeroDePago,""), "")</f>
        <v/>
      </c>
      <c r="C203" s="96" t="str">
        <f ca="1">IFERROR(IF(PréstamoNoPagado*PréstamoPagado,FechaDePago,""), "")</f>
        <v/>
      </c>
      <c r="D203" s="97" t="str">
        <f ca="1">IFERROR(IF(PréstamoNoPagado*PréstamoPagado,ValorPréstamo,""), "")</f>
        <v/>
      </c>
      <c r="E203" s="97" t="str">
        <f ca="1">IFERROR(IF(PréstamoNoPagado*PréstamoPagado,PagoMensual,""), "")</f>
        <v/>
      </c>
      <c r="F203" s="97" t="str">
        <f ca="1">IFERROR(IF(PréstamoNoPagado*PréstamoPagado,Capital,""), "")</f>
        <v/>
      </c>
      <c r="G203" s="97" t="str">
        <f ca="1">IFERROR(IF(PréstamoNoPagado*PréstamoPagado,AmortizaciónInterés,""), "")</f>
        <v/>
      </c>
      <c r="H203" s="97" t="str">
        <f ca="1">IFERROR(IF(PréstamoNoPagado*PréstamoPagado,SaldoFinal,""), "")</f>
        <v/>
      </c>
    </row>
    <row r="204" spans="2:8" ht="20.100000000000001" customHeight="1" x14ac:dyDescent="0.3">
      <c r="B204" s="105" t="str">
        <f ca="1">IFERROR(IF(PréstamoNoPagado*PréstamoPagado,NúmeroDePago,""), "")</f>
        <v/>
      </c>
      <c r="C204" s="96" t="str">
        <f ca="1">IFERROR(IF(PréstamoNoPagado*PréstamoPagado,FechaDePago,""), "")</f>
        <v/>
      </c>
      <c r="D204" s="97" t="str">
        <f ca="1">IFERROR(IF(PréstamoNoPagado*PréstamoPagado,ValorPréstamo,""), "")</f>
        <v/>
      </c>
      <c r="E204" s="97" t="str">
        <f ca="1">IFERROR(IF(PréstamoNoPagado*PréstamoPagado,PagoMensual,""), "")</f>
        <v/>
      </c>
      <c r="F204" s="97" t="str">
        <f ca="1">IFERROR(IF(PréstamoNoPagado*PréstamoPagado,Capital,""), "")</f>
        <v/>
      </c>
      <c r="G204" s="97" t="str">
        <f ca="1">IFERROR(IF(PréstamoNoPagado*PréstamoPagado,AmortizaciónInterés,""), "")</f>
        <v/>
      </c>
      <c r="H204" s="97" t="str">
        <f ca="1">IFERROR(IF(PréstamoNoPagado*PréstamoPagado,SaldoFinal,""), "")</f>
        <v/>
      </c>
    </row>
    <row r="205" spans="2:8" ht="20.100000000000001" customHeight="1" x14ac:dyDescent="0.3">
      <c r="B205" s="105" t="str">
        <f ca="1">IFERROR(IF(PréstamoNoPagado*PréstamoPagado,NúmeroDePago,""), "")</f>
        <v/>
      </c>
      <c r="C205" s="96" t="str">
        <f ca="1">IFERROR(IF(PréstamoNoPagado*PréstamoPagado,FechaDePago,""), "")</f>
        <v/>
      </c>
      <c r="D205" s="97" t="str">
        <f ca="1">IFERROR(IF(PréstamoNoPagado*PréstamoPagado,ValorPréstamo,""), "")</f>
        <v/>
      </c>
      <c r="E205" s="97" t="str">
        <f ca="1">IFERROR(IF(PréstamoNoPagado*PréstamoPagado,PagoMensual,""), "")</f>
        <v/>
      </c>
      <c r="F205" s="97" t="str">
        <f ca="1">IFERROR(IF(PréstamoNoPagado*PréstamoPagado,Capital,""), "")</f>
        <v/>
      </c>
      <c r="G205" s="97" t="str">
        <f ca="1">IFERROR(IF(PréstamoNoPagado*PréstamoPagado,AmortizaciónInterés,""), "")</f>
        <v/>
      </c>
      <c r="H205" s="97" t="str">
        <f ca="1">IFERROR(IF(PréstamoNoPagado*PréstamoPagado,SaldoFinal,""), "")</f>
        <v/>
      </c>
    </row>
    <row r="206" spans="2:8" ht="20.100000000000001" customHeight="1" x14ac:dyDescent="0.3">
      <c r="B206" s="105" t="str">
        <f ca="1">IFERROR(IF(PréstamoNoPagado*PréstamoPagado,NúmeroDePago,""), "")</f>
        <v/>
      </c>
      <c r="C206" s="96" t="str">
        <f ca="1">IFERROR(IF(PréstamoNoPagado*PréstamoPagado,FechaDePago,""), "")</f>
        <v/>
      </c>
      <c r="D206" s="97" t="str">
        <f ca="1">IFERROR(IF(PréstamoNoPagado*PréstamoPagado,ValorPréstamo,""), "")</f>
        <v/>
      </c>
      <c r="E206" s="97" t="str">
        <f ca="1">IFERROR(IF(PréstamoNoPagado*PréstamoPagado,PagoMensual,""), "")</f>
        <v/>
      </c>
      <c r="F206" s="97" t="str">
        <f ca="1">IFERROR(IF(PréstamoNoPagado*PréstamoPagado,Capital,""), "")</f>
        <v/>
      </c>
      <c r="G206" s="97" t="str">
        <f ca="1">IFERROR(IF(PréstamoNoPagado*PréstamoPagado,AmortizaciónInterés,""), "")</f>
        <v/>
      </c>
      <c r="H206" s="97" t="str">
        <f ca="1">IFERROR(IF(PréstamoNoPagado*PréstamoPagado,SaldoFinal,""), "")</f>
        <v/>
      </c>
    </row>
    <row r="207" spans="2:8" ht="20.100000000000001" customHeight="1" x14ac:dyDescent="0.3">
      <c r="B207" s="105" t="str">
        <f ca="1">IFERROR(IF(PréstamoNoPagado*PréstamoPagado,NúmeroDePago,""), "")</f>
        <v/>
      </c>
      <c r="C207" s="96" t="str">
        <f ca="1">IFERROR(IF(PréstamoNoPagado*PréstamoPagado,FechaDePago,""), "")</f>
        <v/>
      </c>
      <c r="D207" s="97" t="str">
        <f ca="1">IFERROR(IF(PréstamoNoPagado*PréstamoPagado,ValorPréstamo,""), "")</f>
        <v/>
      </c>
      <c r="E207" s="97" t="str">
        <f ca="1">IFERROR(IF(PréstamoNoPagado*PréstamoPagado,PagoMensual,""), "")</f>
        <v/>
      </c>
      <c r="F207" s="97" t="str">
        <f ca="1">IFERROR(IF(PréstamoNoPagado*PréstamoPagado,Capital,""), "")</f>
        <v/>
      </c>
      <c r="G207" s="97" t="str">
        <f ca="1">IFERROR(IF(PréstamoNoPagado*PréstamoPagado,AmortizaciónInterés,""), "")</f>
        <v/>
      </c>
      <c r="H207" s="97" t="str">
        <f ca="1">IFERROR(IF(PréstamoNoPagado*PréstamoPagado,SaldoFinal,""), "")</f>
        <v/>
      </c>
    </row>
    <row r="208" spans="2:8" ht="20.100000000000001" customHeight="1" x14ac:dyDescent="0.3">
      <c r="B208" s="105" t="str">
        <f ca="1">IFERROR(IF(PréstamoNoPagado*PréstamoPagado,NúmeroDePago,""), "")</f>
        <v/>
      </c>
      <c r="C208" s="96" t="str">
        <f ca="1">IFERROR(IF(PréstamoNoPagado*PréstamoPagado,FechaDePago,""), "")</f>
        <v/>
      </c>
      <c r="D208" s="97" t="str">
        <f ca="1">IFERROR(IF(PréstamoNoPagado*PréstamoPagado,ValorPréstamo,""), "")</f>
        <v/>
      </c>
      <c r="E208" s="97" t="str">
        <f ca="1">IFERROR(IF(PréstamoNoPagado*PréstamoPagado,PagoMensual,""), "")</f>
        <v/>
      </c>
      <c r="F208" s="97" t="str">
        <f ca="1">IFERROR(IF(PréstamoNoPagado*PréstamoPagado,Capital,""), "")</f>
        <v/>
      </c>
      <c r="G208" s="97" t="str">
        <f ca="1">IFERROR(IF(PréstamoNoPagado*PréstamoPagado,AmortizaciónInterés,""), "")</f>
        <v/>
      </c>
      <c r="H208" s="97" t="str">
        <f ca="1">IFERROR(IF(PréstamoNoPagado*PréstamoPagado,SaldoFinal,""), "")</f>
        <v/>
      </c>
    </row>
    <row r="209" spans="2:8" ht="20.100000000000001" customHeight="1" x14ac:dyDescent="0.3">
      <c r="B209" s="105" t="str">
        <f ca="1">IFERROR(IF(PréstamoNoPagado*PréstamoPagado,NúmeroDePago,""), "")</f>
        <v/>
      </c>
      <c r="C209" s="96" t="str">
        <f ca="1">IFERROR(IF(PréstamoNoPagado*PréstamoPagado,FechaDePago,""), "")</f>
        <v/>
      </c>
      <c r="D209" s="97" t="str">
        <f ca="1">IFERROR(IF(PréstamoNoPagado*PréstamoPagado,ValorPréstamo,""), "")</f>
        <v/>
      </c>
      <c r="E209" s="97" t="str">
        <f ca="1">IFERROR(IF(PréstamoNoPagado*PréstamoPagado,PagoMensual,""), "")</f>
        <v/>
      </c>
      <c r="F209" s="97" t="str">
        <f ca="1">IFERROR(IF(PréstamoNoPagado*PréstamoPagado,Capital,""), "")</f>
        <v/>
      </c>
      <c r="G209" s="97" t="str">
        <f ca="1">IFERROR(IF(PréstamoNoPagado*PréstamoPagado,AmortizaciónInterés,""), "")</f>
        <v/>
      </c>
      <c r="H209" s="97" t="str">
        <f ca="1">IFERROR(IF(PréstamoNoPagado*PréstamoPagado,SaldoFinal,""), "")</f>
        <v/>
      </c>
    </row>
    <row r="210" spans="2:8" ht="20.100000000000001" customHeight="1" x14ac:dyDescent="0.3">
      <c r="B210" s="105" t="str">
        <f ca="1">IFERROR(IF(PréstamoNoPagado*PréstamoPagado,NúmeroDePago,""), "")</f>
        <v/>
      </c>
      <c r="C210" s="96" t="str">
        <f ca="1">IFERROR(IF(PréstamoNoPagado*PréstamoPagado,FechaDePago,""), "")</f>
        <v/>
      </c>
      <c r="D210" s="97" t="str">
        <f ca="1">IFERROR(IF(PréstamoNoPagado*PréstamoPagado,ValorPréstamo,""), "")</f>
        <v/>
      </c>
      <c r="E210" s="97" t="str">
        <f ca="1">IFERROR(IF(PréstamoNoPagado*PréstamoPagado,PagoMensual,""), "")</f>
        <v/>
      </c>
      <c r="F210" s="97" t="str">
        <f ca="1">IFERROR(IF(PréstamoNoPagado*PréstamoPagado,Capital,""), "")</f>
        <v/>
      </c>
      <c r="G210" s="97" t="str">
        <f ca="1">IFERROR(IF(PréstamoNoPagado*PréstamoPagado,AmortizaciónInterés,""), "")</f>
        <v/>
      </c>
      <c r="H210" s="97" t="str">
        <f ca="1">IFERROR(IF(PréstamoNoPagado*PréstamoPagado,SaldoFinal,""), "")</f>
        <v/>
      </c>
    </row>
    <row r="211" spans="2:8" ht="20.100000000000001" customHeight="1" x14ac:dyDescent="0.3">
      <c r="B211" s="105" t="str">
        <f ca="1">IFERROR(IF(PréstamoNoPagado*PréstamoPagado,NúmeroDePago,""), "")</f>
        <v/>
      </c>
      <c r="C211" s="96" t="str">
        <f ca="1">IFERROR(IF(PréstamoNoPagado*PréstamoPagado,FechaDePago,""), "")</f>
        <v/>
      </c>
      <c r="D211" s="97" t="str">
        <f ca="1">IFERROR(IF(PréstamoNoPagado*PréstamoPagado,ValorPréstamo,""), "")</f>
        <v/>
      </c>
      <c r="E211" s="97" t="str">
        <f ca="1">IFERROR(IF(PréstamoNoPagado*PréstamoPagado,PagoMensual,""), "")</f>
        <v/>
      </c>
      <c r="F211" s="97" t="str">
        <f ca="1">IFERROR(IF(PréstamoNoPagado*PréstamoPagado,Capital,""), "")</f>
        <v/>
      </c>
      <c r="G211" s="97" t="str">
        <f ca="1">IFERROR(IF(PréstamoNoPagado*PréstamoPagado,AmortizaciónInterés,""), "")</f>
        <v/>
      </c>
      <c r="H211" s="97" t="str">
        <f ca="1">IFERROR(IF(PréstamoNoPagado*PréstamoPagado,SaldoFinal,""), "")</f>
        <v/>
      </c>
    </row>
    <row r="212" spans="2:8" ht="20.100000000000001" customHeight="1" x14ac:dyDescent="0.3">
      <c r="B212" s="105" t="str">
        <f ca="1">IFERROR(IF(PréstamoNoPagado*PréstamoPagado,NúmeroDePago,""), "")</f>
        <v/>
      </c>
      <c r="C212" s="96" t="str">
        <f ca="1">IFERROR(IF(PréstamoNoPagado*PréstamoPagado,FechaDePago,""), "")</f>
        <v/>
      </c>
      <c r="D212" s="97" t="str">
        <f ca="1">IFERROR(IF(PréstamoNoPagado*PréstamoPagado,ValorPréstamo,""), "")</f>
        <v/>
      </c>
      <c r="E212" s="97" t="str">
        <f ca="1">IFERROR(IF(PréstamoNoPagado*PréstamoPagado,PagoMensual,""), "")</f>
        <v/>
      </c>
      <c r="F212" s="97" t="str">
        <f ca="1">IFERROR(IF(PréstamoNoPagado*PréstamoPagado,Capital,""), "")</f>
        <v/>
      </c>
      <c r="G212" s="97" t="str">
        <f ca="1">IFERROR(IF(PréstamoNoPagado*PréstamoPagado,AmortizaciónInterés,""), "")</f>
        <v/>
      </c>
      <c r="H212" s="97" t="str">
        <f ca="1">IFERROR(IF(PréstamoNoPagado*PréstamoPagado,SaldoFinal,""), "")</f>
        <v/>
      </c>
    </row>
    <row r="213" spans="2:8" ht="20.100000000000001" customHeight="1" x14ac:dyDescent="0.3">
      <c r="B213" s="105" t="str">
        <f ca="1">IFERROR(IF(PréstamoNoPagado*PréstamoPagado,NúmeroDePago,""), "")</f>
        <v/>
      </c>
      <c r="C213" s="96" t="str">
        <f ca="1">IFERROR(IF(PréstamoNoPagado*PréstamoPagado,FechaDePago,""), "")</f>
        <v/>
      </c>
      <c r="D213" s="97" t="str">
        <f ca="1">IFERROR(IF(PréstamoNoPagado*PréstamoPagado,ValorPréstamo,""), "")</f>
        <v/>
      </c>
      <c r="E213" s="97" t="str">
        <f ca="1">IFERROR(IF(PréstamoNoPagado*PréstamoPagado,PagoMensual,""), "")</f>
        <v/>
      </c>
      <c r="F213" s="97" t="str">
        <f ca="1">IFERROR(IF(PréstamoNoPagado*PréstamoPagado,Capital,""), "")</f>
        <v/>
      </c>
      <c r="G213" s="97" t="str">
        <f ca="1">IFERROR(IF(PréstamoNoPagado*PréstamoPagado,AmortizaciónInterés,""), "")</f>
        <v/>
      </c>
      <c r="H213" s="97" t="str">
        <f ca="1">IFERROR(IF(PréstamoNoPagado*PréstamoPagado,SaldoFinal,""), "")</f>
        <v/>
      </c>
    </row>
    <row r="214" spans="2:8" ht="20.100000000000001" customHeight="1" x14ac:dyDescent="0.3">
      <c r="B214" s="105" t="str">
        <f ca="1">IFERROR(IF(PréstamoNoPagado*PréstamoPagado,NúmeroDePago,""), "")</f>
        <v/>
      </c>
      <c r="C214" s="96" t="str">
        <f ca="1">IFERROR(IF(PréstamoNoPagado*PréstamoPagado,FechaDePago,""), "")</f>
        <v/>
      </c>
      <c r="D214" s="97" t="str">
        <f ca="1">IFERROR(IF(PréstamoNoPagado*PréstamoPagado,ValorPréstamo,""), "")</f>
        <v/>
      </c>
      <c r="E214" s="97" t="str">
        <f ca="1">IFERROR(IF(PréstamoNoPagado*PréstamoPagado,PagoMensual,""), "")</f>
        <v/>
      </c>
      <c r="F214" s="97" t="str">
        <f ca="1">IFERROR(IF(PréstamoNoPagado*PréstamoPagado,Capital,""), "")</f>
        <v/>
      </c>
      <c r="G214" s="97" t="str">
        <f ca="1">IFERROR(IF(PréstamoNoPagado*PréstamoPagado,AmortizaciónInterés,""), "")</f>
        <v/>
      </c>
      <c r="H214" s="97" t="str">
        <f ca="1">IFERROR(IF(PréstamoNoPagado*PréstamoPagado,SaldoFinal,""), "")</f>
        <v/>
      </c>
    </row>
    <row r="215" spans="2:8" ht="20.100000000000001" customHeight="1" x14ac:dyDescent="0.3">
      <c r="B215" s="105" t="str">
        <f ca="1">IFERROR(IF(PréstamoNoPagado*PréstamoPagado,NúmeroDePago,""), "")</f>
        <v/>
      </c>
      <c r="C215" s="96" t="str">
        <f ca="1">IFERROR(IF(PréstamoNoPagado*PréstamoPagado,FechaDePago,""), "")</f>
        <v/>
      </c>
      <c r="D215" s="97" t="str">
        <f ca="1">IFERROR(IF(PréstamoNoPagado*PréstamoPagado,ValorPréstamo,""), "")</f>
        <v/>
      </c>
      <c r="E215" s="97" t="str">
        <f ca="1">IFERROR(IF(PréstamoNoPagado*PréstamoPagado,PagoMensual,""), "")</f>
        <v/>
      </c>
      <c r="F215" s="97" t="str">
        <f ca="1">IFERROR(IF(PréstamoNoPagado*PréstamoPagado,Capital,""), "")</f>
        <v/>
      </c>
      <c r="G215" s="97" t="str">
        <f ca="1">IFERROR(IF(PréstamoNoPagado*PréstamoPagado,AmortizaciónInterés,""), "")</f>
        <v/>
      </c>
      <c r="H215" s="97" t="str">
        <f ca="1">IFERROR(IF(PréstamoNoPagado*PréstamoPagado,SaldoFinal,""), "")</f>
        <v/>
      </c>
    </row>
    <row r="216" spans="2:8" ht="20.100000000000001" customHeight="1" x14ac:dyDescent="0.3">
      <c r="B216" s="105" t="str">
        <f ca="1">IFERROR(IF(PréstamoNoPagado*PréstamoPagado,NúmeroDePago,""), "")</f>
        <v/>
      </c>
      <c r="C216" s="96" t="str">
        <f ca="1">IFERROR(IF(PréstamoNoPagado*PréstamoPagado,FechaDePago,""), "")</f>
        <v/>
      </c>
      <c r="D216" s="97" t="str">
        <f ca="1">IFERROR(IF(PréstamoNoPagado*PréstamoPagado,ValorPréstamo,""), "")</f>
        <v/>
      </c>
      <c r="E216" s="97" t="str">
        <f ca="1">IFERROR(IF(PréstamoNoPagado*PréstamoPagado,PagoMensual,""), "")</f>
        <v/>
      </c>
      <c r="F216" s="97" t="str">
        <f ca="1">IFERROR(IF(PréstamoNoPagado*PréstamoPagado,Capital,""), "")</f>
        <v/>
      </c>
      <c r="G216" s="97" t="str">
        <f ca="1">IFERROR(IF(PréstamoNoPagado*PréstamoPagado,AmortizaciónInterés,""), "")</f>
        <v/>
      </c>
      <c r="H216" s="97" t="str">
        <f ca="1">IFERROR(IF(PréstamoNoPagado*PréstamoPagado,SaldoFinal,""), "")</f>
        <v/>
      </c>
    </row>
    <row r="217" spans="2:8" ht="20.100000000000001" customHeight="1" x14ac:dyDescent="0.3">
      <c r="B217" s="105" t="str">
        <f ca="1">IFERROR(IF(PréstamoNoPagado*PréstamoPagado,NúmeroDePago,""), "")</f>
        <v/>
      </c>
      <c r="C217" s="96" t="str">
        <f ca="1">IFERROR(IF(PréstamoNoPagado*PréstamoPagado,FechaDePago,""), "")</f>
        <v/>
      </c>
      <c r="D217" s="97" t="str">
        <f ca="1">IFERROR(IF(PréstamoNoPagado*PréstamoPagado,ValorPréstamo,""), "")</f>
        <v/>
      </c>
      <c r="E217" s="97" t="str">
        <f ca="1">IFERROR(IF(PréstamoNoPagado*PréstamoPagado,PagoMensual,""), "")</f>
        <v/>
      </c>
      <c r="F217" s="97" t="str">
        <f ca="1">IFERROR(IF(PréstamoNoPagado*PréstamoPagado,Capital,""), "")</f>
        <v/>
      </c>
      <c r="G217" s="97" t="str">
        <f ca="1">IFERROR(IF(PréstamoNoPagado*PréstamoPagado,AmortizaciónInterés,""), "")</f>
        <v/>
      </c>
      <c r="H217" s="97" t="str">
        <f ca="1">IFERROR(IF(PréstamoNoPagado*PréstamoPagado,SaldoFinal,""), "")</f>
        <v/>
      </c>
    </row>
    <row r="218" spans="2:8" ht="20.100000000000001" customHeight="1" x14ac:dyDescent="0.3">
      <c r="B218" s="105" t="str">
        <f ca="1">IFERROR(IF(PréstamoNoPagado*PréstamoPagado,NúmeroDePago,""), "")</f>
        <v/>
      </c>
      <c r="C218" s="96" t="str">
        <f ca="1">IFERROR(IF(PréstamoNoPagado*PréstamoPagado,FechaDePago,""), "")</f>
        <v/>
      </c>
      <c r="D218" s="97" t="str">
        <f ca="1">IFERROR(IF(PréstamoNoPagado*PréstamoPagado,ValorPréstamo,""), "")</f>
        <v/>
      </c>
      <c r="E218" s="97" t="str">
        <f ca="1">IFERROR(IF(PréstamoNoPagado*PréstamoPagado,PagoMensual,""), "")</f>
        <v/>
      </c>
      <c r="F218" s="97" t="str">
        <f ca="1">IFERROR(IF(PréstamoNoPagado*PréstamoPagado,Capital,""), "")</f>
        <v/>
      </c>
      <c r="G218" s="97" t="str">
        <f ca="1">IFERROR(IF(PréstamoNoPagado*PréstamoPagado,AmortizaciónInterés,""), "")</f>
        <v/>
      </c>
      <c r="H218" s="97" t="str">
        <f ca="1">IFERROR(IF(PréstamoNoPagado*PréstamoPagado,SaldoFinal,""), "")</f>
        <v/>
      </c>
    </row>
    <row r="219" spans="2:8" ht="20.100000000000001" customHeight="1" x14ac:dyDescent="0.3">
      <c r="B219" s="105" t="str">
        <f ca="1">IFERROR(IF(PréstamoNoPagado*PréstamoPagado,NúmeroDePago,""), "")</f>
        <v/>
      </c>
      <c r="C219" s="96" t="str">
        <f ca="1">IFERROR(IF(PréstamoNoPagado*PréstamoPagado,FechaDePago,""), "")</f>
        <v/>
      </c>
      <c r="D219" s="97" t="str">
        <f ca="1">IFERROR(IF(PréstamoNoPagado*PréstamoPagado,ValorPréstamo,""), "")</f>
        <v/>
      </c>
      <c r="E219" s="97" t="str">
        <f ca="1">IFERROR(IF(PréstamoNoPagado*PréstamoPagado,PagoMensual,""), "")</f>
        <v/>
      </c>
      <c r="F219" s="97" t="str">
        <f ca="1">IFERROR(IF(PréstamoNoPagado*PréstamoPagado,Capital,""), "")</f>
        <v/>
      </c>
      <c r="G219" s="97" t="str">
        <f ca="1">IFERROR(IF(PréstamoNoPagado*PréstamoPagado,AmortizaciónInterés,""), "")</f>
        <v/>
      </c>
      <c r="H219" s="97" t="str">
        <f ca="1">IFERROR(IF(PréstamoNoPagado*PréstamoPagado,SaldoFinal,""), "")</f>
        <v/>
      </c>
    </row>
    <row r="220" spans="2:8" ht="20.100000000000001" customHeight="1" x14ac:dyDescent="0.3">
      <c r="B220" s="105" t="str">
        <f ca="1">IFERROR(IF(PréstamoNoPagado*PréstamoPagado,NúmeroDePago,""), "")</f>
        <v/>
      </c>
      <c r="C220" s="96" t="str">
        <f ca="1">IFERROR(IF(PréstamoNoPagado*PréstamoPagado,FechaDePago,""), "")</f>
        <v/>
      </c>
      <c r="D220" s="97" t="str">
        <f ca="1">IFERROR(IF(PréstamoNoPagado*PréstamoPagado,ValorPréstamo,""), "")</f>
        <v/>
      </c>
      <c r="E220" s="97" t="str">
        <f ca="1">IFERROR(IF(PréstamoNoPagado*PréstamoPagado,PagoMensual,""), "")</f>
        <v/>
      </c>
      <c r="F220" s="97" t="str">
        <f ca="1">IFERROR(IF(PréstamoNoPagado*PréstamoPagado,Capital,""), "")</f>
        <v/>
      </c>
      <c r="G220" s="97" t="str">
        <f ca="1">IFERROR(IF(PréstamoNoPagado*PréstamoPagado,AmortizaciónInterés,""), "")</f>
        <v/>
      </c>
      <c r="H220" s="97" t="str">
        <f ca="1">IFERROR(IF(PréstamoNoPagado*PréstamoPagado,SaldoFinal,""), "")</f>
        <v/>
      </c>
    </row>
    <row r="221" spans="2:8" ht="20.100000000000001" customHeight="1" x14ac:dyDescent="0.3">
      <c r="B221" s="105" t="str">
        <f ca="1">IFERROR(IF(PréstamoNoPagado*PréstamoPagado,NúmeroDePago,""), "")</f>
        <v/>
      </c>
      <c r="C221" s="96" t="str">
        <f ca="1">IFERROR(IF(PréstamoNoPagado*PréstamoPagado,FechaDePago,""), "")</f>
        <v/>
      </c>
      <c r="D221" s="97" t="str">
        <f ca="1">IFERROR(IF(PréstamoNoPagado*PréstamoPagado,ValorPréstamo,""), "")</f>
        <v/>
      </c>
      <c r="E221" s="97" t="str">
        <f ca="1">IFERROR(IF(PréstamoNoPagado*PréstamoPagado,PagoMensual,""), "")</f>
        <v/>
      </c>
      <c r="F221" s="97" t="str">
        <f ca="1">IFERROR(IF(PréstamoNoPagado*PréstamoPagado,Capital,""), "")</f>
        <v/>
      </c>
      <c r="G221" s="97" t="str">
        <f ca="1">IFERROR(IF(PréstamoNoPagado*PréstamoPagado,AmortizaciónInterés,""), "")</f>
        <v/>
      </c>
      <c r="H221" s="97" t="str">
        <f ca="1">IFERROR(IF(PréstamoNoPagado*PréstamoPagado,SaldoFinal,""), "")</f>
        <v/>
      </c>
    </row>
    <row r="222" spans="2:8" ht="20.100000000000001" customHeight="1" x14ac:dyDescent="0.3">
      <c r="B222" s="105" t="str">
        <f ca="1">IFERROR(IF(PréstamoNoPagado*PréstamoPagado,NúmeroDePago,""), "")</f>
        <v/>
      </c>
      <c r="C222" s="96" t="str">
        <f ca="1">IFERROR(IF(PréstamoNoPagado*PréstamoPagado,FechaDePago,""), "")</f>
        <v/>
      </c>
      <c r="D222" s="97" t="str">
        <f ca="1">IFERROR(IF(PréstamoNoPagado*PréstamoPagado,ValorPréstamo,""), "")</f>
        <v/>
      </c>
      <c r="E222" s="97" t="str">
        <f ca="1">IFERROR(IF(PréstamoNoPagado*PréstamoPagado,PagoMensual,""), "")</f>
        <v/>
      </c>
      <c r="F222" s="97" t="str">
        <f ca="1">IFERROR(IF(PréstamoNoPagado*PréstamoPagado,Capital,""), "")</f>
        <v/>
      </c>
      <c r="G222" s="97" t="str">
        <f ca="1">IFERROR(IF(PréstamoNoPagado*PréstamoPagado,AmortizaciónInterés,""), "")</f>
        <v/>
      </c>
      <c r="H222" s="97" t="str">
        <f ca="1">IFERROR(IF(PréstamoNoPagado*PréstamoPagado,SaldoFinal,""), "")</f>
        <v/>
      </c>
    </row>
    <row r="223" spans="2:8" ht="20.100000000000001" customHeight="1" x14ac:dyDescent="0.3">
      <c r="B223" s="105" t="str">
        <f ca="1">IFERROR(IF(PréstamoNoPagado*PréstamoPagado,NúmeroDePago,""), "")</f>
        <v/>
      </c>
      <c r="C223" s="96" t="str">
        <f ca="1">IFERROR(IF(PréstamoNoPagado*PréstamoPagado,FechaDePago,""), "")</f>
        <v/>
      </c>
      <c r="D223" s="97" t="str">
        <f ca="1">IFERROR(IF(PréstamoNoPagado*PréstamoPagado,ValorPréstamo,""), "")</f>
        <v/>
      </c>
      <c r="E223" s="97" t="str">
        <f ca="1">IFERROR(IF(PréstamoNoPagado*PréstamoPagado,PagoMensual,""), "")</f>
        <v/>
      </c>
      <c r="F223" s="97" t="str">
        <f ca="1">IFERROR(IF(PréstamoNoPagado*PréstamoPagado,Capital,""), "")</f>
        <v/>
      </c>
      <c r="G223" s="97" t="str">
        <f ca="1">IFERROR(IF(PréstamoNoPagado*PréstamoPagado,AmortizaciónInterés,""), "")</f>
        <v/>
      </c>
      <c r="H223" s="97" t="str">
        <f ca="1">IFERROR(IF(PréstamoNoPagado*PréstamoPagado,SaldoFinal,""), "")</f>
        <v/>
      </c>
    </row>
    <row r="224" spans="2:8" ht="20.100000000000001" customHeight="1" x14ac:dyDescent="0.3">
      <c r="B224" s="105" t="str">
        <f ca="1">IFERROR(IF(PréstamoNoPagado*PréstamoPagado,NúmeroDePago,""), "")</f>
        <v/>
      </c>
      <c r="C224" s="96" t="str">
        <f ca="1">IFERROR(IF(PréstamoNoPagado*PréstamoPagado,FechaDePago,""), "")</f>
        <v/>
      </c>
      <c r="D224" s="97" t="str">
        <f ca="1">IFERROR(IF(PréstamoNoPagado*PréstamoPagado,ValorPréstamo,""), "")</f>
        <v/>
      </c>
      <c r="E224" s="97" t="str">
        <f ca="1">IFERROR(IF(PréstamoNoPagado*PréstamoPagado,PagoMensual,""), "")</f>
        <v/>
      </c>
      <c r="F224" s="97" t="str">
        <f ca="1">IFERROR(IF(PréstamoNoPagado*PréstamoPagado,Capital,""), "")</f>
        <v/>
      </c>
      <c r="G224" s="97" t="str">
        <f ca="1">IFERROR(IF(PréstamoNoPagado*PréstamoPagado,AmortizaciónInterés,""), "")</f>
        <v/>
      </c>
      <c r="H224" s="97" t="str">
        <f ca="1">IFERROR(IF(PréstamoNoPagado*PréstamoPagado,SaldoFinal,""), "")</f>
        <v/>
      </c>
    </row>
    <row r="225" spans="2:8" ht="20.100000000000001" customHeight="1" x14ac:dyDescent="0.3">
      <c r="B225" s="105" t="str">
        <f ca="1">IFERROR(IF(PréstamoNoPagado*PréstamoPagado,NúmeroDePago,""), "")</f>
        <v/>
      </c>
      <c r="C225" s="96" t="str">
        <f ca="1">IFERROR(IF(PréstamoNoPagado*PréstamoPagado,FechaDePago,""), "")</f>
        <v/>
      </c>
      <c r="D225" s="97" t="str">
        <f ca="1">IFERROR(IF(PréstamoNoPagado*PréstamoPagado,ValorPréstamo,""), "")</f>
        <v/>
      </c>
      <c r="E225" s="97" t="str">
        <f ca="1">IFERROR(IF(PréstamoNoPagado*PréstamoPagado,PagoMensual,""), "")</f>
        <v/>
      </c>
      <c r="F225" s="97" t="str">
        <f ca="1">IFERROR(IF(PréstamoNoPagado*PréstamoPagado,Capital,""), "")</f>
        <v/>
      </c>
      <c r="G225" s="97" t="str">
        <f ca="1">IFERROR(IF(PréstamoNoPagado*PréstamoPagado,AmortizaciónInterés,""), "")</f>
        <v/>
      </c>
      <c r="H225" s="97" t="str">
        <f ca="1">IFERROR(IF(PréstamoNoPagado*PréstamoPagado,SaldoFinal,""), "")</f>
        <v/>
      </c>
    </row>
    <row r="226" spans="2:8" ht="20.100000000000001" customHeight="1" x14ac:dyDescent="0.3">
      <c r="B226" s="105" t="str">
        <f ca="1">IFERROR(IF(PréstamoNoPagado*PréstamoPagado,NúmeroDePago,""), "")</f>
        <v/>
      </c>
      <c r="C226" s="96" t="str">
        <f ca="1">IFERROR(IF(PréstamoNoPagado*PréstamoPagado,FechaDePago,""), "")</f>
        <v/>
      </c>
      <c r="D226" s="97" t="str">
        <f ca="1">IFERROR(IF(PréstamoNoPagado*PréstamoPagado,ValorPréstamo,""), "")</f>
        <v/>
      </c>
      <c r="E226" s="97" t="str">
        <f ca="1">IFERROR(IF(PréstamoNoPagado*PréstamoPagado,PagoMensual,""), "")</f>
        <v/>
      </c>
      <c r="F226" s="97" t="str">
        <f ca="1">IFERROR(IF(PréstamoNoPagado*PréstamoPagado,Capital,""), "")</f>
        <v/>
      </c>
      <c r="G226" s="97" t="str">
        <f ca="1">IFERROR(IF(PréstamoNoPagado*PréstamoPagado,AmortizaciónInterés,""), "")</f>
        <v/>
      </c>
      <c r="H226" s="97" t="str">
        <f ca="1">IFERROR(IF(PréstamoNoPagado*PréstamoPagado,SaldoFinal,""), "")</f>
        <v/>
      </c>
    </row>
    <row r="227" spans="2:8" ht="20.100000000000001" customHeight="1" x14ac:dyDescent="0.3">
      <c r="B227" s="105" t="str">
        <f ca="1">IFERROR(IF(PréstamoNoPagado*PréstamoPagado,NúmeroDePago,""), "")</f>
        <v/>
      </c>
      <c r="C227" s="96" t="str">
        <f ca="1">IFERROR(IF(PréstamoNoPagado*PréstamoPagado,FechaDePago,""), "")</f>
        <v/>
      </c>
      <c r="D227" s="97" t="str">
        <f ca="1">IFERROR(IF(PréstamoNoPagado*PréstamoPagado,ValorPréstamo,""), "")</f>
        <v/>
      </c>
      <c r="E227" s="97" t="str">
        <f ca="1">IFERROR(IF(PréstamoNoPagado*PréstamoPagado,PagoMensual,""), "")</f>
        <v/>
      </c>
      <c r="F227" s="97" t="str">
        <f ca="1">IFERROR(IF(PréstamoNoPagado*PréstamoPagado,Capital,""), "")</f>
        <v/>
      </c>
      <c r="G227" s="97" t="str">
        <f ca="1">IFERROR(IF(PréstamoNoPagado*PréstamoPagado,AmortizaciónInterés,""), "")</f>
        <v/>
      </c>
      <c r="H227" s="97" t="str">
        <f ca="1">IFERROR(IF(PréstamoNoPagado*PréstamoPagado,SaldoFinal,""), "")</f>
        <v/>
      </c>
    </row>
    <row r="228" spans="2:8" ht="20.100000000000001" customHeight="1" x14ac:dyDescent="0.3">
      <c r="B228" s="105" t="str">
        <f ca="1">IFERROR(IF(PréstamoNoPagado*PréstamoPagado,NúmeroDePago,""), "")</f>
        <v/>
      </c>
      <c r="C228" s="96" t="str">
        <f ca="1">IFERROR(IF(PréstamoNoPagado*PréstamoPagado,FechaDePago,""), "")</f>
        <v/>
      </c>
      <c r="D228" s="97" t="str">
        <f ca="1">IFERROR(IF(PréstamoNoPagado*PréstamoPagado,ValorPréstamo,""), "")</f>
        <v/>
      </c>
      <c r="E228" s="97" t="str">
        <f ca="1">IFERROR(IF(PréstamoNoPagado*PréstamoPagado,PagoMensual,""), "")</f>
        <v/>
      </c>
      <c r="F228" s="97" t="str">
        <f ca="1">IFERROR(IF(PréstamoNoPagado*PréstamoPagado,Capital,""), "")</f>
        <v/>
      </c>
      <c r="G228" s="97" t="str">
        <f ca="1">IFERROR(IF(PréstamoNoPagado*PréstamoPagado,AmortizaciónInterés,""), "")</f>
        <v/>
      </c>
      <c r="H228" s="97" t="str">
        <f ca="1">IFERROR(IF(PréstamoNoPagado*PréstamoPagado,SaldoFinal,""), "")</f>
        <v/>
      </c>
    </row>
    <row r="229" spans="2:8" ht="20.100000000000001" customHeight="1" x14ac:dyDescent="0.3">
      <c r="B229" s="105" t="str">
        <f ca="1">IFERROR(IF(PréstamoNoPagado*PréstamoPagado,NúmeroDePago,""), "")</f>
        <v/>
      </c>
      <c r="C229" s="96" t="str">
        <f ca="1">IFERROR(IF(PréstamoNoPagado*PréstamoPagado,FechaDePago,""), "")</f>
        <v/>
      </c>
      <c r="D229" s="97" t="str">
        <f ca="1">IFERROR(IF(PréstamoNoPagado*PréstamoPagado,ValorPréstamo,""), "")</f>
        <v/>
      </c>
      <c r="E229" s="97" t="str">
        <f ca="1">IFERROR(IF(PréstamoNoPagado*PréstamoPagado,PagoMensual,""), "")</f>
        <v/>
      </c>
      <c r="F229" s="97" t="str">
        <f ca="1">IFERROR(IF(PréstamoNoPagado*PréstamoPagado,Capital,""), "")</f>
        <v/>
      </c>
      <c r="G229" s="97" t="str">
        <f ca="1">IFERROR(IF(PréstamoNoPagado*PréstamoPagado,AmortizaciónInterés,""), "")</f>
        <v/>
      </c>
      <c r="H229" s="97" t="str">
        <f ca="1">IFERROR(IF(PréstamoNoPagado*PréstamoPagado,SaldoFinal,""), "")</f>
        <v/>
      </c>
    </row>
    <row r="230" spans="2:8" ht="20.100000000000001" customHeight="1" x14ac:dyDescent="0.3">
      <c r="B230" s="105" t="str">
        <f ca="1">IFERROR(IF(PréstamoNoPagado*PréstamoPagado,NúmeroDePago,""), "")</f>
        <v/>
      </c>
      <c r="C230" s="96" t="str">
        <f ca="1">IFERROR(IF(PréstamoNoPagado*PréstamoPagado,FechaDePago,""), "")</f>
        <v/>
      </c>
      <c r="D230" s="97" t="str">
        <f ca="1">IFERROR(IF(PréstamoNoPagado*PréstamoPagado,ValorPréstamo,""), "")</f>
        <v/>
      </c>
      <c r="E230" s="97" t="str">
        <f ca="1">IFERROR(IF(PréstamoNoPagado*PréstamoPagado,PagoMensual,""), "")</f>
        <v/>
      </c>
      <c r="F230" s="97" t="str">
        <f ca="1">IFERROR(IF(PréstamoNoPagado*PréstamoPagado,Capital,""), "")</f>
        <v/>
      </c>
      <c r="G230" s="97" t="str">
        <f ca="1">IFERROR(IF(PréstamoNoPagado*PréstamoPagado,AmortizaciónInterés,""), "")</f>
        <v/>
      </c>
      <c r="H230" s="97" t="str">
        <f ca="1">IFERROR(IF(PréstamoNoPagado*PréstamoPagado,SaldoFinal,""), "")</f>
        <v/>
      </c>
    </row>
    <row r="231" spans="2:8" ht="20.100000000000001" customHeight="1" x14ac:dyDescent="0.3">
      <c r="B231" s="105" t="str">
        <f ca="1">IFERROR(IF(PréstamoNoPagado*PréstamoPagado,NúmeroDePago,""), "")</f>
        <v/>
      </c>
      <c r="C231" s="96" t="str">
        <f ca="1">IFERROR(IF(PréstamoNoPagado*PréstamoPagado,FechaDePago,""), "")</f>
        <v/>
      </c>
      <c r="D231" s="97" t="str">
        <f ca="1">IFERROR(IF(PréstamoNoPagado*PréstamoPagado,ValorPréstamo,""), "")</f>
        <v/>
      </c>
      <c r="E231" s="97" t="str">
        <f ca="1">IFERROR(IF(PréstamoNoPagado*PréstamoPagado,PagoMensual,""), "")</f>
        <v/>
      </c>
      <c r="F231" s="97" t="str">
        <f ca="1">IFERROR(IF(PréstamoNoPagado*PréstamoPagado,Capital,""), "")</f>
        <v/>
      </c>
      <c r="G231" s="97" t="str">
        <f ca="1">IFERROR(IF(PréstamoNoPagado*PréstamoPagado,AmortizaciónInterés,""), "")</f>
        <v/>
      </c>
      <c r="H231" s="97" t="str">
        <f ca="1">IFERROR(IF(PréstamoNoPagado*PréstamoPagado,SaldoFinal,""), "")</f>
        <v/>
      </c>
    </row>
    <row r="232" spans="2:8" ht="20.100000000000001" customHeight="1" x14ac:dyDescent="0.3">
      <c r="B232" s="105" t="str">
        <f ca="1">IFERROR(IF(PréstamoNoPagado*PréstamoPagado,NúmeroDePago,""), "")</f>
        <v/>
      </c>
      <c r="C232" s="96" t="str">
        <f ca="1">IFERROR(IF(PréstamoNoPagado*PréstamoPagado,FechaDePago,""), "")</f>
        <v/>
      </c>
      <c r="D232" s="97" t="str">
        <f ca="1">IFERROR(IF(PréstamoNoPagado*PréstamoPagado,ValorPréstamo,""), "")</f>
        <v/>
      </c>
      <c r="E232" s="97" t="str">
        <f ca="1">IFERROR(IF(PréstamoNoPagado*PréstamoPagado,PagoMensual,""), "")</f>
        <v/>
      </c>
      <c r="F232" s="97" t="str">
        <f ca="1">IFERROR(IF(PréstamoNoPagado*PréstamoPagado,Capital,""), "")</f>
        <v/>
      </c>
      <c r="G232" s="97" t="str">
        <f ca="1">IFERROR(IF(PréstamoNoPagado*PréstamoPagado,AmortizaciónInterés,""), "")</f>
        <v/>
      </c>
      <c r="H232" s="97" t="str">
        <f ca="1">IFERROR(IF(PréstamoNoPagado*PréstamoPagado,SaldoFinal,""), "")</f>
        <v/>
      </c>
    </row>
    <row r="233" spans="2:8" ht="20.100000000000001" customHeight="1" x14ac:dyDescent="0.3">
      <c r="B233" s="105" t="str">
        <f ca="1">IFERROR(IF(PréstamoNoPagado*PréstamoPagado,NúmeroDePago,""), "")</f>
        <v/>
      </c>
      <c r="C233" s="96" t="str">
        <f ca="1">IFERROR(IF(PréstamoNoPagado*PréstamoPagado,FechaDePago,""), "")</f>
        <v/>
      </c>
      <c r="D233" s="97" t="str">
        <f ca="1">IFERROR(IF(PréstamoNoPagado*PréstamoPagado,ValorPréstamo,""), "")</f>
        <v/>
      </c>
      <c r="E233" s="97" t="str">
        <f ca="1">IFERROR(IF(PréstamoNoPagado*PréstamoPagado,PagoMensual,""), "")</f>
        <v/>
      </c>
      <c r="F233" s="97" t="str">
        <f ca="1">IFERROR(IF(PréstamoNoPagado*PréstamoPagado,Capital,""), "")</f>
        <v/>
      </c>
      <c r="G233" s="97" t="str">
        <f ca="1">IFERROR(IF(PréstamoNoPagado*PréstamoPagado,AmortizaciónInterés,""), "")</f>
        <v/>
      </c>
      <c r="H233" s="97" t="str">
        <f ca="1">IFERROR(IF(PréstamoNoPagado*PréstamoPagado,SaldoFinal,""), "")</f>
        <v/>
      </c>
    </row>
    <row r="234" spans="2:8" ht="20.100000000000001" customHeight="1" x14ac:dyDescent="0.3">
      <c r="B234" s="105" t="str">
        <f ca="1">IFERROR(IF(PréstamoNoPagado*PréstamoPagado,NúmeroDePago,""), "")</f>
        <v/>
      </c>
      <c r="C234" s="96" t="str">
        <f ca="1">IFERROR(IF(PréstamoNoPagado*PréstamoPagado,FechaDePago,""), "")</f>
        <v/>
      </c>
      <c r="D234" s="97" t="str">
        <f ca="1">IFERROR(IF(PréstamoNoPagado*PréstamoPagado,ValorPréstamo,""), "")</f>
        <v/>
      </c>
      <c r="E234" s="97" t="str">
        <f ca="1">IFERROR(IF(PréstamoNoPagado*PréstamoPagado,PagoMensual,""), "")</f>
        <v/>
      </c>
      <c r="F234" s="97" t="str">
        <f ca="1">IFERROR(IF(PréstamoNoPagado*PréstamoPagado,Capital,""), "")</f>
        <v/>
      </c>
      <c r="G234" s="97" t="str">
        <f ca="1">IFERROR(IF(PréstamoNoPagado*PréstamoPagado,AmortizaciónInterés,""), "")</f>
        <v/>
      </c>
      <c r="H234" s="97" t="str">
        <f ca="1">IFERROR(IF(PréstamoNoPagado*PréstamoPagado,SaldoFinal,""), "")</f>
        <v/>
      </c>
    </row>
    <row r="235" spans="2:8" ht="20.100000000000001" customHeight="1" x14ac:dyDescent="0.3">
      <c r="B235" s="105" t="str">
        <f ca="1">IFERROR(IF(PréstamoNoPagado*PréstamoPagado,NúmeroDePago,""), "")</f>
        <v/>
      </c>
      <c r="C235" s="96" t="str">
        <f ca="1">IFERROR(IF(PréstamoNoPagado*PréstamoPagado,FechaDePago,""), "")</f>
        <v/>
      </c>
      <c r="D235" s="97" t="str">
        <f ca="1">IFERROR(IF(PréstamoNoPagado*PréstamoPagado,ValorPréstamo,""), "")</f>
        <v/>
      </c>
      <c r="E235" s="97" t="str">
        <f ca="1">IFERROR(IF(PréstamoNoPagado*PréstamoPagado,PagoMensual,""), "")</f>
        <v/>
      </c>
      <c r="F235" s="97" t="str">
        <f ca="1">IFERROR(IF(PréstamoNoPagado*PréstamoPagado,Capital,""), "")</f>
        <v/>
      </c>
      <c r="G235" s="97" t="str">
        <f ca="1">IFERROR(IF(PréstamoNoPagado*PréstamoPagado,AmortizaciónInterés,""), "")</f>
        <v/>
      </c>
      <c r="H235" s="97" t="str">
        <f ca="1">IFERROR(IF(PréstamoNoPagado*PréstamoPagado,SaldoFinal,""), "")</f>
        <v/>
      </c>
    </row>
    <row r="236" spans="2:8" ht="20.100000000000001" customHeight="1" x14ac:dyDescent="0.3">
      <c r="B236" s="105" t="str">
        <f ca="1">IFERROR(IF(PréstamoNoPagado*PréstamoPagado,NúmeroDePago,""), "")</f>
        <v/>
      </c>
      <c r="C236" s="96" t="str">
        <f ca="1">IFERROR(IF(PréstamoNoPagado*PréstamoPagado,FechaDePago,""), "")</f>
        <v/>
      </c>
      <c r="D236" s="97" t="str">
        <f ca="1">IFERROR(IF(PréstamoNoPagado*PréstamoPagado,ValorPréstamo,""), "")</f>
        <v/>
      </c>
      <c r="E236" s="97" t="str">
        <f ca="1">IFERROR(IF(PréstamoNoPagado*PréstamoPagado,PagoMensual,""), "")</f>
        <v/>
      </c>
      <c r="F236" s="97" t="str">
        <f ca="1">IFERROR(IF(PréstamoNoPagado*PréstamoPagado,Capital,""), "")</f>
        <v/>
      </c>
      <c r="G236" s="97" t="str">
        <f ca="1">IFERROR(IF(PréstamoNoPagado*PréstamoPagado,AmortizaciónInterés,""), "")</f>
        <v/>
      </c>
      <c r="H236" s="97" t="str">
        <f ca="1">IFERROR(IF(PréstamoNoPagado*PréstamoPagado,SaldoFinal,""), "")</f>
        <v/>
      </c>
    </row>
    <row r="237" spans="2:8" ht="20.100000000000001" customHeight="1" x14ac:dyDescent="0.3">
      <c r="B237" s="105" t="str">
        <f ca="1">IFERROR(IF(PréstamoNoPagado*PréstamoPagado,NúmeroDePago,""), "")</f>
        <v/>
      </c>
      <c r="C237" s="96" t="str">
        <f ca="1">IFERROR(IF(PréstamoNoPagado*PréstamoPagado,FechaDePago,""), "")</f>
        <v/>
      </c>
      <c r="D237" s="97" t="str">
        <f ca="1">IFERROR(IF(PréstamoNoPagado*PréstamoPagado,ValorPréstamo,""), "")</f>
        <v/>
      </c>
      <c r="E237" s="97" t="str">
        <f ca="1">IFERROR(IF(PréstamoNoPagado*PréstamoPagado,PagoMensual,""), "")</f>
        <v/>
      </c>
      <c r="F237" s="97" t="str">
        <f ca="1">IFERROR(IF(PréstamoNoPagado*PréstamoPagado,Capital,""), "")</f>
        <v/>
      </c>
      <c r="G237" s="97" t="str">
        <f ca="1">IFERROR(IF(PréstamoNoPagado*PréstamoPagado,AmortizaciónInterés,""), "")</f>
        <v/>
      </c>
      <c r="H237" s="97" t="str">
        <f ca="1">IFERROR(IF(PréstamoNoPagado*PréstamoPagado,SaldoFinal,""), "")</f>
        <v/>
      </c>
    </row>
    <row r="238" spans="2:8" ht="20.100000000000001" customHeight="1" x14ac:dyDescent="0.3">
      <c r="B238" s="105" t="str">
        <f ca="1">IFERROR(IF(PréstamoNoPagado*PréstamoPagado,NúmeroDePago,""), "")</f>
        <v/>
      </c>
      <c r="C238" s="96" t="str">
        <f ca="1">IFERROR(IF(PréstamoNoPagado*PréstamoPagado,FechaDePago,""), "")</f>
        <v/>
      </c>
      <c r="D238" s="97" t="str">
        <f ca="1">IFERROR(IF(PréstamoNoPagado*PréstamoPagado,ValorPréstamo,""), "")</f>
        <v/>
      </c>
      <c r="E238" s="97" t="str">
        <f ca="1">IFERROR(IF(PréstamoNoPagado*PréstamoPagado,PagoMensual,""), "")</f>
        <v/>
      </c>
      <c r="F238" s="97" t="str">
        <f ca="1">IFERROR(IF(PréstamoNoPagado*PréstamoPagado,Capital,""), "")</f>
        <v/>
      </c>
      <c r="G238" s="97" t="str">
        <f ca="1">IFERROR(IF(PréstamoNoPagado*PréstamoPagado,AmortizaciónInterés,""), "")</f>
        <v/>
      </c>
      <c r="H238" s="97" t="str">
        <f ca="1">IFERROR(IF(PréstamoNoPagado*PréstamoPagado,SaldoFinal,""), "")</f>
        <v/>
      </c>
    </row>
    <row r="239" spans="2:8" ht="20.100000000000001" customHeight="1" x14ac:dyDescent="0.3">
      <c r="B239" s="105" t="str">
        <f ca="1">IFERROR(IF(PréstamoNoPagado*PréstamoPagado,NúmeroDePago,""), "")</f>
        <v/>
      </c>
      <c r="C239" s="96" t="str">
        <f ca="1">IFERROR(IF(PréstamoNoPagado*PréstamoPagado,FechaDePago,""), "")</f>
        <v/>
      </c>
      <c r="D239" s="97" t="str">
        <f ca="1">IFERROR(IF(PréstamoNoPagado*PréstamoPagado,ValorPréstamo,""), "")</f>
        <v/>
      </c>
      <c r="E239" s="97" t="str">
        <f ca="1">IFERROR(IF(PréstamoNoPagado*PréstamoPagado,PagoMensual,""), "")</f>
        <v/>
      </c>
      <c r="F239" s="97" t="str">
        <f ca="1">IFERROR(IF(PréstamoNoPagado*PréstamoPagado,Capital,""), "")</f>
        <v/>
      </c>
      <c r="G239" s="97" t="str">
        <f ca="1">IFERROR(IF(PréstamoNoPagado*PréstamoPagado,AmortizaciónInterés,""), "")</f>
        <v/>
      </c>
      <c r="H239" s="97" t="str">
        <f ca="1">IFERROR(IF(PréstamoNoPagado*PréstamoPagado,SaldoFinal,""), "")</f>
        <v/>
      </c>
    </row>
    <row r="240" spans="2:8" ht="20.100000000000001" customHeight="1" x14ac:dyDescent="0.3">
      <c r="B240" s="105" t="str">
        <f ca="1">IFERROR(IF(PréstamoNoPagado*PréstamoPagado,NúmeroDePago,""), "")</f>
        <v/>
      </c>
      <c r="C240" s="96" t="str">
        <f ca="1">IFERROR(IF(PréstamoNoPagado*PréstamoPagado,FechaDePago,""), "")</f>
        <v/>
      </c>
      <c r="D240" s="97" t="str">
        <f ca="1">IFERROR(IF(PréstamoNoPagado*PréstamoPagado,ValorPréstamo,""), "")</f>
        <v/>
      </c>
      <c r="E240" s="97" t="str">
        <f ca="1">IFERROR(IF(PréstamoNoPagado*PréstamoPagado,PagoMensual,""), "")</f>
        <v/>
      </c>
      <c r="F240" s="97" t="str">
        <f ca="1">IFERROR(IF(PréstamoNoPagado*PréstamoPagado,Capital,""), "")</f>
        <v/>
      </c>
      <c r="G240" s="97" t="str">
        <f ca="1">IFERROR(IF(PréstamoNoPagado*PréstamoPagado,AmortizaciónInterés,""), "")</f>
        <v/>
      </c>
      <c r="H240" s="97" t="str">
        <f ca="1">IFERROR(IF(PréstamoNoPagado*PréstamoPagado,SaldoFinal,""), "")</f>
        <v/>
      </c>
    </row>
    <row r="241" spans="2:8" ht="20.100000000000001" customHeight="1" x14ac:dyDescent="0.3">
      <c r="B241" s="105" t="str">
        <f ca="1">IFERROR(IF(PréstamoNoPagado*PréstamoPagado,NúmeroDePago,""), "")</f>
        <v/>
      </c>
      <c r="C241" s="96" t="str">
        <f ca="1">IFERROR(IF(PréstamoNoPagado*PréstamoPagado,FechaDePago,""), "")</f>
        <v/>
      </c>
      <c r="D241" s="97" t="str">
        <f ca="1">IFERROR(IF(PréstamoNoPagado*PréstamoPagado,ValorPréstamo,""), "")</f>
        <v/>
      </c>
      <c r="E241" s="97" t="str">
        <f ca="1">IFERROR(IF(PréstamoNoPagado*PréstamoPagado,PagoMensual,""), "")</f>
        <v/>
      </c>
      <c r="F241" s="97" t="str">
        <f ca="1">IFERROR(IF(PréstamoNoPagado*PréstamoPagado,Capital,""), "")</f>
        <v/>
      </c>
      <c r="G241" s="97" t="str">
        <f ca="1">IFERROR(IF(PréstamoNoPagado*PréstamoPagado,AmortizaciónInterés,""), "")</f>
        <v/>
      </c>
      <c r="H241" s="97" t="str">
        <f ca="1">IFERROR(IF(PréstamoNoPagado*PréstamoPagado,SaldoFinal,""), "")</f>
        <v/>
      </c>
    </row>
    <row r="242" spans="2:8" ht="20.100000000000001" customHeight="1" x14ac:dyDescent="0.3">
      <c r="B242" s="105" t="str">
        <f ca="1">IFERROR(IF(PréstamoNoPagado*PréstamoPagado,NúmeroDePago,""), "")</f>
        <v/>
      </c>
      <c r="C242" s="96" t="str">
        <f ca="1">IFERROR(IF(PréstamoNoPagado*PréstamoPagado,FechaDePago,""), "")</f>
        <v/>
      </c>
      <c r="D242" s="97" t="str">
        <f ca="1">IFERROR(IF(PréstamoNoPagado*PréstamoPagado,ValorPréstamo,""), "")</f>
        <v/>
      </c>
      <c r="E242" s="97" t="str">
        <f ca="1">IFERROR(IF(PréstamoNoPagado*PréstamoPagado,PagoMensual,""), "")</f>
        <v/>
      </c>
      <c r="F242" s="97" t="str">
        <f ca="1">IFERROR(IF(PréstamoNoPagado*PréstamoPagado,Capital,""), "")</f>
        <v/>
      </c>
      <c r="G242" s="97" t="str">
        <f ca="1">IFERROR(IF(PréstamoNoPagado*PréstamoPagado,AmortizaciónInterés,""), "")</f>
        <v/>
      </c>
      <c r="H242" s="97" t="str">
        <f ca="1">IFERROR(IF(PréstamoNoPagado*PréstamoPagado,SaldoFinal,""), "")</f>
        <v/>
      </c>
    </row>
    <row r="243" spans="2:8" ht="20.100000000000001" customHeight="1" x14ac:dyDescent="0.3">
      <c r="B243" s="105" t="str">
        <f ca="1">IFERROR(IF(PréstamoNoPagado*PréstamoPagado,NúmeroDePago,""), "")</f>
        <v/>
      </c>
      <c r="C243" s="96" t="str">
        <f ca="1">IFERROR(IF(PréstamoNoPagado*PréstamoPagado,FechaDePago,""), "")</f>
        <v/>
      </c>
      <c r="D243" s="97" t="str">
        <f ca="1">IFERROR(IF(PréstamoNoPagado*PréstamoPagado,ValorPréstamo,""), "")</f>
        <v/>
      </c>
      <c r="E243" s="97" t="str">
        <f ca="1">IFERROR(IF(PréstamoNoPagado*PréstamoPagado,PagoMensual,""), "")</f>
        <v/>
      </c>
      <c r="F243" s="97" t="str">
        <f ca="1">IFERROR(IF(PréstamoNoPagado*PréstamoPagado,Capital,""), "")</f>
        <v/>
      </c>
      <c r="G243" s="97" t="str">
        <f ca="1">IFERROR(IF(PréstamoNoPagado*PréstamoPagado,AmortizaciónInterés,""), "")</f>
        <v/>
      </c>
      <c r="H243" s="97" t="str">
        <f ca="1">IFERROR(IF(PréstamoNoPagado*PréstamoPagado,SaldoFinal,""), "")</f>
        <v/>
      </c>
    </row>
    <row r="244" spans="2:8" ht="20.100000000000001" customHeight="1" x14ac:dyDescent="0.3">
      <c r="B244" s="105" t="str">
        <f ca="1">IFERROR(IF(PréstamoNoPagado*PréstamoPagado,NúmeroDePago,""), "")</f>
        <v/>
      </c>
      <c r="C244" s="96" t="str">
        <f ca="1">IFERROR(IF(PréstamoNoPagado*PréstamoPagado,FechaDePago,""), "")</f>
        <v/>
      </c>
      <c r="D244" s="97" t="str">
        <f ca="1">IFERROR(IF(PréstamoNoPagado*PréstamoPagado,ValorPréstamo,""), "")</f>
        <v/>
      </c>
      <c r="E244" s="97" t="str">
        <f ca="1">IFERROR(IF(PréstamoNoPagado*PréstamoPagado,PagoMensual,""), "")</f>
        <v/>
      </c>
      <c r="F244" s="97" t="str">
        <f ca="1">IFERROR(IF(PréstamoNoPagado*PréstamoPagado,Capital,""), "")</f>
        <v/>
      </c>
      <c r="G244" s="97" t="str">
        <f ca="1">IFERROR(IF(PréstamoNoPagado*PréstamoPagado,AmortizaciónInterés,""), "")</f>
        <v/>
      </c>
      <c r="H244" s="97" t="str">
        <f ca="1">IFERROR(IF(PréstamoNoPagado*PréstamoPagado,SaldoFinal,""), "")</f>
        <v/>
      </c>
    </row>
    <row r="245" spans="2:8" ht="20.100000000000001" customHeight="1" x14ac:dyDescent="0.3">
      <c r="B245" s="105" t="str">
        <f ca="1">IFERROR(IF(PréstamoNoPagado*PréstamoPagado,NúmeroDePago,""), "")</f>
        <v/>
      </c>
      <c r="C245" s="96" t="str">
        <f ca="1">IFERROR(IF(PréstamoNoPagado*PréstamoPagado,FechaDePago,""), "")</f>
        <v/>
      </c>
      <c r="D245" s="97" t="str">
        <f ca="1">IFERROR(IF(PréstamoNoPagado*PréstamoPagado,ValorPréstamo,""), "")</f>
        <v/>
      </c>
      <c r="E245" s="97" t="str">
        <f ca="1">IFERROR(IF(PréstamoNoPagado*PréstamoPagado,PagoMensual,""), "")</f>
        <v/>
      </c>
      <c r="F245" s="97" t="str">
        <f ca="1">IFERROR(IF(PréstamoNoPagado*PréstamoPagado,Capital,""), "")</f>
        <v/>
      </c>
      <c r="G245" s="97" t="str">
        <f ca="1">IFERROR(IF(PréstamoNoPagado*PréstamoPagado,AmortizaciónInterés,""), "")</f>
        <v/>
      </c>
      <c r="H245" s="97" t="str">
        <f ca="1">IFERROR(IF(PréstamoNoPagado*PréstamoPagado,SaldoFinal,""), "")</f>
        <v/>
      </c>
    </row>
    <row r="246" spans="2:8" ht="20.100000000000001" customHeight="1" x14ac:dyDescent="0.3">
      <c r="B246" s="105" t="str">
        <f ca="1">IFERROR(IF(PréstamoNoPagado*PréstamoPagado,NúmeroDePago,""), "")</f>
        <v/>
      </c>
      <c r="C246" s="96" t="str">
        <f ca="1">IFERROR(IF(PréstamoNoPagado*PréstamoPagado,FechaDePago,""), "")</f>
        <v/>
      </c>
      <c r="D246" s="97" t="str">
        <f ca="1">IFERROR(IF(PréstamoNoPagado*PréstamoPagado,ValorPréstamo,""), "")</f>
        <v/>
      </c>
      <c r="E246" s="97" t="str">
        <f ca="1">IFERROR(IF(PréstamoNoPagado*PréstamoPagado,PagoMensual,""), "")</f>
        <v/>
      </c>
      <c r="F246" s="97" t="str">
        <f ca="1">IFERROR(IF(PréstamoNoPagado*PréstamoPagado,Capital,""), "")</f>
        <v/>
      </c>
      <c r="G246" s="97" t="str">
        <f ca="1">IFERROR(IF(PréstamoNoPagado*PréstamoPagado,AmortizaciónInterés,""), "")</f>
        <v/>
      </c>
      <c r="H246" s="97" t="str">
        <f ca="1">IFERROR(IF(PréstamoNoPagado*PréstamoPagado,SaldoFinal,""), "")</f>
        <v/>
      </c>
    </row>
    <row r="247" spans="2:8" ht="20.100000000000001" customHeight="1" x14ac:dyDescent="0.3">
      <c r="B247" s="105" t="str">
        <f ca="1">IFERROR(IF(PréstamoNoPagado*PréstamoPagado,NúmeroDePago,""), "")</f>
        <v/>
      </c>
      <c r="C247" s="96" t="str">
        <f ca="1">IFERROR(IF(PréstamoNoPagado*PréstamoPagado,FechaDePago,""), "")</f>
        <v/>
      </c>
      <c r="D247" s="97" t="str">
        <f ca="1">IFERROR(IF(PréstamoNoPagado*PréstamoPagado,ValorPréstamo,""), "")</f>
        <v/>
      </c>
      <c r="E247" s="97" t="str">
        <f ca="1">IFERROR(IF(PréstamoNoPagado*PréstamoPagado,PagoMensual,""), "")</f>
        <v/>
      </c>
      <c r="F247" s="97" t="str">
        <f ca="1">IFERROR(IF(PréstamoNoPagado*PréstamoPagado,Capital,""), "")</f>
        <v/>
      </c>
      <c r="G247" s="97" t="str">
        <f ca="1">IFERROR(IF(PréstamoNoPagado*PréstamoPagado,AmortizaciónInterés,""), "")</f>
        <v/>
      </c>
      <c r="H247" s="97" t="str">
        <f ca="1">IFERROR(IF(PréstamoNoPagado*PréstamoPagado,SaldoFinal,""), "")</f>
        <v/>
      </c>
    </row>
    <row r="248" spans="2:8" ht="20.100000000000001" customHeight="1" x14ac:dyDescent="0.3">
      <c r="B248" s="105" t="str">
        <f ca="1">IFERROR(IF(PréstamoNoPagado*PréstamoPagado,NúmeroDePago,""), "")</f>
        <v/>
      </c>
      <c r="C248" s="96" t="str">
        <f ca="1">IFERROR(IF(PréstamoNoPagado*PréstamoPagado,FechaDePago,""), "")</f>
        <v/>
      </c>
      <c r="D248" s="97" t="str">
        <f ca="1">IFERROR(IF(PréstamoNoPagado*PréstamoPagado,ValorPréstamo,""), "")</f>
        <v/>
      </c>
      <c r="E248" s="97" t="str">
        <f ca="1">IFERROR(IF(PréstamoNoPagado*PréstamoPagado,PagoMensual,""), "")</f>
        <v/>
      </c>
      <c r="F248" s="97" t="str">
        <f ca="1">IFERROR(IF(PréstamoNoPagado*PréstamoPagado,Capital,""), "")</f>
        <v/>
      </c>
      <c r="G248" s="97" t="str">
        <f ca="1">IFERROR(IF(PréstamoNoPagado*PréstamoPagado,AmortizaciónInterés,""), "")</f>
        <v/>
      </c>
      <c r="H248" s="97" t="str">
        <f ca="1">IFERROR(IF(PréstamoNoPagado*PréstamoPagado,SaldoFinal,""), "")</f>
        <v/>
      </c>
    </row>
    <row r="249" spans="2:8" ht="20.100000000000001" customHeight="1" x14ac:dyDescent="0.3">
      <c r="B249" s="105" t="str">
        <f ca="1">IFERROR(IF(PréstamoNoPagado*PréstamoPagado,NúmeroDePago,""), "")</f>
        <v/>
      </c>
      <c r="C249" s="96" t="str">
        <f ca="1">IFERROR(IF(PréstamoNoPagado*PréstamoPagado,FechaDePago,""), "")</f>
        <v/>
      </c>
      <c r="D249" s="97" t="str">
        <f ca="1">IFERROR(IF(PréstamoNoPagado*PréstamoPagado,ValorPréstamo,""), "")</f>
        <v/>
      </c>
      <c r="E249" s="97" t="str">
        <f ca="1">IFERROR(IF(PréstamoNoPagado*PréstamoPagado,PagoMensual,""), "")</f>
        <v/>
      </c>
      <c r="F249" s="97" t="str">
        <f ca="1">IFERROR(IF(PréstamoNoPagado*PréstamoPagado,Capital,""), "")</f>
        <v/>
      </c>
      <c r="G249" s="97" t="str">
        <f ca="1">IFERROR(IF(PréstamoNoPagado*PréstamoPagado,AmortizaciónInterés,""), "")</f>
        <v/>
      </c>
      <c r="H249" s="97" t="str">
        <f ca="1">IFERROR(IF(PréstamoNoPagado*PréstamoPagado,SaldoFinal,""), "")</f>
        <v/>
      </c>
    </row>
    <row r="250" spans="2:8" ht="20.100000000000001" customHeight="1" x14ac:dyDescent="0.3">
      <c r="B250" s="105" t="str">
        <f ca="1">IFERROR(IF(PréstamoNoPagado*PréstamoPagado,NúmeroDePago,""), "")</f>
        <v/>
      </c>
      <c r="C250" s="96" t="str">
        <f ca="1">IFERROR(IF(PréstamoNoPagado*PréstamoPagado,FechaDePago,""), "")</f>
        <v/>
      </c>
      <c r="D250" s="97" t="str">
        <f ca="1">IFERROR(IF(PréstamoNoPagado*PréstamoPagado,ValorPréstamo,""), "")</f>
        <v/>
      </c>
      <c r="E250" s="97" t="str">
        <f ca="1">IFERROR(IF(PréstamoNoPagado*PréstamoPagado,PagoMensual,""), "")</f>
        <v/>
      </c>
      <c r="F250" s="97" t="str">
        <f ca="1">IFERROR(IF(PréstamoNoPagado*PréstamoPagado,Capital,""), "")</f>
        <v/>
      </c>
      <c r="G250" s="97" t="str">
        <f ca="1">IFERROR(IF(PréstamoNoPagado*PréstamoPagado,AmortizaciónInterés,""), "")</f>
        <v/>
      </c>
      <c r="H250" s="97" t="str">
        <f ca="1">IFERROR(IF(PréstamoNoPagado*PréstamoPagado,SaldoFinal,""), "")</f>
        <v/>
      </c>
    </row>
    <row r="251" spans="2:8" ht="20.100000000000001" customHeight="1" x14ac:dyDescent="0.3">
      <c r="B251" s="105" t="str">
        <f ca="1">IFERROR(IF(PréstamoNoPagado*PréstamoPagado,NúmeroDePago,""), "")</f>
        <v/>
      </c>
      <c r="C251" s="96" t="str">
        <f ca="1">IFERROR(IF(PréstamoNoPagado*PréstamoPagado,FechaDePago,""), "")</f>
        <v/>
      </c>
      <c r="D251" s="97" t="str">
        <f ca="1">IFERROR(IF(PréstamoNoPagado*PréstamoPagado,ValorPréstamo,""), "")</f>
        <v/>
      </c>
      <c r="E251" s="97" t="str">
        <f ca="1">IFERROR(IF(PréstamoNoPagado*PréstamoPagado,PagoMensual,""), "")</f>
        <v/>
      </c>
      <c r="F251" s="97" t="str">
        <f ca="1">IFERROR(IF(PréstamoNoPagado*PréstamoPagado,Capital,""), "")</f>
        <v/>
      </c>
      <c r="G251" s="97" t="str">
        <f ca="1">IFERROR(IF(PréstamoNoPagado*PréstamoPagado,AmortizaciónInterés,""), "")</f>
        <v/>
      </c>
      <c r="H251" s="97" t="str">
        <f ca="1">IFERROR(IF(PréstamoNoPagado*PréstamoPagado,SaldoFinal,""), "")</f>
        <v/>
      </c>
    </row>
    <row r="252" spans="2:8" ht="20.100000000000001" customHeight="1" x14ac:dyDescent="0.3">
      <c r="B252" s="105" t="str">
        <f ca="1">IFERROR(IF(PréstamoNoPagado*PréstamoPagado,NúmeroDePago,""), "")</f>
        <v/>
      </c>
      <c r="C252" s="96" t="str">
        <f ca="1">IFERROR(IF(PréstamoNoPagado*PréstamoPagado,FechaDePago,""), "")</f>
        <v/>
      </c>
      <c r="D252" s="97" t="str">
        <f ca="1">IFERROR(IF(PréstamoNoPagado*PréstamoPagado,ValorPréstamo,""), "")</f>
        <v/>
      </c>
      <c r="E252" s="97" t="str">
        <f ca="1">IFERROR(IF(PréstamoNoPagado*PréstamoPagado,PagoMensual,""), "")</f>
        <v/>
      </c>
      <c r="F252" s="97" t="str">
        <f ca="1">IFERROR(IF(PréstamoNoPagado*PréstamoPagado,Capital,""), "")</f>
        <v/>
      </c>
      <c r="G252" s="97" t="str">
        <f ca="1">IFERROR(IF(PréstamoNoPagado*PréstamoPagado,AmortizaciónInterés,""), "")</f>
        <v/>
      </c>
      <c r="H252" s="97" t="str">
        <f ca="1">IFERROR(IF(PréstamoNoPagado*PréstamoPagado,SaldoFinal,""), "")</f>
        <v/>
      </c>
    </row>
    <row r="253" spans="2:8" ht="20.100000000000001" customHeight="1" x14ac:dyDescent="0.3">
      <c r="B253" s="105" t="str">
        <f ca="1">IFERROR(IF(PréstamoNoPagado*PréstamoPagado,NúmeroDePago,""), "")</f>
        <v/>
      </c>
      <c r="C253" s="96" t="str">
        <f ca="1">IFERROR(IF(PréstamoNoPagado*PréstamoPagado,FechaDePago,""), "")</f>
        <v/>
      </c>
      <c r="D253" s="97" t="str">
        <f ca="1">IFERROR(IF(PréstamoNoPagado*PréstamoPagado,ValorPréstamo,""), "")</f>
        <v/>
      </c>
      <c r="E253" s="97" t="str">
        <f ca="1">IFERROR(IF(PréstamoNoPagado*PréstamoPagado,PagoMensual,""), "")</f>
        <v/>
      </c>
      <c r="F253" s="97" t="str">
        <f ca="1">IFERROR(IF(PréstamoNoPagado*PréstamoPagado,Capital,""), "")</f>
        <v/>
      </c>
      <c r="G253" s="97" t="str">
        <f ca="1">IFERROR(IF(PréstamoNoPagado*PréstamoPagado,AmortizaciónInterés,""), "")</f>
        <v/>
      </c>
      <c r="H253" s="97" t="str">
        <f ca="1">IFERROR(IF(PréstamoNoPagado*PréstamoPagado,SaldoFinal,""), "")</f>
        <v/>
      </c>
    </row>
    <row r="254" spans="2:8" ht="20.100000000000001" customHeight="1" x14ac:dyDescent="0.3">
      <c r="B254" s="105" t="str">
        <f ca="1">IFERROR(IF(PréstamoNoPagado*PréstamoPagado,NúmeroDePago,""), "")</f>
        <v/>
      </c>
      <c r="C254" s="96" t="str">
        <f ca="1">IFERROR(IF(PréstamoNoPagado*PréstamoPagado,FechaDePago,""), "")</f>
        <v/>
      </c>
      <c r="D254" s="97" t="str">
        <f ca="1">IFERROR(IF(PréstamoNoPagado*PréstamoPagado,ValorPréstamo,""), "")</f>
        <v/>
      </c>
      <c r="E254" s="97" t="str">
        <f ca="1">IFERROR(IF(PréstamoNoPagado*PréstamoPagado,PagoMensual,""), "")</f>
        <v/>
      </c>
      <c r="F254" s="97" t="str">
        <f ca="1">IFERROR(IF(PréstamoNoPagado*PréstamoPagado,Capital,""), "")</f>
        <v/>
      </c>
      <c r="G254" s="97" t="str">
        <f ca="1">IFERROR(IF(PréstamoNoPagado*PréstamoPagado,AmortizaciónInterés,""), "")</f>
        <v/>
      </c>
      <c r="H254" s="97" t="str">
        <f ca="1">IFERROR(IF(PréstamoNoPagado*PréstamoPagado,SaldoFinal,""), "")</f>
        <v/>
      </c>
    </row>
    <row r="255" spans="2:8" ht="20.100000000000001" customHeight="1" x14ac:dyDescent="0.3">
      <c r="B255" s="105" t="str">
        <f ca="1">IFERROR(IF(PréstamoNoPagado*PréstamoPagado,NúmeroDePago,""), "")</f>
        <v/>
      </c>
      <c r="C255" s="96" t="str">
        <f ca="1">IFERROR(IF(PréstamoNoPagado*PréstamoPagado,FechaDePago,""), "")</f>
        <v/>
      </c>
      <c r="D255" s="97" t="str">
        <f ca="1">IFERROR(IF(PréstamoNoPagado*PréstamoPagado,ValorPréstamo,""), "")</f>
        <v/>
      </c>
      <c r="E255" s="97" t="str">
        <f ca="1">IFERROR(IF(PréstamoNoPagado*PréstamoPagado,PagoMensual,""), "")</f>
        <v/>
      </c>
      <c r="F255" s="97" t="str">
        <f ca="1">IFERROR(IF(PréstamoNoPagado*PréstamoPagado,Capital,""), "")</f>
        <v/>
      </c>
      <c r="G255" s="97" t="str">
        <f ca="1">IFERROR(IF(PréstamoNoPagado*PréstamoPagado,AmortizaciónInterés,""), "")</f>
        <v/>
      </c>
      <c r="H255" s="97" t="str">
        <f ca="1">IFERROR(IF(PréstamoNoPagado*PréstamoPagado,SaldoFinal,""), "")</f>
        <v/>
      </c>
    </row>
    <row r="256" spans="2:8" ht="20.100000000000001" customHeight="1" x14ac:dyDescent="0.3">
      <c r="B256" s="105" t="str">
        <f ca="1">IFERROR(IF(PréstamoNoPagado*PréstamoPagado,NúmeroDePago,""), "")</f>
        <v/>
      </c>
      <c r="C256" s="96" t="str">
        <f ca="1">IFERROR(IF(PréstamoNoPagado*PréstamoPagado,FechaDePago,""), "")</f>
        <v/>
      </c>
      <c r="D256" s="97" t="str">
        <f ca="1">IFERROR(IF(PréstamoNoPagado*PréstamoPagado,ValorPréstamo,""), "")</f>
        <v/>
      </c>
      <c r="E256" s="97" t="str">
        <f ca="1">IFERROR(IF(PréstamoNoPagado*PréstamoPagado,PagoMensual,""), "")</f>
        <v/>
      </c>
      <c r="F256" s="97" t="str">
        <f ca="1">IFERROR(IF(PréstamoNoPagado*PréstamoPagado,Capital,""), "")</f>
        <v/>
      </c>
      <c r="G256" s="97" t="str">
        <f ca="1">IFERROR(IF(PréstamoNoPagado*PréstamoPagado,AmortizaciónInterés,""), "")</f>
        <v/>
      </c>
      <c r="H256" s="97" t="str">
        <f ca="1">IFERROR(IF(PréstamoNoPagado*PréstamoPagado,SaldoFinal,""), "")</f>
        <v/>
      </c>
    </row>
    <row r="257" spans="2:8" ht="20.100000000000001" customHeight="1" x14ac:dyDescent="0.3">
      <c r="B257" s="105" t="str">
        <f ca="1">IFERROR(IF(PréstamoNoPagado*PréstamoPagado,NúmeroDePago,""), "")</f>
        <v/>
      </c>
      <c r="C257" s="96" t="str">
        <f ca="1">IFERROR(IF(PréstamoNoPagado*PréstamoPagado,FechaDePago,""), "")</f>
        <v/>
      </c>
      <c r="D257" s="97" t="str">
        <f ca="1">IFERROR(IF(PréstamoNoPagado*PréstamoPagado,ValorPréstamo,""), "")</f>
        <v/>
      </c>
      <c r="E257" s="97" t="str">
        <f ca="1">IFERROR(IF(PréstamoNoPagado*PréstamoPagado,PagoMensual,""), "")</f>
        <v/>
      </c>
      <c r="F257" s="97" t="str">
        <f ca="1">IFERROR(IF(PréstamoNoPagado*PréstamoPagado,Capital,""), "")</f>
        <v/>
      </c>
      <c r="G257" s="97" t="str">
        <f ca="1">IFERROR(IF(PréstamoNoPagado*PréstamoPagado,AmortizaciónInterés,""), "")</f>
        <v/>
      </c>
      <c r="H257" s="97" t="str">
        <f ca="1">IFERROR(IF(PréstamoNoPagado*PréstamoPagado,SaldoFinal,""), "")</f>
        <v/>
      </c>
    </row>
    <row r="258" spans="2:8" ht="20.100000000000001" customHeight="1" x14ac:dyDescent="0.3">
      <c r="B258" s="105" t="str">
        <f ca="1">IFERROR(IF(PréstamoNoPagado*PréstamoPagado,NúmeroDePago,""), "")</f>
        <v/>
      </c>
      <c r="C258" s="96" t="str">
        <f ca="1">IFERROR(IF(PréstamoNoPagado*PréstamoPagado,FechaDePago,""), "")</f>
        <v/>
      </c>
      <c r="D258" s="97" t="str">
        <f ca="1">IFERROR(IF(PréstamoNoPagado*PréstamoPagado,ValorPréstamo,""), "")</f>
        <v/>
      </c>
      <c r="E258" s="97" t="str">
        <f ca="1">IFERROR(IF(PréstamoNoPagado*PréstamoPagado,PagoMensual,""), "")</f>
        <v/>
      </c>
      <c r="F258" s="97" t="str">
        <f ca="1">IFERROR(IF(PréstamoNoPagado*PréstamoPagado,Capital,""), "")</f>
        <v/>
      </c>
      <c r="G258" s="97" t="str">
        <f ca="1">IFERROR(IF(PréstamoNoPagado*PréstamoPagado,AmortizaciónInterés,""), "")</f>
        <v/>
      </c>
      <c r="H258" s="97" t="str">
        <f ca="1">IFERROR(IF(PréstamoNoPagado*PréstamoPagado,SaldoFinal,""), "")</f>
        <v/>
      </c>
    </row>
    <row r="259" spans="2:8" ht="20.100000000000001" customHeight="1" x14ac:dyDescent="0.3">
      <c r="B259" s="105" t="str">
        <f ca="1">IFERROR(IF(PréstamoNoPagado*PréstamoPagado,NúmeroDePago,""), "")</f>
        <v/>
      </c>
      <c r="C259" s="96" t="str">
        <f ca="1">IFERROR(IF(PréstamoNoPagado*PréstamoPagado,FechaDePago,""), "")</f>
        <v/>
      </c>
      <c r="D259" s="97" t="str">
        <f ca="1">IFERROR(IF(PréstamoNoPagado*PréstamoPagado,ValorPréstamo,""), "")</f>
        <v/>
      </c>
      <c r="E259" s="97" t="str">
        <f ca="1">IFERROR(IF(PréstamoNoPagado*PréstamoPagado,PagoMensual,""), "")</f>
        <v/>
      </c>
      <c r="F259" s="97" t="str">
        <f ca="1">IFERROR(IF(PréstamoNoPagado*PréstamoPagado,Capital,""), "")</f>
        <v/>
      </c>
      <c r="G259" s="97" t="str">
        <f ca="1">IFERROR(IF(PréstamoNoPagado*PréstamoPagado,AmortizaciónInterés,""), "")</f>
        <v/>
      </c>
      <c r="H259" s="97" t="str">
        <f ca="1">IFERROR(IF(PréstamoNoPagado*PréstamoPagado,SaldoFinal,""), "")</f>
        <v/>
      </c>
    </row>
    <row r="260" spans="2:8" ht="20.100000000000001" customHeight="1" x14ac:dyDescent="0.3">
      <c r="B260" s="105" t="str">
        <f ca="1">IFERROR(IF(PréstamoNoPagado*PréstamoPagado,NúmeroDePago,""), "")</f>
        <v/>
      </c>
      <c r="C260" s="96" t="str">
        <f ca="1">IFERROR(IF(PréstamoNoPagado*PréstamoPagado,FechaDePago,""), "")</f>
        <v/>
      </c>
      <c r="D260" s="97" t="str">
        <f ca="1">IFERROR(IF(PréstamoNoPagado*PréstamoPagado,ValorPréstamo,""), "")</f>
        <v/>
      </c>
      <c r="E260" s="97" t="str">
        <f ca="1">IFERROR(IF(PréstamoNoPagado*PréstamoPagado,PagoMensual,""), "")</f>
        <v/>
      </c>
      <c r="F260" s="97" t="str">
        <f ca="1">IFERROR(IF(PréstamoNoPagado*PréstamoPagado,Capital,""), "")</f>
        <v/>
      </c>
      <c r="G260" s="97" t="str">
        <f ca="1">IFERROR(IF(PréstamoNoPagado*PréstamoPagado,AmortizaciónInterés,""), "")</f>
        <v/>
      </c>
      <c r="H260" s="97" t="str">
        <f ca="1">IFERROR(IF(PréstamoNoPagado*PréstamoPagado,SaldoFinal,""), "")</f>
        <v/>
      </c>
    </row>
    <row r="261" spans="2:8" ht="20.100000000000001" customHeight="1" x14ac:dyDescent="0.3">
      <c r="B261" s="105" t="str">
        <f ca="1">IFERROR(IF(PréstamoNoPagado*PréstamoPagado,NúmeroDePago,""), "")</f>
        <v/>
      </c>
      <c r="C261" s="96" t="str">
        <f ca="1">IFERROR(IF(PréstamoNoPagado*PréstamoPagado,FechaDePago,""), "")</f>
        <v/>
      </c>
      <c r="D261" s="97" t="str">
        <f ca="1">IFERROR(IF(PréstamoNoPagado*PréstamoPagado,ValorPréstamo,""), "")</f>
        <v/>
      </c>
      <c r="E261" s="97" t="str">
        <f ca="1">IFERROR(IF(PréstamoNoPagado*PréstamoPagado,PagoMensual,""), "")</f>
        <v/>
      </c>
      <c r="F261" s="97" t="str">
        <f ca="1">IFERROR(IF(PréstamoNoPagado*PréstamoPagado,Capital,""), "")</f>
        <v/>
      </c>
      <c r="G261" s="97" t="str">
        <f ca="1">IFERROR(IF(PréstamoNoPagado*PréstamoPagado,AmortizaciónInterés,""), "")</f>
        <v/>
      </c>
      <c r="H261" s="97" t="str">
        <f ca="1">IFERROR(IF(PréstamoNoPagado*PréstamoPagado,SaldoFinal,""), "")</f>
        <v/>
      </c>
    </row>
    <row r="262" spans="2:8" ht="20.100000000000001" customHeight="1" x14ac:dyDescent="0.3">
      <c r="B262" s="105" t="str">
        <f ca="1">IFERROR(IF(PréstamoNoPagado*PréstamoPagado,NúmeroDePago,""), "")</f>
        <v/>
      </c>
      <c r="C262" s="96" t="str">
        <f ca="1">IFERROR(IF(PréstamoNoPagado*PréstamoPagado,FechaDePago,""), "")</f>
        <v/>
      </c>
      <c r="D262" s="97" t="str">
        <f ca="1">IFERROR(IF(PréstamoNoPagado*PréstamoPagado,ValorPréstamo,""), "")</f>
        <v/>
      </c>
      <c r="E262" s="97" t="str">
        <f ca="1">IFERROR(IF(PréstamoNoPagado*PréstamoPagado,PagoMensual,""), "")</f>
        <v/>
      </c>
      <c r="F262" s="97" t="str">
        <f ca="1">IFERROR(IF(PréstamoNoPagado*PréstamoPagado,Capital,""), "")</f>
        <v/>
      </c>
      <c r="G262" s="97" t="str">
        <f ca="1">IFERROR(IF(PréstamoNoPagado*PréstamoPagado,AmortizaciónInterés,""), "")</f>
        <v/>
      </c>
      <c r="H262" s="97" t="str">
        <f ca="1">IFERROR(IF(PréstamoNoPagado*PréstamoPagado,SaldoFinal,""), "")</f>
        <v/>
      </c>
    </row>
    <row r="263" spans="2:8" ht="20.100000000000001" customHeight="1" x14ac:dyDescent="0.3">
      <c r="B263" s="105" t="str">
        <f ca="1">IFERROR(IF(PréstamoNoPagado*PréstamoPagado,NúmeroDePago,""), "")</f>
        <v/>
      </c>
      <c r="C263" s="96" t="str">
        <f ca="1">IFERROR(IF(PréstamoNoPagado*PréstamoPagado,FechaDePago,""), "")</f>
        <v/>
      </c>
      <c r="D263" s="97" t="str">
        <f ca="1">IFERROR(IF(PréstamoNoPagado*PréstamoPagado,ValorPréstamo,""), "")</f>
        <v/>
      </c>
      <c r="E263" s="97" t="str">
        <f ca="1">IFERROR(IF(PréstamoNoPagado*PréstamoPagado,PagoMensual,""), "")</f>
        <v/>
      </c>
      <c r="F263" s="97" t="str">
        <f ca="1">IFERROR(IF(PréstamoNoPagado*PréstamoPagado,Capital,""), "")</f>
        <v/>
      </c>
      <c r="G263" s="97" t="str">
        <f ca="1">IFERROR(IF(PréstamoNoPagado*PréstamoPagado,AmortizaciónInterés,""), "")</f>
        <v/>
      </c>
      <c r="H263" s="97" t="str">
        <f ca="1">IFERROR(IF(PréstamoNoPagado*PréstamoPagado,SaldoFinal,""), "")</f>
        <v/>
      </c>
    </row>
    <row r="264" spans="2:8" ht="20.100000000000001" customHeight="1" x14ac:dyDescent="0.3">
      <c r="B264" s="105" t="str">
        <f ca="1">IFERROR(IF(PréstamoNoPagado*PréstamoPagado,NúmeroDePago,""), "")</f>
        <v/>
      </c>
      <c r="C264" s="96" t="str">
        <f ca="1">IFERROR(IF(PréstamoNoPagado*PréstamoPagado,FechaDePago,""), "")</f>
        <v/>
      </c>
      <c r="D264" s="97" t="str">
        <f ca="1">IFERROR(IF(PréstamoNoPagado*PréstamoPagado,ValorPréstamo,""), "")</f>
        <v/>
      </c>
      <c r="E264" s="97" t="str">
        <f ca="1">IFERROR(IF(PréstamoNoPagado*PréstamoPagado,PagoMensual,""), "")</f>
        <v/>
      </c>
      <c r="F264" s="97" t="str">
        <f ca="1">IFERROR(IF(PréstamoNoPagado*PréstamoPagado,Capital,""), "")</f>
        <v/>
      </c>
      <c r="G264" s="97" t="str">
        <f ca="1">IFERROR(IF(PréstamoNoPagado*PréstamoPagado,AmortizaciónInterés,""), "")</f>
        <v/>
      </c>
      <c r="H264" s="97" t="str">
        <f ca="1">IFERROR(IF(PréstamoNoPagado*PréstamoPagado,SaldoFinal,""), "")</f>
        <v/>
      </c>
    </row>
    <row r="265" spans="2:8" ht="20.100000000000001" customHeight="1" x14ac:dyDescent="0.3">
      <c r="B265" s="105" t="str">
        <f ca="1">IFERROR(IF(PréstamoNoPagado*PréstamoPagado,NúmeroDePago,""), "")</f>
        <v/>
      </c>
      <c r="C265" s="96" t="str">
        <f ca="1">IFERROR(IF(PréstamoNoPagado*PréstamoPagado,FechaDePago,""), "")</f>
        <v/>
      </c>
      <c r="D265" s="97" t="str">
        <f ca="1">IFERROR(IF(PréstamoNoPagado*PréstamoPagado,ValorPréstamo,""), "")</f>
        <v/>
      </c>
      <c r="E265" s="97" t="str">
        <f ca="1">IFERROR(IF(PréstamoNoPagado*PréstamoPagado,PagoMensual,""), "")</f>
        <v/>
      </c>
      <c r="F265" s="97" t="str">
        <f ca="1">IFERROR(IF(PréstamoNoPagado*PréstamoPagado,Capital,""), "")</f>
        <v/>
      </c>
      <c r="G265" s="97" t="str">
        <f ca="1">IFERROR(IF(PréstamoNoPagado*PréstamoPagado,AmortizaciónInterés,""), "")</f>
        <v/>
      </c>
      <c r="H265" s="97" t="str">
        <f ca="1">IFERROR(IF(PréstamoNoPagado*PréstamoPagado,SaldoFinal,""), "")</f>
        <v/>
      </c>
    </row>
    <row r="266" spans="2:8" ht="20.100000000000001" customHeight="1" x14ac:dyDescent="0.3">
      <c r="B266" s="105" t="str">
        <f ca="1">IFERROR(IF(PréstamoNoPagado*PréstamoPagado,NúmeroDePago,""), "")</f>
        <v/>
      </c>
      <c r="C266" s="96" t="str">
        <f ca="1">IFERROR(IF(PréstamoNoPagado*PréstamoPagado,FechaDePago,""), "")</f>
        <v/>
      </c>
      <c r="D266" s="97" t="str">
        <f ca="1">IFERROR(IF(PréstamoNoPagado*PréstamoPagado,ValorPréstamo,""), "")</f>
        <v/>
      </c>
      <c r="E266" s="97" t="str">
        <f ca="1">IFERROR(IF(PréstamoNoPagado*PréstamoPagado,PagoMensual,""), "")</f>
        <v/>
      </c>
      <c r="F266" s="97" t="str">
        <f ca="1">IFERROR(IF(PréstamoNoPagado*PréstamoPagado,Capital,""), "")</f>
        <v/>
      </c>
      <c r="G266" s="97" t="str">
        <f ca="1">IFERROR(IF(PréstamoNoPagado*PréstamoPagado,AmortizaciónInterés,""), "")</f>
        <v/>
      </c>
      <c r="H266" s="97" t="str">
        <f ca="1">IFERROR(IF(PréstamoNoPagado*PréstamoPagado,SaldoFinal,""), "")</f>
        <v/>
      </c>
    </row>
    <row r="267" spans="2:8" ht="20.100000000000001" customHeight="1" x14ac:dyDescent="0.3">
      <c r="B267" s="105" t="str">
        <f ca="1">IFERROR(IF(PréstamoNoPagado*PréstamoPagado,NúmeroDePago,""), "")</f>
        <v/>
      </c>
      <c r="C267" s="96" t="str">
        <f ca="1">IFERROR(IF(PréstamoNoPagado*PréstamoPagado,FechaDePago,""), "")</f>
        <v/>
      </c>
      <c r="D267" s="97" t="str">
        <f ca="1">IFERROR(IF(PréstamoNoPagado*PréstamoPagado,ValorPréstamo,""), "")</f>
        <v/>
      </c>
      <c r="E267" s="97" t="str">
        <f ca="1">IFERROR(IF(PréstamoNoPagado*PréstamoPagado,PagoMensual,""), "")</f>
        <v/>
      </c>
      <c r="F267" s="97" t="str">
        <f ca="1">IFERROR(IF(PréstamoNoPagado*PréstamoPagado,Capital,""), "")</f>
        <v/>
      </c>
      <c r="G267" s="97" t="str">
        <f ca="1">IFERROR(IF(PréstamoNoPagado*PréstamoPagado,AmortizaciónInterés,""), "")</f>
        <v/>
      </c>
      <c r="H267" s="97" t="str">
        <f ca="1">IFERROR(IF(PréstamoNoPagado*PréstamoPagado,SaldoFinal,""), "")</f>
        <v/>
      </c>
    </row>
    <row r="268" spans="2:8" ht="20.100000000000001" customHeight="1" x14ac:dyDescent="0.3">
      <c r="B268" s="105" t="str">
        <f ca="1">IFERROR(IF(PréstamoNoPagado*PréstamoPagado,NúmeroDePago,""), "")</f>
        <v/>
      </c>
      <c r="C268" s="96" t="str">
        <f ca="1">IFERROR(IF(PréstamoNoPagado*PréstamoPagado,FechaDePago,""), "")</f>
        <v/>
      </c>
      <c r="D268" s="97" t="str">
        <f ca="1">IFERROR(IF(PréstamoNoPagado*PréstamoPagado,ValorPréstamo,""), "")</f>
        <v/>
      </c>
      <c r="E268" s="97" t="str">
        <f ca="1">IFERROR(IF(PréstamoNoPagado*PréstamoPagado,PagoMensual,""), "")</f>
        <v/>
      </c>
      <c r="F268" s="97" t="str">
        <f ca="1">IFERROR(IF(PréstamoNoPagado*PréstamoPagado,Capital,""), "")</f>
        <v/>
      </c>
      <c r="G268" s="97" t="str">
        <f ca="1">IFERROR(IF(PréstamoNoPagado*PréstamoPagado,AmortizaciónInterés,""), "")</f>
        <v/>
      </c>
      <c r="H268" s="97" t="str">
        <f ca="1">IFERROR(IF(PréstamoNoPagado*PréstamoPagado,SaldoFinal,""), "")</f>
        <v/>
      </c>
    </row>
    <row r="269" spans="2:8" ht="20.100000000000001" customHeight="1" x14ac:dyDescent="0.3">
      <c r="B269" s="105" t="str">
        <f ca="1">IFERROR(IF(PréstamoNoPagado*PréstamoPagado,NúmeroDePago,""), "")</f>
        <v/>
      </c>
      <c r="C269" s="96" t="str">
        <f ca="1">IFERROR(IF(PréstamoNoPagado*PréstamoPagado,FechaDePago,""), "")</f>
        <v/>
      </c>
      <c r="D269" s="97" t="str">
        <f ca="1">IFERROR(IF(PréstamoNoPagado*PréstamoPagado,ValorPréstamo,""), "")</f>
        <v/>
      </c>
      <c r="E269" s="97" t="str">
        <f ca="1">IFERROR(IF(PréstamoNoPagado*PréstamoPagado,PagoMensual,""), "")</f>
        <v/>
      </c>
      <c r="F269" s="97" t="str">
        <f ca="1">IFERROR(IF(PréstamoNoPagado*PréstamoPagado,Capital,""), "")</f>
        <v/>
      </c>
      <c r="G269" s="97" t="str">
        <f ca="1">IFERROR(IF(PréstamoNoPagado*PréstamoPagado,AmortizaciónInterés,""), "")</f>
        <v/>
      </c>
      <c r="H269" s="97" t="str">
        <f ca="1">IFERROR(IF(PréstamoNoPagado*PréstamoPagado,SaldoFinal,""), "")</f>
        <v/>
      </c>
    </row>
    <row r="270" spans="2:8" ht="20.100000000000001" customHeight="1" x14ac:dyDescent="0.3">
      <c r="B270" s="105" t="str">
        <f ca="1">IFERROR(IF(PréstamoNoPagado*PréstamoPagado,NúmeroDePago,""), "")</f>
        <v/>
      </c>
      <c r="C270" s="96" t="str">
        <f ca="1">IFERROR(IF(PréstamoNoPagado*PréstamoPagado,FechaDePago,""), "")</f>
        <v/>
      </c>
      <c r="D270" s="97" t="str">
        <f ca="1">IFERROR(IF(PréstamoNoPagado*PréstamoPagado,ValorPréstamo,""), "")</f>
        <v/>
      </c>
      <c r="E270" s="97" t="str">
        <f ca="1">IFERROR(IF(PréstamoNoPagado*PréstamoPagado,PagoMensual,""), "")</f>
        <v/>
      </c>
      <c r="F270" s="97" t="str">
        <f ca="1">IFERROR(IF(PréstamoNoPagado*PréstamoPagado,Capital,""), "")</f>
        <v/>
      </c>
      <c r="G270" s="97" t="str">
        <f ca="1">IFERROR(IF(PréstamoNoPagado*PréstamoPagado,AmortizaciónInterés,""), "")</f>
        <v/>
      </c>
      <c r="H270" s="97" t="str">
        <f ca="1">IFERROR(IF(PréstamoNoPagado*PréstamoPagado,SaldoFinal,""), "")</f>
        <v/>
      </c>
    </row>
    <row r="271" spans="2:8" ht="20.100000000000001" customHeight="1" x14ac:dyDescent="0.3">
      <c r="B271" s="105" t="str">
        <f ca="1">IFERROR(IF(PréstamoNoPagado*PréstamoPagado,NúmeroDePago,""), "")</f>
        <v/>
      </c>
      <c r="C271" s="96" t="str">
        <f ca="1">IFERROR(IF(PréstamoNoPagado*PréstamoPagado,FechaDePago,""), "")</f>
        <v/>
      </c>
      <c r="D271" s="97" t="str">
        <f ca="1">IFERROR(IF(PréstamoNoPagado*PréstamoPagado,ValorPréstamo,""), "")</f>
        <v/>
      </c>
      <c r="E271" s="97" t="str">
        <f ca="1">IFERROR(IF(PréstamoNoPagado*PréstamoPagado,PagoMensual,""), "")</f>
        <v/>
      </c>
      <c r="F271" s="97" t="str">
        <f ca="1">IFERROR(IF(PréstamoNoPagado*PréstamoPagado,Capital,""), "")</f>
        <v/>
      </c>
      <c r="G271" s="97" t="str">
        <f ca="1">IFERROR(IF(PréstamoNoPagado*PréstamoPagado,AmortizaciónInterés,""), "")</f>
        <v/>
      </c>
      <c r="H271" s="97" t="str">
        <f ca="1">IFERROR(IF(PréstamoNoPagado*PréstamoPagado,SaldoFinal,""), "")</f>
        <v/>
      </c>
    </row>
    <row r="272" spans="2:8" ht="20.100000000000001" customHeight="1" x14ac:dyDescent="0.3">
      <c r="B272" s="105" t="str">
        <f ca="1">IFERROR(IF(PréstamoNoPagado*PréstamoPagado,NúmeroDePago,""), "")</f>
        <v/>
      </c>
      <c r="C272" s="96" t="str">
        <f ca="1">IFERROR(IF(PréstamoNoPagado*PréstamoPagado,FechaDePago,""), "")</f>
        <v/>
      </c>
      <c r="D272" s="97" t="str">
        <f ca="1">IFERROR(IF(PréstamoNoPagado*PréstamoPagado,ValorPréstamo,""), "")</f>
        <v/>
      </c>
      <c r="E272" s="97" t="str">
        <f ca="1">IFERROR(IF(PréstamoNoPagado*PréstamoPagado,PagoMensual,""), "")</f>
        <v/>
      </c>
      <c r="F272" s="97" t="str">
        <f ca="1">IFERROR(IF(PréstamoNoPagado*PréstamoPagado,Capital,""), "")</f>
        <v/>
      </c>
      <c r="G272" s="97" t="str">
        <f ca="1">IFERROR(IF(PréstamoNoPagado*PréstamoPagado,AmortizaciónInterés,""), "")</f>
        <v/>
      </c>
      <c r="H272" s="97" t="str">
        <f ca="1">IFERROR(IF(PréstamoNoPagado*PréstamoPagado,SaldoFinal,""), "")</f>
        <v/>
      </c>
    </row>
    <row r="273" spans="2:8" ht="20.100000000000001" customHeight="1" x14ac:dyDescent="0.3">
      <c r="B273" s="105" t="str">
        <f ca="1">IFERROR(IF(PréstamoNoPagado*PréstamoPagado,NúmeroDePago,""), "")</f>
        <v/>
      </c>
      <c r="C273" s="96" t="str">
        <f ca="1">IFERROR(IF(PréstamoNoPagado*PréstamoPagado,FechaDePago,""), "")</f>
        <v/>
      </c>
      <c r="D273" s="97" t="str">
        <f ca="1">IFERROR(IF(PréstamoNoPagado*PréstamoPagado,ValorPréstamo,""), "")</f>
        <v/>
      </c>
      <c r="E273" s="97" t="str">
        <f ca="1">IFERROR(IF(PréstamoNoPagado*PréstamoPagado,PagoMensual,""), "")</f>
        <v/>
      </c>
      <c r="F273" s="97" t="str">
        <f ca="1">IFERROR(IF(PréstamoNoPagado*PréstamoPagado,Capital,""), "")</f>
        <v/>
      </c>
      <c r="G273" s="97" t="str">
        <f ca="1">IFERROR(IF(PréstamoNoPagado*PréstamoPagado,AmortizaciónInterés,""), "")</f>
        <v/>
      </c>
      <c r="H273" s="97" t="str">
        <f ca="1">IFERROR(IF(PréstamoNoPagado*PréstamoPagado,SaldoFinal,""), "")</f>
        <v/>
      </c>
    </row>
    <row r="274" spans="2:8" ht="20.100000000000001" customHeight="1" x14ac:dyDescent="0.3">
      <c r="B274" s="105" t="str">
        <f ca="1">IFERROR(IF(PréstamoNoPagado*PréstamoPagado,NúmeroDePago,""), "")</f>
        <v/>
      </c>
      <c r="C274" s="96" t="str">
        <f ca="1">IFERROR(IF(PréstamoNoPagado*PréstamoPagado,FechaDePago,""), "")</f>
        <v/>
      </c>
      <c r="D274" s="97" t="str">
        <f ca="1">IFERROR(IF(PréstamoNoPagado*PréstamoPagado,ValorPréstamo,""), "")</f>
        <v/>
      </c>
      <c r="E274" s="97" t="str">
        <f ca="1">IFERROR(IF(PréstamoNoPagado*PréstamoPagado,PagoMensual,""), "")</f>
        <v/>
      </c>
      <c r="F274" s="97" t="str">
        <f ca="1">IFERROR(IF(PréstamoNoPagado*PréstamoPagado,Capital,""), "")</f>
        <v/>
      </c>
      <c r="G274" s="97" t="str">
        <f ca="1">IFERROR(IF(PréstamoNoPagado*PréstamoPagado,AmortizaciónInterés,""), "")</f>
        <v/>
      </c>
      <c r="H274" s="97" t="str">
        <f ca="1">IFERROR(IF(PréstamoNoPagado*PréstamoPagado,SaldoFinal,""), "")</f>
        <v/>
      </c>
    </row>
    <row r="275" spans="2:8" ht="20.100000000000001" customHeight="1" x14ac:dyDescent="0.3">
      <c r="B275" s="105" t="str">
        <f ca="1">IFERROR(IF(PréstamoNoPagado*PréstamoPagado,NúmeroDePago,""), "")</f>
        <v/>
      </c>
      <c r="C275" s="96" t="str">
        <f ca="1">IFERROR(IF(PréstamoNoPagado*PréstamoPagado,FechaDePago,""), "")</f>
        <v/>
      </c>
      <c r="D275" s="97" t="str">
        <f ca="1">IFERROR(IF(PréstamoNoPagado*PréstamoPagado,ValorPréstamo,""), "")</f>
        <v/>
      </c>
      <c r="E275" s="97" t="str">
        <f ca="1">IFERROR(IF(PréstamoNoPagado*PréstamoPagado,PagoMensual,""), "")</f>
        <v/>
      </c>
      <c r="F275" s="97" t="str">
        <f ca="1">IFERROR(IF(PréstamoNoPagado*PréstamoPagado,Capital,""), "")</f>
        <v/>
      </c>
      <c r="G275" s="97" t="str">
        <f ca="1">IFERROR(IF(PréstamoNoPagado*PréstamoPagado,AmortizaciónInterés,""), "")</f>
        <v/>
      </c>
      <c r="H275" s="97" t="str">
        <f ca="1">IFERROR(IF(PréstamoNoPagado*PréstamoPagado,SaldoFinal,""), "")</f>
        <v/>
      </c>
    </row>
    <row r="276" spans="2:8" ht="20.100000000000001" customHeight="1" x14ac:dyDescent="0.3">
      <c r="B276" s="105" t="str">
        <f ca="1">IFERROR(IF(PréstamoNoPagado*PréstamoPagado,NúmeroDePago,""), "")</f>
        <v/>
      </c>
      <c r="C276" s="96" t="str">
        <f ca="1">IFERROR(IF(PréstamoNoPagado*PréstamoPagado,FechaDePago,""), "")</f>
        <v/>
      </c>
      <c r="D276" s="97" t="str">
        <f ca="1">IFERROR(IF(PréstamoNoPagado*PréstamoPagado,ValorPréstamo,""), "")</f>
        <v/>
      </c>
      <c r="E276" s="97" t="str">
        <f ca="1">IFERROR(IF(PréstamoNoPagado*PréstamoPagado,PagoMensual,""), "")</f>
        <v/>
      </c>
      <c r="F276" s="97" t="str">
        <f ca="1">IFERROR(IF(PréstamoNoPagado*PréstamoPagado,Capital,""), "")</f>
        <v/>
      </c>
      <c r="G276" s="97" t="str">
        <f ca="1">IFERROR(IF(PréstamoNoPagado*PréstamoPagado,AmortizaciónInterés,""), "")</f>
        <v/>
      </c>
      <c r="H276" s="97" t="str">
        <f ca="1">IFERROR(IF(PréstamoNoPagado*PréstamoPagado,SaldoFinal,""), "")</f>
        <v/>
      </c>
    </row>
    <row r="277" spans="2:8" ht="20.100000000000001" customHeight="1" x14ac:dyDescent="0.3">
      <c r="B277" s="105" t="str">
        <f ca="1">IFERROR(IF(PréstamoNoPagado*PréstamoPagado,NúmeroDePago,""), "")</f>
        <v/>
      </c>
      <c r="C277" s="96" t="str">
        <f ca="1">IFERROR(IF(PréstamoNoPagado*PréstamoPagado,FechaDePago,""), "")</f>
        <v/>
      </c>
      <c r="D277" s="97" t="str">
        <f ca="1">IFERROR(IF(PréstamoNoPagado*PréstamoPagado,ValorPréstamo,""), "")</f>
        <v/>
      </c>
      <c r="E277" s="97" t="str">
        <f ca="1">IFERROR(IF(PréstamoNoPagado*PréstamoPagado,PagoMensual,""), "")</f>
        <v/>
      </c>
      <c r="F277" s="97" t="str">
        <f ca="1">IFERROR(IF(PréstamoNoPagado*PréstamoPagado,Capital,""), "")</f>
        <v/>
      </c>
      <c r="G277" s="97" t="str">
        <f ca="1">IFERROR(IF(PréstamoNoPagado*PréstamoPagado,AmortizaciónInterés,""), "")</f>
        <v/>
      </c>
      <c r="H277" s="97" t="str">
        <f ca="1">IFERROR(IF(PréstamoNoPagado*PréstamoPagado,SaldoFinal,""), "")</f>
        <v/>
      </c>
    </row>
    <row r="278" spans="2:8" ht="20.100000000000001" customHeight="1" x14ac:dyDescent="0.3">
      <c r="B278" s="105" t="str">
        <f ca="1">IFERROR(IF(PréstamoNoPagado*PréstamoPagado,NúmeroDePago,""), "")</f>
        <v/>
      </c>
      <c r="C278" s="96" t="str">
        <f ca="1">IFERROR(IF(PréstamoNoPagado*PréstamoPagado,FechaDePago,""), "")</f>
        <v/>
      </c>
      <c r="D278" s="97" t="str">
        <f ca="1">IFERROR(IF(PréstamoNoPagado*PréstamoPagado,ValorPréstamo,""), "")</f>
        <v/>
      </c>
      <c r="E278" s="97" t="str">
        <f ca="1">IFERROR(IF(PréstamoNoPagado*PréstamoPagado,PagoMensual,""), "")</f>
        <v/>
      </c>
      <c r="F278" s="97" t="str">
        <f ca="1">IFERROR(IF(PréstamoNoPagado*PréstamoPagado,Capital,""), "")</f>
        <v/>
      </c>
      <c r="G278" s="97" t="str">
        <f ca="1">IFERROR(IF(PréstamoNoPagado*PréstamoPagado,AmortizaciónInterés,""), "")</f>
        <v/>
      </c>
      <c r="H278" s="97" t="str">
        <f ca="1">IFERROR(IF(PréstamoNoPagado*PréstamoPagado,SaldoFinal,""), "")</f>
        <v/>
      </c>
    </row>
    <row r="279" spans="2:8" ht="20.100000000000001" customHeight="1" x14ac:dyDescent="0.3">
      <c r="B279" s="105" t="str">
        <f ca="1">IFERROR(IF(PréstamoNoPagado*PréstamoPagado,NúmeroDePago,""), "")</f>
        <v/>
      </c>
      <c r="C279" s="96" t="str">
        <f ca="1">IFERROR(IF(PréstamoNoPagado*PréstamoPagado,FechaDePago,""), "")</f>
        <v/>
      </c>
      <c r="D279" s="97" t="str">
        <f ca="1">IFERROR(IF(PréstamoNoPagado*PréstamoPagado,ValorPréstamo,""), "")</f>
        <v/>
      </c>
      <c r="E279" s="97" t="str">
        <f ca="1">IFERROR(IF(PréstamoNoPagado*PréstamoPagado,PagoMensual,""), "")</f>
        <v/>
      </c>
      <c r="F279" s="97" t="str">
        <f ca="1">IFERROR(IF(PréstamoNoPagado*PréstamoPagado,Capital,""), "")</f>
        <v/>
      </c>
      <c r="G279" s="97" t="str">
        <f ca="1">IFERROR(IF(PréstamoNoPagado*PréstamoPagado,AmortizaciónInterés,""), "")</f>
        <v/>
      </c>
      <c r="H279" s="97" t="str">
        <f ca="1">IFERROR(IF(PréstamoNoPagado*PréstamoPagado,SaldoFinal,""), "")</f>
        <v/>
      </c>
    </row>
    <row r="280" spans="2:8" ht="20.100000000000001" customHeight="1" x14ac:dyDescent="0.3">
      <c r="B280" s="105" t="str">
        <f ca="1">IFERROR(IF(PréstamoNoPagado*PréstamoPagado,NúmeroDePago,""), "")</f>
        <v/>
      </c>
      <c r="C280" s="96" t="str">
        <f ca="1">IFERROR(IF(PréstamoNoPagado*PréstamoPagado,FechaDePago,""), "")</f>
        <v/>
      </c>
      <c r="D280" s="97" t="str">
        <f ca="1">IFERROR(IF(PréstamoNoPagado*PréstamoPagado,ValorPréstamo,""), "")</f>
        <v/>
      </c>
      <c r="E280" s="97" t="str">
        <f ca="1">IFERROR(IF(PréstamoNoPagado*PréstamoPagado,PagoMensual,""), "")</f>
        <v/>
      </c>
      <c r="F280" s="97" t="str">
        <f ca="1">IFERROR(IF(PréstamoNoPagado*PréstamoPagado,Capital,""), "")</f>
        <v/>
      </c>
      <c r="G280" s="97" t="str">
        <f ca="1">IFERROR(IF(PréstamoNoPagado*PréstamoPagado,AmortizaciónInterés,""), "")</f>
        <v/>
      </c>
      <c r="H280" s="97" t="str">
        <f ca="1">IFERROR(IF(PréstamoNoPagado*PréstamoPagado,SaldoFinal,""), "")</f>
        <v/>
      </c>
    </row>
    <row r="281" spans="2:8" ht="20.100000000000001" customHeight="1" x14ac:dyDescent="0.3">
      <c r="B281" s="105" t="str">
        <f ca="1">IFERROR(IF(PréstamoNoPagado*PréstamoPagado,NúmeroDePago,""), "")</f>
        <v/>
      </c>
      <c r="C281" s="96" t="str">
        <f ca="1">IFERROR(IF(PréstamoNoPagado*PréstamoPagado,FechaDePago,""), "")</f>
        <v/>
      </c>
      <c r="D281" s="97" t="str">
        <f ca="1">IFERROR(IF(PréstamoNoPagado*PréstamoPagado,ValorPréstamo,""), "")</f>
        <v/>
      </c>
      <c r="E281" s="97" t="str">
        <f ca="1">IFERROR(IF(PréstamoNoPagado*PréstamoPagado,PagoMensual,""), "")</f>
        <v/>
      </c>
      <c r="F281" s="97" t="str">
        <f ca="1">IFERROR(IF(PréstamoNoPagado*PréstamoPagado,Capital,""), "")</f>
        <v/>
      </c>
      <c r="G281" s="97" t="str">
        <f ca="1">IFERROR(IF(PréstamoNoPagado*PréstamoPagado,AmortizaciónInterés,""), "")</f>
        <v/>
      </c>
      <c r="H281" s="97" t="str">
        <f ca="1">IFERROR(IF(PréstamoNoPagado*PréstamoPagado,SaldoFinal,""), "")</f>
        <v/>
      </c>
    </row>
    <row r="282" spans="2:8" ht="20.100000000000001" customHeight="1" x14ac:dyDescent="0.3">
      <c r="B282" s="105" t="str">
        <f ca="1">IFERROR(IF(PréstamoNoPagado*PréstamoPagado,NúmeroDePago,""), "")</f>
        <v/>
      </c>
      <c r="C282" s="96" t="str">
        <f ca="1">IFERROR(IF(PréstamoNoPagado*PréstamoPagado,FechaDePago,""), "")</f>
        <v/>
      </c>
      <c r="D282" s="97" t="str">
        <f ca="1">IFERROR(IF(PréstamoNoPagado*PréstamoPagado,ValorPréstamo,""), "")</f>
        <v/>
      </c>
      <c r="E282" s="97" t="str">
        <f ca="1">IFERROR(IF(PréstamoNoPagado*PréstamoPagado,PagoMensual,""), "")</f>
        <v/>
      </c>
      <c r="F282" s="97" t="str">
        <f ca="1">IFERROR(IF(PréstamoNoPagado*PréstamoPagado,Capital,""), "")</f>
        <v/>
      </c>
      <c r="G282" s="97" t="str">
        <f ca="1">IFERROR(IF(PréstamoNoPagado*PréstamoPagado,AmortizaciónInterés,""), "")</f>
        <v/>
      </c>
      <c r="H282" s="97" t="str">
        <f ca="1">IFERROR(IF(PréstamoNoPagado*PréstamoPagado,SaldoFinal,""), "")</f>
        <v/>
      </c>
    </row>
    <row r="283" spans="2:8" ht="20.100000000000001" customHeight="1" x14ac:dyDescent="0.3">
      <c r="B283" s="105" t="str">
        <f ca="1">IFERROR(IF(PréstamoNoPagado*PréstamoPagado,NúmeroDePago,""), "")</f>
        <v/>
      </c>
      <c r="C283" s="96" t="str">
        <f ca="1">IFERROR(IF(PréstamoNoPagado*PréstamoPagado,FechaDePago,""), "")</f>
        <v/>
      </c>
      <c r="D283" s="97" t="str">
        <f ca="1">IFERROR(IF(PréstamoNoPagado*PréstamoPagado,ValorPréstamo,""), "")</f>
        <v/>
      </c>
      <c r="E283" s="97" t="str">
        <f ca="1">IFERROR(IF(PréstamoNoPagado*PréstamoPagado,PagoMensual,""), "")</f>
        <v/>
      </c>
      <c r="F283" s="97" t="str">
        <f ca="1">IFERROR(IF(PréstamoNoPagado*PréstamoPagado,Capital,""), "")</f>
        <v/>
      </c>
      <c r="G283" s="97" t="str">
        <f ca="1">IFERROR(IF(PréstamoNoPagado*PréstamoPagado,AmortizaciónInterés,""), "")</f>
        <v/>
      </c>
      <c r="H283" s="97" t="str">
        <f ca="1">IFERROR(IF(PréstamoNoPagado*PréstamoPagado,SaldoFinal,""), "")</f>
        <v/>
      </c>
    </row>
    <row r="284" spans="2:8" ht="20.100000000000001" customHeight="1" x14ac:dyDescent="0.3">
      <c r="B284" s="105" t="str">
        <f ca="1">IFERROR(IF(PréstamoNoPagado*PréstamoPagado,NúmeroDePago,""), "")</f>
        <v/>
      </c>
      <c r="C284" s="96" t="str">
        <f ca="1">IFERROR(IF(PréstamoNoPagado*PréstamoPagado,FechaDePago,""), "")</f>
        <v/>
      </c>
      <c r="D284" s="97" t="str">
        <f ca="1">IFERROR(IF(PréstamoNoPagado*PréstamoPagado,ValorPréstamo,""), "")</f>
        <v/>
      </c>
      <c r="E284" s="97" t="str">
        <f ca="1">IFERROR(IF(PréstamoNoPagado*PréstamoPagado,PagoMensual,""), "")</f>
        <v/>
      </c>
      <c r="F284" s="97" t="str">
        <f ca="1">IFERROR(IF(PréstamoNoPagado*PréstamoPagado,Capital,""), "")</f>
        <v/>
      </c>
      <c r="G284" s="97" t="str">
        <f ca="1">IFERROR(IF(PréstamoNoPagado*PréstamoPagado,AmortizaciónInterés,""), "")</f>
        <v/>
      </c>
      <c r="H284" s="97" t="str">
        <f ca="1">IFERROR(IF(PréstamoNoPagado*PréstamoPagado,SaldoFinal,""), "")</f>
        <v/>
      </c>
    </row>
    <row r="285" spans="2:8" ht="20.100000000000001" customHeight="1" x14ac:dyDescent="0.3">
      <c r="B285" s="105" t="str">
        <f ca="1">IFERROR(IF(PréstamoNoPagado*PréstamoPagado,NúmeroDePago,""), "")</f>
        <v/>
      </c>
      <c r="C285" s="96" t="str">
        <f ca="1">IFERROR(IF(PréstamoNoPagado*PréstamoPagado,FechaDePago,""), "")</f>
        <v/>
      </c>
      <c r="D285" s="97" t="str">
        <f ca="1">IFERROR(IF(PréstamoNoPagado*PréstamoPagado,ValorPréstamo,""), "")</f>
        <v/>
      </c>
      <c r="E285" s="97" t="str">
        <f ca="1">IFERROR(IF(PréstamoNoPagado*PréstamoPagado,PagoMensual,""), "")</f>
        <v/>
      </c>
      <c r="F285" s="97" t="str">
        <f ca="1">IFERROR(IF(PréstamoNoPagado*PréstamoPagado,Capital,""), "")</f>
        <v/>
      </c>
      <c r="G285" s="97" t="str">
        <f ca="1">IFERROR(IF(PréstamoNoPagado*PréstamoPagado,AmortizaciónInterés,""), "")</f>
        <v/>
      </c>
      <c r="H285" s="97" t="str">
        <f ca="1">IFERROR(IF(PréstamoNoPagado*PréstamoPagado,SaldoFinal,""), "")</f>
        <v/>
      </c>
    </row>
    <row r="286" spans="2:8" ht="20.100000000000001" customHeight="1" x14ac:dyDescent="0.3">
      <c r="B286" s="105" t="str">
        <f ca="1">IFERROR(IF(PréstamoNoPagado*PréstamoPagado,NúmeroDePago,""), "")</f>
        <v/>
      </c>
      <c r="C286" s="96" t="str">
        <f ca="1">IFERROR(IF(PréstamoNoPagado*PréstamoPagado,FechaDePago,""), "")</f>
        <v/>
      </c>
      <c r="D286" s="97" t="str">
        <f ca="1">IFERROR(IF(PréstamoNoPagado*PréstamoPagado,ValorPréstamo,""), "")</f>
        <v/>
      </c>
      <c r="E286" s="97" t="str">
        <f ca="1">IFERROR(IF(PréstamoNoPagado*PréstamoPagado,PagoMensual,""), "")</f>
        <v/>
      </c>
      <c r="F286" s="97" t="str">
        <f ca="1">IFERROR(IF(PréstamoNoPagado*PréstamoPagado,Capital,""), "")</f>
        <v/>
      </c>
      <c r="G286" s="97" t="str">
        <f ca="1">IFERROR(IF(PréstamoNoPagado*PréstamoPagado,AmortizaciónInterés,""), "")</f>
        <v/>
      </c>
      <c r="H286" s="97" t="str">
        <f ca="1">IFERROR(IF(PréstamoNoPagado*PréstamoPagado,SaldoFinal,""), "")</f>
        <v/>
      </c>
    </row>
    <row r="287" spans="2:8" ht="20.100000000000001" customHeight="1" x14ac:dyDescent="0.3">
      <c r="B287" s="105" t="str">
        <f ca="1">IFERROR(IF(PréstamoNoPagado*PréstamoPagado,NúmeroDePago,""), "")</f>
        <v/>
      </c>
      <c r="C287" s="96" t="str">
        <f ca="1">IFERROR(IF(PréstamoNoPagado*PréstamoPagado,FechaDePago,""), "")</f>
        <v/>
      </c>
      <c r="D287" s="97" t="str">
        <f ca="1">IFERROR(IF(PréstamoNoPagado*PréstamoPagado,ValorPréstamo,""), "")</f>
        <v/>
      </c>
      <c r="E287" s="97" t="str">
        <f ca="1">IFERROR(IF(PréstamoNoPagado*PréstamoPagado,PagoMensual,""), "")</f>
        <v/>
      </c>
      <c r="F287" s="97" t="str">
        <f ca="1">IFERROR(IF(PréstamoNoPagado*PréstamoPagado,Capital,""), "")</f>
        <v/>
      </c>
      <c r="G287" s="97" t="str">
        <f ca="1">IFERROR(IF(PréstamoNoPagado*PréstamoPagado,AmortizaciónInterés,""), "")</f>
        <v/>
      </c>
      <c r="H287" s="97" t="str">
        <f ca="1">IFERROR(IF(PréstamoNoPagado*PréstamoPagado,SaldoFinal,""), "")</f>
        <v/>
      </c>
    </row>
    <row r="288" spans="2:8" ht="20.100000000000001" customHeight="1" x14ac:dyDescent="0.3">
      <c r="B288" s="105" t="str">
        <f ca="1">IFERROR(IF(PréstamoNoPagado*PréstamoPagado,NúmeroDePago,""), "")</f>
        <v/>
      </c>
      <c r="C288" s="96" t="str">
        <f ca="1">IFERROR(IF(PréstamoNoPagado*PréstamoPagado,FechaDePago,""), "")</f>
        <v/>
      </c>
      <c r="D288" s="97" t="str">
        <f ca="1">IFERROR(IF(PréstamoNoPagado*PréstamoPagado,ValorPréstamo,""), "")</f>
        <v/>
      </c>
      <c r="E288" s="97" t="str">
        <f ca="1">IFERROR(IF(PréstamoNoPagado*PréstamoPagado,PagoMensual,""), "")</f>
        <v/>
      </c>
      <c r="F288" s="97" t="str">
        <f ca="1">IFERROR(IF(PréstamoNoPagado*PréstamoPagado,Capital,""), "")</f>
        <v/>
      </c>
      <c r="G288" s="97" t="str">
        <f ca="1">IFERROR(IF(PréstamoNoPagado*PréstamoPagado,AmortizaciónInterés,""), "")</f>
        <v/>
      </c>
      <c r="H288" s="97" t="str">
        <f ca="1">IFERROR(IF(PréstamoNoPagado*PréstamoPagado,SaldoFinal,""), "")</f>
        <v/>
      </c>
    </row>
    <row r="289" spans="2:8" ht="20.100000000000001" customHeight="1" x14ac:dyDescent="0.3">
      <c r="B289" s="105" t="str">
        <f ca="1">IFERROR(IF(PréstamoNoPagado*PréstamoPagado,NúmeroDePago,""), "")</f>
        <v/>
      </c>
      <c r="C289" s="96" t="str">
        <f ca="1">IFERROR(IF(PréstamoNoPagado*PréstamoPagado,FechaDePago,""), "")</f>
        <v/>
      </c>
      <c r="D289" s="97" t="str">
        <f ca="1">IFERROR(IF(PréstamoNoPagado*PréstamoPagado,ValorPréstamo,""), "")</f>
        <v/>
      </c>
      <c r="E289" s="97" t="str">
        <f ca="1">IFERROR(IF(PréstamoNoPagado*PréstamoPagado,PagoMensual,""), "")</f>
        <v/>
      </c>
      <c r="F289" s="97" t="str">
        <f ca="1">IFERROR(IF(PréstamoNoPagado*PréstamoPagado,Capital,""), "")</f>
        <v/>
      </c>
      <c r="G289" s="97" t="str">
        <f ca="1">IFERROR(IF(PréstamoNoPagado*PréstamoPagado,AmortizaciónInterés,""), "")</f>
        <v/>
      </c>
      <c r="H289" s="97" t="str">
        <f ca="1">IFERROR(IF(PréstamoNoPagado*PréstamoPagado,SaldoFinal,""), "")</f>
        <v/>
      </c>
    </row>
    <row r="290" spans="2:8" ht="20.100000000000001" customHeight="1" x14ac:dyDescent="0.3">
      <c r="B290" s="105" t="str">
        <f ca="1">IFERROR(IF(PréstamoNoPagado*PréstamoPagado,NúmeroDePago,""), "")</f>
        <v/>
      </c>
      <c r="C290" s="96" t="str">
        <f ca="1">IFERROR(IF(PréstamoNoPagado*PréstamoPagado,FechaDePago,""), "")</f>
        <v/>
      </c>
      <c r="D290" s="97" t="str">
        <f ca="1">IFERROR(IF(PréstamoNoPagado*PréstamoPagado,ValorPréstamo,""), "")</f>
        <v/>
      </c>
      <c r="E290" s="97" t="str">
        <f ca="1">IFERROR(IF(PréstamoNoPagado*PréstamoPagado,PagoMensual,""), "")</f>
        <v/>
      </c>
      <c r="F290" s="97" t="str">
        <f ca="1">IFERROR(IF(PréstamoNoPagado*PréstamoPagado,Capital,""), "")</f>
        <v/>
      </c>
      <c r="G290" s="97" t="str">
        <f ca="1">IFERROR(IF(PréstamoNoPagado*PréstamoPagado,AmortizaciónInterés,""), "")</f>
        <v/>
      </c>
      <c r="H290" s="97" t="str">
        <f ca="1">IFERROR(IF(PréstamoNoPagado*PréstamoPagado,SaldoFinal,""), "")</f>
        <v/>
      </c>
    </row>
    <row r="291" spans="2:8" ht="20.100000000000001" customHeight="1" x14ac:dyDescent="0.3">
      <c r="B291" s="105" t="str">
        <f ca="1">IFERROR(IF(PréstamoNoPagado*PréstamoPagado,NúmeroDePago,""), "")</f>
        <v/>
      </c>
      <c r="C291" s="96" t="str">
        <f ca="1">IFERROR(IF(PréstamoNoPagado*PréstamoPagado,FechaDePago,""), "")</f>
        <v/>
      </c>
      <c r="D291" s="97" t="str">
        <f ca="1">IFERROR(IF(PréstamoNoPagado*PréstamoPagado,ValorPréstamo,""), "")</f>
        <v/>
      </c>
      <c r="E291" s="97" t="str">
        <f ca="1">IFERROR(IF(PréstamoNoPagado*PréstamoPagado,PagoMensual,""), "")</f>
        <v/>
      </c>
      <c r="F291" s="97" t="str">
        <f ca="1">IFERROR(IF(PréstamoNoPagado*PréstamoPagado,Capital,""), "")</f>
        <v/>
      </c>
      <c r="G291" s="97" t="str">
        <f ca="1">IFERROR(IF(PréstamoNoPagado*PréstamoPagado,AmortizaciónInterés,""), "")</f>
        <v/>
      </c>
      <c r="H291" s="97" t="str">
        <f ca="1">IFERROR(IF(PréstamoNoPagado*PréstamoPagado,SaldoFinal,""), "")</f>
        <v/>
      </c>
    </row>
    <row r="292" spans="2:8" ht="20.100000000000001" customHeight="1" x14ac:dyDescent="0.3">
      <c r="B292" s="105" t="str">
        <f ca="1">IFERROR(IF(PréstamoNoPagado*PréstamoPagado,NúmeroDePago,""), "")</f>
        <v/>
      </c>
      <c r="C292" s="96" t="str">
        <f ca="1">IFERROR(IF(PréstamoNoPagado*PréstamoPagado,FechaDePago,""), "")</f>
        <v/>
      </c>
      <c r="D292" s="97" t="str">
        <f ca="1">IFERROR(IF(PréstamoNoPagado*PréstamoPagado,ValorPréstamo,""), "")</f>
        <v/>
      </c>
      <c r="E292" s="97" t="str">
        <f ca="1">IFERROR(IF(PréstamoNoPagado*PréstamoPagado,PagoMensual,""), "")</f>
        <v/>
      </c>
      <c r="F292" s="97" t="str">
        <f ca="1">IFERROR(IF(PréstamoNoPagado*PréstamoPagado,Capital,""), "")</f>
        <v/>
      </c>
      <c r="G292" s="97" t="str">
        <f ca="1">IFERROR(IF(PréstamoNoPagado*PréstamoPagado,AmortizaciónInterés,""), "")</f>
        <v/>
      </c>
      <c r="H292" s="97" t="str">
        <f ca="1">IFERROR(IF(PréstamoNoPagado*PréstamoPagado,SaldoFinal,""), "")</f>
        <v/>
      </c>
    </row>
    <row r="293" spans="2:8" ht="20.100000000000001" customHeight="1" x14ac:dyDescent="0.3">
      <c r="B293" s="105" t="str">
        <f ca="1">IFERROR(IF(PréstamoNoPagado*PréstamoPagado,NúmeroDePago,""), "")</f>
        <v/>
      </c>
      <c r="C293" s="96" t="str">
        <f ca="1">IFERROR(IF(PréstamoNoPagado*PréstamoPagado,FechaDePago,""), "")</f>
        <v/>
      </c>
      <c r="D293" s="97" t="str">
        <f ca="1">IFERROR(IF(PréstamoNoPagado*PréstamoPagado,ValorPréstamo,""), "")</f>
        <v/>
      </c>
      <c r="E293" s="97" t="str">
        <f ca="1">IFERROR(IF(PréstamoNoPagado*PréstamoPagado,PagoMensual,""), "")</f>
        <v/>
      </c>
      <c r="F293" s="97" t="str">
        <f ca="1">IFERROR(IF(PréstamoNoPagado*PréstamoPagado,Capital,""), "")</f>
        <v/>
      </c>
      <c r="G293" s="97" t="str">
        <f ca="1">IFERROR(IF(PréstamoNoPagado*PréstamoPagado,AmortizaciónInterés,""), "")</f>
        <v/>
      </c>
      <c r="H293" s="97" t="str">
        <f ca="1">IFERROR(IF(PréstamoNoPagado*PréstamoPagado,SaldoFinal,""), "")</f>
        <v/>
      </c>
    </row>
    <row r="294" spans="2:8" ht="20.100000000000001" customHeight="1" x14ac:dyDescent="0.3">
      <c r="B294" s="105" t="str">
        <f ca="1">IFERROR(IF(PréstamoNoPagado*PréstamoPagado,NúmeroDePago,""), "")</f>
        <v/>
      </c>
      <c r="C294" s="96" t="str">
        <f ca="1">IFERROR(IF(PréstamoNoPagado*PréstamoPagado,FechaDePago,""), "")</f>
        <v/>
      </c>
      <c r="D294" s="97" t="str">
        <f ca="1">IFERROR(IF(PréstamoNoPagado*PréstamoPagado,ValorPréstamo,""), "")</f>
        <v/>
      </c>
      <c r="E294" s="97" t="str">
        <f ca="1">IFERROR(IF(PréstamoNoPagado*PréstamoPagado,PagoMensual,""), "")</f>
        <v/>
      </c>
      <c r="F294" s="97" t="str">
        <f ca="1">IFERROR(IF(PréstamoNoPagado*PréstamoPagado,Capital,""), "")</f>
        <v/>
      </c>
      <c r="G294" s="97" t="str">
        <f ca="1">IFERROR(IF(PréstamoNoPagado*PréstamoPagado,AmortizaciónInterés,""), "")</f>
        <v/>
      </c>
      <c r="H294" s="97" t="str">
        <f ca="1">IFERROR(IF(PréstamoNoPagado*PréstamoPagado,SaldoFinal,""), "")</f>
        <v/>
      </c>
    </row>
    <row r="295" spans="2:8" ht="20.100000000000001" customHeight="1" x14ac:dyDescent="0.3">
      <c r="B295" s="105" t="str">
        <f ca="1">IFERROR(IF(PréstamoNoPagado*PréstamoPagado,NúmeroDePago,""), "")</f>
        <v/>
      </c>
      <c r="C295" s="96" t="str">
        <f ca="1">IFERROR(IF(PréstamoNoPagado*PréstamoPagado,FechaDePago,""), "")</f>
        <v/>
      </c>
      <c r="D295" s="97" t="str">
        <f ca="1">IFERROR(IF(PréstamoNoPagado*PréstamoPagado,ValorPréstamo,""), "")</f>
        <v/>
      </c>
      <c r="E295" s="97" t="str">
        <f ca="1">IFERROR(IF(PréstamoNoPagado*PréstamoPagado,PagoMensual,""), "")</f>
        <v/>
      </c>
      <c r="F295" s="97" t="str">
        <f ca="1">IFERROR(IF(PréstamoNoPagado*PréstamoPagado,Capital,""), "")</f>
        <v/>
      </c>
      <c r="G295" s="97" t="str">
        <f ca="1">IFERROR(IF(PréstamoNoPagado*PréstamoPagado,AmortizaciónInterés,""), "")</f>
        <v/>
      </c>
      <c r="H295" s="97" t="str">
        <f ca="1">IFERROR(IF(PréstamoNoPagado*PréstamoPagado,SaldoFinal,""), "")</f>
        <v/>
      </c>
    </row>
    <row r="296" spans="2:8" ht="20.100000000000001" customHeight="1" x14ac:dyDescent="0.3">
      <c r="B296" s="105" t="str">
        <f ca="1">IFERROR(IF(PréstamoNoPagado*PréstamoPagado,NúmeroDePago,""), "")</f>
        <v/>
      </c>
      <c r="C296" s="96" t="str">
        <f ca="1">IFERROR(IF(PréstamoNoPagado*PréstamoPagado,FechaDePago,""), "")</f>
        <v/>
      </c>
      <c r="D296" s="97" t="str">
        <f ca="1">IFERROR(IF(PréstamoNoPagado*PréstamoPagado,ValorPréstamo,""), "")</f>
        <v/>
      </c>
      <c r="E296" s="97" t="str">
        <f ca="1">IFERROR(IF(PréstamoNoPagado*PréstamoPagado,PagoMensual,""), "")</f>
        <v/>
      </c>
      <c r="F296" s="97" t="str">
        <f ca="1">IFERROR(IF(PréstamoNoPagado*PréstamoPagado,Capital,""), "")</f>
        <v/>
      </c>
      <c r="G296" s="97" t="str">
        <f ca="1">IFERROR(IF(PréstamoNoPagado*PréstamoPagado,AmortizaciónInterés,""), "")</f>
        <v/>
      </c>
      <c r="H296" s="97" t="str">
        <f ca="1">IFERROR(IF(PréstamoNoPagado*PréstamoPagado,SaldoFinal,""), "")</f>
        <v/>
      </c>
    </row>
    <row r="297" spans="2:8" ht="20.100000000000001" customHeight="1" x14ac:dyDescent="0.3">
      <c r="B297" s="105" t="str">
        <f ca="1">IFERROR(IF(PréstamoNoPagado*PréstamoPagado,NúmeroDePago,""), "")</f>
        <v/>
      </c>
      <c r="C297" s="96" t="str">
        <f ca="1">IFERROR(IF(PréstamoNoPagado*PréstamoPagado,FechaDePago,""), "")</f>
        <v/>
      </c>
      <c r="D297" s="97" t="str">
        <f ca="1">IFERROR(IF(PréstamoNoPagado*PréstamoPagado,ValorPréstamo,""), "")</f>
        <v/>
      </c>
      <c r="E297" s="97" t="str">
        <f ca="1">IFERROR(IF(PréstamoNoPagado*PréstamoPagado,PagoMensual,""), "")</f>
        <v/>
      </c>
      <c r="F297" s="97" t="str">
        <f ca="1">IFERROR(IF(PréstamoNoPagado*PréstamoPagado,Capital,""), "")</f>
        <v/>
      </c>
      <c r="G297" s="97" t="str">
        <f ca="1">IFERROR(IF(PréstamoNoPagado*PréstamoPagado,AmortizaciónInterés,""), "")</f>
        <v/>
      </c>
      <c r="H297" s="97" t="str">
        <f ca="1">IFERROR(IF(PréstamoNoPagado*PréstamoPagado,SaldoFinal,""), "")</f>
        <v/>
      </c>
    </row>
    <row r="298" spans="2:8" ht="20.100000000000001" customHeight="1" x14ac:dyDescent="0.3">
      <c r="B298" s="105" t="str">
        <f ca="1">IFERROR(IF(PréstamoNoPagado*PréstamoPagado,NúmeroDePago,""), "")</f>
        <v/>
      </c>
      <c r="C298" s="96" t="str">
        <f ca="1">IFERROR(IF(PréstamoNoPagado*PréstamoPagado,FechaDePago,""), "")</f>
        <v/>
      </c>
      <c r="D298" s="97" t="str">
        <f ca="1">IFERROR(IF(PréstamoNoPagado*PréstamoPagado,ValorPréstamo,""), "")</f>
        <v/>
      </c>
      <c r="E298" s="97" t="str">
        <f ca="1">IFERROR(IF(PréstamoNoPagado*PréstamoPagado,PagoMensual,""), "")</f>
        <v/>
      </c>
      <c r="F298" s="97" t="str">
        <f ca="1">IFERROR(IF(PréstamoNoPagado*PréstamoPagado,Capital,""), "")</f>
        <v/>
      </c>
      <c r="G298" s="97" t="str">
        <f ca="1">IFERROR(IF(PréstamoNoPagado*PréstamoPagado,AmortizaciónInterés,""), "")</f>
        <v/>
      </c>
      <c r="H298" s="97" t="str">
        <f ca="1">IFERROR(IF(PréstamoNoPagado*PréstamoPagado,SaldoFinal,""), "")</f>
        <v/>
      </c>
    </row>
    <row r="299" spans="2:8" ht="20.100000000000001" customHeight="1" x14ac:dyDescent="0.3">
      <c r="B299" s="105" t="str">
        <f ca="1">IFERROR(IF(PréstamoNoPagado*PréstamoPagado,NúmeroDePago,""), "")</f>
        <v/>
      </c>
      <c r="C299" s="96" t="str">
        <f ca="1">IFERROR(IF(PréstamoNoPagado*PréstamoPagado,FechaDePago,""), "")</f>
        <v/>
      </c>
      <c r="D299" s="97" t="str">
        <f ca="1">IFERROR(IF(PréstamoNoPagado*PréstamoPagado,ValorPréstamo,""), "")</f>
        <v/>
      </c>
      <c r="E299" s="97" t="str">
        <f ca="1">IFERROR(IF(PréstamoNoPagado*PréstamoPagado,PagoMensual,""), "")</f>
        <v/>
      </c>
      <c r="F299" s="97" t="str">
        <f ca="1">IFERROR(IF(PréstamoNoPagado*PréstamoPagado,Capital,""), "")</f>
        <v/>
      </c>
      <c r="G299" s="97" t="str">
        <f ca="1">IFERROR(IF(PréstamoNoPagado*PréstamoPagado,AmortizaciónInterés,""), "")</f>
        <v/>
      </c>
      <c r="H299" s="97" t="str">
        <f ca="1">IFERROR(IF(PréstamoNoPagado*PréstamoPagado,SaldoFinal,""), "")</f>
        <v/>
      </c>
    </row>
    <row r="300" spans="2:8" ht="20.100000000000001" customHeight="1" x14ac:dyDescent="0.3">
      <c r="B300" s="105" t="str">
        <f ca="1">IFERROR(IF(PréstamoNoPagado*PréstamoPagado,NúmeroDePago,""), "")</f>
        <v/>
      </c>
      <c r="C300" s="96" t="str">
        <f ca="1">IFERROR(IF(PréstamoNoPagado*PréstamoPagado,FechaDePago,""), "")</f>
        <v/>
      </c>
      <c r="D300" s="97" t="str">
        <f ca="1">IFERROR(IF(PréstamoNoPagado*PréstamoPagado,ValorPréstamo,""), "")</f>
        <v/>
      </c>
      <c r="E300" s="97" t="str">
        <f ca="1">IFERROR(IF(PréstamoNoPagado*PréstamoPagado,PagoMensual,""), "")</f>
        <v/>
      </c>
      <c r="F300" s="97" t="str">
        <f ca="1">IFERROR(IF(PréstamoNoPagado*PréstamoPagado,Capital,""), "")</f>
        <v/>
      </c>
      <c r="G300" s="97" t="str">
        <f ca="1">IFERROR(IF(PréstamoNoPagado*PréstamoPagado,AmortizaciónInterés,""), "")</f>
        <v/>
      </c>
      <c r="H300" s="97" t="str">
        <f ca="1">IFERROR(IF(PréstamoNoPagado*PréstamoPagado,SaldoFinal,""), "")</f>
        <v/>
      </c>
    </row>
    <row r="301" spans="2:8" ht="20.100000000000001" customHeight="1" x14ac:dyDescent="0.3">
      <c r="B301" s="105" t="str">
        <f ca="1">IFERROR(IF(PréstamoNoPagado*PréstamoPagado,NúmeroDePago,""), "")</f>
        <v/>
      </c>
      <c r="C301" s="96" t="str">
        <f ca="1">IFERROR(IF(PréstamoNoPagado*PréstamoPagado,FechaDePago,""), "")</f>
        <v/>
      </c>
      <c r="D301" s="97" t="str">
        <f ca="1">IFERROR(IF(PréstamoNoPagado*PréstamoPagado,ValorPréstamo,""), "")</f>
        <v/>
      </c>
      <c r="E301" s="97" t="str">
        <f ca="1">IFERROR(IF(PréstamoNoPagado*PréstamoPagado,PagoMensual,""), "")</f>
        <v/>
      </c>
      <c r="F301" s="97" t="str">
        <f ca="1">IFERROR(IF(PréstamoNoPagado*PréstamoPagado,Capital,""), "")</f>
        <v/>
      </c>
      <c r="G301" s="97" t="str">
        <f ca="1">IFERROR(IF(PréstamoNoPagado*PréstamoPagado,AmortizaciónInterés,""), "")</f>
        <v/>
      </c>
      <c r="H301" s="97" t="str">
        <f ca="1">IFERROR(IF(PréstamoNoPagado*PréstamoPagado,SaldoFinal,""), "")</f>
        <v/>
      </c>
    </row>
    <row r="302" spans="2:8" ht="20.100000000000001" customHeight="1" x14ac:dyDescent="0.3">
      <c r="B302" s="105" t="str">
        <f ca="1">IFERROR(IF(PréstamoNoPagado*PréstamoPagado,NúmeroDePago,""), "")</f>
        <v/>
      </c>
      <c r="C302" s="96" t="str">
        <f ca="1">IFERROR(IF(PréstamoNoPagado*PréstamoPagado,FechaDePago,""), "")</f>
        <v/>
      </c>
      <c r="D302" s="97" t="str">
        <f ca="1">IFERROR(IF(PréstamoNoPagado*PréstamoPagado,ValorPréstamo,""), "")</f>
        <v/>
      </c>
      <c r="E302" s="97" t="str">
        <f ca="1">IFERROR(IF(PréstamoNoPagado*PréstamoPagado,PagoMensual,""), "")</f>
        <v/>
      </c>
      <c r="F302" s="97" t="str">
        <f ca="1">IFERROR(IF(PréstamoNoPagado*PréstamoPagado,Capital,""), "")</f>
        <v/>
      </c>
      <c r="G302" s="97" t="str">
        <f ca="1">IFERROR(IF(PréstamoNoPagado*PréstamoPagado,AmortizaciónInterés,""), "")</f>
        <v/>
      </c>
      <c r="H302" s="97" t="str">
        <f ca="1">IFERROR(IF(PréstamoNoPagado*PréstamoPagado,SaldoFinal,""), "")</f>
        <v/>
      </c>
    </row>
    <row r="303" spans="2:8" ht="20.100000000000001" customHeight="1" x14ac:dyDescent="0.3">
      <c r="B303" s="105" t="str">
        <f ca="1">IFERROR(IF(PréstamoNoPagado*PréstamoPagado,NúmeroDePago,""), "")</f>
        <v/>
      </c>
      <c r="C303" s="96" t="str">
        <f ca="1">IFERROR(IF(PréstamoNoPagado*PréstamoPagado,FechaDePago,""), "")</f>
        <v/>
      </c>
      <c r="D303" s="97" t="str">
        <f ca="1">IFERROR(IF(PréstamoNoPagado*PréstamoPagado,ValorPréstamo,""), "")</f>
        <v/>
      </c>
      <c r="E303" s="97" t="str">
        <f ca="1">IFERROR(IF(PréstamoNoPagado*PréstamoPagado,PagoMensual,""), "")</f>
        <v/>
      </c>
      <c r="F303" s="97" t="str">
        <f ca="1">IFERROR(IF(PréstamoNoPagado*PréstamoPagado,Capital,""), "")</f>
        <v/>
      </c>
      <c r="G303" s="97" t="str">
        <f ca="1">IFERROR(IF(PréstamoNoPagado*PréstamoPagado,AmortizaciónInterés,""), "")</f>
        <v/>
      </c>
      <c r="H303" s="97" t="str">
        <f ca="1">IFERROR(IF(PréstamoNoPagado*PréstamoPagado,SaldoFinal,""), "")</f>
        <v/>
      </c>
    </row>
    <row r="304" spans="2:8" ht="20.100000000000001" customHeight="1" x14ac:dyDescent="0.3">
      <c r="B304" s="105" t="str">
        <f ca="1">IFERROR(IF(PréstamoNoPagado*PréstamoPagado,NúmeroDePago,""), "")</f>
        <v/>
      </c>
      <c r="C304" s="96" t="str">
        <f ca="1">IFERROR(IF(PréstamoNoPagado*PréstamoPagado,FechaDePago,""), "")</f>
        <v/>
      </c>
      <c r="D304" s="97" t="str">
        <f ca="1">IFERROR(IF(PréstamoNoPagado*PréstamoPagado,ValorPréstamo,""), "")</f>
        <v/>
      </c>
      <c r="E304" s="97" t="str">
        <f ca="1">IFERROR(IF(PréstamoNoPagado*PréstamoPagado,PagoMensual,""), "")</f>
        <v/>
      </c>
      <c r="F304" s="97" t="str">
        <f ca="1">IFERROR(IF(PréstamoNoPagado*PréstamoPagado,Capital,""), "")</f>
        <v/>
      </c>
      <c r="G304" s="97" t="str">
        <f ca="1">IFERROR(IF(PréstamoNoPagado*PréstamoPagado,AmortizaciónInterés,""), "")</f>
        <v/>
      </c>
      <c r="H304" s="97" t="str">
        <f ca="1">IFERROR(IF(PréstamoNoPagado*PréstamoPagado,SaldoFinal,""), "")</f>
        <v/>
      </c>
    </row>
    <row r="305" spans="2:8" ht="20.100000000000001" customHeight="1" x14ac:dyDescent="0.3">
      <c r="B305" s="105" t="str">
        <f ca="1">IFERROR(IF(PréstamoNoPagado*PréstamoPagado,NúmeroDePago,""), "")</f>
        <v/>
      </c>
      <c r="C305" s="96" t="str">
        <f ca="1">IFERROR(IF(PréstamoNoPagado*PréstamoPagado,FechaDePago,""), "")</f>
        <v/>
      </c>
      <c r="D305" s="97" t="str">
        <f ca="1">IFERROR(IF(PréstamoNoPagado*PréstamoPagado,ValorPréstamo,""), "")</f>
        <v/>
      </c>
      <c r="E305" s="97" t="str">
        <f ca="1">IFERROR(IF(PréstamoNoPagado*PréstamoPagado,PagoMensual,""), "")</f>
        <v/>
      </c>
      <c r="F305" s="97" t="str">
        <f ca="1">IFERROR(IF(PréstamoNoPagado*PréstamoPagado,Capital,""), "")</f>
        <v/>
      </c>
      <c r="G305" s="97" t="str">
        <f ca="1">IFERROR(IF(PréstamoNoPagado*PréstamoPagado,AmortizaciónInterés,""), "")</f>
        <v/>
      </c>
      <c r="H305" s="97" t="str">
        <f ca="1">IFERROR(IF(PréstamoNoPagado*PréstamoPagado,SaldoFinal,""), "")</f>
        <v/>
      </c>
    </row>
    <row r="306" spans="2:8" ht="20.100000000000001" customHeight="1" x14ac:dyDescent="0.3">
      <c r="B306" s="105" t="str">
        <f ca="1">IFERROR(IF(PréstamoNoPagado*PréstamoPagado,NúmeroDePago,""), "")</f>
        <v/>
      </c>
      <c r="C306" s="96" t="str">
        <f ca="1">IFERROR(IF(PréstamoNoPagado*PréstamoPagado,FechaDePago,""), "")</f>
        <v/>
      </c>
      <c r="D306" s="97" t="str">
        <f ca="1">IFERROR(IF(PréstamoNoPagado*PréstamoPagado,ValorPréstamo,""), "")</f>
        <v/>
      </c>
      <c r="E306" s="97" t="str">
        <f ca="1">IFERROR(IF(PréstamoNoPagado*PréstamoPagado,PagoMensual,""), "")</f>
        <v/>
      </c>
      <c r="F306" s="97" t="str">
        <f ca="1">IFERROR(IF(PréstamoNoPagado*PréstamoPagado,Capital,""), "")</f>
        <v/>
      </c>
      <c r="G306" s="97" t="str">
        <f ca="1">IFERROR(IF(PréstamoNoPagado*PréstamoPagado,AmortizaciónInterés,""), "")</f>
        <v/>
      </c>
      <c r="H306" s="97" t="str">
        <f ca="1">IFERROR(IF(PréstamoNoPagado*PréstamoPagado,SaldoFinal,""), "")</f>
        <v/>
      </c>
    </row>
    <row r="307" spans="2:8" ht="20.100000000000001" customHeight="1" x14ac:dyDescent="0.3">
      <c r="B307" s="105" t="str">
        <f ca="1">IFERROR(IF(PréstamoNoPagado*PréstamoPagado,NúmeroDePago,""), "")</f>
        <v/>
      </c>
      <c r="C307" s="96" t="str">
        <f ca="1">IFERROR(IF(PréstamoNoPagado*PréstamoPagado,FechaDePago,""), "")</f>
        <v/>
      </c>
      <c r="D307" s="97" t="str">
        <f ca="1">IFERROR(IF(PréstamoNoPagado*PréstamoPagado,ValorPréstamo,""), "")</f>
        <v/>
      </c>
      <c r="E307" s="97" t="str">
        <f ca="1">IFERROR(IF(PréstamoNoPagado*PréstamoPagado,PagoMensual,""), "")</f>
        <v/>
      </c>
      <c r="F307" s="97" t="str">
        <f ca="1">IFERROR(IF(PréstamoNoPagado*PréstamoPagado,Capital,""), "")</f>
        <v/>
      </c>
      <c r="G307" s="97" t="str">
        <f ca="1">IFERROR(IF(PréstamoNoPagado*PréstamoPagado,AmortizaciónInterés,""), "")</f>
        <v/>
      </c>
      <c r="H307" s="97" t="str">
        <f ca="1">IFERROR(IF(PréstamoNoPagado*PréstamoPagado,SaldoFinal,""), "")</f>
        <v/>
      </c>
    </row>
    <row r="308" spans="2:8" ht="20.100000000000001" customHeight="1" x14ac:dyDescent="0.3">
      <c r="B308" s="105" t="str">
        <f ca="1">IFERROR(IF(PréstamoNoPagado*PréstamoPagado,NúmeroDePago,""), "")</f>
        <v/>
      </c>
      <c r="C308" s="96" t="str">
        <f ca="1">IFERROR(IF(PréstamoNoPagado*PréstamoPagado,FechaDePago,""), "")</f>
        <v/>
      </c>
      <c r="D308" s="97" t="str">
        <f ca="1">IFERROR(IF(PréstamoNoPagado*PréstamoPagado,ValorPréstamo,""), "")</f>
        <v/>
      </c>
      <c r="E308" s="97" t="str">
        <f ca="1">IFERROR(IF(PréstamoNoPagado*PréstamoPagado,PagoMensual,""), "")</f>
        <v/>
      </c>
      <c r="F308" s="97" t="str">
        <f ca="1">IFERROR(IF(PréstamoNoPagado*PréstamoPagado,Capital,""), "")</f>
        <v/>
      </c>
      <c r="G308" s="97" t="str">
        <f ca="1">IFERROR(IF(PréstamoNoPagado*PréstamoPagado,AmortizaciónInterés,""), "")</f>
        <v/>
      </c>
      <c r="H308" s="97" t="str">
        <f ca="1">IFERROR(IF(PréstamoNoPagado*PréstamoPagado,SaldoFinal,""), "")</f>
        <v/>
      </c>
    </row>
    <row r="309" spans="2:8" ht="20.100000000000001" customHeight="1" x14ac:dyDescent="0.3">
      <c r="B309" s="105" t="str">
        <f ca="1">IFERROR(IF(PréstamoNoPagado*PréstamoPagado,NúmeroDePago,""), "")</f>
        <v/>
      </c>
      <c r="C309" s="96" t="str">
        <f ca="1">IFERROR(IF(PréstamoNoPagado*PréstamoPagado,FechaDePago,""), "")</f>
        <v/>
      </c>
      <c r="D309" s="97" t="str">
        <f ca="1">IFERROR(IF(PréstamoNoPagado*PréstamoPagado,ValorPréstamo,""), "")</f>
        <v/>
      </c>
      <c r="E309" s="97" t="str">
        <f ca="1">IFERROR(IF(PréstamoNoPagado*PréstamoPagado,PagoMensual,""), "")</f>
        <v/>
      </c>
      <c r="F309" s="97" t="str">
        <f ca="1">IFERROR(IF(PréstamoNoPagado*PréstamoPagado,Capital,""), "")</f>
        <v/>
      </c>
      <c r="G309" s="97" t="str">
        <f ca="1">IFERROR(IF(PréstamoNoPagado*PréstamoPagado,AmortizaciónInterés,""), "")</f>
        <v/>
      </c>
      <c r="H309" s="97" t="str">
        <f ca="1">IFERROR(IF(PréstamoNoPagado*PréstamoPagado,SaldoFinal,""), "")</f>
        <v/>
      </c>
    </row>
    <row r="310" spans="2:8" ht="20.100000000000001" customHeight="1" x14ac:dyDescent="0.3">
      <c r="B310" s="105" t="str">
        <f ca="1">IFERROR(IF(PréstamoNoPagado*PréstamoPagado,NúmeroDePago,""), "")</f>
        <v/>
      </c>
      <c r="C310" s="96" t="str">
        <f ca="1">IFERROR(IF(PréstamoNoPagado*PréstamoPagado,FechaDePago,""), "")</f>
        <v/>
      </c>
      <c r="D310" s="97" t="str">
        <f ca="1">IFERROR(IF(PréstamoNoPagado*PréstamoPagado,ValorPréstamo,""), "")</f>
        <v/>
      </c>
      <c r="E310" s="97" t="str">
        <f ca="1">IFERROR(IF(PréstamoNoPagado*PréstamoPagado,PagoMensual,""), "")</f>
        <v/>
      </c>
      <c r="F310" s="97" t="str">
        <f ca="1">IFERROR(IF(PréstamoNoPagado*PréstamoPagado,Capital,""), "")</f>
        <v/>
      </c>
      <c r="G310" s="97" t="str">
        <f ca="1">IFERROR(IF(PréstamoNoPagado*PréstamoPagado,AmortizaciónInterés,""), "")</f>
        <v/>
      </c>
      <c r="H310" s="97" t="str">
        <f ca="1">IFERROR(IF(PréstamoNoPagado*PréstamoPagado,SaldoFinal,""), "")</f>
        <v/>
      </c>
    </row>
    <row r="311" spans="2:8" ht="20.100000000000001" customHeight="1" x14ac:dyDescent="0.3">
      <c r="B311" s="105" t="str">
        <f ca="1">IFERROR(IF(PréstamoNoPagado*PréstamoPagado,NúmeroDePago,""), "")</f>
        <v/>
      </c>
      <c r="C311" s="96" t="str">
        <f ca="1">IFERROR(IF(PréstamoNoPagado*PréstamoPagado,FechaDePago,""), "")</f>
        <v/>
      </c>
      <c r="D311" s="97" t="str">
        <f ca="1">IFERROR(IF(PréstamoNoPagado*PréstamoPagado,ValorPréstamo,""), "")</f>
        <v/>
      </c>
      <c r="E311" s="97" t="str">
        <f ca="1">IFERROR(IF(PréstamoNoPagado*PréstamoPagado,PagoMensual,""), "")</f>
        <v/>
      </c>
      <c r="F311" s="97" t="str">
        <f ca="1">IFERROR(IF(PréstamoNoPagado*PréstamoPagado,Capital,""), "")</f>
        <v/>
      </c>
      <c r="G311" s="97" t="str">
        <f ca="1">IFERROR(IF(PréstamoNoPagado*PréstamoPagado,AmortizaciónInterés,""), "")</f>
        <v/>
      </c>
      <c r="H311" s="97" t="str">
        <f ca="1">IFERROR(IF(PréstamoNoPagado*PréstamoPagado,SaldoFinal,""), "")</f>
        <v/>
      </c>
    </row>
    <row r="312" spans="2:8" ht="20.100000000000001" customHeight="1" x14ac:dyDescent="0.3">
      <c r="B312" s="105" t="str">
        <f ca="1">IFERROR(IF(PréstamoNoPagado*PréstamoPagado,NúmeroDePago,""), "")</f>
        <v/>
      </c>
      <c r="C312" s="96" t="str">
        <f ca="1">IFERROR(IF(PréstamoNoPagado*PréstamoPagado,FechaDePago,""), "")</f>
        <v/>
      </c>
      <c r="D312" s="97" t="str">
        <f ca="1">IFERROR(IF(PréstamoNoPagado*PréstamoPagado,ValorPréstamo,""), "")</f>
        <v/>
      </c>
      <c r="E312" s="97" t="str">
        <f ca="1">IFERROR(IF(PréstamoNoPagado*PréstamoPagado,PagoMensual,""), "")</f>
        <v/>
      </c>
      <c r="F312" s="97" t="str">
        <f ca="1">IFERROR(IF(PréstamoNoPagado*PréstamoPagado,Capital,""), "")</f>
        <v/>
      </c>
      <c r="G312" s="97" t="str">
        <f ca="1">IFERROR(IF(PréstamoNoPagado*PréstamoPagado,AmortizaciónInterés,""), "")</f>
        <v/>
      </c>
      <c r="H312" s="97" t="str">
        <f ca="1">IFERROR(IF(PréstamoNoPagado*PréstamoPagado,SaldoFinal,""), "")</f>
        <v/>
      </c>
    </row>
    <row r="313" spans="2:8" ht="20.100000000000001" customHeight="1" x14ac:dyDescent="0.3">
      <c r="B313" s="105" t="str">
        <f ca="1">IFERROR(IF(PréstamoNoPagado*PréstamoPagado,NúmeroDePago,""), "")</f>
        <v/>
      </c>
      <c r="C313" s="96" t="str">
        <f ca="1">IFERROR(IF(PréstamoNoPagado*PréstamoPagado,FechaDePago,""), "")</f>
        <v/>
      </c>
      <c r="D313" s="97" t="str">
        <f ca="1">IFERROR(IF(PréstamoNoPagado*PréstamoPagado,ValorPréstamo,""), "")</f>
        <v/>
      </c>
      <c r="E313" s="97" t="str">
        <f ca="1">IFERROR(IF(PréstamoNoPagado*PréstamoPagado,PagoMensual,""), "")</f>
        <v/>
      </c>
      <c r="F313" s="97" t="str">
        <f ca="1">IFERROR(IF(PréstamoNoPagado*PréstamoPagado,Capital,""), "")</f>
        <v/>
      </c>
      <c r="G313" s="97" t="str">
        <f ca="1">IFERROR(IF(PréstamoNoPagado*PréstamoPagado,AmortizaciónInterés,""), "")</f>
        <v/>
      </c>
      <c r="H313" s="97" t="str">
        <f ca="1">IFERROR(IF(PréstamoNoPagado*PréstamoPagado,SaldoFinal,""), "")</f>
        <v/>
      </c>
    </row>
    <row r="314" spans="2:8" ht="20.100000000000001" customHeight="1" x14ac:dyDescent="0.3">
      <c r="B314" s="105" t="str">
        <f ca="1">IFERROR(IF(PréstamoNoPagado*PréstamoPagado,NúmeroDePago,""), "")</f>
        <v/>
      </c>
      <c r="C314" s="96" t="str">
        <f ca="1">IFERROR(IF(PréstamoNoPagado*PréstamoPagado,FechaDePago,""), "")</f>
        <v/>
      </c>
      <c r="D314" s="97" t="str">
        <f ca="1">IFERROR(IF(PréstamoNoPagado*PréstamoPagado,ValorPréstamo,""), "")</f>
        <v/>
      </c>
      <c r="E314" s="97" t="str">
        <f ca="1">IFERROR(IF(PréstamoNoPagado*PréstamoPagado,PagoMensual,""), "")</f>
        <v/>
      </c>
      <c r="F314" s="97" t="str">
        <f ca="1">IFERROR(IF(PréstamoNoPagado*PréstamoPagado,Capital,""), "")</f>
        <v/>
      </c>
      <c r="G314" s="97" t="str">
        <f ca="1">IFERROR(IF(PréstamoNoPagado*PréstamoPagado,AmortizaciónInterés,""), "")</f>
        <v/>
      </c>
      <c r="H314" s="97" t="str">
        <f ca="1">IFERROR(IF(PréstamoNoPagado*PréstamoPagado,SaldoFinal,""), "")</f>
        <v/>
      </c>
    </row>
    <row r="315" spans="2:8" ht="20.100000000000001" customHeight="1" x14ac:dyDescent="0.3">
      <c r="B315" s="105" t="str">
        <f ca="1">IFERROR(IF(PréstamoNoPagado*PréstamoPagado,NúmeroDePago,""), "")</f>
        <v/>
      </c>
      <c r="C315" s="96" t="str">
        <f ca="1">IFERROR(IF(PréstamoNoPagado*PréstamoPagado,FechaDePago,""), "")</f>
        <v/>
      </c>
      <c r="D315" s="97" t="str">
        <f ca="1">IFERROR(IF(PréstamoNoPagado*PréstamoPagado,ValorPréstamo,""), "")</f>
        <v/>
      </c>
      <c r="E315" s="97" t="str">
        <f ca="1">IFERROR(IF(PréstamoNoPagado*PréstamoPagado,PagoMensual,""), "")</f>
        <v/>
      </c>
      <c r="F315" s="97" t="str">
        <f ca="1">IFERROR(IF(PréstamoNoPagado*PréstamoPagado,Capital,""), "")</f>
        <v/>
      </c>
      <c r="G315" s="97" t="str">
        <f ca="1">IFERROR(IF(PréstamoNoPagado*PréstamoPagado,AmortizaciónInterés,""), "")</f>
        <v/>
      </c>
      <c r="H315" s="97" t="str">
        <f ca="1">IFERROR(IF(PréstamoNoPagado*PréstamoPagado,SaldoFinal,""), "")</f>
        <v/>
      </c>
    </row>
    <row r="316" spans="2:8" ht="20.100000000000001" customHeight="1" x14ac:dyDescent="0.3">
      <c r="B316" s="105" t="str">
        <f ca="1">IFERROR(IF(PréstamoNoPagado*PréstamoPagado,NúmeroDePago,""), "")</f>
        <v/>
      </c>
      <c r="C316" s="96" t="str">
        <f ca="1">IFERROR(IF(PréstamoNoPagado*PréstamoPagado,FechaDePago,""), "")</f>
        <v/>
      </c>
      <c r="D316" s="97" t="str">
        <f ca="1">IFERROR(IF(PréstamoNoPagado*PréstamoPagado,ValorPréstamo,""), "")</f>
        <v/>
      </c>
      <c r="E316" s="97" t="str">
        <f ca="1">IFERROR(IF(PréstamoNoPagado*PréstamoPagado,PagoMensual,""), "")</f>
        <v/>
      </c>
      <c r="F316" s="97" t="str">
        <f ca="1">IFERROR(IF(PréstamoNoPagado*PréstamoPagado,Capital,""), "")</f>
        <v/>
      </c>
      <c r="G316" s="97" t="str">
        <f ca="1">IFERROR(IF(PréstamoNoPagado*PréstamoPagado,AmortizaciónInterés,""), "")</f>
        <v/>
      </c>
      <c r="H316" s="97" t="str">
        <f ca="1">IFERROR(IF(PréstamoNoPagado*PréstamoPagado,SaldoFinal,""), "")</f>
        <v/>
      </c>
    </row>
    <row r="317" spans="2:8" ht="20.100000000000001" customHeight="1" x14ac:dyDescent="0.3">
      <c r="B317" s="105" t="str">
        <f ca="1">IFERROR(IF(PréstamoNoPagado*PréstamoPagado,NúmeroDePago,""), "")</f>
        <v/>
      </c>
      <c r="C317" s="96" t="str">
        <f ca="1">IFERROR(IF(PréstamoNoPagado*PréstamoPagado,FechaDePago,""), "")</f>
        <v/>
      </c>
      <c r="D317" s="97" t="str">
        <f ca="1">IFERROR(IF(PréstamoNoPagado*PréstamoPagado,ValorPréstamo,""), "")</f>
        <v/>
      </c>
      <c r="E317" s="97" t="str">
        <f ca="1">IFERROR(IF(PréstamoNoPagado*PréstamoPagado,PagoMensual,""), "")</f>
        <v/>
      </c>
      <c r="F317" s="97" t="str">
        <f ca="1">IFERROR(IF(PréstamoNoPagado*PréstamoPagado,Capital,""), "")</f>
        <v/>
      </c>
      <c r="G317" s="97" t="str">
        <f ca="1">IFERROR(IF(PréstamoNoPagado*PréstamoPagado,AmortizaciónInterés,""), "")</f>
        <v/>
      </c>
      <c r="H317" s="97" t="str">
        <f ca="1">IFERROR(IF(PréstamoNoPagado*PréstamoPagado,SaldoFinal,""), "")</f>
        <v/>
      </c>
    </row>
    <row r="318" spans="2:8" ht="20.100000000000001" customHeight="1" x14ac:dyDescent="0.3">
      <c r="B318" s="105" t="str">
        <f ca="1">IFERROR(IF(PréstamoNoPagado*PréstamoPagado,NúmeroDePago,""), "")</f>
        <v/>
      </c>
      <c r="C318" s="96" t="str">
        <f ca="1">IFERROR(IF(PréstamoNoPagado*PréstamoPagado,FechaDePago,""), "")</f>
        <v/>
      </c>
      <c r="D318" s="97" t="str">
        <f ca="1">IFERROR(IF(PréstamoNoPagado*PréstamoPagado,ValorPréstamo,""), "")</f>
        <v/>
      </c>
      <c r="E318" s="97" t="str">
        <f ca="1">IFERROR(IF(PréstamoNoPagado*PréstamoPagado,PagoMensual,""), "")</f>
        <v/>
      </c>
      <c r="F318" s="97" t="str">
        <f ca="1">IFERROR(IF(PréstamoNoPagado*PréstamoPagado,Capital,""), "")</f>
        <v/>
      </c>
      <c r="G318" s="97" t="str">
        <f ca="1">IFERROR(IF(PréstamoNoPagado*PréstamoPagado,AmortizaciónInterés,""), "")</f>
        <v/>
      </c>
      <c r="H318" s="97" t="str">
        <f ca="1">IFERROR(IF(PréstamoNoPagado*PréstamoPagado,SaldoFinal,""), "")</f>
        <v/>
      </c>
    </row>
    <row r="319" spans="2:8" ht="20.100000000000001" customHeight="1" x14ac:dyDescent="0.3">
      <c r="B319" s="105" t="str">
        <f ca="1">IFERROR(IF(PréstamoNoPagado*PréstamoPagado,NúmeroDePago,""), "")</f>
        <v/>
      </c>
      <c r="C319" s="96" t="str">
        <f ca="1">IFERROR(IF(PréstamoNoPagado*PréstamoPagado,FechaDePago,""), "")</f>
        <v/>
      </c>
      <c r="D319" s="97" t="str">
        <f ca="1">IFERROR(IF(PréstamoNoPagado*PréstamoPagado,ValorPréstamo,""), "")</f>
        <v/>
      </c>
      <c r="E319" s="97" t="str">
        <f ca="1">IFERROR(IF(PréstamoNoPagado*PréstamoPagado,PagoMensual,""), "")</f>
        <v/>
      </c>
      <c r="F319" s="97" t="str">
        <f ca="1">IFERROR(IF(PréstamoNoPagado*PréstamoPagado,Capital,""), "")</f>
        <v/>
      </c>
      <c r="G319" s="97" t="str">
        <f ca="1">IFERROR(IF(PréstamoNoPagado*PréstamoPagado,AmortizaciónInterés,""), "")</f>
        <v/>
      </c>
      <c r="H319" s="97" t="str">
        <f ca="1">IFERROR(IF(PréstamoNoPagado*PréstamoPagado,SaldoFinal,""), "")</f>
        <v/>
      </c>
    </row>
    <row r="320" spans="2:8" ht="20.100000000000001" customHeight="1" x14ac:dyDescent="0.3">
      <c r="B320" s="105" t="str">
        <f ca="1">IFERROR(IF(PréstamoNoPagado*PréstamoPagado,NúmeroDePago,""), "")</f>
        <v/>
      </c>
      <c r="C320" s="96" t="str">
        <f ca="1">IFERROR(IF(PréstamoNoPagado*PréstamoPagado,FechaDePago,""), "")</f>
        <v/>
      </c>
      <c r="D320" s="97" t="str">
        <f ca="1">IFERROR(IF(PréstamoNoPagado*PréstamoPagado,ValorPréstamo,""), "")</f>
        <v/>
      </c>
      <c r="E320" s="97" t="str">
        <f ca="1">IFERROR(IF(PréstamoNoPagado*PréstamoPagado,PagoMensual,""), "")</f>
        <v/>
      </c>
      <c r="F320" s="97" t="str">
        <f ca="1">IFERROR(IF(PréstamoNoPagado*PréstamoPagado,Capital,""), "")</f>
        <v/>
      </c>
      <c r="G320" s="97" t="str">
        <f ca="1">IFERROR(IF(PréstamoNoPagado*PréstamoPagado,AmortizaciónInterés,""), "")</f>
        <v/>
      </c>
      <c r="H320" s="97" t="str">
        <f ca="1">IFERROR(IF(PréstamoNoPagado*PréstamoPagado,SaldoFinal,""), "")</f>
        <v/>
      </c>
    </row>
    <row r="321" spans="2:8" ht="20.100000000000001" customHeight="1" x14ac:dyDescent="0.3">
      <c r="B321" s="105" t="str">
        <f ca="1">IFERROR(IF(PréstamoNoPagado*PréstamoPagado,NúmeroDePago,""), "")</f>
        <v/>
      </c>
      <c r="C321" s="96" t="str">
        <f ca="1">IFERROR(IF(PréstamoNoPagado*PréstamoPagado,FechaDePago,""), "")</f>
        <v/>
      </c>
      <c r="D321" s="97" t="str">
        <f ca="1">IFERROR(IF(PréstamoNoPagado*PréstamoPagado,ValorPréstamo,""), "")</f>
        <v/>
      </c>
      <c r="E321" s="97" t="str">
        <f ca="1">IFERROR(IF(PréstamoNoPagado*PréstamoPagado,PagoMensual,""), "")</f>
        <v/>
      </c>
      <c r="F321" s="97" t="str">
        <f ca="1">IFERROR(IF(PréstamoNoPagado*PréstamoPagado,Capital,""), "")</f>
        <v/>
      </c>
      <c r="G321" s="97" t="str">
        <f ca="1">IFERROR(IF(PréstamoNoPagado*PréstamoPagado,AmortizaciónInterés,""), "")</f>
        <v/>
      </c>
      <c r="H321" s="97" t="str">
        <f ca="1">IFERROR(IF(PréstamoNoPagado*PréstamoPagado,SaldoFinal,""), "")</f>
        <v/>
      </c>
    </row>
    <row r="322" spans="2:8" ht="20.100000000000001" customHeight="1" x14ac:dyDescent="0.3">
      <c r="B322" s="105" t="str">
        <f ca="1">IFERROR(IF(PréstamoNoPagado*PréstamoPagado,NúmeroDePago,""), "")</f>
        <v/>
      </c>
      <c r="C322" s="96" t="str">
        <f ca="1">IFERROR(IF(PréstamoNoPagado*PréstamoPagado,FechaDePago,""), "")</f>
        <v/>
      </c>
      <c r="D322" s="97" t="str">
        <f ca="1">IFERROR(IF(PréstamoNoPagado*PréstamoPagado,ValorPréstamo,""), "")</f>
        <v/>
      </c>
      <c r="E322" s="97" t="str">
        <f ca="1">IFERROR(IF(PréstamoNoPagado*PréstamoPagado,PagoMensual,""), "")</f>
        <v/>
      </c>
      <c r="F322" s="97" t="str">
        <f ca="1">IFERROR(IF(PréstamoNoPagado*PréstamoPagado,Capital,""), "")</f>
        <v/>
      </c>
      <c r="G322" s="97" t="str">
        <f ca="1">IFERROR(IF(PréstamoNoPagado*PréstamoPagado,AmortizaciónInterés,""), "")</f>
        <v/>
      </c>
      <c r="H322" s="97" t="str">
        <f ca="1">IFERROR(IF(PréstamoNoPagado*PréstamoPagado,SaldoFinal,""), "")</f>
        <v/>
      </c>
    </row>
    <row r="323" spans="2:8" ht="20.100000000000001" customHeight="1" x14ac:dyDescent="0.3">
      <c r="B323" s="105" t="str">
        <f ca="1">IFERROR(IF(PréstamoNoPagado*PréstamoPagado,NúmeroDePago,""), "")</f>
        <v/>
      </c>
      <c r="C323" s="96" t="str">
        <f ca="1">IFERROR(IF(PréstamoNoPagado*PréstamoPagado,FechaDePago,""), "")</f>
        <v/>
      </c>
      <c r="D323" s="97" t="str">
        <f ca="1">IFERROR(IF(PréstamoNoPagado*PréstamoPagado,ValorPréstamo,""), "")</f>
        <v/>
      </c>
      <c r="E323" s="97" t="str">
        <f ca="1">IFERROR(IF(PréstamoNoPagado*PréstamoPagado,PagoMensual,""), "")</f>
        <v/>
      </c>
      <c r="F323" s="97" t="str">
        <f ca="1">IFERROR(IF(PréstamoNoPagado*PréstamoPagado,Capital,""), "")</f>
        <v/>
      </c>
      <c r="G323" s="97" t="str">
        <f ca="1">IFERROR(IF(PréstamoNoPagado*PréstamoPagado,AmortizaciónInterés,""), "")</f>
        <v/>
      </c>
      <c r="H323" s="97" t="str">
        <f ca="1">IFERROR(IF(PréstamoNoPagado*PréstamoPagado,SaldoFinal,""), "")</f>
        <v/>
      </c>
    </row>
    <row r="324" spans="2:8" ht="20.100000000000001" customHeight="1" x14ac:dyDescent="0.3">
      <c r="B324" s="105" t="str">
        <f ca="1">IFERROR(IF(PréstamoNoPagado*PréstamoPagado,NúmeroDePago,""), "")</f>
        <v/>
      </c>
      <c r="C324" s="96" t="str">
        <f ca="1">IFERROR(IF(PréstamoNoPagado*PréstamoPagado,FechaDePago,""), "")</f>
        <v/>
      </c>
      <c r="D324" s="97" t="str">
        <f ca="1">IFERROR(IF(PréstamoNoPagado*PréstamoPagado,ValorPréstamo,""), "")</f>
        <v/>
      </c>
      <c r="E324" s="97" t="str">
        <f ca="1">IFERROR(IF(PréstamoNoPagado*PréstamoPagado,PagoMensual,""), "")</f>
        <v/>
      </c>
      <c r="F324" s="97" t="str">
        <f ca="1">IFERROR(IF(PréstamoNoPagado*PréstamoPagado,Capital,""), "")</f>
        <v/>
      </c>
      <c r="G324" s="97" t="str">
        <f ca="1">IFERROR(IF(PréstamoNoPagado*PréstamoPagado,AmortizaciónInterés,""), "")</f>
        <v/>
      </c>
      <c r="H324" s="97" t="str">
        <f ca="1">IFERROR(IF(PréstamoNoPagado*PréstamoPagado,SaldoFinal,""), "")</f>
        <v/>
      </c>
    </row>
    <row r="325" spans="2:8" ht="20.100000000000001" customHeight="1" x14ac:dyDescent="0.3">
      <c r="B325" s="105" t="str">
        <f ca="1">IFERROR(IF(PréstamoNoPagado*PréstamoPagado,NúmeroDePago,""), "")</f>
        <v/>
      </c>
      <c r="C325" s="96" t="str">
        <f ca="1">IFERROR(IF(PréstamoNoPagado*PréstamoPagado,FechaDePago,""), "")</f>
        <v/>
      </c>
      <c r="D325" s="97" t="str">
        <f ca="1">IFERROR(IF(PréstamoNoPagado*PréstamoPagado,ValorPréstamo,""), "")</f>
        <v/>
      </c>
      <c r="E325" s="97" t="str">
        <f ca="1">IFERROR(IF(PréstamoNoPagado*PréstamoPagado,PagoMensual,""), "")</f>
        <v/>
      </c>
      <c r="F325" s="97" t="str">
        <f ca="1">IFERROR(IF(PréstamoNoPagado*PréstamoPagado,Capital,""), "")</f>
        <v/>
      </c>
      <c r="G325" s="97" t="str">
        <f ca="1">IFERROR(IF(PréstamoNoPagado*PréstamoPagado,AmortizaciónInterés,""), "")</f>
        <v/>
      </c>
      <c r="H325" s="97" t="str">
        <f ca="1">IFERROR(IF(PréstamoNoPagado*PréstamoPagado,SaldoFinal,""), "")</f>
        <v/>
      </c>
    </row>
    <row r="326" spans="2:8" ht="20.100000000000001" customHeight="1" x14ac:dyDescent="0.3">
      <c r="B326" s="105" t="str">
        <f ca="1">IFERROR(IF(PréstamoNoPagado*PréstamoPagado,NúmeroDePago,""), "")</f>
        <v/>
      </c>
      <c r="C326" s="96" t="str">
        <f ca="1">IFERROR(IF(PréstamoNoPagado*PréstamoPagado,FechaDePago,""), "")</f>
        <v/>
      </c>
      <c r="D326" s="97" t="str">
        <f ca="1">IFERROR(IF(PréstamoNoPagado*PréstamoPagado,ValorPréstamo,""), "")</f>
        <v/>
      </c>
      <c r="E326" s="97" t="str">
        <f ca="1">IFERROR(IF(PréstamoNoPagado*PréstamoPagado,PagoMensual,""), "")</f>
        <v/>
      </c>
      <c r="F326" s="97" t="str">
        <f ca="1">IFERROR(IF(PréstamoNoPagado*PréstamoPagado,Capital,""), "")</f>
        <v/>
      </c>
      <c r="G326" s="97" t="str">
        <f ca="1">IFERROR(IF(PréstamoNoPagado*PréstamoPagado,AmortizaciónInterés,""), "")</f>
        <v/>
      </c>
      <c r="H326" s="97" t="str">
        <f ca="1">IFERROR(IF(PréstamoNoPagado*PréstamoPagado,SaldoFinal,""), "")</f>
        <v/>
      </c>
    </row>
    <row r="327" spans="2:8" ht="20.100000000000001" customHeight="1" x14ac:dyDescent="0.3">
      <c r="B327" s="105" t="str">
        <f ca="1">IFERROR(IF(PréstamoNoPagado*PréstamoPagado,NúmeroDePago,""), "")</f>
        <v/>
      </c>
      <c r="C327" s="96" t="str">
        <f ca="1">IFERROR(IF(PréstamoNoPagado*PréstamoPagado,FechaDePago,""), "")</f>
        <v/>
      </c>
      <c r="D327" s="97" t="str">
        <f ca="1">IFERROR(IF(PréstamoNoPagado*PréstamoPagado,ValorPréstamo,""), "")</f>
        <v/>
      </c>
      <c r="E327" s="97" t="str">
        <f ca="1">IFERROR(IF(PréstamoNoPagado*PréstamoPagado,PagoMensual,""), "")</f>
        <v/>
      </c>
      <c r="F327" s="97" t="str">
        <f ca="1">IFERROR(IF(PréstamoNoPagado*PréstamoPagado,Capital,""), "")</f>
        <v/>
      </c>
      <c r="G327" s="97" t="str">
        <f ca="1">IFERROR(IF(PréstamoNoPagado*PréstamoPagado,AmortizaciónInterés,""), "")</f>
        <v/>
      </c>
      <c r="H327" s="97" t="str">
        <f ca="1">IFERROR(IF(PréstamoNoPagado*PréstamoPagado,SaldoFinal,""), "")</f>
        <v/>
      </c>
    </row>
    <row r="328" spans="2:8" ht="20.100000000000001" customHeight="1" x14ac:dyDescent="0.3">
      <c r="B328" s="105" t="str">
        <f ca="1">IFERROR(IF(PréstamoNoPagado*PréstamoPagado,NúmeroDePago,""), "")</f>
        <v/>
      </c>
      <c r="C328" s="96" t="str">
        <f ca="1">IFERROR(IF(PréstamoNoPagado*PréstamoPagado,FechaDePago,""), "")</f>
        <v/>
      </c>
      <c r="D328" s="97" t="str">
        <f ca="1">IFERROR(IF(PréstamoNoPagado*PréstamoPagado,ValorPréstamo,""), "")</f>
        <v/>
      </c>
      <c r="E328" s="97" t="str">
        <f ca="1">IFERROR(IF(PréstamoNoPagado*PréstamoPagado,PagoMensual,""), "")</f>
        <v/>
      </c>
      <c r="F328" s="97" t="str">
        <f ca="1">IFERROR(IF(PréstamoNoPagado*PréstamoPagado,Capital,""), "")</f>
        <v/>
      </c>
      <c r="G328" s="97" t="str">
        <f ca="1">IFERROR(IF(PréstamoNoPagado*PréstamoPagado,AmortizaciónInterés,""), "")</f>
        <v/>
      </c>
      <c r="H328" s="97" t="str">
        <f ca="1">IFERROR(IF(PréstamoNoPagado*PréstamoPagado,SaldoFinal,""), "")</f>
        <v/>
      </c>
    </row>
    <row r="329" spans="2:8" ht="20.100000000000001" customHeight="1" x14ac:dyDescent="0.3">
      <c r="B329" s="105" t="str">
        <f ca="1">IFERROR(IF(PréstamoNoPagado*PréstamoPagado,NúmeroDePago,""), "")</f>
        <v/>
      </c>
      <c r="C329" s="96" t="str">
        <f ca="1">IFERROR(IF(PréstamoNoPagado*PréstamoPagado,FechaDePago,""), "")</f>
        <v/>
      </c>
      <c r="D329" s="97" t="str">
        <f ca="1">IFERROR(IF(PréstamoNoPagado*PréstamoPagado,ValorPréstamo,""), "")</f>
        <v/>
      </c>
      <c r="E329" s="97" t="str">
        <f ca="1">IFERROR(IF(PréstamoNoPagado*PréstamoPagado,PagoMensual,""), "")</f>
        <v/>
      </c>
      <c r="F329" s="97" t="str">
        <f ca="1">IFERROR(IF(PréstamoNoPagado*PréstamoPagado,Capital,""), "")</f>
        <v/>
      </c>
      <c r="G329" s="97" t="str">
        <f ca="1">IFERROR(IF(PréstamoNoPagado*PréstamoPagado,AmortizaciónInterés,""), "")</f>
        <v/>
      </c>
      <c r="H329" s="97" t="str">
        <f ca="1">IFERROR(IF(PréstamoNoPagado*PréstamoPagado,SaldoFinal,""), "")</f>
        <v/>
      </c>
    </row>
    <row r="330" spans="2:8" ht="20.100000000000001" customHeight="1" x14ac:dyDescent="0.3">
      <c r="B330" s="105" t="str">
        <f ca="1">IFERROR(IF(PréstamoNoPagado*PréstamoPagado,NúmeroDePago,""), "")</f>
        <v/>
      </c>
      <c r="C330" s="96" t="str">
        <f ca="1">IFERROR(IF(PréstamoNoPagado*PréstamoPagado,FechaDePago,""), "")</f>
        <v/>
      </c>
      <c r="D330" s="97" t="str">
        <f ca="1">IFERROR(IF(PréstamoNoPagado*PréstamoPagado,ValorPréstamo,""), "")</f>
        <v/>
      </c>
      <c r="E330" s="97" t="str">
        <f ca="1">IFERROR(IF(PréstamoNoPagado*PréstamoPagado,PagoMensual,""), "")</f>
        <v/>
      </c>
      <c r="F330" s="97" t="str">
        <f ca="1">IFERROR(IF(PréstamoNoPagado*PréstamoPagado,Capital,""), "")</f>
        <v/>
      </c>
      <c r="G330" s="97" t="str">
        <f ca="1">IFERROR(IF(PréstamoNoPagado*PréstamoPagado,AmortizaciónInterés,""), "")</f>
        <v/>
      </c>
      <c r="H330" s="97" t="str">
        <f ca="1">IFERROR(IF(PréstamoNoPagado*PréstamoPagado,SaldoFinal,""), "")</f>
        <v/>
      </c>
    </row>
    <row r="331" spans="2:8" ht="20.100000000000001" customHeight="1" x14ac:dyDescent="0.3">
      <c r="B331" s="105" t="str">
        <f ca="1">IFERROR(IF(PréstamoNoPagado*PréstamoPagado,NúmeroDePago,""), "")</f>
        <v/>
      </c>
      <c r="C331" s="96" t="str">
        <f ca="1">IFERROR(IF(PréstamoNoPagado*PréstamoPagado,FechaDePago,""), "")</f>
        <v/>
      </c>
      <c r="D331" s="97" t="str">
        <f ca="1">IFERROR(IF(PréstamoNoPagado*PréstamoPagado,ValorPréstamo,""), "")</f>
        <v/>
      </c>
      <c r="E331" s="97" t="str">
        <f ca="1">IFERROR(IF(PréstamoNoPagado*PréstamoPagado,PagoMensual,""), "")</f>
        <v/>
      </c>
      <c r="F331" s="97" t="str">
        <f ca="1">IFERROR(IF(PréstamoNoPagado*PréstamoPagado,Capital,""), "")</f>
        <v/>
      </c>
      <c r="G331" s="97" t="str">
        <f ca="1">IFERROR(IF(PréstamoNoPagado*PréstamoPagado,AmortizaciónInterés,""), "")</f>
        <v/>
      </c>
      <c r="H331" s="97" t="str">
        <f ca="1">IFERROR(IF(PréstamoNoPagado*PréstamoPagado,SaldoFinal,""), "")</f>
        <v/>
      </c>
    </row>
    <row r="332" spans="2:8" ht="20.100000000000001" customHeight="1" x14ac:dyDescent="0.3">
      <c r="B332" s="105" t="str">
        <f ca="1">IFERROR(IF(PréstamoNoPagado*PréstamoPagado,NúmeroDePago,""), "")</f>
        <v/>
      </c>
      <c r="C332" s="96" t="str">
        <f ca="1">IFERROR(IF(PréstamoNoPagado*PréstamoPagado,FechaDePago,""), "")</f>
        <v/>
      </c>
      <c r="D332" s="97" t="str">
        <f ca="1">IFERROR(IF(PréstamoNoPagado*PréstamoPagado,ValorPréstamo,""), "")</f>
        <v/>
      </c>
      <c r="E332" s="97" t="str">
        <f ca="1">IFERROR(IF(PréstamoNoPagado*PréstamoPagado,PagoMensual,""), "")</f>
        <v/>
      </c>
      <c r="F332" s="97" t="str">
        <f ca="1">IFERROR(IF(PréstamoNoPagado*PréstamoPagado,Capital,""), "")</f>
        <v/>
      </c>
      <c r="G332" s="97" t="str">
        <f ca="1">IFERROR(IF(PréstamoNoPagado*PréstamoPagado,AmortizaciónInterés,""), "")</f>
        <v/>
      </c>
      <c r="H332" s="97" t="str">
        <f ca="1">IFERROR(IF(PréstamoNoPagado*PréstamoPagado,SaldoFinal,""), "")</f>
        <v/>
      </c>
    </row>
    <row r="333" spans="2:8" ht="20.100000000000001" customHeight="1" x14ac:dyDescent="0.3">
      <c r="B333" s="105" t="str">
        <f ca="1">IFERROR(IF(PréstamoNoPagado*PréstamoPagado,NúmeroDePago,""), "")</f>
        <v/>
      </c>
      <c r="C333" s="96" t="str">
        <f ca="1">IFERROR(IF(PréstamoNoPagado*PréstamoPagado,FechaDePago,""), "")</f>
        <v/>
      </c>
      <c r="D333" s="97" t="str">
        <f ca="1">IFERROR(IF(PréstamoNoPagado*PréstamoPagado,ValorPréstamo,""), "")</f>
        <v/>
      </c>
      <c r="E333" s="97" t="str">
        <f ca="1">IFERROR(IF(PréstamoNoPagado*PréstamoPagado,PagoMensual,""), "")</f>
        <v/>
      </c>
      <c r="F333" s="97" t="str">
        <f ca="1">IFERROR(IF(PréstamoNoPagado*PréstamoPagado,Capital,""), "")</f>
        <v/>
      </c>
      <c r="G333" s="97" t="str">
        <f ca="1">IFERROR(IF(PréstamoNoPagado*PréstamoPagado,AmortizaciónInterés,""), "")</f>
        <v/>
      </c>
      <c r="H333" s="97" t="str">
        <f ca="1">IFERROR(IF(PréstamoNoPagado*PréstamoPagado,SaldoFinal,""), "")</f>
        <v/>
      </c>
    </row>
    <row r="334" spans="2:8" ht="20.100000000000001" customHeight="1" x14ac:dyDescent="0.3">
      <c r="B334" s="105" t="str">
        <f ca="1">IFERROR(IF(PréstamoNoPagado*PréstamoPagado,NúmeroDePago,""), "")</f>
        <v/>
      </c>
      <c r="C334" s="96" t="str">
        <f ca="1">IFERROR(IF(PréstamoNoPagado*PréstamoPagado,FechaDePago,""), "")</f>
        <v/>
      </c>
      <c r="D334" s="97" t="str">
        <f ca="1">IFERROR(IF(PréstamoNoPagado*PréstamoPagado,ValorPréstamo,""), "")</f>
        <v/>
      </c>
      <c r="E334" s="97" t="str">
        <f ca="1">IFERROR(IF(PréstamoNoPagado*PréstamoPagado,PagoMensual,""), "")</f>
        <v/>
      </c>
      <c r="F334" s="97" t="str">
        <f ca="1">IFERROR(IF(PréstamoNoPagado*PréstamoPagado,Capital,""), "")</f>
        <v/>
      </c>
      <c r="G334" s="97" t="str">
        <f ca="1">IFERROR(IF(PréstamoNoPagado*PréstamoPagado,AmortizaciónInterés,""), "")</f>
        <v/>
      </c>
      <c r="H334" s="97" t="str">
        <f ca="1">IFERROR(IF(PréstamoNoPagado*PréstamoPagado,SaldoFinal,""), "")</f>
        <v/>
      </c>
    </row>
    <row r="335" spans="2:8" ht="20.100000000000001" customHeight="1" x14ac:dyDescent="0.3">
      <c r="B335" s="105" t="str">
        <f ca="1">IFERROR(IF(PréstamoNoPagado*PréstamoPagado,NúmeroDePago,""), "")</f>
        <v/>
      </c>
      <c r="C335" s="96" t="str">
        <f ca="1">IFERROR(IF(PréstamoNoPagado*PréstamoPagado,FechaDePago,""), "")</f>
        <v/>
      </c>
      <c r="D335" s="97" t="str">
        <f ca="1">IFERROR(IF(PréstamoNoPagado*PréstamoPagado,ValorPréstamo,""), "")</f>
        <v/>
      </c>
      <c r="E335" s="97" t="str">
        <f ca="1">IFERROR(IF(PréstamoNoPagado*PréstamoPagado,PagoMensual,""), "")</f>
        <v/>
      </c>
      <c r="F335" s="97" t="str">
        <f ca="1">IFERROR(IF(PréstamoNoPagado*PréstamoPagado,Capital,""), "")</f>
        <v/>
      </c>
      <c r="G335" s="97" t="str">
        <f ca="1">IFERROR(IF(PréstamoNoPagado*PréstamoPagado,AmortizaciónInterés,""), "")</f>
        <v/>
      </c>
      <c r="H335" s="97" t="str">
        <f ca="1">IFERROR(IF(PréstamoNoPagado*PréstamoPagado,SaldoFinal,""), "")</f>
        <v/>
      </c>
    </row>
    <row r="336" spans="2:8" ht="20.100000000000001" customHeight="1" x14ac:dyDescent="0.3">
      <c r="B336" s="105" t="str">
        <f ca="1">IFERROR(IF(PréstamoNoPagado*PréstamoPagado,NúmeroDePago,""), "")</f>
        <v/>
      </c>
      <c r="C336" s="96" t="str">
        <f ca="1">IFERROR(IF(PréstamoNoPagado*PréstamoPagado,FechaDePago,""), "")</f>
        <v/>
      </c>
      <c r="D336" s="97" t="str">
        <f ca="1">IFERROR(IF(PréstamoNoPagado*PréstamoPagado,ValorPréstamo,""), "")</f>
        <v/>
      </c>
      <c r="E336" s="97" t="str">
        <f ca="1">IFERROR(IF(PréstamoNoPagado*PréstamoPagado,PagoMensual,""), "")</f>
        <v/>
      </c>
      <c r="F336" s="97" t="str">
        <f ca="1">IFERROR(IF(PréstamoNoPagado*PréstamoPagado,Capital,""), "")</f>
        <v/>
      </c>
      <c r="G336" s="97" t="str">
        <f ca="1">IFERROR(IF(PréstamoNoPagado*PréstamoPagado,AmortizaciónInterés,""), "")</f>
        <v/>
      </c>
      <c r="H336" s="97" t="str">
        <f ca="1">IFERROR(IF(PréstamoNoPagado*PréstamoPagado,SaldoFinal,""), "")</f>
        <v/>
      </c>
    </row>
    <row r="337" spans="2:8" ht="20.100000000000001" customHeight="1" x14ac:dyDescent="0.3">
      <c r="B337" s="105" t="str">
        <f ca="1">IFERROR(IF(PréstamoNoPagado*PréstamoPagado,NúmeroDePago,""), "")</f>
        <v/>
      </c>
      <c r="C337" s="96" t="str">
        <f ca="1">IFERROR(IF(PréstamoNoPagado*PréstamoPagado,FechaDePago,""), "")</f>
        <v/>
      </c>
      <c r="D337" s="97" t="str">
        <f ca="1">IFERROR(IF(PréstamoNoPagado*PréstamoPagado,ValorPréstamo,""), "")</f>
        <v/>
      </c>
      <c r="E337" s="97" t="str">
        <f ca="1">IFERROR(IF(PréstamoNoPagado*PréstamoPagado,PagoMensual,""), "")</f>
        <v/>
      </c>
      <c r="F337" s="97" t="str">
        <f ca="1">IFERROR(IF(PréstamoNoPagado*PréstamoPagado,Capital,""), "")</f>
        <v/>
      </c>
      <c r="G337" s="97" t="str">
        <f ca="1">IFERROR(IF(PréstamoNoPagado*PréstamoPagado,AmortizaciónInterés,""), "")</f>
        <v/>
      </c>
      <c r="H337" s="97" t="str">
        <f ca="1">IFERROR(IF(PréstamoNoPagado*PréstamoPagado,SaldoFinal,""), "")</f>
        <v/>
      </c>
    </row>
    <row r="338" spans="2:8" ht="20.100000000000001" customHeight="1" x14ac:dyDescent="0.3">
      <c r="B338" s="105" t="str">
        <f ca="1">IFERROR(IF(PréstamoNoPagado*PréstamoPagado,NúmeroDePago,""), "")</f>
        <v/>
      </c>
      <c r="C338" s="96" t="str">
        <f ca="1">IFERROR(IF(PréstamoNoPagado*PréstamoPagado,FechaDePago,""), "")</f>
        <v/>
      </c>
      <c r="D338" s="97" t="str">
        <f ca="1">IFERROR(IF(PréstamoNoPagado*PréstamoPagado,ValorPréstamo,""), "")</f>
        <v/>
      </c>
      <c r="E338" s="97" t="str">
        <f ca="1">IFERROR(IF(PréstamoNoPagado*PréstamoPagado,PagoMensual,""), "")</f>
        <v/>
      </c>
      <c r="F338" s="97" t="str">
        <f ca="1">IFERROR(IF(PréstamoNoPagado*PréstamoPagado,Capital,""), "")</f>
        <v/>
      </c>
      <c r="G338" s="97" t="str">
        <f ca="1">IFERROR(IF(PréstamoNoPagado*PréstamoPagado,AmortizaciónInterés,""), "")</f>
        <v/>
      </c>
      <c r="H338" s="97" t="str">
        <f ca="1">IFERROR(IF(PréstamoNoPagado*PréstamoPagado,SaldoFinal,""), "")</f>
        <v/>
      </c>
    </row>
    <row r="339" spans="2:8" ht="20.100000000000001" customHeight="1" x14ac:dyDescent="0.3">
      <c r="B339" s="105" t="str">
        <f ca="1">IFERROR(IF(PréstamoNoPagado*PréstamoPagado,NúmeroDePago,""), "")</f>
        <v/>
      </c>
      <c r="C339" s="96" t="str">
        <f ca="1">IFERROR(IF(PréstamoNoPagado*PréstamoPagado,FechaDePago,""), "")</f>
        <v/>
      </c>
      <c r="D339" s="97" t="str">
        <f ca="1">IFERROR(IF(PréstamoNoPagado*PréstamoPagado,ValorPréstamo,""), "")</f>
        <v/>
      </c>
      <c r="E339" s="97" t="str">
        <f ca="1">IFERROR(IF(PréstamoNoPagado*PréstamoPagado,PagoMensual,""), "")</f>
        <v/>
      </c>
      <c r="F339" s="97" t="str">
        <f ca="1">IFERROR(IF(PréstamoNoPagado*PréstamoPagado,Capital,""), "")</f>
        <v/>
      </c>
      <c r="G339" s="97" t="str">
        <f ca="1">IFERROR(IF(PréstamoNoPagado*PréstamoPagado,AmortizaciónInterés,""), "")</f>
        <v/>
      </c>
      <c r="H339" s="97" t="str">
        <f ca="1">IFERROR(IF(PréstamoNoPagado*PréstamoPagado,SaldoFinal,""), "")</f>
        <v/>
      </c>
    </row>
    <row r="340" spans="2:8" ht="20.100000000000001" customHeight="1" x14ac:dyDescent="0.3">
      <c r="B340" s="105" t="str">
        <f ca="1">IFERROR(IF(PréstamoNoPagado*PréstamoPagado,NúmeroDePago,""), "")</f>
        <v/>
      </c>
      <c r="C340" s="96" t="str">
        <f ca="1">IFERROR(IF(PréstamoNoPagado*PréstamoPagado,FechaDePago,""), "")</f>
        <v/>
      </c>
      <c r="D340" s="97" t="str">
        <f ca="1">IFERROR(IF(PréstamoNoPagado*PréstamoPagado,ValorPréstamo,""), "")</f>
        <v/>
      </c>
      <c r="E340" s="97" t="str">
        <f ca="1">IFERROR(IF(PréstamoNoPagado*PréstamoPagado,PagoMensual,""), "")</f>
        <v/>
      </c>
      <c r="F340" s="97" t="str">
        <f ca="1">IFERROR(IF(PréstamoNoPagado*PréstamoPagado,Capital,""), "")</f>
        <v/>
      </c>
      <c r="G340" s="97" t="str">
        <f ca="1">IFERROR(IF(PréstamoNoPagado*PréstamoPagado,AmortizaciónInterés,""), "")</f>
        <v/>
      </c>
      <c r="H340" s="97" t="str">
        <f ca="1">IFERROR(IF(PréstamoNoPagado*PréstamoPagado,SaldoFinal,""), "")</f>
        <v/>
      </c>
    </row>
    <row r="341" spans="2:8" ht="20.100000000000001" customHeight="1" x14ac:dyDescent="0.3">
      <c r="B341" s="105" t="str">
        <f ca="1">IFERROR(IF(PréstamoNoPagado*PréstamoPagado,NúmeroDePago,""), "")</f>
        <v/>
      </c>
      <c r="C341" s="96" t="str">
        <f ca="1">IFERROR(IF(PréstamoNoPagado*PréstamoPagado,FechaDePago,""), "")</f>
        <v/>
      </c>
      <c r="D341" s="97" t="str">
        <f ca="1">IFERROR(IF(PréstamoNoPagado*PréstamoPagado,ValorPréstamo,""), "")</f>
        <v/>
      </c>
      <c r="E341" s="97" t="str">
        <f ca="1">IFERROR(IF(PréstamoNoPagado*PréstamoPagado,PagoMensual,""), "")</f>
        <v/>
      </c>
      <c r="F341" s="97" t="str">
        <f ca="1">IFERROR(IF(PréstamoNoPagado*PréstamoPagado,Capital,""), "")</f>
        <v/>
      </c>
      <c r="G341" s="97" t="str">
        <f ca="1">IFERROR(IF(PréstamoNoPagado*PréstamoPagado,AmortizaciónInterés,""), "")</f>
        <v/>
      </c>
      <c r="H341" s="97" t="str">
        <f ca="1">IFERROR(IF(PréstamoNoPagado*PréstamoPagado,SaldoFinal,""), "")</f>
        <v/>
      </c>
    </row>
    <row r="342" spans="2:8" ht="20.100000000000001" customHeight="1" x14ac:dyDescent="0.3">
      <c r="B342" s="105" t="str">
        <f ca="1">IFERROR(IF(PréstamoNoPagado*PréstamoPagado,NúmeroDePago,""), "")</f>
        <v/>
      </c>
      <c r="C342" s="96" t="str">
        <f ca="1">IFERROR(IF(PréstamoNoPagado*PréstamoPagado,FechaDePago,""), "")</f>
        <v/>
      </c>
      <c r="D342" s="97" t="str">
        <f ca="1">IFERROR(IF(PréstamoNoPagado*PréstamoPagado,ValorPréstamo,""), "")</f>
        <v/>
      </c>
      <c r="E342" s="97" t="str">
        <f ca="1">IFERROR(IF(PréstamoNoPagado*PréstamoPagado,PagoMensual,""), "")</f>
        <v/>
      </c>
      <c r="F342" s="97" t="str">
        <f ca="1">IFERROR(IF(PréstamoNoPagado*PréstamoPagado,Capital,""), "")</f>
        <v/>
      </c>
      <c r="G342" s="97" t="str">
        <f ca="1">IFERROR(IF(PréstamoNoPagado*PréstamoPagado,AmortizaciónInterés,""), "")</f>
        <v/>
      </c>
      <c r="H342" s="97" t="str">
        <f ca="1">IFERROR(IF(PréstamoNoPagado*PréstamoPagado,SaldoFinal,""), "")</f>
        <v/>
      </c>
    </row>
    <row r="343" spans="2:8" ht="20.100000000000001" customHeight="1" x14ac:dyDescent="0.3">
      <c r="B343" s="105" t="str">
        <f ca="1">IFERROR(IF(PréstamoNoPagado*PréstamoPagado,NúmeroDePago,""), "")</f>
        <v/>
      </c>
      <c r="C343" s="96" t="str">
        <f ca="1">IFERROR(IF(PréstamoNoPagado*PréstamoPagado,FechaDePago,""), "")</f>
        <v/>
      </c>
      <c r="D343" s="97" t="str">
        <f ca="1">IFERROR(IF(PréstamoNoPagado*PréstamoPagado,ValorPréstamo,""), "")</f>
        <v/>
      </c>
      <c r="E343" s="97" t="str">
        <f ca="1">IFERROR(IF(PréstamoNoPagado*PréstamoPagado,PagoMensual,""), "")</f>
        <v/>
      </c>
      <c r="F343" s="97" t="str">
        <f ca="1">IFERROR(IF(PréstamoNoPagado*PréstamoPagado,Capital,""), "")</f>
        <v/>
      </c>
      <c r="G343" s="97" t="str">
        <f ca="1">IFERROR(IF(PréstamoNoPagado*PréstamoPagado,AmortizaciónInterés,""), "")</f>
        <v/>
      </c>
      <c r="H343" s="97" t="str">
        <f ca="1">IFERROR(IF(PréstamoNoPagado*PréstamoPagado,SaldoFinal,""), "")</f>
        <v/>
      </c>
    </row>
    <row r="344" spans="2:8" ht="20.100000000000001" customHeight="1" x14ac:dyDescent="0.3">
      <c r="B344" s="105" t="str">
        <f ca="1">IFERROR(IF(PréstamoNoPagado*PréstamoPagado,NúmeroDePago,""), "")</f>
        <v/>
      </c>
      <c r="C344" s="96" t="str">
        <f ca="1">IFERROR(IF(PréstamoNoPagado*PréstamoPagado,FechaDePago,""), "")</f>
        <v/>
      </c>
      <c r="D344" s="97" t="str">
        <f ca="1">IFERROR(IF(PréstamoNoPagado*PréstamoPagado,ValorPréstamo,""), "")</f>
        <v/>
      </c>
      <c r="E344" s="97" t="str">
        <f ca="1">IFERROR(IF(PréstamoNoPagado*PréstamoPagado,PagoMensual,""), "")</f>
        <v/>
      </c>
      <c r="F344" s="97" t="str">
        <f ca="1">IFERROR(IF(PréstamoNoPagado*PréstamoPagado,Capital,""), "")</f>
        <v/>
      </c>
      <c r="G344" s="97" t="str">
        <f ca="1">IFERROR(IF(PréstamoNoPagado*PréstamoPagado,AmortizaciónInterés,""), "")</f>
        <v/>
      </c>
      <c r="H344" s="97" t="str">
        <f ca="1">IFERROR(IF(PréstamoNoPagado*PréstamoPagado,SaldoFinal,""), "")</f>
        <v/>
      </c>
    </row>
    <row r="345" spans="2:8" ht="20.100000000000001" customHeight="1" x14ac:dyDescent="0.3">
      <c r="B345" s="105" t="str">
        <f ca="1">IFERROR(IF(PréstamoNoPagado*PréstamoPagado,NúmeroDePago,""), "")</f>
        <v/>
      </c>
      <c r="C345" s="96" t="str">
        <f ca="1">IFERROR(IF(PréstamoNoPagado*PréstamoPagado,FechaDePago,""), "")</f>
        <v/>
      </c>
      <c r="D345" s="97" t="str">
        <f ca="1">IFERROR(IF(PréstamoNoPagado*PréstamoPagado,ValorPréstamo,""), "")</f>
        <v/>
      </c>
      <c r="E345" s="97" t="str">
        <f ca="1">IFERROR(IF(PréstamoNoPagado*PréstamoPagado,PagoMensual,""), "")</f>
        <v/>
      </c>
      <c r="F345" s="97" t="str">
        <f ca="1">IFERROR(IF(PréstamoNoPagado*PréstamoPagado,Capital,""), "")</f>
        <v/>
      </c>
      <c r="G345" s="97" t="str">
        <f ca="1">IFERROR(IF(PréstamoNoPagado*PréstamoPagado,AmortizaciónInterés,""), "")</f>
        <v/>
      </c>
      <c r="H345" s="97" t="str">
        <f ca="1">IFERROR(IF(PréstamoNoPagado*PréstamoPagado,SaldoFinal,""), "")</f>
        <v/>
      </c>
    </row>
    <row r="346" spans="2:8" ht="20.100000000000001" customHeight="1" x14ac:dyDescent="0.3">
      <c r="B346" s="105" t="str">
        <f ca="1">IFERROR(IF(PréstamoNoPagado*PréstamoPagado,NúmeroDePago,""), "")</f>
        <v/>
      </c>
      <c r="C346" s="96" t="str">
        <f ca="1">IFERROR(IF(PréstamoNoPagado*PréstamoPagado,FechaDePago,""), "")</f>
        <v/>
      </c>
      <c r="D346" s="97" t="str">
        <f ca="1">IFERROR(IF(PréstamoNoPagado*PréstamoPagado,ValorPréstamo,""), "")</f>
        <v/>
      </c>
      <c r="E346" s="97" t="str">
        <f ca="1">IFERROR(IF(PréstamoNoPagado*PréstamoPagado,PagoMensual,""), "")</f>
        <v/>
      </c>
      <c r="F346" s="97" t="str">
        <f ca="1">IFERROR(IF(PréstamoNoPagado*PréstamoPagado,Capital,""), "")</f>
        <v/>
      </c>
      <c r="G346" s="97" t="str">
        <f ca="1">IFERROR(IF(PréstamoNoPagado*PréstamoPagado,AmortizaciónInterés,""), "")</f>
        <v/>
      </c>
      <c r="H346" s="97" t="str">
        <f ca="1">IFERROR(IF(PréstamoNoPagado*PréstamoPagado,SaldoFinal,""), "")</f>
        <v/>
      </c>
    </row>
    <row r="347" spans="2:8" ht="20.100000000000001" customHeight="1" x14ac:dyDescent="0.3">
      <c r="B347" s="105" t="str">
        <f ca="1">IFERROR(IF(PréstamoNoPagado*PréstamoPagado,NúmeroDePago,""), "")</f>
        <v/>
      </c>
      <c r="C347" s="96" t="str">
        <f ca="1">IFERROR(IF(PréstamoNoPagado*PréstamoPagado,FechaDePago,""), "")</f>
        <v/>
      </c>
      <c r="D347" s="97" t="str">
        <f ca="1">IFERROR(IF(PréstamoNoPagado*PréstamoPagado,ValorPréstamo,""), "")</f>
        <v/>
      </c>
      <c r="E347" s="97" t="str">
        <f ca="1">IFERROR(IF(PréstamoNoPagado*PréstamoPagado,PagoMensual,""), "")</f>
        <v/>
      </c>
      <c r="F347" s="97" t="str">
        <f ca="1">IFERROR(IF(PréstamoNoPagado*PréstamoPagado,Capital,""), "")</f>
        <v/>
      </c>
      <c r="G347" s="97" t="str">
        <f ca="1">IFERROR(IF(PréstamoNoPagado*PréstamoPagado,AmortizaciónInterés,""), "")</f>
        <v/>
      </c>
      <c r="H347" s="97" t="str">
        <f ca="1">IFERROR(IF(PréstamoNoPagado*PréstamoPagado,SaldoFinal,""), "")</f>
        <v/>
      </c>
    </row>
    <row r="348" spans="2:8" ht="20.100000000000001" customHeight="1" x14ac:dyDescent="0.3">
      <c r="B348" s="105" t="str">
        <f ca="1">IFERROR(IF(PréstamoNoPagado*PréstamoPagado,NúmeroDePago,""), "")</f>
        <v/>
      </c>
      <c r="C348" s="96" t="str">
        <f ca="1">IFERROR(IF(PréstamoNoPagado*PréstamoPagado,FechaDePago,""), "")</f>
        <v/>
      </c>
      <c r="D348" s="97" t="str">
        <f ca="1">IFERROR(IF(PréstamoNoPagado*PréstamoPagado,ValorPréstamo,""), "")</f>
        <v/>
      </c>
      <c r="E348" s="97" t="str">
        <f ca="1">IFERROR(IF(PréstamoNoPagado*PréstamoPagado,PagoMensual,""), "")</f>
        <v/>
      </c>
      <c r="F348" s="97" t="str">
        <f ca="1">IFERROR(IF(PréstamoNoPagado*PréstamoPagado,Capital,""), "")</f>
        <v/>
      </c>
      <c r="G348" s="97" t="str">
        <f ca="1">IFERROR(IF(PréstamoNoPagado*PréstamoPagado,AmortizaciónInterés,""), "")</f>
        <v/>
      </c>
      <c r="H348" s="97" t="str">
        <f ca="1">IFERROR(IF(PréstamoNoPagado*PréstamoPagado,SaldoFinal,""), "")</f>
        <v/>
      </c>
    </row>
    <row r="349" spans="2:8" ht="20.100000000000001" customHeight="1" x14ac:dyDescent="0.3">
      <c r="B349" s="105" t="str">
        <f ca="1">IFERROR(IF(PréstamoNoPagado*PréstamoPagado,NúmeroDePago,""), "")</f>
        <v/>
      </c>
      <c r="C349" s="96" t="str">
        <f ca="1">IFERROR(IF(PréstamoNoPagado*PréstamoPagado,FechaDePago,""), "")</f>
        <v/>
      </c>
      <c r="D349" s="97" t="str">
        <f ca="1">IFERROR(IF(PréstamoNoPagado*PréstamoPagado,ValorPréstamo,""), "")</f>
        <v/>
      </c>
      <c r="E349" s="97" t="str">
        <f ca="1">IFERROR(IF(PréstamoNoPagado*PréstamoPagado,PagoMensual,""), "")</f>
        <v/>
      </c>
      <c r="F349" s="97" t="str">
        <f ca="1">IFERROR(IF(PréstamoNoPagado*PréstamoPagado,Capital,""), "")</f>
        <v/>
      </c>
      <c r="G349" s="97" t="str">
        <f ca="1">IFERROR(IF(PréstamoNoPagado*PréstamoPagado,AmortizaciónInterés,""), "")</f>
        <v/>
      </c>
      <c r="H349" s="97" t="str">
        <f ca="1">IFERROR(IF(PréstamoNoPagado*PréstamoPagado,SaldoFinal,""), "")</f>
        <v/>
      </c>
    </row>
    <row r="350" spans="2:8" ht="20.100000000000001" customHeight="1" x14ac:dyDescent="0.3">
      <c r="B350" s="105" t="str">
        <f ca="1">IFERROR(IF(PréstamoNoPagado*PréstamoPagado,NúmeroDePago,""), "")</f>
        <v/>
      </c>
      <c r="C350" s="96" t="str">
        <f ca="1">IFERROR(IF(PréstamoNoPagado*PréstamoPagado,FechaDePago,""), "")</f>
        <v/>
      </c>
      <c r="D350" s="97" t="str">
        <f ca="1">IFERROR(IF(PréstamoNoPagado*PréstamoPagado,ValorPréstamo,""), "")</f>
        <v/>
      </c>
      <c r="E350" s="97" t="str">
        <f ca="1">IFERROR(IF(PréstamoNoPagado*PréstamoPagado,PagoMensual,""), "")</f>
        <v/>
      </c>
      <c r="F350" s="97" t="str">
        <f ca="1">IFERROR(IF(PréstamoNoPagado*PréstamoPagado,Capital,""), "")</f>
        <v/>
      </c>
      <c r="G350" s="97" t="str">
        <f ca="1">IFERROR(IF(PréstamoNoPagado*PréstamoPagado,AmortizaciónInterés,""), "")</f>
        <v/>
      </c>
      <c r="H350" s="97" t="str">
        <f ca="1">IFERROR(IF(PréstamoNoPagado*PréstamoPagado,SaldoFinal,""), "")</f>
        <v/>
      </c>
    </row>
    <row r="351" spans="2:8" ht="20.100000000000001" customHeight="1" x14ac:dyDescent="0.3">
      <c r="B351" s="105" t="str">
        <f ca="1">IFERROR(IF(PréstamoNoPagado*PréstamoPagado,NúmeroDePago,""), "")</f>
        <v/>
      </c>
      <c r="C351" s="96" t="str">
        <f ca="1">IFERROR(IF(PréstamoNoPagado*PréstamoPagado,FechaDePago,""), "")</f>
        <v/>
      </c>
      <c r="D351" s="97" t="str">
        <f ca="1">IFERROR(IF(PréstamoNoPagado*PréstamoPagado,ValorPréstamo,""), "")</f>
        <v/>
      </c>
      <c r="E351" s="97" t="str">
        <f ca="1">IFERROR(IF(PréstamoNoPagado*PréstamoPagado,PagoMensual,""), "")</f>
        <v/>
      </c>
      <c r="F351" s="97" t="str">
        <f ca="1">IFERROR(IF(PréstamoNoPagado*PréstamoPagado,Capital,""), "")</f>
        <v/>
      </c>
      <c r="G351" s="97" t="str">
        <f ca="1">IFERROR(IF(PréstamoNoPagado*PréstamoPagado,AmortizaciónInterés,""), "")</f>
        <v/>
      </c>
      <c r="H351" s="97" t="str">
        <f ca="1">IFERROR(IF(PréstamoNoPagado*PréstamoPagado,SaldoFinal,""), "")</f>
        <v/>
      </c>
    </row>
    <row r="352" spans="2:8" ht="20.100000000000001" customHeight="1" x14ac:dyDescent="0.3">
      <c r="B352" s="105" t="str">
        <f ca="1">IFERROR(IF(PréstamoNoPagado*PréstamoPagado,NúmeroDePago,""), "")</f>
        <v/>
      </c>
      <c r="C352" s="96" t="str">
        <f ca="1">IFERROR(IF(PréstamoNoPagado*PréstamoPagado,FechaDePago,""), "")</f>
        <v/>
      </c>
      <c r="D352" s="97" t="str">
        <f ca="1">IFERROR(IF(PréstamoNoPagado*PréstamoPagado,ValorPréstamo,""), "")</f>
        <v/>
      </c>
      <c r="E352" s="97" t="str">
        <f ca="1">IFERROR(IF(PréstamoNoPagado*PréstamoPagado,PagoMensual,""), "")</f>
        <v/>
      </c>
      <c r="F352" s="97" t="str">
        <f ca="1">IFERROR(IF(PréstamoNoPagado*PréstamoPagado,Capital,""), "")</f>
        <v/>
      </c>
      <c r="G352" s="97" t="str">
        <f ca="1">IFERROR(IF(PréstamoNoPagado*PréstamoPagado,AmortizaciónInterés,""), "")</f>
        <v/>
      </c>
      <c r="H352" s="97" t="str">
        <f ca="1">IFERROR(IF(PréstamoNoPagado*PréstamoPagado,SaldoFinal,""), "")</f>
        <v/>
      </c>
    </row>
    <row r="353" spans="2:8" ht="20.100000000000001" customHeight="1" x14ac:dyDescent="0.3">
      <c r="B353" s="105" t="str">
        <f ca="1">IFERROR(IF(PréstamoNoPagado*PréstamoPagado,NúmeroDePago,""), "")</f>
        <v/>
      </c>
      <c r="C353" s="96" t="str">
        <f ca="1">IFERROR(IF(PréstamoNoPagado*PréstamoPagado,FechaDePago,""), "")</f>
        <v/>
      </c>
      <c r="D353" s="97" t="str">
        <f ca="1">IFERROR(IF(PréstamoNoPagado*PréstamoPagado,ValorPréstamo,""), "")</f>
        <v/>
      </c>
      <c r="E353" s="97" t="str">
        <f ca="1">IFERROR(IF(PréstamoNoPagado*PréstamoPagado,PagoMensual,""), "")</f>
        <v/>
      </c>
      <c r="F353" s="97" t="str">
        <f ca="1">IFERROR(IF(PréstamoNoPagado*PréstamoPagado,Capital,""), "")</f>
        <v/>
      </c>
      <c r="G353" s="97" t="str">
        <f ca="1">IFERROR(IF(PréstamoNoPagado*PréstamoPagado,AmortizaciónInterés,""), "")</f>
        <v/>
      </c>
      <c r="H353" s="97" t="str">
        <f ca="1">IFERROR(IF(PréstamoNoPagado*PréstamoPagado,SaldoFinal,""), "")</f>
        <v/>
      </c>
    </row>
    <row r="354" spans="2:8" ht="20.100000000000001" customHeight="1" x14ac:dyDescent="0.3">
      <c r="B354" s="105" t="str">
        <f ca="1">IFERROR(IF(PréstamoNoPagado*PréstamoPagado,NúmeroDePago,""), "")</f>
        <v/>
      </c>
      <c r="C354" s="96" t="str">
        <f ca="1">IFERROR(IF(PréstamoNoPagado*PréstamoPagado,FechaDePago,""), "")</f>
        <v/>
      </c>
      <c r="D354" s="97" t="str">
        <f ca="1">IFERROR(IF(PréstamoNoPagado*PréstamoPagado,ValorPréstamo,""), "")</f>
        <v/>
      </c>
      <c r="E354" s="97" t="str">
        <f ca="1">IFERROR(IF(PréstamoNoPagado*PréstamoPagado,PagoMensual,""), "")</f>
        <v/>
      </c>
      <c r="F354" s="97" t="str">
        <f ca="1">IFERROR(IF(PréstamoNoPagado*PréstamoPagado,Capital,""), "")</f>
        <v/>
      </c>
      <c r="G354" s="97" t="str">
        <f ca="1">IFERROR(IF(PréstamoNoPagado*PréstamoPagado,AmortizaciónInterés,""), "")</f>
        <v/>
      </c>
      <c r="H354" s="97" t="str">
        <f ca="1">IFERROR(IF(PréstamoNoPagado*PréstamoPagado,SaldoFinal,""), "")</f>
        <v/>
      </c>
    </row>
    <row r="355" spans="2:8" ht="20.100000000000001" customHeight="1" x14ac:dyDescent="0.3">
      <c r="B355" s="105" t="str">
        <f ca="1">IFERROR(IF(PréstamoNoPagado*PréstamoPagado,NúmeroDePago,""), "")</f>
        <v/>
      </c>
      <c r="C355" s="96" t="str">
        <f ca="1">IFERROR(IF(PréstamoNoPagado*PréstamoPagado,FechaDePago,""), "")</f>
        <v/>
      </c>
      <c r="D355" s="97" t="str">
        <f ca="1">IFERROR(IF(PréstamoNoPagado*PréstamoPagado,ValorPréstamo,""), "")</f>
        <v/>
      </c>
      <c r="E355" s="97" t="str">
        <f ca="1">IFERROR(IF(PréstamoNoPagado*PréstamoPagado,PagoMensual,""), "")</f>
        <v/>
      </c>
      <c r="F355" s="97" t="str">
        <f ca="1">IFERROR(IF(PréstamoNoPagado*PréstamoPagado,Capital,""), "")</f>
        <v/>
      </c>
      <c r="G355" s="97" t="str">
        <f ca="1">IFERROR(IF(PréstamoNoPagado*PréstamoPagado,AmortizaciónInterés,""), "")</f>
        <v/>
      </c>
      <c r="H355" s="97" t="str">
        <f ca="1">IFERROR(IF(PréstamoNoPagado*PréstamoPagado,SaldoFinal,""), "")</f>
        <v/>
      </c>
    </row>
    <row r="356" spans="2:8" ht="20.100000000000001" customHeight="1" x14ac:dyDescent="0.3">
      <c r="B356" s="105" t="str">
        <f ca="1">IFERROR(IF(PréstamoNoPagado*PréstamoPagado,NúmeroDePago,""), "")</f>
        <v/>
      </c>
      <c r="C356" s="96" t="str">
        <f ca="1">IFERROR(IF(PréstamoNoPagado*PréstamoPagado,FechaDePago,""), "")</f>
        <v/>
      </c>
      <c r="D356" s="97" t="str">
        <f ca="1">IFERROR(IF(PréstamoNoPagado*PréstamoPagado,ValorPréstamo,""), "")</f>
        <v/>
      </c>
      <c r="E356" s="97" t="str">
        <f ca="1">IFERROR(IF(PréstamoNoPagado*PréstamoPagado,PagoMensual,""), "")</f>
        <v/>
      </c>
      <c r="F356" s="97" t="str">
        <f ca="1">IFERROR(IF(PréstamoNoPagado*PréstamoPagado,Capital,""), "")</f>
        <v/>
      </c>
      <c r="G356" s="97" t="str">
        <f ca="1">IFERROR(IF(PréstamoNoPagado*PréstamoPagado,AmortizaciónInterés,""), "")</f>
        <v/>
      </c>
      <c r="H356" s="97" t="str">
        <f ca="1">IFERROR(IF(PréstamoNoPagado*PréstamoPagado,SaldoFinal,""), "")</f>
        <v/>
      </c>
    </row>
    <row r="357" spans="2:8" ht="20.100000000000001" customHeight="1" x14ac:dyDescent="0.3">
      <c r="B357" s="105" t="str">
        <f ca="1">IFERROR(IF(PréstamoNoPagado*PréstamoPagado,NúmeroDePago,""), "")</f>
        <v/>
      </c>
      <c r="C357" s="96" t="str">
        <f ca="1">IFERROR(IF(PréstamoNoPagado*PréstamoPagado,FechaDePago,""), "")</f>
        <v/>
      </c>
      <c r="D357" s="97" t="str">
        <f ca="1">IFERROR(IF(PréstamoNoPagado*PréstamoPagado,ValorPréstamo,""), "")</f>
        <v/>
      </c>
      <c r="E357" s="97" t="str">
        <f ca="1">IFERROR(IF(PréstamoNoPagado*PréstamoPagado,PagoMensual,""), "")</f>
        <v/>
      </c>
      <c r="F357" s="97" t="str">
        <f ca="1">IFERROR(IF(PréstamoNoPagado*PréstamoPagado,Capital,""), "")</f>
        <v/>
      </c>
      <c r="G357" s="97" t="str">
        <f ca="1">IFERROR(IF(PréstamoNoPagado*PréstamoPagado,AmortizaciónInterés,""), "")</f>
        <v/>
      </c>
      <c r="H357" s="97" t="str">
        <f ca="1">IFERROR(IF(PréstamoNoPagado*PréstamoPagado,SaldoFinal,""), "")</f>
        <v/>
      </c>
    </row>
    <row r="358" spans="2:8" ht="20.100000000000001" customHeight="1" x14ac:dyDescent="0.3">
      <c r="B358" s="105" t="str">
        <f ca="1">IFERROR(IF(PréstamoNoPagado*PréstamoPagado,NúmeroDePago,""), "")</f>
        <v/>
      </c>
      <c r="C358" s="96" t="str">
        <f ca="1">IFERROR(IF(PréstamoNoPagado*PréstamoPagado,FechaDePago,""), "")</f>
        <v/>
      </c>
      <c r="D358" s="97" t="str">
        <f ca="1">IFERROR(IF(PréstamoNoPagado*PréstamoPagado,ValorPréstamo,""), "")</f>
        <v/>
      </c>
      <c r="E358" s="97" t="str">
        <f ca="1">IFERROR(IF(PréstamoNoPagado*PréstamoPagado,PagoMensual,""), "")</f>
        <v/>
      </c>
      <c r="F358" s="97" t="str">
        <f ca="1">IFERROR(IF(PréstamoNoPagado*PréstamoPagado,Capital,""), "")</f>
        <v/>
      </c>
      <c r="G358" s="97" t="str">
        <f ca="1">IFERROR(IF(PréstamoNoPagado*PréstamoPagado,AmortizaciónInterés,""), "")</f>
        <v/>
      </c>
      <c r="H358" s="97" t="str">
        <f ca="1">IFERROR(IF(PréstamoNoPagado*PréstamoPagado,SaldoFinal,""), "")</f>
        <v/>
      </c>
    </row>
    <row r="359" spans="2:8" ht="20.100000000000001" customHeight="1" x14ac:dyDescent="0.3">
      <c r="B359" s="105" t="str">
        <f ca="1">IFERROR(IF(PréstamoNoPagado*PréstamoPagado,NúmeroDePago,""), "")</f>
        <v/>
      </c>
      <c r="C359" s="96" t="str">
        <f ca="1">IFERROR(IF(PréstamoNoPagado*PréstamoPagado,FechaDePago,""), "")</f>
        <v/>
      </c>
      <c r="D359" s="97" t="str">
        <f ca="1">IFERROR(IF(PréstamoNoPagado*PréstamoPagado,ValorPréstamo,""), "")</f>
        <v/>
      </c>
      <c r="E359" s="97" t="str">
        <f ca="1">IFERROR(IF(PréstamoNoPagado*PréstamoPagado,PagoMensual,""), "")</f>
        <v/>
      </c>
      <c r="F359" s="97" t="str">
        <f ca="1">IFERROR(IF(PréstamoNoPagado*PréstamoPagado,Capital,""), "")</f>
        <v/>
      </c>
      <c r="G359" s="97" t="str">
        <f ca="1">IFERROR(IF(PréstamoNoPagado*PréstamoPagado,AmortizaciónInterés,""), "")</f>
        <v/>
      </c>
      <c r="H359" s="97" t="str">
        <f ca="1">IFERROR(IF(PréstamoNoPagado*PréstamoPagado,SaldoFinal,""), "")</f>
        <v/>
      </c>
    </row>
    <row r="360" spans="2:8" ht="20.100000000000001" customHeight="1" x14ac:dyDescent="0.3">
      <c r="B360" s="105" t="str">
        <f ca="1">IFERROR(IF(PréstamoNoPagado*PréstamoPagado,NúmeroDePago,""), "")</f>
        <v/>
      </c>
      <c r="C360" s="96" t="str">
        <f ca="1">IFERROR(IF(PréstamoNoPagado*PréstamoPagado,FechaDePago,""), "")</f>
        <v/>
      </c>
      <c r="D360" s="97" t="str">
        <f ca="1">IFERROR(IF(PréstamoNoPagado*PréstamoPagado,ValorPréstamo,""), "")</f>
        <v/>
      </c>
      <c r="E360" s="97" t="str">
        <f ca="1">IFERROR(IF(PréstamoNoPagado*PréstamoPagado,PagoMensual,""), "")</f>
        <v/>
      </c>
      <c r="F360" s="97" t="str">
        <f ca="1">IFERROR(IF(PréstamoNoPagado*PréstamoPagado,Capital,""), "")</f>
        <v/>
      </c>
      <c r="G360" s="97" t="str">
        <f ca="1">IFERROR(IF(PréstamoNoPagado*PréstamoPagado,AmortizaciónInterés,""), "")</f>
        <v/>
      </c>
      <c r="H360" s="97" t="str">
        <f ca="1">IFERROR(IF(PréstamoNoPagado*PréstamoPagado,SaldoFinal,""), "")</f>
        <v/>
      </c>
    </row>
    <row r="361" spans="2:8" ht="20.100000000000001" customHeight="1" x14ac:dyDescent="0.3">
      <c r="B361" s="105" t="str">
        <f ca="1">IFERROR(IF(PréstamoNoPagado*PréstamoPagado,NúmeroDePago,""), "")</f>
        <v/>
      </c>
      <c r="C361" s="96" t="str">
        <f ca="1">IFERROR(IF(PréstamoNoPagado*PréstamoPagado,FechaDePago,""), "")</f>
        <v/>
      </c>
      <c r="D361" s="97" t="str">
        <f ca="1">IFERROR(IF(PréstamoNoPagado*PréstamoPagado,ValorPréstamo,""), "")</f>
        <v/>
      </c>
      <c r="E361" s="97" t="str">
        <f ca="1">IFERROR(IF(PréstamoNoPagado*PréstamoPagado,PagoMensual,""), "")</f>
        <v/>
      </c>
      <c r="F361" s="97" t="str">
        <f ca="1">IFERROR(IF(PréstamoNoPagado*PréstamoPagado,Capital,""), "")</f>
        <v/>
      </c>
      <c r="G361" s="97" t="str">
        <f ca="1">IFERROR(IF(PréstamoNoPagado*PréstamoPagado,AmortizaciónInterés,""), "")</f>
        <v/>
      </c>
      <c r="H361" s="97" t="str">
        <f ca="1">IFERROR(IF(PréstamoNoPagado*PréstamoPagado,SaldoFinal,""), "")</f>
        <v/>
      </c>
    </row>
    <row r="362" spans="2:8" ht="20.100000000000001" customHeight="1" x14ac:dyDescent="0.3">
      <c r="B362" s="105" t="str">
        <f ca="1">IFERROR(IF(PréstamoNoPagado*PréstamoPagado,NúmeroDePago,""), "")</f>
        <v/>
      </c>
      <c r="C362" s="96" t="str">
        <f ca="1">IFERROR(IF(PréstamoNoPagado*PréstamoPagado,FechaDePago,""), "")</f>
        <v/>
      </c>
      <c r="D362" s="97" t="str">
        <f ca="1">IFERROR(IF(PréstamoNoPagado*PréstamoPagado,ValorPréstamo,""), "")</f>
        <v/>
      </c>
      <c r="E362" s="97" t="str">
        <f ca="1">IFERROR(IF(PréstamoNoPagado*PréstamoPagado,PagoMensual,""), "")</f>
        <v/>
      </c>
      <c r="F362" s="97" t="str">
        <f ca="1">IFERROR(IF(PréstamoNoPagado*PréstamoPagado,Capital,""), "")</f>
        <v/>
      </c>
      <c r="G362" s="97" t="str">
        <f ca="1">IFERROR(IF(PréstamoNoPagado*PréstamoPagado,AmortizaciónInterés,""), "")</f>
        <v/>
      </c>
      <c r="H362" s="97" t="str">
        <f ca="1">IFERROR(IF(PréstamoNoPagado*PréstamoPagado,SaldoFinal,""), "")</f>
        <v/>
      </c>
    </row>
    <row r="363" spans="2:8" ht="20.100000000000001" customHeight="1" x14ac:dyDescent="0.3">
      <c r="B363" s="105" t="str">
        <f ca="1">IFERROR(IF(PréstamoNoPagado*PréstamoPagado,NúmeroDePago,""), "")</f>
        <v/>
      </c>
      <c r="C363" s="96" t="str">
        <f ca="1">IFERROR(IF(PréstamoNoPagado*PréstamoPagado,FechaDePago,""), "")</f>
        <v/>
      </c>
      <c r="D363" s="97" t="str">
        <f ca="1">IFERROR(IF(PréstamoNoPagado*PréstamoPagado,ValorPréstamo,""), "")</f>
        <v/>
      </c>
      <c r="E363" s="97" t="str">
        <f ca="1">IFERROR(IF(PréstamoNoPagado*PréstamoPagado,PagoMensual,""), "")</f>
        <v/>
      </c>
      <c r="F363" s="97" t="str">
        <f ca="1">IFERROR(IF(PréstamoNoPagado*PréstamoPagado,Capital,""), "")</f>
        <v/>
      </c>
      <c r="G363" s="97" t="str">
        <f ca="1">IFERROR(IF(PréstamoNoPagado*PréstamoPagado,AmortizaciónInterés,""), "")</f>
        <v/>
      </c>
      <c r="H363" s="97" t="str">
        <f ca="1">IFERROR(IF(PréstamoNoPagado*PréstamoPagado,SaldoFinal,""), "")</f>
        <v/>
      </c>
    </row>
    <row r="364" spans="2:8" ht="20.100000000000001" customHeight="1" x14ac:dyDescent="0.3">
      <c r="B364" s="105" t="str">
        <f ca="1">IFERROR(IF(PréstamoNoPagado*PréstamoPagado,NúmeroDePago,""), "")</f>
        <v/>
      </c>
      <c r="C364" s="96" t="str">
        <f ca="1">IFERROR(IF(PréstamoNoPagado*PréstamoPagado,FechaDePago,""), "")</f>
        <v/>
      </c>
      <c r="D364" s="97" t="str">
        <f ca="1">IFERROR(IF(PréstamoNoPagado*PréstamoPagado,ValorPréstamo,""), "")</f>
        <v/>
      </c>
      <c r="E364" s="97" t="str">
        <f ca="1">IFERROR(IF(PréstamoNoPagado*PréstamoPagado,PagoMensual,""), "")</f>
        <v/>
      </c>
      <c r="F364" s="97" t="str">
        <f ca="1">IFERROR(IF(PréstamoNoPagado*PréstamoPagado,Capital,""), "")</f>
        <v/>
      </c>
      <c r="G364" s="97" t="str">
        <f ca="1">IFERROR(IF(PréstamoNoPagado*PréstamoPagado,AmortizaciónInterés,""), "")</f>
        <v/>
      </c>
      <c r="H364" s="97" t="str">
        <f ca="1">IFERROR(IF(PréstamoNoPagado*PréstamoPagado,SaldoFinal,""), "")</f>
        <v/>
      </c>
    </row>
    <row r="365" spans="2:8" ht="20.100000000000001" customHeight="1" x14ac:dyDescent="0.3">
      <c r="B365" s="105" t="str">
        <f ca="1">IFERROR(IF(PréstamoNoPagado*PréstamoPagado,NúmeroDePago,""), "")</f>
        <v/>
      </c>
      <c r="C365" s="96" t="str">
        <f ca="1">IFERROR(IF(PréstamoNoPagado*PréstamoPagado,FechaDePago,""), "")</f>
        <v/>
      </c>
      <c r="D365" s="97" t="str">
        <f ca="1">IFERROR(IF(PréstamoNoPagado*PréstamoPagado,ValorPréstamo,""), "")</f>
        <v/>
      </c>
      <c r="E365" s="97" t="str">
        <f ca="1">IFERROR(IF(PréstamoNoPagado*PréstamoPagado,PagoMensual,""), "")</f>
        <v/>
      </c>
      <c r="F365" s="97" t="str">
        <f ca="1">IFERROR(IF(PréstamoNoPagado*PréstamoPagado,Capital,""), "")</f>
        <v/>
      </c>
      <c r="G365" s="97" t="str">
        <f ca="1">IFERROR(IF(PréstamoNoPagado*PréstamoPagado,AmortizaciónInterés,""), "")</f>
        <v/>
      </c>
      <c r="H365" s="97" t="str">
        <f ca="1">IFERROR(IF(PréstamoNoPagado*PréstamoPagado,SaldoFinal,""), "")</f>
        <v/>
      </c>
    </row>
    <row r="366" spans="2:8" ht="20.100000000000001" customHeight="1" x14ac:dyDescent="0.3">
      <c r="B366" s="105" t="str">
        <f ca="1">IFERROR(IF(PréstamoNoPagado*PréstamoPagado,NúmeroDePago,""), "")</f>
        <v/>
      </c>
      <c r="C366" s="96" t="str">
        <f ca="1">IFERROR(IF(PréstamoNoPagado*PréstamoPagado,FechaDePago,""), "")</f>
        <v/>
      </c>
      <c r="D366" s="97" t="str">
        <f ca="1">IFERROR(IF(PréstamoNoPagado*PréstamoPagado,ValorPréstamo,""), "")</f>
        <v/>
      </c>
      <c r="E366" s="97" t="str">
        <f ca="1">IFERROR(IF(PréstamoNoPagado*PréstamoPagado,PagoMensual,""), "")</f>
        <v/>
      </c>
      <c r="F366" s="97" t="str">
        <f ca="1">IFERROR(IF(PréstamoNoPagado*PréstamoPagado,Capital,""), "")</f>
        <v/>
      </c>
      <c r="G366" s="97" t="str">
        <f ca="1">IFERROR(IF(PréstamoNoPagado*PréstamoPagado,AmortizaciónInterés,""), "")</f>
        <v/>
      </c>
      <c r="H366" s="97" t="str">
        <f ca="1">IFERROR(IF(PréstamoNoPagado*PréstamoPagado,SaldoFinal,""), "")</f>
        <v/>
      </c>
    </row>
    <row r="367" spans="2:8" ht="20.100000000000001" customHeight="1" x14ac:dyDescent="0.3">
      <c r="B367" s="105" t="str">
        <f ca="1">IFERROR(IF(PréstamoNoPagado*PréstamoPagado,NúmeroDePago,""), "")</f>
        <v/>
      </c>
      <c r="C367" s="96" t="str">
        <f ca="1">IFERROR(IF(PréstamoNoPagado*PréstamoPagado,FechaDePago,""), "")</f>
        <v/>
      </c>
      <c r="D367" s="97" t="str">
        <f ca="1">IFERROR(IF(PréstamoNoPagado*PréstamoPagado,ValorPréstamo,""), "")</f>
        <v/>
      </c>
      <c r="E367" s="97" t="str">
        <f ca="1">IFERROR(IF(PréstamoNoPagado*PréstamoPagado,PagoMensual,""), "")</f>
        <v/>
      </c>
      <c r="F367" s="97" t="str">
        <f ca="1">IFERROR(IF(PréstamoNoPagado*PréstamoPagado,Capital,""), "")</f>
        <v/>
      </c>
      <c r="G367" s="97" t="str">
        <f ca="1">IFERROR(IF(PréstamoNoPagado*PréstamoPagado,AmortizaciónInterés,""), "")</f>
        <v/>
      </c>
      <c r="H367" s="97" t="str">
        <f ca="1">IFERROR(IF(PréstamoNoPagado*PréstamoPagado,SaldoFinal,""), "")</f>
        <v/>
      </c>
    </row>
    <row r="368" spans="2:8" ht="20.100000000000001" customHeight="1" x14ac:dyDescent="0.3">
      <c r="B368" s="105" t="str">
        <f ca="1">IFERROR(IF(PréstamoNoPagado*PréstamoPagado,NúmeroDePago,""), "")</f>
        <v/>
      </c>
      <c r="C368" s="96" t="str">
        <f ca="1">IFERROR(IF(PréstamoNoPagado*PréstamoPagado,FechaDePago,""), "")</f>
        <v/>
      </c>
      <c r="D368" s="97" t="str">
        <f ca="1">IFERROR(IF(PréstamoNoPagado*PréstamoPagado,ValorPréstamo,""), "")</f>
        <v/>
      </c>
      <c r="E368" s="97" t="str">
        <f ca="1">IFERROR(IF(PréstamoNoPagado*PréstamoPagado,PagoMensual,""), "")</f>
        <v/>
      </c>
      <c r="F368" s="97" t="str">
        <f ca="1">IFERROR(IF(PréstamoNoPagado*PréstamoPagado,Capital,""), "")</f>
        <v/>
      </c>
      <c r="G368" s="97" t="str">
        <f ca="1">IFERROR(IF(PréstamoNoPagado*PréstamoPagado,AmortizaciónInterés,""), "")</f>
        <v/>
      </c>
      <c r="H368" s="97" t="str">
        <f ca="1">IFERROR(IF(PréstamoNoPagado*PréstamoPagado,SaldoFinal,""), "")</f>
        <v/>
      </c>
    </row>
    <row r="369" spans="2:8" ht="20.100000000000001" customHeight="1" x14ac:dyDescent="0.3">
      <c r="B369" s="105" t="str">
        <f ca="1">IFERROR(IF(PréstamoNoPagado*PréstamoPagado,NúmeroDePago,""), "")</f>
        <v/>
      </c>
      <c r="C369" s="96" t="str">
        <f ca="1">IFERROR(IF(PréstamoNoPagado*PréstamoPagado,FechaDePago,""), "")</f>
        <v/>
      </c>
      <c r="D369" s="97" t="str">
        <f ca="1">IFERROR(IF(PréstamoNoPagado*PréstamoPagado,ValorPréstamo,""), "")</f>
        <v/>
      </c>
      <c r="E369" s="97" t="str">
        <f ca="1">IFERROR(IF(PréstamoNoPagado*PréstamoPagado,PagoMensual,""), "")</f>
        <v/>
      </c>
      <c r="F369" s="97" t="str">
        <f ca="1">IFERROR(IF(PréstamoNoPagado*PréstamoPagado,Capital,""), "")</f>
        <v/>
      </c>
      <c r="G369" s="97" t="str">
        <f ca="1">IFERROR(IF(PréstamoNoPagado*PréstamoPagado,AmortizaciónInterés,""), "")</f>
        <v/>
      </c>
      <c r="H369" s="97" t="str">
        <f ca="1">IFERROR(IF(PréstamoNoPagado*PréstamoPagado,SaldoFinal,""),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13" priority="4" stopIfTrue="1">
      <formula>NOT(PréstamoNoPagado)</formula>
    </cfRule>
    <cfRule type="expression" dxfId="12" priority="5" stopIfTrue="1">
      <formula>IF(ROW(B10)=ÚltimaFila,TRUE,FALSE)</formula>
    </cfRule>
  </conditionalFormatting>
  <conditionalFormatting sqref="B10:H369">
    <cfRule type="expression" dxfId="11" priority="1">
      <formula>$B10=""</formula>
    </cfRule>
  </conditionalFormatting>
  <conditionalFormatting sqref="C10:G369">
    <cfRule type="expression" dxfId="10" priority="2" stopIfTrue="1">
      <formula>NOT(PréstamoNoPagado)</formula>
    </cfRule>
    <cfRule type="expression" dxfId="9" priority="3" stopIfTrue="1">
      <formula>IF(ROW(C10)=ÚltimaFila,TRUE,FALSE)</formula>
    </cfRule>
  </conditionalFormatting>
  <conditionalFormatting sqref="H10:H369">
    <cfRule type="expression" dxfId="8" priority="6" stopIfTrue="1">
      <formula>NOT(PréstamoNoPagado)</formula>
    </cfRule>
    <cfRule type="expression" dxfId="7" priority="7" stopIfTrue="1">
      <formula>IF(ROW(H10)=ÚltimaFila,TRUE,FALSE)</formula>
    </cfRule>
  </conditionalFormatting>
  <dataValidations count="29">
    <dataValidation allowBlank="1" showInputMessage="1" showErrorMessage="1" prompt="Cree una programación para la amortización de un préstamo con esta hoja de cálculo Calculadora de préstamos. El importe total de los intereses y el número total de pagos se calculan automáticamente." sqref="A1" xr:uid="{4242A00C-3916-4CB5-873B-6DD74E6E017A}"/>
    <dataValidation allowBlank="1" showErrorMessage="1" prompt="El título de esta hoja de cálculo se encuentra en esta celda. Escriba los valores del préstamo en las celdas D3 a D6. El resumen del préstamo, en las celdas H3 a H6, y la tabla del préstamo se actualizan automáticamente" sqref="B2" xr:uid="{BCDAA7B1-8267-47AA-8C93-C73BF1AA5B0E}"/>
    <dataValidation allowBlank="1" showInputMessage="1" showErrorMessage="1" prompt="El resumen del préstamo se actualiza automáticamente en las siguientes celdas" sqref="F3" xr:uid="{4525C7E6-5759-416F-A28C-41B63972A644}"/>
    <dataValidation allowBlank="1" showInputMessage="1" showErrorMessage="1" prompt="Escriba el importe del préstamo en esta celda." sqref="D4" xr:uid="{B7EC2F8B-E115-4B1B-97F9-382F343D6950}"/>
    <dataValidation allowBlank="1" showInputMessage="1" showErrorMessage="1" prompt="Escriba el importe del préstamo en la celda de la derecha." sqref="B4:C4" xr:uid="{5B1FFEF4-4658-48F8-B250-9AC9D8B78CAC}"/>
    <dataValidation allowBlank="1" showInputMessage="1" showErrorMessage="1" prompt="Escriba la tasa de interés anual en esta celda." sqref="D5" xr:uid="{AB74D0A5-17B9-4850-9650-014DCA354365}"/>
    <dataValidation allowBlank="1" showInputMessage="1" showErrorMessage="1" prompt="Escriba la tasa de interés anual en la celda de la derecha." sqref="B5:C5" xr:uid="{56DEAE99-0E40-47A5-87E6-2E562BE75CF9}"/>
    <dataValidation allowBlank="1" showInputMessage="1" showErrorMessage="1" prompt="Escriba el periodo del préstamo en años en esta celda." sqref="D6" xr:uid="{8F9CE839-D2F2-4A41-8BA7-72140430905B}"/>
    <dataValidation allowBlank="1" showInputMessage="1" showErrorMessage="1" prompt="Escriba el periodo del préstamo en años en la celda de la derecha." sqref="B6:C6" xr:uid="{F7E6C928-47DB-4E6C-A52E-4BFABC2A543E}"/>
    <dataValidation allowBlank="1" showInputMessage="1" showErrorMessage="1" prompt="Escriba la fecha de inicio del préstamo en esta celda." sqref="D7" xr:uid="{A7F9A9BD-DCD8-49F6-B084-1205C058464C}"/>
    <dataValidation allowBlank="1" showInputMessage="1" showErrorMessage="1" prompt="Escriba la fecha de inicio del préstamo en la celda de la derecha." sqref="B7:C7" xr:uid="{BDD3EBA3-7BD8-478A-A558-769990A6451C}"/>
    <dataValidation allowBlank="1" showInputMessage="1" showErrorMessage="1" prompt="El pago mensual se calcula automáticamente en esta celda." sqref="H4" xr:uid="{D2189410-C75D-426C-8703-A9FCF0F96C41}"/>
    <dataValidation allowBlank="1" showInputMessage="1" showErrorMessage="1" prompt="El pago mensual se calcula automáticamente en la celda de la derecha." sqref="F4:G4" xr:uid="{11F79516-A628-4DAA-A5C0-4C56D4E1DF2A}"/>
    <dataValidation allowBlank="1" showInputMessage="1" showErrorMessage="1" prompt="El número de pagos se calcula automáticamente en la celda de la derecha." sqref="F5:G5" xr:uid="{C3578D20-0F0E-48F3-A218-D47340D422ED}"/>
    <dataValidation allowBlank="1" showInputMessage="1" showErrorMessage="1" prompt="El importe total de los intereses se calcula automáticamente en la celda de la derecha." sqref="F6:G6" xr:uid="{5B42F75B-0536-4A34-9D97-13A88FFA21DD}"/>
    <dataValidation allowBlank="1" showInputMessage="1" showErrorMessage="1" prompt="El coste total del préstamo se calcula automáticamente en la celda de la derecha." sqref="F7:G7" xr:uid="{0BEA30EF-1D0F-40C3-80E9-E5A38BFC2167}"/>
    <dataValidation allowBlank="1" showInputMessage="1" showErrorMessage="1" prompt="El coste total del préstamo se calcula automáticamente en esta celda." sqref="H7" xr:uid="{FEF0585A-FE5D-498C-88C4-90B3C6D543F1}"/>
    <dataValidation allowBlank="1" showInputMessage="1" showErrorMessage="1" prompt="El importe total de los intereses se calcula automáticamente en esta celda." sqref="H6" xr:uid="{F064C575-8EFC-443F-8F2C-D7B6047065EA}"/>
    <dataValidation allowBlank="1" showInputMessage="1" showErrorMessage="1" prompt="El número de pagos se calcula automáticamente en esta celda." sqref="H5" xr:uid="{7F5829BA-6B0A-402E-805B-5D6D4A7D6A04}"/>
    <dataValidation allowBlank="1" showInputMessage="1" showErrorMessage="1" prompt="El número de los pagos se actualiza automáticamente en esta columna, debajo de este encabezado." sqref="B9" xr:uid="{3D9948C4-EFF9-4910-A907-A462D2AA0A2A}"/>
    <dataValidation allowBlank="1" showInputMessage="1" showErrorMessage="1" prompt="La fecha de los pagos se actualiza automáticamente en esta columna, debajo de este encabezado." sqref="C9" xr:uid="{1713ACF9-F25D-45C6-8419-D1A432B75091}"/>
    <dataValidation allowBlank="1" showInputMessage="1" showErrorMessage="1" prompt="El saldo inicial se calcula automáticamente en esta columna, debajo de este encabezado." sqref="D9" xr:uid="{521F55AC-925B-4ED7-B3C1-EEEDA5CB8282}"/>
    <dataValidation allowBlank="1" showInputMessage="1" showErrorMessage="1" prompt="El importe del pago se calcula automáticamente en esta columna, debajo de este encabezado." sqref="E9" xr:uid="{D71F783E-5D9F-4456-947E-345AE2F442AA}"/>
    <dataValidation allowBlank="1" showInputMessage="1" showErrorMessage="1" prompt="El importe del principal se calcula automáticamente en esta columna, debajo de este encabezado." sqref="F9" xr:uid="{CC311DF5-1BD3-4660-B3B2-FD59471B7AB3}"/>
    <dataValidation allowBlank="1" showInputMessage="1" showErrorMessage="1" prompt="El importe del interés se calcula automáticamente en esta columna, debajo de este encabezado." sqref="G9" xr:uid="{2951BCAB-FD40-43A9-8888-7B235AA92BF8}"/>
    <dataValidation allowBlank="1" showInputMessage="1" showErrorMessage="1" prompt="El saldo final se calcula automáticamente en la columna con este encabezado" sqref="H9" xr:uid="{9A2FD9D3-5C9D-408A-9365-EEDC6C1C8D50}"/>
    <dataValidation allowBlank="1" showInputMessage="1" showErrorMessage="1" prompt="Escriba los valores de préstamo en las celdas D4 a D7 para cada descripción en las siguientes celdas. El resumen del préstamo, en las celdas H4 a H7, y la tabla del préstamo se actualizan automáticamente." sqref="B3:D3" xr:uid="{54496011-7B04-4B9E-B20F-6CE55B26B4B9}"/>
    <dataValidation allowBlank="1" showInputMessage="1" showErrorMessage="1" prompt="El título de esta hoja de cálculo se encuentra en esta celda. Escriba los valores del préstamo en las celdas D4 a D7. El resumen del préstamo, en las celdas H4 a H7, y la tabla del préstamo se actualizan automáticamente." sqref="B1:H1" xr:uid="{B205A48E-38BF-4E6D-A47B-06FB027C2C80}"/>
    <dataValidation allowBlank="1" showErrorMessage="1" prompt="Cree una programación para la amortización de un préstamo con esta hoja de cálculo Calculadora de préstamos. El importe total de los intereses y el número total de pagos se calculan automáticamente." sqref="A2" xr:uid="{FB2178A5-EEDA-4318-B1D5-1316E02950D3}"/>
  </dataValidations>
  <printOptions horizontalCentered="1"/>
  <pageMargins left="0.4" right="0.4" top="0.4" bottom="0.4" header="0.3" footer="0.3"/>
  <pageSetup paperSize="9" scale="10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21FC-40EF-4BE7-B6AC-619881F40546}">
  <dimension ref="A1:CH108"/>
  <sheetViews>
    <sheetView topLeftCell="A15" workbookViewId="0">
      <selection activeCell="C38" sqref="C38"/>
    </sheetView>
  </sheetViews>
  <sheetFormatPr baseColWidth="10" defaultColWidth="11.44140625" defaultRowHeight="14.4" x14ac:dyDescent="0.3"/>
  <cols>
    <col min="1" max="1" width="19.5546875" bestFit="1" customWidth="1"/>
    <col min="2" max="2" width="16.44140625" bestFit="1" customWidth="1"/>
    <col min="3" max="24" width="13.5546875" bestFit="1" customWidth="1"/>
    <col min="25" max="86" width="13" bestFit="1" customWidth="1"/>
  </cols>
  <sheetData>
    <row r="1" spans="1:62" x14ac:dyDescent="0.3">
      <c r="A1" s="6" t="s">
        <v>727</v>
      </c>
      <c r="B1" t="s">
        <v>728</v>
      </c>
      <c r="C1" t="s">
        <v>729</v>
      </c>
    </row>
    <row r="2" spans="1:62" x14ac:dyDescent="0.3">
      <c r="A2" t="s">
        <v>640</v>
      </c>
      <c r="B2" s="28" t="e">
        <f>+#REF!</f>
        <v>#REF!</v>
      </c>
      <c r="D2" t="s">
        <v>627</v>
      </c>
      <c r="E2" s="32" t="e">
        <f>+PMT(B4,B6,B2)</f>
        <v>#REF!</v>
      </c>
    </row>
    <row r="3" spans="1:62" x14ac:dyDescent="0.3">
      <c r="A3" t="s">
        <v>730</v>
      </c>
      <c r="B3" s="16">
        <v>0.20649999999999999</v>
      </c>
      <c r="C3" s="16">
        <v>0.18990000000000001</v>
      </c>
      <c r="E3" s="32"/>
    </row>
    <row r="4" spans="1:62" x14ac:dyDescent="0.3">
      <c r="A4" t="s">
        <v>731</v>
      </c>
      <c r="B4" s="16">
        <v>1.6400000000000001E-2</v>
      </c>
      <c r="C4" s="40">
        <v>1.46E-2</v>
      </c>
    </row>
    <row r="5" spans="1:62" x14ac:dyDescent="0.3">
      <c r="A5" t="s">
        <v>732</v>
      </c>
      <c r="B5">
        <v>4</v>
      </c>
    </row>
    <row r="6" spans="1:62" x14ac:dyDescent="0.3">
      <c r="A6" t="s">
        <v>733</v>
      </c>
      <c r="B6">
        <f>+B5*12</f>
        <v>48</v>
      </c>
    </row>
    <row r="7" spans="1:62" x14ac:dyDescent="0.3">
      <c r="A7" t="s">
        <v>734</v>
      </c>
      <c r="B7">
        <v>1159</v>
      </c>
    </row>
    <row r="10" spans="1:62" x14ac:dyDescent="0.3">
      <c r="A10" t="s">
        <v>735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  <c r="AB10">
        <v>26</v>
      </c>
      <c r="AC10">
        <v>27</v>
      </c>
      <c r="AD10">
        <v>28</v>
      </c>
      <c r="AE10">
        <v>29</v>
      </c>
      <c r="AF10">
        <v>30</v>
      </c>
      <c r="AG10">
        <v>31</v>
      </c>
      <c r="AH10">
        <v>32</v>
      </c>
      <c r="AI10">
        <v>33</v>
      </c>
      <c r="AJ10">
        <v>34</v>
      </c>
      <c r="AK10">
        <v>35</v>
      </c>
      <c r="AL10">
        <v>36</v>
      </c>
      <c r="AM10">
        <v>37</v>
      </c>
      <c r="AN10">
        <v>38</v>
      </c>
      <c r="AO10">
        <v>39</v>
      </c>
      <c r="AP10">
        <v>40</v>
      </c>
      <c r="AQ10">
        <v>41</v>
      </c>
      <c r="AR10">
        <v>42</v>
      </c>
      <c r="AS10">
        <v>43</v>
      </c>
      <c r="AT10">
        <v>44</v>
      </c>
      <c r="AU10">
        <v>45</v>
      </c>
      <c r="AV10">
        <v>46</v>
      </c>
      <c r="AW10">
        <v>47</v>
      </c>
      <c r="AX10">
        <v>48</v>
      </c>
      <c r="AY10">
        <v>49</v>
      </c>
      <c r="AZ10">
        <v>50</v>
      </c>
      <c r="BA10">
        <v>51</v>
      </c>
      <c r="BB10">
        <v>52</v>
      </c>
      <c r="BC10">
        <v>53</v>
      </c>
      <c r="BD10">
        <v>54</v>
      </c>
      <c r="BE10">
        <v>55</v>
      </c>
      <c r="BF10">
        <v>56</v>
      </c>
      <c r="BG10">
        <v>57</v>
      </c>
      <c r="BH10">
        <v>58</v>
      </c>
      <c r="BI10">
        <v>59</v>
      </c>
      <c r="BJ10">
        <v>60</v>
      </c>
    </row>
    <row r="11" spans="1:62" x14ac:dyDescent="0.3">
      <c r="A11" t="s">
        <v>716</v>
      </c>
      <c r="B11" s="41" t="e">
        <f>+B2</f>
        <v>#REF!</v>
      </c>
      <c r="C11" s="33" t="e">
        <f>+B11-C13</f>
        <v>#REF!</v>
      </c>
      <c r="D11" s="33" t="e">
        <f t="shared" ref="D11:AX11" si="0">+C11-D13</f>
        <v>#REF!</v>
      </c>
      <c r="E11" s="33" t="e">
        <f t="shared" si="0"/>
        <v>#REF!</v>
      </c>
      <c r="F11" s="33" t="e">
        <f t="shared" si="0"/>
        <v>#REF!</v>
      </c>
      <c r="G11" s="33" t="e">
        <f t="shared" si="0"/>
        <v>#REF!</v>
      </c>
      <c r="H11" s="33" t="e">
        <f t="shared" si="0"/>
        <v>#REF!</v>
      </c>
      <c r="I11" s="33" t="e">
        <f t="shared" si="0"/>
        <v>#REF!</v>
      </c>
      <c r="J11" s="33" t="e">
        <f t="shared" si="0"/>
        <v>#REF!</v>
      </c>
      <c r="K11" s="33" t="e">
        <f t="shared" si="0"/>
        <v>#REF!</v>
      </c>
      <c r="L11" s="33" t="e">
        <f t="shared" si="0"/>
        <v>#REF!</v>
      </c>
      <c r="M11" s="33" t="e">
        <f t="shared" si="0"/>
        <v>#REF!</v>
      </c>
      <c r="N11" s="33" t="e">
        <f t="shared" si="0"/>
        <v>#REF!</v>
      </c>
      <c r="O11" s="33" t="e">
        <f t="shared" si="0"/>
        <v>#REF!</v>
      </c>
      <c r="P11" s="33" t="e">
        <f t="shared" si="0"/>
        <v>#REF!</v>
      </c>
      <c r="Q11" s="33" t="e">
        <f t="shared" si="0"/>
        <v>#REF!</v>
      </c>
      <c r="R11" s="33" t="e">
        <f t="shared" si="0"/>
        <v>#REF!</v>
      </c>
      <c r="S11" s="33" t="e">
        <f t="shared" si="0"/>
        <v>#REF!</v>
      </c>
      <c r="T11" s="33" t="e">
        <f t="shared" si="0"/>
        <v>#REF!</v>
      </c>
      <c r="U11" s="33" t="e">
        <f t="shared" si="0"/>
        <v>#REF!</v>
      </c>
      <c r="V11" s="33" t="e">
        <f t="shared" si="0"/>
        <v>#REF!</v>
      </c>
      <c r="W11" s="33" t="e">
        <f t="shared" si="0"/>
        <v>#REF!</v>
      </c>
      <c r="X11" s="33" t="e">
        <f t="shared" si="0"/>
        <v>#REF!</v>
      </c>
      <c r="Y11" s="33" t="e">
        <f t="shared" si="0"/>
        <v>#REF!</v>
      </c>
      <c r="Z11" s="33" t="e">
        <f t="shared" si="0"/>
        <v>#REF!</v>
      </c>
      <c r="AA11" s="33" t="e">
        <f t="shared" si="0"/>
        <v>#REF!</v>
      </c>
      <c r="AB11" s="33" t="e">
        <f t="shared" si="0"/>
        <v>#REF!</v>
      </c>
      <c r="AC11" s="33" t="e">
        <f t="shared" si="0"/>
        <v>#REF!</v>
      </c>
      <c r="AD11" s="33" t="e">
        <f t="shared" si="0"/>
        <v>#REF!</v>
      </c>
      <c r="AE11" s="33" t="e">
        <f t="shared" si="0"/>
        <v>#REF!</v>
      </c>
      <c r="AF11" s="33" t="e">
        <f t="shared" si="0"/>
        <v>#REF!</v>
      </c>
      <c r="AG11" s="33" t="e">
        <f t="shared" si="0"/>
        <v>#REF!</v>
      </c>
      <c r="AH11" s="33" t="e">
        <f t="shared" si="0"/>
        <v>#REF!</v>
      </c>
      <c r="AI11" s="33" t="e">
        <f t="shared" si="0"/>
        <v>#REF!</v>
      </c>
      <c r="AJ11" s="33" t="e">
        <f t="shared" si="0"/>
        <v>#REF!</v>
      </c>
      <c r="AK11" s="33" t="e">
        <f t="shared" si="0"/>
        <v>#REF!</v>
      </c>
      <c r="AL11" s="33" t="e">
        <f t="shared" si="0"/>
        <v>#REF!</v>
      </c>
      <c r="AM11" s="33" t="e">
        <f t="shared" si="0"/>
        <v>#REF!</v>
      </c>
      <c r="AN11" s="33" t="e">
        <f t="shared" si="0"/>
        <v>#REF!</v>
      </c>
      <c r="AO11" s="33" t="e">
        <f t="shared" si="0"/>
        <v>#REF!</v>
      </c>
      <c r="AP11" s="33" t="e">
        <f t="shared" si="0"/>
        <v>#REF!</v>
      </c>
      <c r="AQ11" s="33" t="e">
        <f t="shared" si="0"/>
        <v>#REF!</v>
      </c>
      <c r="AR11" s="33" t="e">
        <f t="shared" si="0"/>
        <v>#REF!</v>
      </c>
      <c r="AS11" s="33" t="e">
        <f t="shared" si="0"/>
        <v>#REF!</v>
      </c>
      <c r="AT11" s="33" t="e">
        <f t="shared" si="0"/>
        <v>#REF!</v>
      </c>
      <c r="AU11" s="33" t="e">
        <f t="shared" si="0"/>
        <v>#REF!</v>
      </c>
      <c r="AV11" s="33" t="e">
        <f t="shared" si="0"/>
        <v>#REF!</v>
      </c>
      <c r="AW11" s="33" t="e">
        <f t="shared" si="0"/>
        <v>#REF!</v>
      </c>
      <c r="AX11" s="33" t="e">
        <f t="shared" si="0"/>
        <v>#REF!</v>
      </c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</row>
    <row r="12" spans="1:62" x14ac:dyDescent="0.3">
      <c r="A12" t="s">
        <v>736</v>
      </c>
      <c r="B12">
        <v>0</v>
      </c>
      <c r="C12" s="30" t="e">
        <f>+B11*$C$4</f>
        <v>#REF!</v>
      </c>
      <c r="D12" s="30" t="e">
        <f t="shared" ref="D12:AX12" si="1">+C11*$C$4</f>
        <v>#REF!</v>
      </c>
      <c r="E12" s="30" t="e">
        <f t="shared" si="1"/>
        <v>#REF!</v>
      </c>
      <c r="F12" s="30" t="e">
        <f t="shared" si="1"/>
        <v>#REF!</v>
      </c>
      <c r="G12" s="30" t="e">
        <f t="shared" si="1"/>
        <v>#REF!</v>
      </c>
      <c r="H12" s="30" t="e">
        <f t="shared" si="1"/>
        <v>#REF!</v>
      </c>
      <c r="I12" s="30" t="e">
        <f t="shared" si="1"/>
        <v>#REF!</v>
      </c>
      <c r="J12" s="30" t="e">
        <f t="shared" si="1"/>
        <v>#REF!</v>
      </c>
      <c r="K12" s="30" t="e">
        <f t="shared" si="1"/>
        <v>#REF!</v>
      </c>
      <c r="L12" s="30" t="e">
        <f t="shared" si="1"/>
        <v>#REF!</v>
      </c>
      <c r="M12" s="30" t="e">
        <f t="shared" si="1"/>
        <v>#REF!</v>
      </c>
      <c r="N12" s="30" t="e">
        <f t="shared" si="1"/>
        <v>#REF!</v>
      </c>
      <c r="O12" s="30" t="e">
        <f t="shared" si="1"/>
        <v>#REF!</v>
      </c>
      <c r="P12" s="30" t="e">
        <f t="shared" si="1"/>
        <v>#REF!</v>
      </c>
      <c r="Q12" s="30" t="e">
        <f t="shared" si="1"/>
        <v>#REF!</v>
      </c>
      <c r="R12" s="30" t="e">
        <f t="shared" si="1"/>
        <v>#REF!</v>
      </c>
      <c r="S12" s="30" t="e">
        <f t="shared" si="1"/>
        <v>#REF!</v>
      </c>
      <c r="T12" s="30" t="e">
        <f t="shared" si="1"/>
        <v>#REF!</v>
      </c>
      <c r="U12" s="30" t="e">
        <f t="shared" si="1"/>
        <v>#REF!</v>
      </c>
      <c r="V12" s="30" t="e">
        <f t="shared" si="1"/>
        <v>#REF!</v>
      </c>
      <c r="W12" s="30" t="e">
        <f t="shared" si="1"/>
        <v>#REF!</v>
      </c>
      <c r="X12" s="30" t="e">
        <f t="shared" si="1"/>
        <v>#REF!</v>
      </c>
      <c r="Y12" s="30" t="e">
        <f t="shared" si="1"/>
        <v>#REF!</v>
      </c>
      <c r="Z12" s="30" t="e">
        <f t="shared" si="1"/>
        <v>#REF!</v>
      </c>
      <c r="AA12" s="30" t="e">
        <f t="shared" si="1"/>
        <v>#REF!</v>
      </c>
      <c r="AB12" s="30" t="e">
        <f t="shared" si="1"/>
        <v>#REF!</v>
      </c>
      <c r="AC12" s="30" t="e">
        <f t="shared" si="1"/>
        <v>#REF!</v>
      </c>
      <c r="AD12" s="30" t="e">
        <f t="shared" si="1"/>
        <v>#REF!</v>
      </c>
      <c r="AE12" s="30" t="e">
        <f t="shared" si="1"/>
        <v>#REF!</v>
      </c>
      <c r="AF12" s="30" t="e">
        <f t="shared" si="1"/>
        <v>#REF!</v>
      </c>
      <c r="AG12" s="30" t="e">
        <f t="shared" si="1"/>
        <v>#REF!</v>
      </c>
      <c r="AH12" s="30" t="e">
        <f t="shared" si="1"/>
        <v>#REF!</v>
      </c>
      <c r="AI12" s="30" t="e">
        <f t="shared" si="1"/>
        <v>#REF!</v>
      </c>
      <c r="AJ12" s="30" t="e">
        <f t="shared" si="1"/>
        <v>#REF!</v>
      </c>
      <c r="AK12" s="30" t="e">
        <f t="shared" si="1"/>
        <v>#REF!</v>
      </c>
      <c r="AL12" s="30" t="e">
        <f t="shared" si="1"/>
        <v>#REF!</v>
      </c>
      <c r="AM12" s="30" t="e">
        <f t="shared" si="1"/>
        <v>#REF!</v>
      </c>
      <c r="AN12" s="30" t="e">
        <f t="shared" si="1"/>
        <v>#REF!</v>
      </c>
      <c r="AO12" s="30" t="e">
        <f t="shared" si="1"/>
        <v>#REF!</v>
      </c>
      <c r="AP12" s="30" t="e">
        <f t="shared" si="1"/>
        <v>#REF!</v>
      </c>
      <c r="AQ12" s="30" t="e">
        <f t="shared" si="1"/>
        <v>#REF!</v>
      </c>
      <c r="AR12" s="30" t="e">
        <f t="shared" si="1"/>
        <v>#REF!</v>
      </c>
      <c r="AS12" s="30" t="e">
        <f t="shared" si="1"/>
        <v>#REF!</v>
      </c>
      <c r="AT12" s="30" t="e">
        <f t="shared" si="1"/>
        <v>#REF!</v>
      </c>
      <c r="AU12" s="30" t="e">
        <f t="shared" si="1"/>
        <v>#REF!</v>
      </c>
      <c r="AV12" s="30" t="e">
        <f t="shared" si="1"/>
        <v>#REF!</v>
      </c>
      <c r="AW12" s="30" t="e">
        <f t="shared" si="1"/>
        <v>#REF!</v>
      </c>
      <c r="AX12" s="30" t="e">
        <f t="shared" si="1"/>
        <v>#REF!</v>
      </c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</row>
    <row r="13" spans="1:62" x14ac:dyDescent="0.3">
      <c r="A13" t="s">
        <v>737</v>
      </c>
      <c r="B13">
        <v>0</v>
      </c>
      <c r="C13" s="33" t="e">
        <f>+C14-C12</f>
        <v>#REF!</v>
      </c>
      <c r="D13" s="33" t="e">
        <f t="shared" ref="D13:AX13" si="2">+D14-D12</f>
        <v>#REF!</v>
      </c>
      <c r="E13" s="33" t="e">
        <f t="shared" si="2"/>
        <v>#REF!</v>
      </c>
      <c r="F13" s="33" t="e">
        <f t="shared" si="2"/>
        <v>#REF!</v>
      </c>
      <c r="G13" s="33" t="e">
        <f t="shared" si="2"/>
        <v>#REF!</v>
      </c>
      <c r="H13" s="33" t="e">
        <f t="shared" si="2"/>
        <v>#REF!</v>
      </c>
      <c r="I13" s="33" t="e">
        <f t="shared" si="2"/>
        <v>#REF!</v>
      </c>
      <c r="J13" s="33" t="e">
        <f t="shared" si="2"/>
        <v>#REF!</v>
      </c>
      <c r="K13" s="33" t="e">
        <f t="shared" si="2"/>
        <v>#REF!</v>
      </c>
      <c r="L13" s="33" t="e">
        <f t="shared" si="2"/>
        <v>#REF!</v>
      </c>
      <c r="M13" s="33" t="e">
        <f t="shared" si="2"/>
        <v>#REF!</v>
      </c>
      <c r="N13" s="33" t="e">
        <f t="shared" si="2"/>
        <v>#REF!</v>
      </c>
      <c r="O13" s="33" t="e">
        <f t="shared" si="2"/>
        <v>#REF!</v>
      </c>
      <c r="P13" s="33" t="e">
        <f t="shared" si="2"/>
        <v>#REF!</v>
      </c>
      <c r="Q13" s="33" t="e">
        <f t="shared" si="2"/>
        <v>#REF!</v>
      </c>
      <c r="R13" s="33" t="e">
        <f t="shared" si="2"/>
        <v>#REF!</v>
      </c>
      <c r="S13" s="33" t="e">
        <f t="shared" si="2"/>
        <v>#REF!</v>
      </c>
      <c r="T13" s="33" t="e">
        <f t="shared" si="2"/>
        <v>#REF!</v>
      </c>
      <c r="U13" s="33" t="e">
        <f t="shared" si="2"/>
        <v>#REF!</v>
      </c>
      <c r="V13" s="33" t="e">
        <f t="shared" si="2"/>
        <v>#REF!</v>
      </c>
      <c r="W13" s="33" t="e">
        <f t="shared" si="2"/>
        <v>#REF!</v>
      </c>
      <c r="X13" s="33" t="e">
        <f t="shared" si="2"/>
        <v>#REF!</v>
      </c>
      <c r="Y13" s="33" t="e">
        <f t="shared" si="2"/>
        <v>#REF!</v>
      </c>
      <c r="Z13" s="33" t="e">
        <f t="shared" si="2"/>
        <v>#REF!</v>
      </c>
      <c r="AA13" s="33" t="e">
        <f t="shared" si="2"/>
        <v>#REF!</v>
      </c>
      <c r="AB13" s="33" t="e">
        <f t="shared" si="2"/>
        <v>#REF!</v>
      </c>
      <c r="AC13" s="33" t="e">
        <f t="shared" si="2"/>
        <v>#REF!</v>
      </c>
      <c r="AD13" s="33" t="e">
        <f t="shared" si="2"/>
        <v>#REF!</v>
      </c>
      <c r="AE13" s="33" t="e">
        <f t="shared" si="2"/>
        <v>#REF!</v>
      </c>
      <c r="AF13" s="33" t="e">
        <f t="shared" si="2"/>
        <v>#REF!</v>
      </c>
      <c r="AG13" s="33" t="e">
        <f t="shared" si="2"/>
        <v>#REF!</v>
      </c>
      <c r="AH13" s="33" t="e">
        <f t="shared" si="2"/>
        <v>#REF!</v>
      </c>
      <c r="AI13" s="33" t="e">
        <f t="shared" si="2"/>
        <v>#REF!</v>
      </c>
      <c r="AJ13" s="33" t="e">
        <f t="shared" si="2"/>
        <v>#REF!</v>
      </c>
      <c r="AK13" s="33" t="e">
        <f t="shared" si="2"/>
        <v>#REF!</v>
      </c>
      <c r="AL13" s="33" t="e">
        <f t="shared" si="2"/>
        <v>#REF!</v>
      </c>
      <c r="AM13" s="33" t="e">
        <f t="shared" si="2"/>
        <v>#REF!</v>
      </c>
      <c r="AN13" s="33" t="e">
        <f t="shared" si="2"/>
        <v>#REF!</v>
      </c>
      <c r="AO13" s="33" t="e">
        <f t="shared" si="2"/>
        <v>#REF!</v>
      </c>
      <c r="AP13" s="33" t="e">
        <f t="shared" si="2"/>
        <v>#REF!</v>
      </c>
      <c r="AQ13" s="33" t="e">
        <f t="shared" si="2"/>
        <v>#REF!</v>
      </c>
      <c r="AR13" s="33" t="e">
        <f t="shared" si="2"/>
        <v>#REF!</v>
      </c>
      <c r="AS13" s="33" t="e">
        <f t="shared" si="2"/>
        <v>#REF!</v>
      </c>
      <c r="AT13" s="33" t="e">
        <f t="shared" si="2"/>
        <v>#REF!</v>
      </c>
      <c r="AU13" s="33" t="e">
        <f t="shared" si="2"/>
        <v>#REF!</v>
      </c>
      <c r="AV13" s="33" t="e">
        <f t="shared" si="2"/>
        <v>#REF!</v>
      </c>
      <c r="AW13" s="33" t="e">
        <f t="shared" si="2"/>
        <v>#REF!</v>
      </c>
      <c r="AX13" s="33" t="e">
        <f t="shared" si="2"/>
        <v>#REF!</v>
      </c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</row>
    <row r="14" spans="1:62" x14ac:dyDescent="0.3">
      <c r="A14" t="s">
        <v>738</v>
      </c>
      <c r="B14">
        <v>0</v>
      </c>
      <c r="C14" s="32" t="e">
        <f>+PMT($C$4,$B$6,-$B$2,0)</f>
        <v>#REF!</v>
      </c>
      <c r="D14" s="32" t="e">
        <f t="shared" ref="D14:AX14" si="3">+PMT($C$4,$B$6,-$B$2,0)</f>
        <v>#REF!</v>
      </c>
      <c r="E14" s="32" t="e">
        <f t="shared" si="3"/>
        <v>#REF!</v>
      </c>
      <c r="F14" s="32" t="e">
        <f t="shared" si="3"/>
        <v>#REF!</v>
      </c>
      <c r="G14" s="32" t="e">
        <f t="shared" si="3"/>
        <v>#REF!</v>
      </c>
      <c r="H14" s="32" t="e">
        <f t="shared" si="3"/>
        <v>#REF!</v>
      </c>
      <c r="I14" s="32" t="e">
        <f t="shared" si="3"/>
        <v>#REF!</v>
      </c>
      <c r="J14" s="32" t="e">
        <f t="shared" si="3"/>
        <v>#REF!</v>
      </c>
      <c r="K14" s="32" t="e">
        <f t="shared" si="3"/>
        <v>#REF!</v>
      </c>
      <c r="L14" s="32" t="e">
        <f t="shared" si="3"/>
        <v>#REF!</v>
      </c>
      <c r="M14" s="32" t="e">
        <f t="shared" si="3"/>
        <v>#REF!</v>
      </c>
      <c r="N14" s="32" t="e">
        <f t="shared" si="3"/>
        <v>#REF!</v>
      </c>
      <c r="O14" s="32" t="e">
        <f t="shared" si="3"/>
        <v>#REF!</v>
      </c>
      <c r="P14" s="32" t="e">
        <f t="shared" si="3"/>
        <v>#REF!</v>
      </c>
      <c r="Q14" s="32" t="e">
        <f t="shared" si="3"/>
        <v>#REF!</v>
      </c>
      <c r="R14" s="32" t="e">
        <f t="shared" si="3"/>
        <v>#REF!</v>
      </c>
      <c r="S14" s="32" t="e">
        <f t="shared" si="3"/>
        <v>#REF!</v>
      </c>
      <c r="T14" s="32" t="e">
        <f t="shared" si="3"/>
        <v>#REF!</v>
      </c>
      <c r="U14" s="32" t="e">
        <f t="shared" si="3"/>
        <v>#REF!</v>
      </c>
      <c r="V14" s="32" t="e">
        <f t="shared" si="3"/>
        <v>#REF!</v>
      </c>
      <c r="W14" s="32" t="e">
        <f t="shared" si="3"/>
        <v>#REF!</v>
      </c>
      <c r="X14" s="32" t="e">
        <f t="shared" si="3"/>
        <v>#REF!</v>
      </c>
      <c r="Y14" s="32" t="e">
        <f t="shared" si="3"/>
        <v>#REF!</v>
      </c>
      <c r="Z14" s="32" t="e">
        <f t="shared" si="3"/>
        <v>#REF!</v>
      </c>
      <c r="AA14" s="32" t="e">
        <f t="shared" si="3"/>
        <v>#REF!</v>
      </c>
      <c r="AB14" s="32" t="e">
        <f t="shared" si="3"/>
        <v>#REF!</v>
      </c>
      <c r="AC14" s="32" t="e">
        <f t="shared" si="3"/>
        <v>#REF!</v>
      </c>
      <c r="AD14" s="32" t="e">
        <f t="shared" si="3"/>
        <v>#REF!</v>
      </c>
      <c r="AE14" s="32" t="e">
        <f t="shared" si="3"/>
        <v>#REF!</v>
      </c>
      <c r="AF14" s="32" t="e">
        <f t="shared" si="3"/>
        <v>#REF!</v>
      </c>
      <c r="AG14" s="32" t="e">
        <f t="shared" si="3"/>
        <v>#REF!</v>
      </c>
      <c r="AH14" s="32" t="e">
        <f t="shared" si="3"/>
        <v>#REF!</v>
      </c>
      <c r="AI14" s="32" t="e">
        <f t="shared" si="3"/>
        <v>#REF!</v>
      </c>
      <c r="AJ14" s="32" t="e">
        <f t="shared" si="3"/>
        <v>#REF!</v>
      </c>
      <c r="AK14" s="32" t="e">
        <f t="shared" si="3"/>
        <v>#REF!</v>
      </c>
      <c r="AL14" s="32" t="e">
        <f t="shared" si="3"/>
        <v>#REF!</v>
      </c>
      <c r="AM14" s="32" t="e">
        <f t="shared" si="3"/>
        <v>#REF!</v>
      </c>
      <c r="AN14" s="32" t="e">
        <f t="shared" si="3"/>
        <v>#REF!</v>
      </c>
      <c r="AO14" s="32" t="e">
        <f t="shared" si="3"/>
        <v>#REF!</v>
      </c>
      <c r="AP14" s="32" t="e">
        <f t="shared" si="3"/>
        <v>#REF!</v>
      </c>
      <c r="AQ14" s="32" t="e">
        <f t="shared" si="3"/>
        <v>#REF!</v>
      </c>
      <c r="AR14" s="32" t="e">
        <f t="shared" si="3"/>
        <v>#REF!</v>
      </c>
      <c r="AS14" s="32" t="e">
        <f t="shared" si="3"/>
        <v>#REF!</v>
      </c>
      <c r="AT14" s="32" t="e">
        <f t="shared" si="3"/>
        <v>#REF!</v>
      </c>
      <c r="AU14" s="32" t="e">
        <f t="shared" si="3"/>
        <v>#REF!</v>
      </c>
      <c r="AV14" s="32" t="e">
        <f t="shared" si="3"/>
        <v>#REF!</v>
      </c>
      <c r="AW14" s="32" t="e">
        <f t="shared" si="3"/>
        <v>#REF!</v>
      </c>
      <c r="AX14" s="32" t="e">
        <f t="shared" si="3"/>
        <v>#REF!</v>
      </c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</row>
    <row r="15" spans="1:62" x14ac:dyDescent="0.3">
      <c r="A15" t="s">
        <v>719</v>
      </c>
      <c r="B15">
        <v>0</v>
      </c>
      <c r="C15" s="41" t="e">
        <f>+$B$7*(B11/1000000)</f>
        <v>#REF!</v>
      </c>
      <c r="D15" s="41" t="e">
        <f t="shared" ref="D15:AX15" si="4">+$B$7*(C11/1000000)</f>
        <v>#REF!</v>
      </c>
      <c r="E15" s="41" t="e">
        <f t="shared" si="4"/>
        <v>#REF!</v>
      </c>
      <c r="F15" s="41" t="e">
        <f t="shared" si="4"/>
        <v>#REF!</v>
      </c>
      <c r="G15" s="41" t="e">
        <f t="shared" si="4"/>
        <v>#REF!</v>
      </c>
      <c r="H15" s="41" t="e">
        <f t="shared" si="4"/>
        <v>#REF!</v>
      </c>
      <c r="I15" s="41" t="e">
        <f t="shared" si="4"/>
        <v>#REF!</v>
      </c>
      <c r="J15" s="41" t="e">
        <f t="shared" si="4"/>
        <v>#REF!</v>
      </c>
      <c r="K15" s="41" t="e">
        <f t="shared" si="4"/>
        <v>#REF!</v>
      </c>
      <c r="L15" s="41" t="e">
        <f t="shared" si="4"/>
        <v>#REF!</v>
      </c>
      <c r="M15" s="41" t="e">
        <f t="shared" si="4"/>
        <v>#REF!</v>
      </c>
      <c r="N15" s="41" t="e">
        <f t="shared" si="4"/>
        <v>#REF!</v>
      </c>
      <c r="O15" s="41" t="e">
        <f t="shared" si="4"/>
        <v>#REF!</v>
      </c>
      <c r="P15" s="41" t="e">
        <f t="shared" si="4"/>
        <v>#REF!</v>
      </c>
      <c r="Q15" s="41" t="e">
        <f t="shared" si="4"/>
        <v>#REF!</v>
      </c>
      <c r="R15" s="41" t="e">
        <f t="shared" si="4"/>
        <v>#REF!</v>
      </c>
      <c r="S15" s="41" t="e">
        <f t="shared" si="4"/>
        <v>#REF!</v>
      </c>
      <c r="T15" s="41" t="e">
        <f t="shared" si="4"/>
        <v>#REF!</v>
      </c>
      <c r="U15" s="41" t="e">
        <f t="shared" si="4"/>
        <v>#REF!</v>
      </c>
      <c r="V15" s="41" t="e">
        <f t="shared" si="4"/>
        <v>#REF!</v>
      </c>
      <c r="W15" s="41" t="e">
        <f t="shared" si="4"/>
        <v>#REF!</v>
      </c>
      <c r="X15" s="41" t="e">
        <f t="shared" si="4"/>
        <v>#REF!</v>
      </c>
      <c r="Y15" s="41" t="e">
        <f t="shared" si="4"/>
        <v>#REF!</v>
      </c>
      <c r="Z15" s="41" t="e">
        <f t="shared" si="4"/>
        <v>#REF!</v>
      </c>
      <c r="AA15" s="41" t="e">
        <f t="shared" si="4"/>
        <v>#REF!</v>
      </c>
      <c r="AB15" s="41" t="e">
        <f t="shared" si="4"/>
        <v>#REF!</v>
      </c>
      <c r="AC15" s="41" t="e">
        <f t="shared" si="4"/>
        <v>#REF!</v>
      </c>
      <c r="AD15" s="41" t="e">
        <f t="shared" si="4"/>
        <v>#REF!</v>
      </c>
      <c r="AE15" s="41" t="e">
        <f t="shared" si="4"/>
        <v>#REF!</v>
      </c>
      <c r="AF15" s="41" t="e">
        <f t="shared" si="4"/>
        <v>#REF!</v>
      </c>
      <c r="AG15" s="41" t="e">
        <f t="shared" si="4"/>
        <v>#REF!</v>
      </c>
      <c r="AH15" s="41" t="e">
        <f t="shared" si="4"/>
        <v>#REF!</v>
      </c>
      <c r="AI15" s="41" t="e">
        <f t="shared" si="4"/>
        <v>#REF!</v>
      </c>
      <c r="AJ15" s="41" t="e">
        <f t="shared" si="4"/>
        <v>#REF!</v>
      </c>
      <c r="AK15" s="41" t="e">
        <f t="shared" si="4"/>
        <v>#REF!</v>
      </c>
      <c r="AL15" s="41" t="e">
        <f t="shared" si="4"/>
        <v>#REF!</v>
      </c>
      <c r="AM15" s="41" t="e">
        <f t="shared" si="4"/>
        <v>#REF!</v>
      </c>
      <c r="AN15" s="41" t="e">
        <f t="shared" si="4"/>
        <v>#REF!</v>
      </c>
      <c r="AO15" s="41" t="e">
        <f t="shared" si="4"/>
        <v>#REF!</v>
      </c>
      <c r="AP15" s="41" t="e">
        <f t="shared" si="4"/>
        <v>#REF!</v>
      </c>
      <c r="AQ15" s="41" t="e">
        <f t="shared" si="4"/>
        <v>#REF!</v>
      </c>
      <c r="AR15" s="41" t="e">
        <f t="shared" si="4"/>
        <v>#REF!</v>
      </c>
      <c r="AS15" s="41" t="e">
        <f t="shared" si="4"/>
        <v>#REF!</v>
      </c>
      <c r="AT15" s="41" t="e">
        <f t="shared" si="4"/>
        <v>#REF!</v>
      </c>
      <c r="AU15" s="41" t="e">
        <f t="shared" si="4"/>
        <v>#REF!</v>
      </c>
      <c r="AV15" s="41" t="e">
        <f t="shared" si="4"/>
        <v>#REF!</v>
      </c>
      <c r="AW15" s="41" t="e">
        <f t="shared" si="4"/>
        <v>#REF!</v>
      </c>
      <c r="AX15" s="41" t="e">
        <f t="shared" si="4"/>
        <v>#REF!</v>
      </c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</row>
    <row r="16" spans="1:62" x14ac:dyDescent="0.3">
      <c r="A16" t="s">
        <v>739</v>
      </c>
      <c r="B16">
        <v>0</v>
      </c>
      <c r="C16" s="32" t="e">
        <f>+PMT($B$4,$B$6,-$B$2,0)</f>
        <v>#REF!</v>
      </c>
      <c r="D16" s="32" t="e">
        <f t="shared" ref="D16:AX16" si="5">+PMT($B$4,$B$6,-$B$2,0)</f>
        <v>#REF!</v>
      </c>
      <c r="E16" s="32" t="e">
        <f t="shared" si="5"/>
        <v>#REF!</v>
      </c>
      <c r="F16" s="32" t="e">
        <f t="shared" si="5"/>
        <v>#REF!</v>
      </c>
      <c r="G16" s="32" t="e">
        <f t="shared" si="5"/>
        <v>#REF!</v>
      </c>
      <c r="H16" s="32" t="e">
        <f t="shared" si="5"/>
        <v>#REF!</v>
      </c>
      <c r="I16" s="32" t="e">
        <f t="shared" si="5"/>
        <v>#REF!</v>
      </c>
      <c r="J16" s="32" t="e">
        <f t="shared" si="5"/>
        <v>#REF!</v>
      </c>
      <c r="K16" s="32" t="e">
        <f t="shared" si="5"/>
        <v>#REF!</v>
      </c>
      <c r="L16" s="32" t="e">
        <f t="shared" si="5"/>
        <v>#REF!</v>
      </c>
      <c r="M16" s="32" t="e">
        <f t="shared" si="5"/>
        <v>#REF!</v>
      </c>
      <c r="N16" s="32" t="e">
        <f t="shared" si="5"/>
        <v>#REF!</v>
      </c>
      <c r="O16" s="32" t="e">
        <f t="shared" si="5"/>
        <v>#REF!</v>
      </c>
      <c r="P16" s="32" t="e">
        <f t="shared" si="5"/>
        <v>#REF!</v>
      </c>
      <c r="Q16" s="32" t="e">
        <f t="shared" si="5"/>
        <v>#REF!</v>
      </c>
      <c r="R16" s="32" t="e">
        <f t="shared" si="5"/>
        <v>#REF!</v>
      </c>
      <c r="S16" s="32" t="e">
        <f t="shared" si="5"/>
        <v>#REF!</v>
      </c>
      <c r="T16" s="32" t="e">
        <f t="shared" si="5"/>
        <v>#REF!</v>
      </c>
      <c r="U16" s="32" t="e">
        <f t="shared" si="5"/>
        <v>#REF!</v>
      </c>
      <c r="V16" s="32" t="e">
        <f t="shared" si="5"/>
        <v>#REF!</v>
      </c>
      <c r="W16" s="32" t="e">
        <f t="shared" si="5"/>
        <v>#REF!</v>
      </c>
      <c r="X16" s="32" t="e">
        <f t="shared" si="5"/>
        <v>#REF!</v>
      </c>
      <c r="Y16" s="32" t="e">
        <f t="shared" si="5"/>
        <v>#REF!</v>
      </c>
      <c r="Z16" s="32" t="e">
        <f t="shared" si="5"/>
        <v>#REF!</v>
      </c>
      <c r="AA16" s="32" t="e">
        <f t="shared" si="5"/>
        <v>#REF!</v>
      </c>
      <c r="AB16" s="32" t="e">
        <f t="shared" si="5"/>
        <v>#REF!</v>
      </c>
      <c r="AC16" s="32" t="e">
        <f t="shared" si="5"/>
        <v>#REF!</v>
      </c>
      <c r="AD16" s="32" t="e">
        <f t="shared" si="5"/>
        <v>#REF!</v>
      </c>
      <c r="AE16" s="32" t="e">
        <f t="shared" si="5"/>
        <v>#REF!</v>
      </c>
      <c r="AF16" s="32" t="e">
        <f t="shared" si="5"/>
        <v>#REF!</v>
      </c>
      <c r="AG16" s="32" t="e">
        <f t="shared" si="5"/>
        <v>#REF!</v>
      </c>
      <c r="AH16" s="32" t="e">
        <f t="shared" si="5"/>
        <v>#REF!</v>
      </c>
      <c r="AI16" s="32" t="e">
        <f t="shared" si="5"/>
        <v>#REF!</v>
      </c>
      <c r="AJ16" s="32" t="e">
        <f t="shared" si="5"/>
        <v>#REF!</v>
      </c>
      <c r="AK16" s="32" t="e">
        <f t="shared" si="5"/>
        <v>#REF!</v>
      </c>
      <c r="AL16" s="32" t="e">
        <f t="shared" si="5"/>
        <v>#REF!</v>
      </c>
      <c r="AM16" s="32" t="e">
        <f t="shared" si="5"/>
        <v>#REF!</v>
      </c>
      <c r="AN16" s="32" t="e">
        <f t="shared" si="5"/>
        <v>#REF!</v>
      </c>
      <c r="AO16" s="32" t="e">
        <f t="shared" si="5"/>
        <v>#REF!</v>
      </c>
      <c r="AP16" s="32" t="e">
        <f t="shared" si="5"/>
        <v>#REF!</v>
      </c>
      <c r="AQ16" s="32" t="e">
        <f t="shared" si="5"/>
        <v>#REF!</v>
      </c>
      <c r="AR16" s="32" t="e">
        <f t="shared" si="5"/>
        <v>#REF!</v>
      </c>
      <c r="AS16" s="32" t="e">
        <f t="shared" si="5"/>
        <v>#REF!</v>
      </c>
      <c r="AT16" s="32" t="e">
        <f t="shared" si="5"/>
        <v>#REF!</v>
      </c>
      <c r="AU16" s="32" t="e">
        <f t="shared" si="5"/>
        <v>#REF!</v>
      </c>
      <c r="AV16" s="32" t="e">
        <f t="shared" si="5"/>
        <v>#REF!</v>
      </c>
      <c r="AW16" s="32" t="e">
        <f t="shared" si="5"/>
        <v>#REF!</v>
      </c>
      <c r="AX16" s="32" t="e">
        <f t="shared" si="5"/>
        <v>#REF!</v>
      </c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</row>
    <row r="18" spans="1:62" x14ac:dyDescent="0.3">
      <c r="A18" t="s">
        <v>640</v>
      </c>
      <c r="B18" s="30" t="e">
        <f>+SUM(B13:BJ13)</f>
        <v>#REF!</v>
      </c>
    </row>
    <row r="19" spans="1:62" x14ac:dyDescent="0.3">
      <c r="A19" t="s">
        <v>642</v>
      </c>
      <c r="B19" s="30" t="e">
        <f>+SUM(B12:BJ12)</f>
        <v>#REF!</v>
      </c>
    </row>
    <row r="20" spans="1:62" x14ac:dyDescent="0.3">
      <c r="A20" t="s">
        <v>719</v>
      </c>
      <c r="B20" s="30" t="e">
        <f>+SUM(B15:BJ15)</f>
        <v>#REF!</v>
      </c>
    </row>
    <row r="23" spans="1:62" x14ac:dyDescent="0.3">
      <c r="A23" s="6" t="s">
        <v>740</v>
      </c>
      <c r="B23" t="s">
        <v>728</v>
      </c>
      <c r="C23" t="s">
        <v>729</v>
      </c>
    </row>
    <row r="24" spans="1:62" x14ac:dyDescent="0.3">
      <c r="A24" t="s">
        <v>640</v>
      </c>
      <c r="B24" s="28" t="e">
        <f>+#REF!</f>
        <v>#REF!</v>
      </c>
      <c r="D24" t="s">
        <v>627</v>
      </c>
      <c r="E24" s="32" t="e">
        <f>+PMT(B26,B28,B24)</f>
        <v>#REF!</v>
      </c>
    </row>
    <row r="25" spans="1:62" x14ac:dyDescent="0.3">
      <c r="A25" t="s">
        <v>730</v>
      </c>
      <c r="B25" s="16">
        <v>0.20649999999999999</v>
      </c>
      <c r="C25" s="16">
        <v>0.18990000000000001</v>
      </c>
      <c r="E25" s="32"/>
    </row>
    <row r="26" spans="1:62" x14ac:dyDescent="0.3">
      <c r="A26" t="s">
        <v>731</v>
      </c>
      <c r="B26" s="16">
        <v>1.6400000000000001E-2</v>
      </c>
      <c r="C26" s="40">
        <v>1.46E-2</v>
      </c>
    </row>
    <row r="27" spans="1:62" x14ac:dyDescent="0.3">
      <c r="A27" t="s">
        <v>732</v>
      </c>
      <c r="B27">
        <v>5</v>
      </c>
    </row>
    <row r="28" spans="1:62" x14ac:dyDescent="0.3">
      <c r="A28" t="s">
        <v>733</v>
      </c>
      <c r="B28">
        <f>+B27*12</f>
        <v>60</v>
      </c>
    </row>
    <row r="29" spans="1:62" x14ac:dyDescent="0.3">
      <c r="A29" t="s">
        <v>734</v>
      </c>
      <c r="B29">
        <v>1159</v>
      </c>
    </row>
    <row r="32" spans="1:62" x14ac:dyDescent="0.3">
      <c r="A32" t="s">
        <v>735</v>
      </c>
      <c r="B32">
        <v>0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  <c r="I32">
        <v>7</v>
      </c>
      <c r="J32">
        <v>8</v>
      </c>
      <c r="K32">
        <v>9</v>
      </c>
      <c r="L32">
        <v>10</v>
      </c>
      <c r="M32">
        <v>11</v>
      </c>
      <c r="N32">
        <v>12</v>
      </c>
      <c r="O32">
        <v>13</v>
      </c>
      <c r="P32">
        <v>14</v>
      </c>
      <c r="Q32">
        <v>15</v>
      </c>
      <c r="R32">
        <v>16</v>
      </c>
      <c r="S32">
        <v>17</v>
      </c>
      <c r="T32">
        <v>18</v>
      </c>
      <c r="U32">
        <v>19</v>
      </c>
      <c r="V32">
        <v>20</v>
      </c>
      <c r="W32">
        <v>21</v>
      </c>
      <c r="X32">
        <v>22</v>
      </c>
      <c r="Y32">
        <v>23</v>
      </c>
      <c r="Z32">
        <v>24</v>
      </c>
      <c r="AA32">
        <v>25</v>
      </c>
      <c r="AB32">
        <v>26</v>
      </c>
      <c r="AC32">
        <v>27</v>
      </c>
      <c r="AD32">
        <v>28</v>
      </c>
      <c r="AE32">
        <v>29</v>
      </c>
      <c r="AF32">
        <v>30</v>
      </c>
      <c r="AG32">
        <v>31</v>
      </c>
      <c r="AH32">
        <v>32</v>
      </c>
      <c r="AI32">
        <v>33</v>
      </c>
      <c r="AJ32">
        <v>34</v>
      </c>
      <c r="AK32">
        <v>35</v>
      </c>
      <c r="AL32">
        <v>36</v>
      </c>
      <c r="AM32">
        <v>37</v>
      </c>
      <c r="AN32">
        <v>38</v>
      </c>
      <c r="AO32">
        <v>39</v>
      </c>
      <c r="AP32">
        <v>40</v>
      </c>
      <c r="AQ32">
        <v>41</v>
      </c>
      <c r="AR32">
        <v>42</v>
      </c>
      <c r="AS32">
        <v>43</v>
      </c>
      <c r="AT32">
        <v>44</v>
      </c>
      <c r="AU32">
        <v>45</v>
      </c>
      <c r="AV32">
        <v>46</v>
      </c>
      <c r="AW32">
        <v>47</v>
      </c>
      <c r="AX32">
        <v>48</v>
      </c>
      <c r="AY32">
        <v>49</v>
      </c>
      <c r="AZ32">
        <v>50</v>
      </c>
      <c r="BA32">
        <v>51</v>
      </c>
      <c r="BB32">
        <v>52</v>
      </c>
      <c r="BC32">
        <v>53</v>
      </c>
      <c r="BD32">
        <v>54</v>
      </c>
      <c r="BE32">
        <v>55</v>
      </c>
      <c r="BF32">
        <v>56</v>
      </c>
      <c r="BG32">
        <v>57</v>
      </c>
      <c r="BH32">
        <v>58</v>
      </c>
      <c r="BI32">
        <v>59</v>
      </c>
      <c r="BJ32">
        <v>60</v>
      </c>
    </row>
    <row r="33" spans="1:62" x14ac:dyDescent="0.3">
      <c r="A33" t="s">
        <v>716</v>
      </c>
      <c r="B33" s="41" t="e">
        <f>+B24</f>
        <v>#REF!</v>
      </c>
      <c r="C33" s="33">
        <f ca="1">+'Prestamo 5 años'!L5</f>
        <v>48993160.395542905</v>
      </c>
      <c r="D33" s="33">
        <f ca="1">+'Prestamo 5 años'!M5</f>
        <v>48563482.920228921</v>
      </c>
      <c r="E33" s="33">
        <f ca="1">+'Prestamo 5 años'!N5</f>
        <v>48124853.830845907</v>
      </c>
      <c r="F33" s="33">
        <f ca="1">+'Prestamo 5 años'!O5</f>
        <v>47677086.635434069</v>
      </c>
      <c r="G33" s="33">
        <f ca="1">+'Prestamo 5 años'!P5</f>
        <v>47219990.956784479</v>
      </c>
      <c r="H33" s="33">
        <f ca="1">+'Prestamo 5 años'!Q5</f>
        <v>46753372.45149637</v>
      </c>
      <c r="I33" s="33">
        <f ca="1">+'Prestamo 5 años'!R5</f>
        <v>46277032.727348089</v>
      </c>
      <c r="J33" s="33">
        <f ca="1">+'Prestamo 5 años'!S5</f>
        <v>45790769.258946709</v>
      </c>
      <c r="K33" s="33">
        <f ca="1">+'Prestamo 5 años'!T5</f>
        <v>45294375.301620305</v>
      </c>
      <c r="L33" s="33">
        <f ca="1">+'Prestamo 5 años'!U5</f>
        <v>44787639.803516276</v>
      </c>
      <c r="M33" s="33">
        <f ca="1">+'Prestamo 5 años'!V5</f>
        <v>44270347.315868407</v>
      </c>
      <c r="N33" s="33">
        <f ca="1">+'Prestamo 5 años'!W5</f>
        <v>43742277.901394539</v>
      </c>
      <c r="O33" s="33">
        <f ca="1">+'Prestamo 5 años'!X5</f>
        <v>43203207.040785797</v>
      </c>
      <c r="P33" s="33">
        <f ca="1">+'Prestamo 5 años'!Y5</f>
        <v>42652905.53724771</v>
      </c>
      <c r="Q33" s="33">
        <f ca="1">+'Prestamo 5 años'!Z5</f>
        <v>42091139.419052586</v>
      </c>
      <c r="R33" s="33">
        <f ca="1">+'Prestamo 5 años'!AA5</f>
        <v>41517669.840061709</v>
      </c>
      <c r="S33" s="33">
        <f ca="1">+'Prestamo 5 años'!AB5</f>
        <v>40932252.978175215</v>
      </c>
      <c r="T33" s="33">
        <f ca="1">+'Prestamo 5 años'!AC5</f>
        <v>40334639.931666069</v>
      </c>
      <c r="U33" s="33">
        <f ca="1">+'Prestamo 5 años'!AD5</f>
        <v>39724576.613354653</v>
      </c>
      <c r="V33" s="33">
        <f ca="1">+'Prestamo 5 años'!AE5</f>
        <v>39101803.642578423</v>
      </c>
      <c r="W33" s="33">
        <f ca="1">+'Prestamo 5 años'!AF5</f>
        <v>38466056.234911002</v>
      </c>
      <c r="X33" s="33">
        <f ca="1">+'Prestamo 5 años'!AG5</f>
        <v>37817064.089583866</v>
      </c>
      <c r="Y33" s="33">
        <f ca="1">+'Prestamo 5 años'!AH5</f>
        <v>37154551.274562404</v>
      </c>
      <c r="Z33" s="33">
        <f ca="1">+'Prestamo 5 años'!AI5</f>
        <v>36478236.109228</v>
      </c>
      <c r="AA33" s="33">
        <f ca="1">+'Prestamo 5 años'!AJ5</f>
        <v>35787831.044615783</v>
      </c>
      <c r="AB33" s="33">
        <f ca="1">+'Prestamo 5 años'!AK5</f>
        <v>35083042.541157499</v>
      </c>
      <c r="AC33" s="33">
        <f ca="1">+'Prestamo 5 años'!AL5</f>
        <v>34363570.943877146</v>
      </c>
      <c r="AD33" s="33">
        <f ca="1">+'Prestamo 5 años'!AM5</f>
        <v>33629110.354986809</v>
      </c>
      <c r="AE33" s="33">
        <f ca="1">+'Prestamo 5 años'!AN5</f>
        <v>32879348.503827892</v>
      </c>
      <c r="AF33" s="33">
        <f ca="1">+'Prestamo 5 años'!AO5</f>
        <v>32113966.614103198</v>
      </c>
      <c r="AG33" s="33">
        <f ca="1">+'Prestamo 5 años'!AP5</f>
        <v>31332639.268342555</v>
      </c>
      <c r="AH33" s="33">
        <f ca="1">+'Prestamo 5 años'!AQ5</f>
        <v>30535034.26954525</v>
      </c>
      <c r="AI33" s="33">
        <f ca="1">+'Prestamo 5 años'!AR5</f>
        <v>29720812.499939635</v>
      </c>
      <c r="AJ33" s="33">
        <f ca="1">+'Prestamo 5 años'!AS5</f>
        <v>28889627.776800588</v>
      </c>
      <c r="AK33" s="33">
        <f ca="1">+'Prestamo 5 años'!AT5</f>
        <v>28041126.70526281</v>
      </c>
      <c r="AL33" s="33">
        <f ca="1">+'Prestamo 5 años'!AU5</f>
        <v>27174948.528067991</v>
      </c>
      <c r="AM33" s="33">
        <f ca="1">+'Prestamo 5 años'!AV5</f>
        <v>26290724.972181618</v>
      </c>
      <c r="AN33" s="33">
        <f ca="1">+'Prestamo 5 años'!AW5</f>
        <v>25388080.092214286</v>
      </c>
      <c r="AO33" s="33">
        <f ca="1">+'Prestamo 5 años'!AX5</f>
        <v>24466630.110580966</v>
      </c>
      <c r="AP33" s="33">
        <f ca="1">+'Prestamo 5 años'!AY5</f>
        <v>23525983.254330277</v>
      </c>
      <c r="AQ33" s="33">
        <f ca="1">+'Prestamo 5 años'!AZ5</f>
        <v>22565739.58857438</v>
      </c>
      <c r="AR33" s="33">
        <f ca="1">+'Prestamo 5 años'!BA5</f>
        <v>21585490.846448541</v>
      </c>
      <c r="AS33" s="33">
        <f ca="1">+'Prestamo 5 años'!BB5</f>
        <v>20584820.25552842</v>
      </c>
      <c r="AT33" s="33">
        <f ca="1">+'Prestamo 5 años'!BC5</f>
        <v>19563302.360630825</v>
      </c>
      <c r="AU33" s="33">
        <f ca="1">+'Prestamo 5 años'!BD5</f>
        <v>18520502.842922822</v>
      </c>
      <c r="AV33" s="33">
        <f ca="1">+'Prestamo 5 años'!BE5</f>
        <v>17455978.335262612</v>
      </c>
      <c r="AW33" s="33">
        <f ca="1">+'Prestamo 5 años'!BF5</f>
        <v>16369276.233692795</v>
      </c>
      <c r="AX33" s="33">
        <f ca="1">+'Prestamo 5 años'!BG5</f>
        <v>15259934.505006939</v>
      </c>
      <c r="AY33" s="33">
        <f ca="1">+'Prestamo 5 años'!BH5</f>
        <v>14127481.49030678</v>
      </c>
      <c r="AZ33" s="33">
        <f ca="1">+'Prestamo 5 años'!BI5</f>
        <v>12971435.704467058</v>
      </c>
      <c r="BA33" s="33">
        <f ca="1">+'Prestamo 5 años'!BJ5</f>
        <v>11791305.631422341</v>
      </c>
      <c r="BB33" s="33">
        <f ca="1">+'Prestamo 5 años'!BK5</f>
        <v>10586589.515189186</v>
      </c>
      <c r="BC33" s="33">
        <f ca="1">+'Prestamo 5 años'!BL5</f>
        <v>9356775.1465345025</v>
      </c>
      <c r="BD33" s="33">
        <f ca="1">+'Prestamo 5 años'!BM5</f>
        <v>8101339.6451995075</v>
      </c>
      <c r="BE33" s="33">
        <f ca="1">+'Prestamo 5 años'!BN5</f>
        <v>6819749.2375867069</v>
      </c>
      <c r="BF33" s="33">
        <f ca="1">+'Prestamo 5 años'!BO5</f>
        <v>5511459.0298153162</v>
      </c>
      <c r="BG33" s="33">
        <f ca="1">+'Prestamo 5 años'!BP5</f>
        <v>4175912.7760486901</v>
      </c>
      <c r="BH33" s="33">
        <f ca="1">+'Prestamo 5 años'!BQ5</f>
        <v>2812542.6419952512</v>
      </c>
      <c r="BI33" s="33">
        <f ca="1">+'Prestamo 5 años'!BR5</f>
        <v>1420768.9634823799</v>
      </c>
      <c r="BJ33" s="33">
        <f ca="1">+'Prestamo 5 años'!BS5</f>
        <v>4.76837158203125E-7</v>
      </c>
    </row>
    <row r="34" spans="1:62" x14ac:dyDescent="0.3">
      <c r="A34" t="s">
        <v>736</v>
      </c>
      <c r="B34">
        <v>0</v>
      </c>
      <c r="C34" s="30">
        <f ca="1">+'Prestamo 5 años'!L4</f>
        <v>1029459.7696414428</v>
      </c>
      <c r="D34" s="30">
        <f ca="1">+'Prestamo 5 años'!M4</f>
        <v>1020690.8415738107</v>
      </c>
      <c r="E34" s="30">
        <f ca="1">+'Prestamo 5 años'!N4</f>
        <v>1011739.2275047691</v>
      </c>
      <c r="F34" s="30">
        <f ca="1">+'Prestamo 5 años'!O4</f>
        <v>1002601.1214759562</v>
      </c>
      <c r="G34" s="30">
        <f ca="1">+'Prestamo 5 años'!P4</f>
        <v>993272.63823820942</v>
      </c>
      <c r="H34" s="30">
        <f ca="1">+'Prestamo 5 años'!Q4</f>
        <v>983749.8115996765</v>
      </c>
      <c r="I34" s="30">
        <f ca="1">+'Prestamo 5 años'!R4</f>
        <v>974028.59273950732</v>
      </c>
      <c r="J34" s="30">
        <f ca="1">+'Prestamo 5 años'!S4</f>
        <v>964104.84848641814</v>
      </c>
      <c r="K34" s="30">
        <f ca="1">+'Prestamo 5 años'!T4</f>
        <v>953974.35956138931</v>
      </c>
      <c r="L34" s="30">
        <f ca="1">+'Prestamo 5 años'!U4</f>
        <v>943632.818783756</v>
      </c>
      <c r="M34" s="30">
        <f ca="1">+'Prestamo 5 años'!V4</f>
        <v>933075.82923992176</v>
      </c>
      <c r="N34" s="30">
        <f ca="1">+'Prestamo 5 años'!W4</f>
        <v>922298.90241392434</v>
      </c>
      <c r="O34" s="30">
        <f ca="1">+'Prestamo 5 años'!X4</f>
        <v>911297.45627905219</v>
      </c>
      <c r="P34" s="30">
        <f ca="1">+'Prestamo 5 años'!Y4</f>
        <v>900066.81334970344</v>
      </c>
      <c r="Q34" s="30">
        <f ca="1">+'Prestamo 5 años'!Z4</f>
        <v>888602.19869265985</v>
      </c>
      <c r="R34" s="30">
        <f ca="1">+'Prestamo 5 años'!AA4</f>
        <v>876898.73789692787</v>
      </c>
      <c r="S34" s="30">
        <f ca="1">+'Prestamo 5 años'!AB4</f>
        <v>864951.45500128483</v>
      </c>
      <c r="T34" s="30">
        <f ca="1">+'Prestamo 5 años'!AC4</f>
        <v>852755.27037864923</v>
      </c>
      <c r="U34" s="30">
        <f ca="1">+'Prestamo 5 años'!AD4</f>
        <v>840304.99857637519</v>
      </c>
      <c r="V34" s="30">
        <f ca="1">+'Prestamo 5 años'!AE4</f>
        <v>827595.3461115543</v>
      </c>
      <c r="W34" s="30">
        <f ca="1">+'Prestamo 5 años'!AF4</f>
        <v>814620.90922038234</v>
      </c>
      <c r="X34" s="30">
        <f ca="1">+'Prestamo 5 años'!AG4</f>
        <v>801376.17156064475</v>
      </c>
      <c r="Y34" s="30">
        <f ca="1">+'Prestamo 5 años'!AH4</f>
        <v>787855.501866329</v>
      </c>
      <c r="Z34" s="30">
        <f ca="1">+'Prestamo 5 años'!AI4</f>
        <v>774053.15155338182</v>
      </c>
      <c r="AA34" s="30">
        <f ca="1">+'Prestamo 5 años'!AJ4</f>
        <v>759963.25227558159</v>
      </c>
      <c r="AB34" s="30">
        <f ca="1">+'Prestamo 5 años'!AK4</f>
        <v>745579.81342949369</v>
      </c>
      <c r="AC34" s="30">
        <f ca="1">+'Prestamo 5 años'!AL4</f>
        <v>730896.71960744588</v>
      </c>
      <c r="AD34" s="30">
        <f ca="1">+'Prestamo 5 años'!AM4</f>
        <v>715907.72799743852</v>
      </c>
      <c r="AE34" s="30">
        <f ca="1">+'Prestamo 5 años'!AN4</f>
        <v>700606.46572888945</v>
      </c>
      <c r="AF34" s="30">
        <f ca="1">+'Prestamo 5 años'!AO4</f>
        <v>684986.42716307892</v>
      </c>
      <c r="AG34" s="30">
        <f ca="1">+'Prestamo 5 años'!AP4</f>
        <v>669040.97112714732</v>
      </c>
      <c r="AH34" s="30">
        <f ca="1">+'Prestamo 5 años'!AQ4</f>
        <v>652763.31809046736</v>
      </c>
      <c r="AI34" s="30">
        <f ca="1">+'Prestamo 5 años'!AR4</f>
        <v>636146.54728218948</v>
      </c>
      <c r="AJ34" s="30">
        <f ca="1">+'Prestamo 5 años'!AS4</f>
        <v>619183.59374873957</v>
      </c>
      <c r="AK34" s="30">
        <f ca="1">+'Prestamo 5 años'!AT4</f>
        <v>601867.24535000906</v>
      </c>
      <c r="AL34" s="30">
        <f ca="1">+'Prestamo 5 años'!AU4</f>
        <v>584190.13969297195</v>
      </c>
      <c r="AM34" s="30">
        <f ca="1">+'Prestamo 5 años'!AV4</f>
        <v>566144.76100141322</v>
      </c>
      <c r="AN34" s="30">
        <f ca="1">+'Prestamo 5 años'!AW4</f>
        <v>547723.43692044681</v>
      </c>
      <c r="AO34" s="30">
        <f ca="1">+'Prestamo 5 años'!AX4</f>
        <v>528918.33525446034</v>
      </c>
      <c r="AP34" s="30">
        <f ca="1">+'Prestamo 5 años'!AY4</f>
        <v>509721.46063709934</v>
      </c>
      <c r="AQ34" s="30">
        <f ca="1">+'Prestamo 5 años'!AZ4</f>
        <v>490124.65113187651</v>
      </c>
      <c r="AR34" s="30">
        <f ca="1">+'Prestamo 5 años'!BA4</f>
        <v>470119.57476196164</v>
      </c>
      <c r="AS34" s="30">
        <f ca="1">+'Prestamo 5 años'!BB4</f>
        <v>449697.72596767341</v>
      </c>
      <c r="AT34" s="30">
        <f ca="1">+'Prestamo 5 años'!BC4</f>
        <v>428850.42199017084</v>
      </c>
      <c r="AU34" s="30">
        <f ca="1">+'Prestamo 5 años'!BD4</f>
        <v>407568.79917980364</v>
      </c>
      <c r="AV34" s="30">
        <f ca="1">+'Prestamo 5 años'!BE4</f>
        <v>385843.80922755389</v>
      </c>
      <c r="AW34" s="30">
        <f ca="1">+'Prestamo 5 años'!BF4</f>
        <v>363666.2153179656</v>
      </c>
      <c r="AX34" s="30">
        <f ca="1">+'Prestamo 5 años'!BG4</f>
        <v>341026.58820192743</v>
      </c>
      <c r="AY34" s="30">
        <f ca="1">+'Prestamo 5 años'!BH4</f>
        <v>317915.30218763853</v>
      </c>
      <c r="AZ34" s="30">
        <f ca="1">+'Prestamo 5 años'!BI4</f>
        <v>294322.53104805195</v>
      </c>
      <c r="BA34" s="30">
        <f ca="1">+'Prestamo 5 años'!BJ4</f>
        <v>270238.24384305737</v>
      </c>
      <c r="BB34" s="30">
        <f ca="1">+'Prestamo 5 años'!BK4</f>
        <v>245652.20065462534</v>
      </c>
      <c r="BC34" s="30">
        <f ca="1">+'Prestamo 5 años'!BL4</f>
        <v>220553.94823310096</v>
      </c>
      <c r="BD34" s="30">
        <f ca="1">+'Prestamo 5 años'!BM4</f>
        <v>194932.81555279484</v>
      </c>
      <c r="BE34" s="30">
        <f ca="1">+'Prestamo 5 años'!BN4</f>
        <v>168777.90927498238</v>
      </c>
      <c r="BF34" s="30">
        <f ca="1">+'Prestamo 5 años'!BO4</f>
        <v>142078.10911638211</v>
      </c>
      <c r="BG34" s="30">
        <f ca="1">+'Prestamo 5 años'!BP4</f>
        <v>114822.06312114434</v>
      </c>
      <c r="BH34" s="30">
        <f ca="1">+'Prestamo 5 años'!BQ4</f>
        <v>86998.182834339153</v>
      </c>
      <c r="BI34" s="30">
        <f ca="1">+'Prestamo 5 años'!BR4</f>
        <v>58594.638374892158</v>
      </c>
      <c r="BJ34" s="30">
        <f ca="1">+'Prestamo 5 años'!BS4</f>
        <v>29599.353405873357</v>
      </c>
    </row>
    <row r="35" spans="1:62" x14ac:dyDescent="0.3">
      <c r="A35" t="s">
        <v>737</v>
      </c>
      <c r="B35">
        <v>0</v>
      </c>
      <c r="C35" s="33">
        <f ca="1">+'Prestamo 5 años'!L3</f>
        <v>420908.54724635184</v>
      </c>
      <c r="D35" s="33">
        <f ca="1">+'Prestamo 5 años'!M3</f>
        <v>429677.47531398409</v>
      </c>
      <c r="E35" s="33">
        <f ca="1">+'Prestamo 5 años'!N3</f>
        <v>438629.08938302542</v>
      </c>
      <c r="F35" s="33">
        <f ca="1">+'Prestamo 5 años'!O3</f>
        <v>447767.19541183842</v>
      </c>
      <c r="G35" s="33">
        <f ca="1">+'Prestamo 5 años'!P3</f>
        <v>457095.67864958511</v>
      </c>
      <c r="H35" s="33">
        <f ca="1">+'Prestamo 5 años'!Q3</f>
        <v>466618.50528811809</v>
      </c>
      <c r="I35" s="33">
        <f ca="1">+'Prestamo 5 años'!R3</f>
        <v>476339.72414828721</v>
      </c>
      <c r="J35" s="33">
        <f ca="1">+'Prestamo 5 años'!S3</f>
        <v>486263.46840137651</v>
      </c>
      <c r="K35" s="33">
        <f ca="1">+'Prestamo 5 años'!T3</f>
        <v>496393.95732640527</v>
      </c>
      <c r="L35" s="33">
        <f ca="1">+'Prestamo 5 años'!U3</f>
        <v>506735.49810403865</v>
      </c>
      <c r="M35" s="33">
        <f ca="1">+'Prestamo 5 años'!V3</f>
        <v>517292.48764787277</v>
      </c>
      <c r="N35" s="33">
        <f ca="1">+'Prestamo 5 años'!W3</f>
        <v>528069.41447387019</v>
      </c>
      <c r="O35" s="33">
        <f ca="1">+'Prestamo 5 años'!X3</f>
        <v>539070.86060874234</v>
      </c>
      <c r="P35" s="33">
        <f ca="1">+'Prestamo 5 años'!Y3</f>
        <v>550301.5035380912</v>
      </c>
      <c r="Q35" s="33">
        <f ca="1">+'Prestamo 5 años'!Z3</f>
        <v>561766.1181951348</v>
      </c>
      <c r="R35" s="33">
        <f ca="1">+'Prestamo 5 años'!AA3</f>
        <v>573469.57899086678</v>
      </c>
      <c r="S35" s="33">
        <f ca="1">+'Prestamo 5 años'!AB3</f>
        <v>585416.86188650981</v>
      </c>
      <c r="T35" s="33">
        <f ca="1">+'Prestamo 5 años'!AC3</f>
        <v>597613.04650914553</v>
      </c>
      <c r="U35" s="33">
        <f ca="1">+'Prestamo 5 años'!AD3</f>
        <v>610063.31831141934</v>
      </c>
      <c r="V35" s="33">
        <f ca="1">+'Prestamo 5 años'!AE3</f>
        <v>622772.97077624057</v>
      </c>
      <c r="W35" s="33">
        <f ca="1">+'Prestamo 5 años'!AF3</f>
        <v>635747.40766741219</v>
      </c>
      <c r="X35" s="33">
        <f ca="1">+'Prestamo 5 años'!AG3</f>
        <v>648992.14532715001</v>
      </c>
      <c r="Y35" s="33">
        <f ca="1">+'Prestamo 5 años'!AH3</f>
        <v>662512.81502146565</v>
      </c>
      <c r="Z35" s="33">
        <f ca="1">+'Prestamo 5 años'!AI3</f>
        <v>676315.16533441283</v>
      </c>
      <c r="AA35" s="33">
        <f ca="1">+'Prestamo 5 años'!AJ3</f>
        <v>690405.06461221306</v>
      </c>
      <c r="AB35" s="33">
        <f ca="1">+'Prestamo 5 años'!AK3</f>
        <v>704788.50345830084</v>
      </c>
      <c r="AC35" s="33">
        <f ca="1">+'Prestamo 5 años'!AL3</f>
        <v>719471.59728034877</v>
      </c>
      <c r="AD35" s="33">
        <f ca="1">+'Prestamo 5 años'!AM3</f>
        <v>734460.58889035613</v>
      </c>
      <c r="AE35" s="33">
        <f ca="1">+'Prestamo 5 años'!AN3</f>
        <v>749761.85115890508</v>
      </c>
      <c r="AF35" s="33">
        <f ca="1">+'Prestamo 5 años'!AO3</f>
        <v>765381.88972471561</v>
      </c>
      <c r="AG35" s="33">
        <f ca="1">+'Prestamo 5 años'!AP3</f>
        <v>781327.34576064732</v>
      </c>
      <c r="AH35" s="33">
        <f ca="1">+'Prestamo 5 años'!AQ3</f>
        <v>797604.9987973274</v>
      </c>
      <c r="AI35" s="33">
        <f ca="1">+'Prestamo 5 años'!AR3</f>
        <v>814221.76960560493</v>
      </c>
      <c r="AJ35" s="33">
        <f ca="1">+'Prestamo 5 años'!AS3</f>
        <v>831184.72313905519</v>
      </c>
      <c r="AK35" s="33">
        <f ca="1">+'Prestamo 5 años'!AT3</f>
        <v>848501.07153778546</v>
      </c>
      <c r="AL35" s="33">
        <f ca="1">+'Prestamo 5 años'!AU3</f>
        <v>866178.1771948227</v>
      </c>
      <c r="AM35" s="33">
        <f ca="1">+'Prestamo 5 años'!AV3</f>
        <v>884223.55588638142</v>
      </c>
      <c r="AN35" s="33">
        <f ca="1">+'Prestamo 5 años'!AW3</f>
        <v>902644.87996734772</v>
      </c>
      <c r="AO35" s="33">
        <f ca="1">+'Prestamo 5 años'!AX3</f>
        <v>921449.98163333407</v>
      </c>
      <c r="AP35" s="33">
        <f ca="1">+'Prestamo 5 años'!AY3</f>
        <v>940646.85625069519</v>
      </c>
      <c r="AQ35" s="33">
        <f ca="1">+'Prestamo 5 años'!AZ3</f>
        <v>960243.66575591825</v>
      </c>
      <c r="AR35" s="33">
        <f ca="1">+'Prestamo 5 años'!BA3</f>
        <v>980248.74212583306</v>
      </c>
      <c r="AS35" s="33">
        <f ca="1">+'Prestamo 5 años'!BB3</f>
        <v>1000670.5909201212</v>
      </c>
      <c r="AT35" s="33">
        <f ca="1">+'Prestamo 5 años'!BC3</f>
        <v>1021517.8948976237</v>
      </c>
      <c r="AU35" s="33">
        <f ca="1">+'Prestamo 5 años'!BD3</f>
        <v>1042799.5177079909</v>
      </c>
      <c r="AV35" s="33">
        <f ca="1">+'Prestamo 5 años'!BE3</f>
        <v>1064524.5076602406</v>
      </c>
      <c r="AW35" s="33">
        <f ca="1">+'Prestamo 5 años'!BF3</f>
        <v>1086702.101569829</v>
      </c>
      <c r="AX35" s="33">
        <f ca="1">+'Prestamo 5 años'!BG3</f>
        <v>1109341.728685867</v>
      </c>
      <c r="AY35" s="33">
        <f ca="1">+'Prestamo 5 años'!BH3</f>
        <v>1132453.0147001562</v>
      </c>
      <c r="AZ35" s="33">
        <f ca="1">+'Prestamo 5 años'!BI3</f>
        <v>1156045.7858397425</v>
      </c>
      <c r="BA35" s="33">
        <f ca="1">+'Prestamo 5 años'!BJ3</f>
        <v>1180130.0730447373</v>
      </c>
      <c r="BB35" s="33">
        <f ca="1">+'Prestamo 5 años'!BK3</f>
        <v>1204716.1162331693</v>
      </c>
      <c r="BC35" s="33">
        <f ca="1">+'Prestamo 5 años'!BL3</f>
        <v>1229814.3686546935</v>
      </c>
      <c r="BD35" s="33">
        <f ca="1">+'Prestamo 5 años'!BM3</f>
        <v>1255435.5013349997</v>
      </c>
      <c r="BE35" s="33">
        <f ca="1">+'Prestamo 5 años'!BN3</f>
        <v>1281590.4076128122</v>
      </c>
      <c r="BF35" s="33">
        <f ca="1">+'Prestamo 5 años'!BO3</f>
        <v>1308290.2077714126</v>
      </c>
      <c r="BG35" s="33">
        <f ca="1">+'Prestamo 5 años'!BP3</f>
        <v>1335546.2537666503</v>
      </c>
      <c r="BH35" s="33">
        <f ca="1">+'Prestamo 5 años'!BQ3</f>
        <v>1363370.1340534554</v>
      </c>
      <c r="BI35" s="33">
        <f ca="1">+'Prestamo 5 años'!BR3</f>
        <v>1391773.6785129025</v>
      </c>
      <c r="BJ35" s="33">
        <f ca="1">+'Prestamo 5 años'!BS3</f>
        <v>1420768.9634819212</v>
      </c>
    </row>
    <row r="36" spans="1:62" x14ac:dyDescent="0.3">
      <c r="A36" t="s">
        <v>738</v>
      </c>
      <c r="B36">
        <v>0</v>
      </c>
      <c r="C36" s="33">
        <f ca="1">+C34+C35</f>
        <v>1450368.3168877945</v>
      </c>
      <c r="D36" s="33">
        <f t="shared" ref="D36:BJ36" ca="1" si="6">+D34+D35</f>
        <v>1450368.3168877948</v>
      </c>
      <c r="E36" s="33">
        <f t="shared" ca="1" si="6"/>
        <v>1450368.3168877945</v>
      </c>
      <c r="F36" s="33">
        <f t="shared" ca="1" si="6"/>
        <v>1450368.3168877945</v>
      </c>
      <c r="G36" s="33">
        <f t="shared" ca="1" si="6"/>
        <v>1450368.3168877945</v>
      </c>
      <c r="H36" s="33">
        <f t="shared" ca="1" si="6"/>
        <v>1450368.3168877945</v>
      </c>
      <c r="I36" s="33">
        <f t="shared" ca="1" si="6"/>
        <v>1450368.3168877945</v>
      </c>
      <c r="J36" s="33">
        <f t="shared" ca="1" si="6"/>
        <v>1450368.3168877945</v>
      </c>
      <c r="K36" s="33">
        <f t="shared" ca="1" si="6"/>
        <v>1450368.3168877945</v>
      </c>
      <c r="L36" s="33">
        <f t="shared" ca="1" si="6"/>
        <v>1450368.3168877945</v>
      </c>
      <c r="M36" s="33">
        <f t="shared" ca="1" si="6"/>
        <v>1450368.3168877945</v>
      </c>
      <c r="N36" s="33">
        <f t="shared" ca="1" si="6"/>
        <v>1450368.3168877945</v>
      </c>
      <c r="O36" s="33">
        <f t="shared" ca="1" si="6"/>
        <v>1450368.3168877945</v>
      </c>
      <c r="P36" s="33">
        <f t="shared" ca="1" si="6"/>
        <v>1450368.3168877945</v>
      </c>
      <c r="Q36" s="33">
        <f t="shared" ca="1" si="6"/>
        <v>1450368.3168877945</v>
      </c>
      <c r="R36" s="33">
        <f t="shared" ca="1" si="6"/>
        <v>1450368.3168877945</v>
      </c>
      <c r="S36" s="33">
        <f t="shared" ca="1" si="6"/>
        <v>1450368.3168877945</v>
      </c>
      <c r="T36" s="33">
        <f t="shared" ca="1" si="6"/>
        <v>1450368.3168877948</v>
      </c>
      <c r="U36" s="33">
        <f t="shared" ca="1" si="6"/>
        <v>1450368.3168877945</v>
      </c>
      <c r="V36" s="33">
        <f t="shared" ca="1" si="6"/>
        <v>1450368.316887795</v>
      </c>
      <c r="W36" s="33">
        <f t="shared" ca="1" si="6"/>
        <v>1450368.3168877945</v>
      </c>
      <c r="X36" s="33">
        <f t="shared" ca="1" si="6"/>
        <v>1450368.3168877948</v>
      </c>
      <c r="Y36" s="33">
        <f t="shared" ca="1" si="6"/>
        <v>1450368.3168877945</v>
      </c>
      <c r="Z36" s="33">
        <f t="shared" ca="1" si="6"/>
        <v>1450368.3168877945</v>
      </c>
      <c r="AA36" s="33">
        <f t="shared" ca="1" si="6"/>
        <v>1450368.3168877945</v>
      </c>
      <c r="AB36" s="33">
        <f t="shared" ca="1" si="6"/>
        <v>1450368.3168877945</v>
      </c>
      <c r="AC36" s="33">
        <f t="shared" ca="1" si="6"/>
        <v>1450368.3168877945</v>
      </c>
      <c r="AD36" s="33">
        <f t="shared" ca="1" si="6"/>
        <v>1450368.3168877945</v>
      </c>
      <c r="AE36" s="33">
        <f t="shared" ca="1" si="6"/>
        <v>1450368.3168877945</v>
      </c>
      <c r="AF36" s="33">
        <f t="shared" ca="1" si="6"/>
        <v>1450368.3168877945</v>
      </c>
      <c r="AG36" s="33">
        <f t="shared" ca="1" si="6"/>
        <v>1450368.3168877945</v>
      </c>
      <c r="AH36" s="33">
        <f t="shared" ca="1" si="6"/>
        <v>1450368.3168877948</v>
      </c>
      <c r="AI36" s="33">
        <f t="shared" ca="1" si="6"/>
        <v>1450368.3168877945</v>
      </c>
      <c r="AJ36" s="33">
        <f t="shared" ca="1" si="6"/>
        <v>1450368.3168877948</v>
      </c>
      <c r="AK36" s="33">
        <f t="shared" ca="1" si="6"/>
        <v>1450368.3168877945</v>
      </c>
      <c r="AL36" s="33">
        <f t="shared" ca="1" si="6"/>
        <v>1450368.3168877945</v>
      </c>
      <c r="AM36" s="33">
        <f t="shared" ca="1" si="6"/>
        <v>1450368.3168877945</v>
      </c>
      <c r="AN36" s="33">
        <f t="shared" ca="1" si="6"/>
        <v>1450368.3168877945</v>
      </c>
      <c r="AO36" s="33">
        <f t="shared" ca="1" si="6"/>
        <v>1450368.3168877945</v>
      </c>
      <c r="AP36" s="33">
        <f t="shared" ca="1" si="6"/>
        <v>1450368.3168877945</v>
      </c>
      <c r="AQ36" s="33">
        <f t="shared" ca="1" si="6"/>
        <v>1450368.3168877948</v>
      </c>
      <c r="AR36" s="33">
        <f t="shared" ca="1" si="6"/>
        <v>1450368.3168877948</v>
      </c>
      <c r="AS36" s="33">
        <f t="shared" ca="1" si="6"/>
        <v>1450368.3168877945</v>
      </c>
      <c r="AT36" s="33">
        <f t="shared" ca="1" si="6"/>
        <v>1450368.3168877945</v>
      </c>
      <c r="AU36" s="33">
        <f t="shared" ca="1" si="6"/>
        <v>1450368.3168877945</v>
      </c>
      <c r="AV36" s="33">
        <f t="shared" ca="1" si="6"/>
        <v>1450368.3168877945</v>
      </c>
      <c r="AW36" s="33">
        <f t="shared" ca="1" si="6"/>
        <v>1450368.3168877945</v>
      </c>
      <c r="AX36" s="33">
        <f t="shared" ca="1" si="6"/>
        <v>1450368.3168877945</v>
      </c>
      <c r="AY36" s="33">
        <f t="shared" ca="1" si="6"/>
        <v>1450368.3168877948</v>
      </c>
      <c r="AZ36" s="33">
        <f t="shared" ca="1" si="6"/>
        <v>1450368.3168877945</v>
      </c>
      <c r="BA36" s="33">
        <f t="shared" ca="1" si="6"/>
        <v>1450368.3168877948</v>
      </c>
      <c r="BB36" s="33">
        <f t="shared" ca="1" si="6"/>
        <v>1450368.3168877948</v>
      </c>
      <c r="BC36" s="33">
        <f t="shared" ca="1" si="6"/>
        <v>1450368.3168877945</v>
      </c>
      <c r="BD36" s="33">
        <f t="shared" ca="1" si="6"/>
        <v>1450368.3168877945</v>
      </c>
      <c r="BE36" s="33">
        <f t="shared" ca="1" si="6"/>
        <v>1450368.3168877945</v>
      </c>
      <c r="BF36" s="33">
        <f t="shared" ca="1" si="6"/>
        <v>1450368.3168877948</v>
      </c>
      <c r="BG36" s="33">
        <f t="shared" ca="1" si="6"/>
        <v>1450368.3168877948</v>
      </c>
      <c r="BH36" s="33">
        <f t="shared" ca="1" si="6"/>
        <v>1450368.3168877945</v>
      </c>
      <c r="BI36" s="33">
        <f t="shared" ca="1" si="6"/>
        <v>1450368.3168877945</v>
      </c>
      <c r="BJ36" s="33">
        <f t="shared" ca="1" si="6"/>
        <v>1450368.3168877945</v>
      </c>
    </row>
    <row r="37" spans="1:62" x14ac:dyDescent="0.3">
      <c r="A37" t="s">
        <v>719</v>
      </c>
      <c r="B37">
        <v>0</v>
      </c>
      <c r="C37" s="33">
        <f ca="1">+'Prestamo 5 años'!L6</f>
        <v>56783.072898434228</v>
      </c>
      <c r="D37" s="33">
        <f ca="1">+'Prestamo 5 años'!M6</f>
        <v>56285.076704545318</v>
      </c>
      <c r="E37" s="33">
        <f ca="1">+'Prestamo 5 años'!N6</f>
        <v>55776.705589950405</v>
      </c>
      <c r="F37" s="33">
        <f ca="1">+'Prestamo 5 años'!O6</f>
        <v>55257.74341046808</v>
      </c>
      <c r="G37" s="33">
        <f ca="1">+'Prestamo 5 años'!P6</f>
        <v>54727.969518913211</v>
      </c>
      <c r="H37" s="33">
        <f ca="1">+'Prestamo 5 años'!Q6</f>
        <v>54187.158671284291</v>
      </c>
      <c r="I37" s="33">
        <f ca="1">+'Prestamo 5 años'!R6</f>
        <v>53635.080930996432</v>
      </c>
      <c r="J37" s="33">
        <f ca="1">+'Prestamo 5 años'!S6</f>
        <v>53071.501571119239</v>
      </c>
      <c r="K37" s="33">
        <f ca="1">+'Prestamo 5 años'!T6</f>
        <v>52496.180974577932</v>
      </c>
      <c r="L37" s="33">
        <f ca="1">+'Prestamo 5 años'!U6</f>
        <v>51908.874532275368</v>
      </c>
      <c r="M37" s="33">
        <f ca="1">+'Prestamo 5 años'!V6</f>
        <v>51309.332539091483</v>
      </c>
      <c r="N37" s="33">
        <f ca="1">+'Prestamo 5 años'!W6</f>
        <v>50697.30008771627</v>
      </c>
      <c r="O37" s="33">
        <f ca="1">+'Prestamo 5 años'!X6</f>
        <v>50072.516960270739</v>
      </c>
      <c r="P37" s="33">
        <f ca="1">+'Prestamo 5 años'!Y6</f>
        <v>49434.717517670098</v>
      </c>
      <c r="Q37" s="33">
        <f ca="1">+'Prestamo 5 años'!Z6</f>
        <v>48783.630586681953</v>
      </c>
      <c r="R37" s="33">
        <f ca="1">+'Prestamo 5 años'!AA6</f>
        <v>48118.979344631516</v>
      </c>
      <c r="S37" s="33">
        <f ca="1">+'Prestamo 5 años'!AB6</f>
        <v>47440.481201705072</v>
      </c>
      <c r="T37" s="33">
        <f ca="1">+'Prestamo 5 años'!AC6</f>
        <v>46747.847680800973</v>
      </c>
      <c r="U37" s="33">
        <f ca="1">+'Prestamo 5 años'!AD6</f>
        <v>46040.784294878038</v>
      </c>
      <c r="V37" s="33">
        <f ca="1">+'Prestamo 5 años'!AE6</f>
        <v>45318.990421748393</v>
      </c>
      <c r="W37" s="33">
        <f ca="1">+'Prestamo 5 años'!AF6</f>
        <v>44582.159176261848</v>
      </c>
      <c r="X37" s="33">
        <f ca="1">+'Prestamo 5 años'!AG6</f>
        <v>43829.977279827697</v>
      </c>
      <c r="Y37" s="33">
        <f ca="1">+'Prestamo 5 años'!AH6</f>
        <v>43062.124927217825</v>
      </c>
      <c r="Z37" s="33">
        <f ca="1">+'Prestamo 5 años'!AI6</f>
        <v>42278.275650595249</v>
      </c>
      <c r="AA37" s="33">
        <f ca="1">+'Prestamo 5 años'!AJ6</f>
        <v>41478.096180709697</v>
      </c>
      <c r="AB37" s="33">
        <f ca="1">+'Prestamo 5 años'!AK6</f>
        <v>40661.246305201537</v>
      </c>
      <c r="AC37" s="33">
        <f ca="1">+'Prestamo 5 años'!AL6</f>
        <v>39827.37872395361</v>
      </c>
      <c r="AD37" s="33">
        <f ca="1">+'Prestamo 5 años'!AM6</f>
        <v>38976.138901429709</v>
      </c>
      <c r="AE37" s="33">
        <f ca="1">+'Prestamo 5 años'!AN6</f>
        <v>38107.164915936526</v>
      </c>
      <c r="AF37" s="33">
        <f ca="1">+'Prestamo 5 años'!AO6</f>
        <v>37220.087305745605</v>
      </c>
      <c r="AG37" s="33">
        <f ca="1">+'Prestamo 5 años'!AP6</f>
        <v>36314.528912009016</v>
      </c>
      <c r="AH37" s="33">
        <f ca="1">+'Prestamo 5 años'!AQ6</f>
        <v>35390.104718402945</v>
      </c>
      <c r="AI37" s="33">
        <f ca="1">+'Prestamo 5 años'!AR6</f>
        <v>34446.42168743004</v>
      </c>
      <c r="AJ37" s="33">
        <f ca="1">+'Prestamo 5 años'!AS6</f>
        <v>33483.078593311882</v>
      </c>
      <c r="AK37" s="33">
        <f ca="1">+'Prestamo 5 años'!AT6</f>
        <v>32499.665851399594</v>
      </c>
      <c r="AL37" s="33">
        <f ca="1">+'Prestamo 5 años'!AU6</f>
        <v>31495.765344030799</v>
      </c>
      <c r="AM37" s="33">
        <f ca="1">+'Prestamo 5 años'!AV6</f>
        <v>30470.950242758496</v>
      </c>
      <c r="AN37" s="33">
        <f ca="1">+'Prestamo 5 años'!AW6</f>
        <v>29424.784826876356</v>
      </c>
      <c r="AO37" s="33">
        <f ca="1">+'Prestamo 5 años'!AX6</f>
        <v>28356.824298163338</v>
      </c>
      <c r="AP37" s="33">
        <f ca="1">+'Prestamo 5 años'!AY6</f>
        <v>27266.614591768794</v>
      </c>
      <c r="AQ37" s="33">
        <f ca="1">+'Prestamo 5 años'!AZ6</f>
        <v>26153.692183157709</v>
      </c>
      <c r="AR37" s="33">
        <f ca="1">+'Prestamo 5 años'!BA6</f>
        <v>25017.583891033857</v>
      </c>
      <c r="AS37" s="33">
        <f ca="1">+'Prestamo 5 años'!BB6</f>
        <v>23857.806676157441</v>
      </c>
      <c r="AT37" s="33">
        <f ca="1">+'Prestamo 5 años'!BC6</f>
        <v>22673.867435971126</v>
      </c>
      <c r="AU37" s="33">
        <f ca="1">+'Prestamo 5 años'!BD6</f>
        <v>21465.26279494755</v>
      </c>
      <c r="AV37" s="33">
        <f ca="1">+'Prestamo 5 años'!BE6</f>
        <v>20231.478890569364</v>
      </c>
      <c r="AW37" s="33">
        <f ca="1">+'Prestamo 5 años'!BF6</f>
        <v>18971.991154849948</v>
      </c>
      <c r="AX37" s="33">
        <f ca="1">+'Prestamo 5 años'!BG6</f>
        <v>17686.264091303041</v>
      </c>
      <c r="AY37" s="33">
        <f ca="1">+'Prestamo 5 años'!BH6</f>
        <v>16373.751047265558</v>
      </c>
      <c r="AZ37" s="33">
        <f ca="1">+'Prestamo 5 años'!BI6</f>
        <v>15033.89398147732</v>
      </c>
      <c r="BA37" s="33">
        <f ca="1">+'Prestamo 5 años'!BJ6</f>
        <v>13666.123226818494</v>
      </c>
      <c r="BB37" s="33">
        <f ca="1">+'Prestamo 5 años'!BK6</f>
        <v>12269.857248104267</v>
      </c>
      <c r="BC37" s="33">
        <f ca="1">+'Prestamo 5 años'!BL6</f>
        <v>10844.502394833489</v>
      </c>
      <c r="BD37" s="33">
        <f ca="1">+'Prestamo 5 años'!BM6</f>
        <v>9389.4526487862295</v>
      </c>
      <c r="BE37" s="33">
        <f ca="1">+'Prestamo 5 años'!BN6</f>
        <v>7904.0893663629931</v>
      </c>
      <c r="BF37" s="33">
        <f ca="1">+'Prestamo 5 años'!BO6</f>
        <v>6387.7810155559509</v>
      </c>
      <c r="BG37" s="33">
        <f ca="1">+'Prestamo 5 años'!BP6</f>
        <v>4839.8829074404321</v>
      </c>
      <c r="BH37" s="33">
        <f ca="1">+'Prestamo 5 años'!BQ6</f>
        <v>3259.7369220724963</v>
      </c>
      <c r="BI37" s="33">
        <f ca="1">+'Prestamo 5 años'!BR6</f>
        <v>1646.6712286760783</v>
      </c>
      <c r="BJ37" s="33">
        <f ca="1">+'Prestamo 5 años'!BS6</f>
        <v>5.5265426635742181E-10</v>
      </c>
    </row>
    <row r="38" spans="1:62" x14ac:dyDescent="0.3">
      <c r="A38" t="s">
        <v>739</v>
      </c>
      <c r="B38">
        <v>0</v>
      </c>
      <c r="C38" s="33">
        <f ca="1">+C36+C37</f>
        <v>1507151.3897862288</v>
      </c>
      <c r="D38" s="33">
        <f t="shared" ref="D38:BJ38" ca="1" si="7">+D36+D37</f>
        <v>1506653.3935923402</v>
      </c>
      <c r="E38" s="33">
        <f t="shared" ca="1" si="7"/>
        <v>1506145.0224777448</v>
      </c>
      <c r="F38" s="33">
        <f t="shared" ca="1" si="7"/>
        <v>1505626.0602982626</v>
      </c>
      <c r="G38" s="33">
        <f t="shared" ca="1" si="7"/>
        <v>1505096.2864067077</v>
      </c>
      <c r="H38" s="33">
        <f t="shared" ca="1" si="7"/>
        <v>1504555.4755590789</v>
      </c>
      <c r="I38" s="33">
        <f t="shared" ca="1" si="7"/>
        <v>1504003.397818791</v>
      </c>
      <c r="J38" s="33">
        <f t="shared" ca="1" si="7"/>
        <v>1503439.8184589138</v>
      </c>
      <c r="K38" s="33">
        <f t="shared" ca="1" si="7"/>
        <v>1502864.4978623725</v>
      </c>
      <c r="L38" s="33">
        <f t="shared" ca="1" si="7"/>
        <v>1502277.1914200699</v>
      </c>
      <c r="M38" s="33">
        <f t="shared" ca="1" si="7"/>
        <v>1501677.6494268861</v>
      </c>
      <c r="N38" s="33">
        <f t="shared" ca="1" si="7"/>
        <v>1501065.6169755107</v>
      </c>
      <c r="O38" s="33">
        <f t="shared" ca="1" si="7"/>
        <v>1500440.8338480652</v>
      </c>
      <c r="P38" s="33">
        <f t="shared" ca="1" si="7"/>
        <v>1499803.0344054645</v>
      </c>
      <c r="Q38" s="33">
        <f t="shared" ca="1" si="7"/>
        <v>1499151.9474744764</v>
      </c>
      <c r="R38" s="33">
        <f t="shared" ca="1" si="7"/>
        <v>1498487.2962324261</v>
      </c>
      <c r="S38" s="33">
        <f t="shared" ca="1" si="7"/>
        <v>1497808.7980894996</v>
      </c>
      <c r="T38" s="33">
        <f t="shared" ca="1" si="7"/>
        <v>1497116.1645685958</v>
      </c>
      <c r="U38" s="33">
        <f t="shared" ca="1" si="7"/>
        <v>1496409.1011826727</v>
      </c>
      <c r="V38" s="33">
        <f t="shared" ca="1" si="7"/>
        <v>1495687.3073095435</v>
      </c>
      <c r="W38" s="33">
        <f t="shared" ca="1" si="7"/>
        <v>1494950.4760640564</v>
      </c>
      <c r="X38" s="33">
        <f t="shared" ca="1" si="7"/>
        <v>1494198.2941676225</v>
      </c>
      <c r="Y38" s="33">
        <f t="shared" ca="1" si="7"/>
        <v>1493430.4418150124</v>
      </c>
      <c r="Z38" s="33">
        <f t="shared" ca="1" si="7"/>
        <v>1492646.5925383898</v>
      </c>
      <c r="AA38" s="33">
        <f t="shared" ca="1" si="7"/>
        <v>1491846.4130685043</v>
      </c>
      <c r="AB38" s="33">
        <f t="shared" ca="1" si="7"/>
        <v>1491029.563192996</v>
      </c>
      <c r="AC38" s="33">
        <f t="shared" ca="1" si="7"/>
        <v>1490195.6956117481</v>
      </c>
      <c r="AD38" s="33">
        <f t="shared" ca="1" si="7"/>
        <v>1489344.4557892242</v>
      </c>
      <c r="AE38" s="33">
        <f t="shared" ca="1" si="7"/>
        <v>1488475.4818037311</v>
      </c>
      <c r="AF38" s="33">
        <f t="shared" ca="1" si="7"/>
        <v>1487588.4041935401</v>
      </c>
      <c r="AG38" s="33">
        <f t="shared" ca="1" si="7"/>
        <v>1486682.8457998035</v>
      </c>
      <c r="AH38" s="33">
        <f t="shared" ca="1" si="7"/>
        <v>1485758.4216061977</v>
      </c>
      <c r="AI38" s="33">
        <f t="shared" ca="1" si="7"/>
        <v>1484814.7385752245</v>
      </c>
      <c r="AJ38" s="33">
        <f t="shared" ca="1" si="7"/>
        <v>1483851.3954811066</v>
      </c>
      <c r="AK38" s="33">
        <f t="shared" ca="1" si="7"/>
        <v>1482867.9827391941</v>
      </c>
      <c r="AL38" s="33">
        <f t="shared" ca="1" si="7"/>
        <v>1481864.0822318252</v>
      </c>
      <c r="AM38" s="33">
        <f t="shared" ca="1" si="7"/>
        <v>1480839.267130553</v>
      </c>
      <c r="AN38" s="33">
        <f t="shared" ca="1" si="7"/>
        <v>1479793.1017146709</v>
      </c>
      <c r="AO38" s="33">
        <f t="shared" ca="1" si="7"/>
        <v>1478725.1411859579</v>
      </c>
      <c r="AP38" s="33">
        <f t="shared" ca="1" si="7"/>
        <v>1477634.9314795632</v>
      </c>
      <c r="AQ38" s="33">
        <f t="shared" ca="1" si="7"/>
        <v>1476522.0090709524</v>
      </c>
      <c r="AR38" s="33">
        <f t="shared" ca="1" si="7"/>
        <v>1475385.9007788287</v>
      </c>
      <c r="AS38" s="33">
        <f t="shared" ca="1" si="7"/>
        <v>1474226.123563952</v>
      </c>
      <c r="AT38" s="33">
        <f t="shared" ca="1" si="7"/>
        <v>1473042.1843237656</v>
      </c>
      <c r="AU38" s="33">
        <f t="shared" ca="1" si="7"/>
        <v>1471833.579682742</v>
      </c>
      <c r="AV38" s="33">
        <f t="shared" ca="1" si="7"/>
        <v>1470599.7957783639</v>
      </c>
      <c r="AW38" s="33">
        <f t="shared" ca="1" si="7"/>
        <v>1469340.3080426445</v>
      </c>
      <c r="AX38" s="33">
        <f t="shared" ca="1" si="7"/>
        <v>1468054.5809790976</v>
      </c>
      <c r="AY38" s="33">
        <f t="shared" ca="1" si="7"/>
        <v>1466742.0679350602</v>
      </c>
      <c r="AZ38" s="33">
        <f t="shared" ca="1" si="7"/>
        <v>1465402.2108692718</v>
      </c>
      <c r="BA38" s="33">
        <f t="shared" ca="1" si="7"/>
        <v>1464034.4401146132</v>
      </c>
      <c r="BB38" s="33">
        <f t="shared" ca="1" si="7"/>
        <v>1462638.1741358989</v>
      </c>
      <c r="BC38" s="33">
        <f t="shared" ca="1" si="7"/>
        <v>1461212.8192826281</v>
      </c>
      <c r="BD38" s="33">
        <f t="shared" ca="1" si="7"/>
        <v>1459757.7695365807</v>
      </c>
      <c r="BE38" s="33">
        <f t="shared" ca="1" si="7"/>
        <v>1458272.4062541574</v>
      </c>
      <c r="BF38" s="33">
        <f t="shared" ca="1" si="7"/>
        <v>1456756.0979033506</v>
      </c>
      <c r="BG38" s="33">
        <f t="shared" ca="1" si="7"/>
        <v>1455208.1997952352</v>
      </c>
      <c r="BH38" s="33">
        <f t="shared" ca="1" si="7"/>
        <v>1453628.053809867</v>
      </c>
      <c r="BI38" s="33">
        <f t="shared" ca="1" si="7"/>
        <v>1452014.9881164706</v>
      </c>
      <c r="BJ38" s="33">
        <f t="shared" ca="1" si="7"/>
        <v>1450368.316887795</v>
      </c>
    </row>
    <row r="40" spans="1:62" x14ac:dyDescent="0.3">
      <c r="A40" t="s">
        <v>640</v>
      </c>
      <c r="B40" s="30">
        <f ca="1">+SUM(B35:BJ35)</f>
        <v>49414068.942789257</v>
      </c>
    </row>
    <row r="41" spans="1:62" x14ac:dyDescent="0.3">
      <c r="A41" t="s">
        <v>642</v>
      </c>
      <c r="B41" s="30">
        <f ca="1">+SUM(B34:BJ34)</f>
        <v>37608030.070478417</v>
      </c>
      <c r="C41" s="38"/>
    </row>
    <row r="42" spans="1:62" x14ac:dyDescent="0.3">
      <c r="A42" t="s">
        <v>719</v>
      </c>
      <c r="B42" s="30">
        <f ca="1">+SUM(B37:BJ37)</f>
        <v>2034939.0229761726</v>
      </c>
    </row>
    <row r="43" spans="1:62" x14ac:dyDescent="0.3">
      <c r="B43" s="30"/>
    </row>
    <row r="45" spans="1:62" x14ac:dyDescent="0.3">
      <c r="A45" s="6" t="s">
        <v>741</v>
      </c>
      <c r="B45" t="s">
        <v>728</v>
      </c>
      <c r="C45" t="s">
        <v>729</v>
      </c>
    </row>
    <row r="46" spans="1:62" x14ac:dyDescent="0.3">
      <c r="A46" t="s">
        <v>640</v>
      </c>
      <c r="B46" s="28" t="e">
        <f>+B2</f>
        <v>#REF!</v>
      </c>
      <c r="D46" t="s">
        <v>627</v>
      </c>
      <c r="E46" s="32" t="e">
        <f>+PMT(B48,B50,B46)</f>
        <v>#REF!</v>
      </c>
    </row>
    <row r="47" spans="1:62" x14ac:dyDescent="0.3">
      <c r="A47" t="s">
        <v>730</v>
      </c>
      <c r="B47" s="16">
        <f>+B3</f>
        <v>0.20649999999999999</v>
      </c>
      <c r="C47" s="16">
        <f>+C3</f>
        <v>0.18990000000000001</v>
      </c>
      <c r="E47" s="32"/>
    </row>
    <row r="48" spans="1:62" x14ac:dyDescent="0.3">
      <c r="A48" t="s">
        <v>731</v>
      </c>
      <c r="B48" s="16">
        <f>+B4</f>
        <v>1.6400000000000001E-2</v>
      </c>
      <c r="C48" s="16">
        <f>+C4</f>
        <v>1.46E-2</v>
      </c>
    </row>
    <row r="49" spans="1:74" x14ac:dyDescent="0.3">
      <c r="A49" t="s">
        <v>732</v>
      </c>
      <c r="B49">
        <v>6</v>
      </c>
    </row>
    <row r="50" spans="1:74" x14ac:dyDescent="0.3">
      <c r="A50" t="s">
        <v>733</v>
      </c>
      <c r="B50">
        <f>+B49*12</f>
        <v>72</v>
      </c>
    </row>
    <row r="51" spans="1:74" x14ac:dyDescent="0.3">
      <c r="A51" t="s">
        <v>734</v>
      </c>
      <c r="B51">
        <f>+B7</f>
        <v>1159</v>
      </c>
    </row>
    <row r="54" spans="1:74" x14ac:dyDescent="0.3">
      <c r="A54" t="s">
        <v>735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  <c r="J54">
        <v>8</v>
      </c>
      <c r="K54">
        <v>9</v>
      </c>
      <c r="L54">
        <v>10</v>
      </c>
      <c r="M54">
        <v>11</v>
      </c>
      <c r="N54">
        <v>12</v>
      </c>
      <c r="O54">
        <v>13</v>
      </c>
      <c r="P54">
        <v>14</v>
      </c>
      <c r="Q54">
        <v>15</v>
      </c>
      <c r="R54">
        <v>16</v>
      </c>
      <c r="S54">
        <v>17</v>
      </c>
      <c r="T54">
        <v>18</v>
      </c>
      <c r="U54">
        <v>19</v>
      </c>
      <c r="V54">
        <v>20</v>
      </c>
      <c r="W54">
        <v>21</v>
      </c>
      <c r="X54">
        <v>22</v>
      </c>
      <c r="Y54">
        <v>23</v>
      </c>
      <c r="Z54">
        <v>24</v>
      </c>
      <c r="AA54">
        <v>25</v>
      </c>
      <c r="AB54">
        <v>26</v>
      </c>
      <c r="AC54">
        <v>27</v>
      </c>
      <c r="AD54">
        <v>28</v>
      </c>
      <c r="AE54">
        <v>29</v>
      </c>
      <c r="AF54">
        <v>30</v>
      </c>
      <c r="AG54">
        <v>31</v>
      </c>
      <c r="AH54">
        <v>32</v>
      </c>
      <c r="AI54">
        <v>33</v>
      </c>
      <c r="AJ54">
        <v>34</v>
      </c>
      <c r="AK54">
        <v>35</v>
      </c>
      <c r="AL54">
        <v>36</v>
      </c>
      <c r="AM54">
        <v>37</v>
      </c>
      <c r="AN54">
        <v>38</v>
      </c>
      <c r="AO54">
        <v>39</v>
      </c>
      <c r="AP54">
        <v>40</v>
      </c>
      <c r="AQ54">
        <v>41</v>
      </c>
      <c r="AR54">
        <v>42</v>
      </c>
      <c r="AS54">
        <v>43</v>
      </c>
      <c r="AT54">
        <v>44</v>
      </c>
      <c r="AU54">
        <v>45</v>
      </c>
      <c r="AV54">
        <v>46</v>
      </c>
      <c r="AW54">
        <v>47</v>
      </c>
      <c r="AX54">
        <v>48</v>
      </c>
      <c r="AY54">
        <v>49</v>
      </c>
      <c r="AZ54">
        <v>50</v>
      </c>
      <c r="BA54">
        <v>51</v>
      </c>
      <c r="BB54">
        <v>52</v>
      </c>
      <c r="BC54">
        <v>53</v>
      </c>
      <c r="BD54">
        <v>54</v>
      </c>
      <c r="BE54">
        <v>55</v>
      </c>
      <c r="BF54">
        <v>56</v>
      </c>
      <c r="BG54">
        <v>57</v>
      </c>
      <c r="BH54">
        <v>58</v>
      </c>
      <c r="BI54">
        <v>59</v>
      </c>
      <c r="BJ54">
        <v>60</v>
      </c>
      <c r="BK54">
        <v>61</v>
      </c>
      <c r="BL54">
        <v>62</v>
      </c>
      <c r="BM54">
        <v>63</v>
      </c>
      <c r="BN54">
        <v>64</v>
      </c>
      <c r="BO54">
        <v>65</v>
      </c>
      <c r="BP54">
        <v>66</v>
      </c>
      <c r="BQ54">
        <v>67</v>
      </c>
      <c r="BR54">
        <v>68</v>
      </c>
      <c r="BS54">
        <v>69</v>
      </c>
      <c r="BT54">
        <v>70</v>
      </c>
      <c r="BU54">
        <v>71</v>
      </c>
      <c r="BV54">
        <v>72</v>
      </c>
    </row>
    <row r="55" spans="1:74" x14ac:dyDescent="0.3">
      <c r="A55" t="s">
        <v>716</v>
      </c>
      <c r="B55" s="41" t="e">
        <f>+B46</f>
        <v>#REF!</v>
      </c>
      <c r="C55" s="33" t="e">
        <f>+B55-C57</f>
        <v>#REF!</v>
      </c>
      <c r="D55" s="33" t="e">
        <f t="shared" ref="D55:BO55" si="8">+C55-D57</f>
        <v>#REF!</v>
      </c>
      <c r="E55" s="33" t="e">
        <f t="shared" si="8"/>
        <v>#REF!</v>
      </c>
      <c r="F55" s="33" t="e">
        <f t="shared" si="8"/>
        <v>#REF!</v>
      </c>
      <c r="G55" s="33" t="e">
        <f t="shared" si="8"/>
        <v>#REF!</v>
      </c>
      <c r="H55" s="33" t="e">
        <f t="shared" si="8"/>
        <v>#REF!</v>
      </c>
      <c r="I55" s="33" t="e">
        <f t="shared" si="8"/>
        <v>#REF!</v>
      </c>
      <c r="J55" s="33" t="e">
        <f t="shared" si="8"/>
        <v>#REF!</v>
      </c>
      <c r="K55" s="33" t="e">
        <f t="shared" si="8"/>
        <v>#REF!</v>
      </c>
      <c r="L55" s="33" t="e">
        <f t="shared" si="8"/>
        <v>#REF!</v>
      </c>
      <c r="M55" s="33" t="e">
        <f t="shared" si="8"/>
        <v>#REF!</v>
      </c>
      <c r="N55" s="33" t="e">
        <f t="shared" si="8"/>
        <v>#REF!</v>
      </c>
      <c r="O55" s="33" t="e">
        <f t="shared" si="8"/>
        <v>#REF!</v>
      </c>
      <c r="P55" s="33" t="e">
        <f t="shared" si="8"/>
        <v>#REF!</v>
      </c>
      <c r="Q55" s="33" t="e">
        <f t="shared" si="8"/>
        <v>#REF!</v>
      </c>
      <c r="R55" s="33" t="e">
        <f t="shared" si="8"/>
        <v>#REF!</v>
      </c>
      <c r="S55" s="33" t="e">
        <f t="shared" si="8"/>
        <v>#REF!</v>
      </c>
      <c r="T55" s="33" t="e">
        <f t="shared" si="8"/>
        <v>#REF!</v>
      </c>
      <c r="U55" s="33" t="e">
        <f t="shared" si="8"/>
        <v>#REF!</v>
      </c>
      <c r="V55" s="33" t="e">
        <f t="shared" si="8"/>
        <v>#REF!</v>
      </c>
      <c r="W55" s="33" t="e">
        <f t="shared" si="8"/>
        <v>#REF!</v>
      </c>
      <c r="X55" s="33" t="e">
        <f t="shared" si="8"/>
        <v>#REF!</v>
      </c>
      <c r="Y55" s="33" t="e">
        <f t="shared" si="8"/>
        <v>#REF!</v>
      </c>
      <c r="Z55" s="33" t="e">
        <f t="shared" si="8"/>
        <v>#REF!</v>
      </c>
      <c r="AA55" s="33" t="e">
        <f t="shared" si="8"/>
        <v>#REF!</v>
      </c>
      <c r="AB55" s="33" t="e">
        <f t="shared" si="8"/>
        <v>#REF!</v>
      </c>
      <c r="AC55" s="33" t="e">
        <f t="shared" si="8"/>
        <v>#REF!</v>
      </c>
      <c r="AD55" s="33" t="e">
        <f t="shared" si="8"/>
        <v>#REF!</v>
      </c>
      <c r="AE55" s="33" t="e">
        <f t="shared" si="8"/>
        <v>#REF!</v>
      </c>
      <c r="AF55" s="33" t="e">
        <f t="shared" si="8"/>
        <v>#REF!</v>
      </c>
      <c r="AG55" s="33" t="e">
        <f t="shared" si="8"/>
        <v>#REF!</v>
      </c>
      <c r="AH55" s="33" t="e">
        <f t="shared" si="8"/>
        <v>#REF!</v>
      </c>
      <c r="AI55" s="33" t="e">
        <f t="shared" si="8"/>
        <v>#REF!</v>
      </c>
      <c r="AJ55" s="33" t="e">
        <f t="shared" si="8"/>
        <v>#REF!</v>
      </c>
      <c r="AK55" s="33" t="e">
        <f t="shared" si="8"/>
        <v>#REF!</v>
      </c>
      <c r="AL55" s="33" t="e">
        <f t="shared" si="8"/>
        <v>#REF!</v>
      </c>
      <c r="AM55" s="33" t="e">
        <f t="shared" si="8"/>
        <v>#REF!</v>
      </c>
      <c r="AN55" s="33" t="e">
        <f t="shared" si="8"/>
        <v>#REF!</v>
      </c>
      <c r="AO55" s="33" t="e">
        <f t="shared" si="8"/>
        <v>#REF!</v>
      </c>
      <c r="AP55" s="33" t="e">
        <f t="shared" si="8"/>
        <v>#REF!</v>
      </c>
      <c r="AQ55" s="33" t="e">
        <f t="shared" si="8"/>
        <v>#REF!</v>
      </c>
      <c r="AR55" s="33" t="e">
        <f t="shared" si="8"/>
        <v>#REF!</v>
      </c>
      <c r="AS55" s="33" t="e">
        <f t="shared" si="8"/>
        <v>#REF!</v>
      </c>
      <c r="AT55" s="33" t="e">
        <f t="shared" si="8"/>
        <v>#REF!</v>
      </c>
      <c r="AU55" s="33" t="e">
        <f t="shared" si="8"/>
        <v>#REF!</v>
      </c>
      <c r="AV55" s="33" t="e">
        <f t="shared" si="8"/>
        <v>#REF!</v>
      </c>
      <c r="AW55" s="33" t="e">
        <f t="shared" si="8"/>
        <v>#REF!</v>
      </c>
      <c r="AX55" s="33" t="e">
        <f t="shared" si="8"/>
        <v>#REF!</v>
      </c>
      <c r="AY55" s="33" t="e">
        <f t="shared" si="8"/>
        <v>#REF!</v>
      </c>
      <c r="AZ55" s="33" t="e">
        <f t="shared" si="8"/>
        <v>#REF!</v>
      </c>
      <c r="BA55" s="33" t="e">
        <f t="shared" si="8"/>
        <v>#REF!</v>
      </c>
      <c r="BB55" s="33" t="e">
        <f t="shared" si="8"/>
        <v>#REF!</v>
      </c>
      <c r="BC55" s="33" t="e">
        <f t="shared" si="8"/>
        <v>#REF!</v>
      </c>
      <c r="BD55" s="33" t="e">
        <f t="shared" si="8"/>
        <v>#REF!</v>
      </c>
      <c r="BE55" s="33" t="e">
        <f t="shared" si="8"/>
        <v>#REF!</v>
      </c>
      <c r="BF55" s="33" t="e">
        <f t="shared" si="8"/>
        <v>#REF!</v>
      </c>
      <c r="BG55" s="33" t="e">
        <f t="shared" si="8"/>
        <v>#REF!</v>
      </c>
      <c r="BH55" s="33" t="e">
        <f t="shared" si="8"/>
        <v>#REF!</v>
      </c>
      <c r="BI55" s="33" t="e">
        <f t="shared" si="8"/>
        <v>#REF!</v>
      </c>
      <c r="BJ55" s="33" t="e">
        <f t="shared" si="8"/>
        <v>#REF!</v>
      </c>
      <c r="BK55" s="33" t="e">
        <f t="shared" si="8"/>
        <v>#REF!</v>
      </c>
      <c r="BL55" s="33" t="e">
        <f t="shared" si="8"/>
        <v>#REF!</v>
      </c>
      <c r="BM55" s="33" t="e">
        <f t="shared" si="8"/>
        <v>#REF!</v>
      </c>
      <c r="BN55" s="33" t="e">
        <f t="shared" si="8"/>
        <v>#REF!</v>
      </c>
      <c r="BO55" s="33" t="e">
        <f t="shared" si="8"/>
        <v>#REF!</v>
      </c>
      <c r="BP55" s="33" t="e">
        <f t="shared" ref="BP55:BV55" si="9">+BO55-BP57</f>
        <v>#REF!</v>
      </c>
      <c r="BQ55" s="33" t="e">
        <f t="shared" si="9"/>
        <v>#REF!</v>
      </c>
      <c r="BR55" s="33" t="e">
        <f t="shared" si="9"/>
        <v>#REF!</v>
      </c>
      <c r="BS55" s="33" t="e">
        <f t="shared" si="9"/>
        <v>#REF!</v>
      </c>
      <c r="BT55" s="33" t="e">
        <f t="shared" si="9"/>
        <v>#REF!</v>
      </c>
      <c r="BU55" s="33" t="e">
        <f t="shared" si="9"/>
        <v>#REF!</v>
      </c>
      <c r="BV55" s="33" t="e">
        <f t="shared" si="9"/>
        <v>#REF!</v>
      </c>
    </row>
    <row r="56" spans="1:74" x14ac:dyDescent="0.3">
      <c r="A56" t="s">
        <v>736</v>
      </c>
      <c r="B56">
        <v>0</v>
      </c>
      <c r="C56" s="30" t="e">
        <f>+B55*$C$48</f>
        <v>#REF!</v>
      </c>
      <c r="D56" s="30" t="e">
        <f t="shared" ref="D56:BO56" si="10">+C55*$C$48</f>
        <v>#REF!</v>
      </c>
      <c r="E56" s="30" t="e">
        <f t="shared" si="10"/>
        <v>#REF!</v>
      </c>
      <c r="F56" s="30" t="e">
        <f t="shared" si="10"/>
        <v>#REF!</v>
      </c>
      <c r="G56" s="30" t="e">
        <f t="shared" si="10"/>
        <v>#REF!</v>
      </c>
      <c r="H56" s="30" t="e">
        <f t="shared" si="10"/>
        <v>#REF!</v>
      </c>
      <c r="I56" s="30" t="e">
        <f t="shared" si="10"/>
        <v>#REF!</v>
      </c>
      <c r="J56" s="30" t="e">
        <f t="shared" si="10"/>
        <v>#REF!</v>
      </c>
      <c r="K56" s="30" t="e">
        <f t="shared" si="10"/>
        <v>#REF!</v>
      </c>
      <c r="L56" s="30" t="e">
        <f t="shared" si="10"/>
        <v>#REF!</v>
      </c>
      <c r="M56" s="30" t="e">
        <f t="shared" si="10"/>
        <v>#REF!</v>
      </c>
      <c r="N56" s="30" t="e">
        <f t="shared" si="10"/>
        <v>#REF!</v>
      </c>
      <c r="O56" s="30" t="e">
        <f t="shared" si="10"/>
        <v>#REF!</v>
      </c>
      <c r="P56" s="30" t="e">
        <f t="shared" si="10"/>
        <v>#REF!</v>
      </c>
      <c r="Q56" s="30" t="e">
        <f t="shared" si="10"/>
        <v>#REF!</v>
      </c>
      <c r="R56" s="30" t="e">
        <f t="shared" si="10"/>
        <v>#REF!</v>
      </c>
      <c r="S56" s="30" t="e">
        <f t="shared" si="10"/>
        <v>#REF!</v>
      </c>
      <c r="T56" s="30" t="e">
        <f t="shared" si="10"/>
        <v>#REF!</v>
      </c>
      <c r="U56" s="30" t="e">
        <f t="shared" si="10"/>
        <v>#REF!</v>
      </c>
      <c r="V56" s="30" t="e">
        <f t="shared" si="10"/>
        <v>#REF!</v>
      </c>
      <c r="W56" s="30" t="e">
        <f t="shared" si="10"/>
        <v>#REF!</v>
      </c>
      <c r="X56" s="30" t="e">
        <f t="shared" si="10"/>
        <v>#REF!</v>
      </c>
      <c r="Y56" s="30" t="e">
        <f t="shared" si="10"/>
        <v>#REF!</v>
      </c>
      <c r="Z56" s="30" t="e">
        <f t="shared" si="10"/>
        <v>#REF!</v>
      </c>
      <c r="AA56" s="30" t="e">
        <f t="shared" si="10"/>
        <v>#REF!</v>
      </c>
      <c r="AB56" s="30" t="e">
        <f t="shared" si="10"/>
        <v>#REF!</v>
      </c>
      <c r="AC56" s="30" t="e">
        <f t="shared" si="10"/>
        <v>#REF!</v>
      </c>
      <c r="AD56" s="30" t="e">
        <f t="shared" si="10"/>
        <v>#REF!</v>
      </c>
      <c r="AE56" s="30" t="e">
        <f t="shared" si="10"/>
        <v>#REF!</v>
      </c>
      <c r="AF56" s="30" t="e">
        <f t="shared" si="10"/>
        <v>#REF!</v>
      </c>
      <c r="AG56" s="30" t="e">
        <f t="shared" si="10"/>
        <v>#REF!</v>
      </c>
      <c r="AH56" s="30" t="e">
        <f t="shared" si="10"/>
        <v>#REF!</v>
      </c>
      <c r="AI56" s="30" t="e">
        <f t="shared" si="10"/>
        <v>#REF!</v>
      </c>
      <c r="AJ56" s="30" t="e">
        <f t="shared" si="10"/>
        <v>#REF!</v>
      </c>
      <c r="AK56" s="30" t="e">
        <f t="shared" si="10"/>
        <v>#REF!</v>
      </c>
      <c r="AL56" s="30" t="e">
        <f t="shared" si="10"/>
        <v>#REF!</v>
      </c>
      <c r="AM56" s="30" t="e">
        <f t="shared" si="10"/>
        <v>#REF!</v>
      </c>
      <c r="AN56" s="30" t="e">
        <f t="shared" si="10"/>
        <v>#REF!</v>
      </c>
      <c r="AO56" s="30" t="e">
        <f t="shared" si="10"/>
        <v>#REF!</v>
      </c>
      <c r="AP56" s="30" t="e">
        <f t="shared" si="10"/>
        <v>#REF!</v>
      </c>
      <c r="AQ56" s="30" t="e">
        <f t="shared" si="10"/>
        <v>#REF!</v>
      </c>
      <c r="AR56" s="30" t="e">
        <f t="shared" si="10"/>
        <v>#REF!</v>
      </c>
      <c r="AS56" s="30" t="e">
        <f t="shared" si="10"/>
        <v>#REF!</v>
      </c>
      <c r="AT56" s="30" t="e">
        <f t="shared" si="10"/>
        <v>#REF!</v>
      </c>
      <c r="AU56" s="30" t="e">
        <f t="shared" si="10"/>
        <v>#REF!</v>
      </c>
      <c r="AV56" s="30" t="e">
        <f t="shared" si="10"/>
        <v>#REF!</v>
      </c>
      <c r="AW56" s="30" t="e">
        <f t="shared" si="10"/>
        <v>#REF!</v>
      </c>
      <c r="AX56" s="30" t="e">
        <f t="shared" si="10"/>
        <v>#REF!</v>
      </c>
      <c r="AY56" s="30" t="e">
        <f t="shared" si="10"/>
        <v>#REF!</v>
      </c>
      <c r="AZ56" s="30" t="e">
        <f t="shared" si="10"/>
        <v>#REF!</v>
      </c>
      <c r="BA56" s="30" t="e">
        <f t="shared" si="10"/>
        <v>#REF!</v>
      </c>
      <c r="BB56" s="30" t="e">
        <f t="shared" si="10"/>
        <v>#REF!</v>
      </c>
      <c r="BC56" s="30" t="e">
        <f t="shared" si="10"/>
        <v>#REF!</v>
      </c>
      <c r="BD56" s="30" t="e">
        <f t="shared" si="10"/>
        <v>#REF!</v>
      </c>
      <c r="BE56" s="30" t="e">
        <f t="shared" si="10"/>
        <v>#REF!</v>
      </c>
      <c r="BF56" s="30" t="e">
        <f t="shared" si="10"/>
        <v>#REF!</v>
      </c>
      <c r="BG56" s="30" t="e">
        <f t="shared" si="10"/>
        <v>#REF!</v>
      </c>
      <c r="BH56" s="30" t="e">
        <f t="shared" si="10"/>
        <v>#REF!</v>
      </c>
      <c r="BI56" s="30" t="e">
        <f t="shared" si="10"/>
        <v>#REF!</v>
      </c>
      <c r="BJ56" s="30" t="e">
        <f t="shared" si="10"/>
        <v>#REF!</v>
      </c>
      <c r="BK56" s="30" t="e">
        <f t="shared" si="10"/>
        <v>#REF!</v>
      </c>
      <c r="BL56" s="30" t="e">
        <f t="shared" si="10"/>
        <v>#REF!</v>
      </c>
      <c r="BM56" s="30" t="e">
        <f t="shared" si="10"/>
        <v>#REF!</v>
      </c>
      <c r="BN56" s="30" t="e">
        <f t="shared" si="10"/>
        <v>#REF!</v>
      </c>
      <c r="BO56" s="30" t="e">
        <f t="shared" si="10"/>
        <v>#REF!</v>
      </c>
      <c r="BP56" s="30" t="e">
        <f t="shared" ref="BP56:BV56" si="11">+BO55*$C$48</f>
        <v>#REF!</v>
      </c>
      <c r="BQ56" s="30" t="e">
        <f t="shared" si="11"/>
        <v>#REF!</v>
      </c>
      <c r="BR56" s="30" t="e">
        <f t="shared" si="11"/>
        <v>#REF!</v>
      </c>
      <c r="BS56" s="30" t="e">
        <f t="shared" si="11"/>
        <v>#REF!</v>
      </c>
      <c r="BT56" s="30" t="e">
        <f t="shared" si="11"/>
        <v>#REF!</v>
      </c>
      <c r="BU56" s="30" t="e">
        <f t="shared" si="11"/>
        <v>#REF!</v>
      </c>
      <c r="BV56" s="30" t="e">
        <f t="shared" si="11"/>
        <v>#REF!</v>
      </c>
    </row>
    <row r="57" spans="1:74" x14ac:dyDescent="0.3">
      <c r="A57" t="s">
        <v>737</v>
      </c>
      <c r="B57">
        <v>0</v>
      </c>
      <c r="C57" s="33" t="e">
        <f>+C58-C56</f>
        <v>#REF!</v>
      </c>
      <c r="D57" s="33" t="e">
        <f t="shared" ref="D57:BO57" si="12">+D58-D56</f>
        <v>#REF!</v>
      </c>
      <c r="E57" s="33" t="e">
        <f t="shared" si="12"/>
        <v>#REF!</v>
      </c>
      <c r="F57" s="33" t="e">
        <f t="shared" si="12"/>
        <v>#REF!</v>
      </c>
      <c r="G57" s="33" t="e">
        <f t="shared" si="12"/>
        <v>#REF!</v>
      </c>
      <c r="H57" s="33" t="e">
        <f t="shared" si="12"/>
        <v>#REF!</v>
      </c>
      <c r="I57" s="33" t="e">
        <f t="shared" si="12"/>
        <v>#REF!</v>
      </c>
      <c r="J57" s="33" t="e">
        <f t="shared" si="12"/>
        <v>#REF!</v>
      </c>
      <c r="K57" s="33" t="e">
        <f t="shared" si="12"/>
        <v>#REF!</v>
      </c>
      <c r="L57" s="33" t="e">
        <f t="shared" si="12"/>
        <v>#REF!</v>
      </c>
      <c r="M57" s="33" t="e">
        <f t="shared" si="12"/>
        <v>#REF!</v>
      </c>
      <c r="N57" s="33" t="e">
        <f t="shared" si="12"/>
        <v>#REF!</v>
      </c>
      <c r="O57" s="33" t="e">
        <f t="shared" si="12"/>
        <v>#REF!</v>
      </c>
      <c r="P57" s="33" t="e">
        <f t="shared" si="12"/>
        <v>#REF!</v>
      </c>
      <c r="Q57" s="33" t="e">
        <f t="shared" si="12"/>
        <v>#REF!</v>
      </c>
      <c r="R57" s="33" t="e">
        <f t="shared" si="12"/>
        <v>#REF!</v>
      </c>
      <c r="S57" s="33" t="e">
        <f t="shared" si="12"/>
        <v>#REF!</v>
      </c>
      <c r="T57" s="33" t="e">
        <f t="shared" si="12"/>
        <v>#REF!</v>
      </c>
      <c r="U57" s="33" t="e">
        <f t="shared" si="12"/>
        <v>#REF!</v>
      </c>
      <c r="V57" s="33" t="e">
        <f t="shared" si="12"/>
        <v>#REF!</v>
      </c>
      <c r="W57" s="33" t="e">
        <f t="shared" si="12"/>
        <v>#REF!</v>
      </c>
      <c r="X57" s="33" t="e">
        <f t="shared" si="12"/>
        <v>#REF!</v>
      </c>
      <c r="Y57" s="33" t="e">
        <f t="shared" si="12"/>
        <v>#REF!</v>
      </c>
      <c r="Z57" s="33" t="e">
        <f t="shared" si="12"/>
        <v>#REF!</v>
      </c>
      <c r="AA57" s="33" t="e">
        <f t="shared" si="12"/>
        <v>#REF!</v>
      </c>
      <c r="AB57" s="33" t="e">
        <f t="shared" si="12"/>
        <v>#REF!</v>
      </c>
      <c r="AC57" s="33" t="e">
        <f t="shared" si="12"/>
        <v>#REF!</v>
      </c>
      <c r="AD57" s="33" t="e">
        <f t="shared" si="12"/>
        <v>#REF!</v>
      </c>
      <c r="AE57" s="33" t="e">
        <f t="shared" si="12"/>
        <v>#REF!</v>
      </c>
      <c r="AF57" s="33" t="e">
        <f t="shared" si="12"/>
        <v>#REF!</v>
      </c>
      <c r="AG57" s="33" t="e">
        <f t="shared" si="12"/>
        <v>#REF!</v>
      </c>
      <c r="AH57" s="33" t="e">
        <f t="shared" si="12"/>
        <v>#REF!</v>
      </c>
      <c r="AI57" s="33" t="e">
        <f t="shared" si="12"/>
        <v>#REF!</v>
      </c>
      <c r="AJ57" s="33" t="e">
        <f t="shared" si="12"/>
        <v>#REF!</v>
      </c>
      <c r="AK57" s="33" t="e">
        <f t="shared" si="12"/>
        <v>#REF!</v>
      </c>
      <c r="AL57" s="33" t="e">
        <f t="shared" si="12"/>
        <v>#REF!</v>
      </c>
      <c r="AM57" s="33" t="e">
        <f t="shared" si="12"/>
        <v>#REF!</v>
      </c>
      <c r="AN57" s="33" t="e">
        <f t="shared" si="12"/>
        <v>#REF!</v>
      </c>
      <c r="AO57" s="33" t="e">
        <f t="shared" si="12"/>
        <v>#REF!</v>
      </c>
      <c r="AP57" s="33" t="e">
        <f t="shared" si="12"/>
        <v>#REF!</v>
      </c>
      <c r="AQ57" s="33" t="e">
        <f t="shared" si="12"/>
        <v>#REF!</v>
      </c>
      <c r="AR57" s="33" t="e">
        <f t="shared" si="12"/>
        <v>#REF!</v>
      </c>
      <c r="AS57" s="33" t="e">
        <f t="shared" si="12"/>
        <v>#REF!</v>
      </c>
      <c r="AT57" s="33" t="e">
        <f t="shared" si="12"/>
        <v>#REF!</v>
      </c>
      <c r="AU57" s="33" t="e">
        <f t="shared" si="12"/>
        <v>#REF!</v>
      </c>
      <c r="AV57" s="33" t="e">
        <f t="shared" si="12"/>
        <v>#REF!</v>
      </c>
      <c r="AW57" s="33" t="e">
        <f t="shared" si="12"/>
        <v>#REF!</v>
      </c>
      <c r="AX57" s="33" t="e">
        <f t="shared" si="12"/>
        <v>#REF!</v>
      </c>
      <c r="AY57" s="33" t="e">
        <f t="shared" si="12"/>
        <v>#REF!</v>
      </c>
      <c r="AZ57" s="33" t="e">
        <f t="shared" si="12"/>
        <v>#REF!</v>
      </c>
      <c r="BA57" s="33" t="e">
        <f t="shared" si="12"/>
        <v>#REF!</v>
      </c>
      <c r="BB57" s="33" t="e">
        <f t="shared" si="12"/>
        <v>#REF!</v>
      </c>
      <c r="BC57" s="33" t="e">
        <f t="shared" si="12"/>
        <v>#REF!</v>
      </c>
      <c r="BD57" s="33" t="e">
        <f t="shared" si="12"/>
        <v>#REF!</v>
      </c>
      <c r="BE57" s="33" t="e">
        <f t="shared" si="12"/>
        <v>#REF!</v>
      </c>
      <c r="BF57" s="33" t="e">
        <f t="shared" si="12"/>
        <v>#REF!</v>
      </c>
      <c r="BG57" s="33" t="e">
        <f t="shared" si="12"/>
        <v>#REF!</v>
      </c>
      <c r="BH57" s="33" t="e">
        <f t="shared" si="12"/>
        <v>#REF!</v>
      </c>
      <c r="BI57" s="33" t="e">
        <f t="shared" si="12"/>
        <v>#REF!</v>
      </c>
      <c r="BJ57" s="33" t="e">
        <f t="shared" si="12"/>
        <v>#REF!</v>
      </c>
      <c r="BK57" s="33" t="e">
        <f t="shared" si="12"/>
        <v>#REF!</v>
      </c>
      <c r="BL57" s="33" t="e">
        <f t="shared" si="12"/>
        <v>#REF!</v>
      </c>
      <c r="BM57" s="33" t="e">
        <f t="shared" si="12"/>
        <v>#REF!</v>
      </c>
      <c r="BN57" s="33" t="e">
        <f t="shared" si="12"/>
        <v>#REF!</v>
      </c>
      <c r="BO57" s="33" t="e">
        <f t="shared" si="12"/>
        <v>#REF!</v>
      </c>
      <c r="BP57" s="33" t="e">
        <f t="shared" ref="BP57:BV57" si="13">+BP58-BP56</f>
        <v>#REF!</v>
      </c>
      <c r="BQ57" s="33" t="e">
        <f t="shared" si="13"/>
        <v>#REF!</v>
      </c>
      <c r="BR57" s="33" t="e">
        <f t="shared" si="13"/>
        <v>#REF!</v>
      </c>
      <c r="BS57" s="33" t="e">
        <f t="shared" si="13"/>
        <v>#REF!</v>
      </c>
      <c r="BT57" s="33" t="e">
        <f t="shared" si="13"/>
        <v>#REF!</v>
      </c>
      <c r="BU57" s="33" t="e">
        <f t="shared" si="13"/>
        <v>#REF!</v>
      </c>
      <c r="BV57" s="33" t="e">
        <f t="shared" si="13"/>
        <v>#REF!</v>
      </c>
    </row>
    <row r="58" spans="1:74" x14ac:dyDescent="0.3">
      <c r="A58" t="s">
        <v>738</v>
      </c>
      <c r="B58">
        <v>0</v>
      </c>
      <c r="C58" s="32" t="e">
        <f>+PMT($C$48,$B$50,-$B$46,0)</f>
        <v>#REF!</v>
      </c>
      <c r="D58" s="32" t="e">
        <f t="shared" ref="D58:BO58" si="14">+PMT($C$48,$B$50,-$B$46,0)</f>
        <v>#REF!</v>
      </c>
      <c r="E58" s="32" t="e">
        <f t="shared" si="14"/>
        <v>#REF!</v>
      </c>
      <c r="F58" s="32" t="e">
        <f t="shared" si="14"/>
        <v>#REF!</v>
      </c>
      <c r="G58" s="32" t="e">
        <f t="shared" si="14"/>
        <v>#REF!</v>
      </c>
      <c r="H58" s="32" t="e">
        <f t="shared" si="14"/>
        <v>#REF!</v>
      </c>
      <c r="I58" s="32" t="e">
        <f t="shared" si="14"/>
        <v>#REF!</v>
      </c>
      <c r="J58" s="32" t="e">
        <f t="shared" si="14"/>
        <v>#REF!</v>
      </c>
      <c r="K58" s="32" t="e">
        <f t="shared" si="14"/>
        <v>#REF!</v>
      </c>
      <c r="L58" s="32" t="e">
        <f t="shared" si="14"/>
        <v>#REF!</v>
      </c>
      <c r="M58" s="32" t="e">
        <f t="shared" si="14"/>
        <v>#REF!</v>
      </c>
      <c r="N58" s="32" t="e">
        <f t="shared" si="14"/>
        <v>#REF!</v>
      </c>
      <c r="O58" s="32" t="e">
        <f t="shared" si="14"/>
        <v>#REF!</v>
      </c>
      <c r="P58" s="32" t="e">
        <f t="shared" si="14"/>
        <v>#REF!</v>
      </c>
      <c r="Q58" s="32" t="e">
        <f t="shared" si="14"/>
        <v>#REF!</v>
      </c>
      <c r="R58" s="32" t="e">
        <f t="shared" si="14"/>
        <v>#REF!</v>
      </c>
      <c r="S58" s="32" t="e">
        <f t="shared" si="14"/>
        <v>#REF!</v>
      </c>
      <c r="T58" s="32" t="e">
        <f t="shared" si="14"/>
        <v>#REF!</v>
      </c>
      <c r="U58" s="32" t="e">
        <f t="shared" si="14"/>
        <v>#REF!</v>
      </c>
      <c r="V58" s="32" t="e">
        <f t="shared" si="14"/>
        <v>#REF!</v>
      </c>
      <c r="W58" s="32" t="e">
        <f t="shared" si="14"/>
        <v>#REF!</v>
      </c>
      <c r="X58" s="32" t="e">
        <f t="shared" si="14"/>
        <v>#REF!</v>
      </c>
      <c r="Y58" s="32" t="e">
        <f t="shared" si="14"/>
        <v>#REF!</v>
      </c>
      <c r="Z58" s="32" t="e">
        <f t="shared" si="14"/>
        <v>#REF!</v>
      </c>
      <c r="AA58" s="32" t="e">
        <f t="shared" si="14"/>
        <v>#REF!</v>
      </c>
      <c r="AB58" s="32" t="e">
        <f t="shared" si="14"/>
        <v>#REF!</v>
      </c>
      <c r="AC58" s="32" t="e">
        <f t="shared" si="14"/>
        <v>#REF!</v>
      </c>
      <c r="AD58" s="32" t="e">
        <f t="shared" si="14"/>
        <v>#REF!</v>
      </c>
      <c r="AE58" s="32" t="e">
        <f t="shared" si="14"/>
        <v>#REF!</v>
      </c>
      <c r="AF58" s="32" t="e">
        <f t="shared" si="14"/>
        <v>#REF!</v>
      </c>
      <c r="AG58" s="32" t="e">
        <f t="shared" si="14"/>
        <v>#REF!</v>
      </c>
      <c r="AH58" s="32" t="e">
        <f t="shared" si="14"/>
        <v>#REF!</v>
      </c>
      <c r="AI58" s="32" t="e">
        <f t="shared" si="14"/>
        <v>#REF!</v>
      </c>
      <c r="AJ58" s="32" t="e">
        <f t="shared" si="14"/>
        <v>#REF!</v>
      </c>
      <c r="AK58" s="32" t="e">
        <f t="shared" si="14"/>
        <v>#REF!</v>
      </c>
      <c r="AL58" s="32" t="e">
        <f t="shared" si="14"/>
        <v>#REF!</v>
      </c>
      <c r="AM58" s="32" t="e">
        <f t="shared" si="14"/>
        <v>#REF!</v>
      </c>
      <c r="AN58" s="32" t="e">
        <f t="shared" si="14"/>
        <v>#REF!</v>
      </c>
      <c r="AO58" s="32" t="e">
        <f t="shared" si="14"/>
        <v>#REF!</v>
      </c>
      <c r="AP58" s="32" t="e">
        <f t="shared" si="14"/>
        <v>#REF!</v>
      </c>
      <c r="AQ58" s="32" t="e">
        <f t="shared" si="14"/>
        <v>#REF!</v>
      </c>
      <c r="AR58" s="32" t="e">
        <f t="shared" si="14"/>
        <v>#REF!</v>
      </c>
      <c r="AS58" s="32" t="e">
        <f t="shared" si="14"/>
        <v>#REF!</v>
      </c>
      <c r="AT58" s="32" t="e">
        <f t="shared" si="14"/>
        <v>#REF!</v>
      </c>
      <c r="AU58" s="32" t="e">
        <f t="shared" si="14"/>
        <v>#REF!</v>
      </c>
      <c r="AV58" s="32" t="e">
        <f t="shared" si="14"/>
        <v>#REF!</v>
      </c>
      <c r="AW58" s="32" t="e">
        <f t="shared" si="14"/>
        <v>#REF!</v>
      </c>
      <c r="AX58" s="32" t="e">
        <f t="shared" si="14"/>
        <v>#REF!</v>
      </c>
      <c r="AY58" s="32" t="e">
        <f t="shared" si="14"/>
        <v>#REF!</v>
      </c>
      <c r="AZ58" s="32" t="e">
        <f t="shared" si="14"/>
        <v>#REF!</v>
      </c>
      <c r="BA58" s="32" t="e">
        <f t="shared" si="14"/>
        <v>#REF!</v>
      </c>
      <c r="BB58" s="32" t="e">
        <f t="shared" si="14"/>
        <v>#REF!</v>
      </c>
      <c r="BC58" s="32" t="e">
        <f t="shared" si="14"/>
        <v>#REF!</v>
      </c>
      <c r="BD58" s="32" t="e">
        <f t="shared" si="14"/>
        <v>#REF!</v>
      </c>
      <c r="BE58" s="32" t="e">
        <f t="shared" si="14"/>
        <v>#REF!</v>
      </c>
      <c r="BF58" s="32" t="e">
        <f t="shared" si="14"/>
        <v>#REF!</v>
      </c>
      <c r="BG58" s="32" t="e">
        <f t="shared" si="14"/>
        <v>#REF!</v>
      </c>
      <c r="BH58" s="32" t="e">
        <f t="shared" si="14"/>
        <v>#REF!</v>
      </c>
      <c r="BI58" s="32" t="e">
        <f t="shared" si="14"/>
        <v>#REF!</v>
      </c>
      <c r="BJ58" s="32" t="e">
        <f t="shared" si="14"/>
        <v>#REF!</v>
      </c>
      <c r="BK58" s="32" t="e">
        <f t="shared" si="14"/>
        <v>#REF!</v>
      </c>
      <c r="BL58" s="32" t="e">
        <f t="shared" si="14"/>
        <v>#REF!</v>
      </c>
      <c r="BM58" s="32" t="e">
        <f t="shared" si="14"/>
        <v>#REF!</v>
      </c>
      <c r="BN58" s="32" t="e">
        <f t="shared" si="14"/>
        <v>#REF!</v>
      </c>
      <c r="BO58" s="32" t="e">
        <f t="shared" si="14"/>
        <v>#REF!</v>
      </c>
      <c r="BP58" s="32" t="e">
        <f t="shared" ref="BP58:BV58" si="15">+PMT($C$48,$B$50,-$B$46,0)</f>
        <v>#REF!</v>
      </c>
      <c r="BQ58" s="32" t="e">
        <f t="shared" si="15"/>
        <v>#REF!</v>
      </c>
      <c r="BR58" s="32" t="e">
        <f t="shared" si="15"/>
        <v>#REF!</v>
      </c>
      <c r="BS58" s="32" t="e">
        <f t="shared" si="15"/>
        <v>#REF!</v>
      </c>
      <c r="BT58" s="32" t="e">
        <f t="shared" si="15"/>
        <v>#REF!</v>
      </c>
      <c r="BU58" s="32" t="e">
        <f t="shared" si="15"/>
        <v>#REF!</v>
      </c>
      <c r="BV58" s="32" t="e">
        <f t="shared" si="15"/>
        <v>#REF!</v>
      </c>
    </row>
    <row r="59" spans="1:74" x14ac:dyDescent="0.3">
      <c r="A59" t="s">
        <v>719</v>
      </c>
      <c r="B59">
        <v>0</v>
      </c>
      <c r="C59" s="41" t="e">
        <f>+$B$51*(B55/1000000)</f>
        <v>#REF!</v>
      </c>
      <c r="D59" s="41" t="e">
        <f t="shared" ref="D59:BO59" si="16">+$B$51*(C55/1000000)</f>
        <v>#REF!</v>
      </c>
      <c r="E59" s="41" t="e">
        <f t="shared" si="16"/>
        <v>#REF!</v>
      </c>
      <c r="F59" s="41" t="e">
        <f t="shared" si="16"/>
        <v>#REF!</v>
      </c>
      <c r="G59" s="41" t="e">
        <f t="shared" si="16"/>
        <v>#REF!</v>
      </c>
      <c r="H59" s="41" t="e">
        <f t="shared" si="16"/>
        <v>#REF!</v>
      </c>
      <c r="I59" s="41" t="e">
        <f t="shared" si="16"/>
        <v>#REF!</v>
      </c>
      <c r="J59" s="41" t="e">
        <f t="shared" si="16"/>
        <v>#REF!</v>
      </c>
      <c r="K59" s="41" t="e">
        <f t="shared" si="16"/>
        <v>#REF!</v>
      </c>
      <c r="L59" s="41" t="e">
        <f t="shared" si="16"/>
        <v>#REF!</v>
      </c>
      <c r="M59" s="41" t="e">
        <f t="shared" si="16"/>
        <v>#REF!</v>
      </c>
      <c r="N59" s="41" t="e">
        <f t="shared" si="16"/>
        <v>#REF!</v>
      </c>
      <c r="O59" s="41" t="e">
        <f t="shared" si="16"/>
        <v>#REF!</v>
      </c>
      <c r="P59" s="41" t="e">
        <f t="shared" si="16"/>
        <v>#REF!</v>
      </c>
      <c r="Q59" s="41" t="e">
        <f t="shared" si="16"/>
        <v>#REF!</v>
      </c>
      <c r="R59" s="41" t="e">
        <f t="shared" si="16"/>
        <v>#REF!</v>
      </c>
      <c r="S59" s="41" t="e">
        <f t="shared" si="16"/>
        <v>#REF!</v>
      </c>
      <c r="T59" s="41" t="e">
        <f t="shared" si="16"/>
        <v>#REF!</v>
      </c>
      <c r="U59" s="41" t="e">
        <f t="shared" si="16"/>
        <v>#REF!</v>
      </c>
      <c r="V59" s="41" t="e">
        <f t="shared" si="16"/>
        <v>#REF!</v>
      </c>
      <c r="W59" s="41" t="e">
        <f t="shared" si="16"/>
        <v>#REF!</v>
      </c>
      <c r="X59" s="41" t="e">
        <f t="shared" si="16"/>
        <v>#REF!</v>
      </c>
      <c r="Y59" s="41" t="e">
        <f t="shared" si="16"/>
        <v>#REF!</v>
      </c>
      <c r="Z59" s="41" t="e">
        <f t="shared" si="16"/>
        <v>#REF!</v>
      </c>
      <c r="AA59" s="41" t="e">
        <f t="shared" si="16"/>
        <v>#REF!</v>
      </c>
      <c r="AB59" s="41" t="e">
        <f t="shared" si="16"/>
        <v>#REF!</v>
      </c>
      <c r="AC59" s="41" t="e">
        <f t="shared" si="16"/>
        <v>#REF!</v>
      </c>
      <c r="AD59" s="41" t="e">
        <f t="shared" si="16"/>
        <v>#REF!</v>
      </c>
      <c r="AE59" s="41" t="e">
        <f t="shared" si="16"/>
        <v>#REF!</v>
      </c>
      <c r="AF59" s="41" t="e">
        <f t="shared" si="16"/>
        <v>#REF!</v>
      </c>
      <c r="AG59" s="41" t="e">
        <f t="shared" si="16"/>
        <v>#REF!</v>
      </c>
      <c r="AH59" s="41" t="e">
        <f t="shared" si="16"/>
        <v>#REF!</v>
      </c>
      <c r="AI59" s="41" t="e">
        <f t="shared" si="16"/>
        <v>#REF!</v>
      </c>
      <c r="AJ59" s="41" t="e">
        <f t="shared" si="16"/>
        <v>#REF!</v>
      </c>
      <c r="AK59" s="41" t="e">
        <f t="shared" si="16"/>
        <v>#REF!</v>
      </c>
      <c r="AL59" s="41" t="e">
        <f t="shared" si="16"/>
        <v>#REF!</v>
      </c>
      <c r="AM59" s="41" t="e">
        <f t="shared" si="16"/>
        <v>#REF!</v>
      </c>
      <c r="AN59" s="41" t="e">
        <f t="shared" si="16"/>
        <v>#REF!</v>
      </c>
      <c r="AO59" s="41" t="e">
        <f t="shared" si="16"/>
        <v>#REF!</v>
      </c>
      <c r="AP59" s="41" t="e">
        <f t="shared" si="16"/>
        <v>#REF!</v>
      </c>
      <c r="AQ59" s="41" t="e">
        <f t="shared" si="16"/>
        <v>#REF!</v>
      </c>
      <c r="AR59" s="41" t="e">
        <f t="shared" si="16"/>
        <v>#REF!</v>
      </c>
      <c r="AS59" s="41" t="e">
        <f t="shared" si="16"/>
        <v>#REF!</v>
      </c>
      <c r="AT59" s="41" t="e">
        <f t="shared" si="16"/>
        <v>#REF!</v>
      </c>
      <c r="AU59" s="41" t="e">
        <f t="shared" si="16"/>
        <v>#REF!</v>
      </c>
      <c r="AV59" s="41" t="e">
        <f t="shared" si="16"/>
        <v>#REF!</v>
      </c>
      <c r="AW59" s="41" t="e">
        <f t="shared" si="16"/>
        <v>#REF!</v>
      </c>
      <c r="AX59" s="41" t="e">
        <f t="shared" si="16"/>
        <v>#REF!</v>
      </c>
      <c r="AY59" s="41" t="e">
        <f t="shared" si="16"/>
        <v>#REF!</v>
      </c>
      <c r="AZ59" s="41" t="e">
        <f t="shared" si="16"/>
        <v>#REF!</v>
      </c>
      <c r="BA59" s="41" t="e">
        <f t="shared" si="16"/>
        <v>#REF!</v>
      </c>
      <c r="BB59" s="41" t="e">
        <f t="shared" si="16"/>
        <v>#REF!</v>
      </c>
      <c r="BC59" s="41" t="e">
        <f t="shared" si="16"/>
        <v>#REF!</v>
      </c>
      <c r="BD59" s="41" t="e">
        <f t="shared" si="16"/>
        <v>#REF!</v>
      </c>
      <c r="BE59" s="41" t="e">
        <f t="shared" si="16"/>
        <v>#REF!</v>
      </c>
      <c r="BF59" s="41" t="e">
        <f t="shared" si="16"/>
        <v>#REF!</v>
      </c>
      <c r="BG59" s="41" t="e">
        <f t="shared" si="16"/>
        <v>#REF!</v>
      </c>
      <c r="BH59" s="41" t="e">
        <f t="shared" si="16"/>
        <v>#REF!</v>
      </c>
      <c r="BI59" s="41" t="e">
        <f t="shared" si="16"/>
        <v>#REF!</v>
      </c>
      <c r="BJ59" s="41" t="e">
        <f t="shared" si="16"/>
        <v>#REF!</v>
      </c>
      <c r="BK59" s="41" t="e">
        <f t="shared" si="16"/>
        <v>#REF!</v>
      </c>
      <c r="BL59" s="41" t="e">
        <f t="shared" si="16"/>
        <v>#REF!</v>
      </c>
      <c r="BM59" s="41" t="e">
        <f t="shared" si="16"/>
        <v>#REF!</v>
      </c>
      <c r="BN59" s="41" t="e">
        <f t="shared" si="16"/>
        <v>#REF!</v>
      </c>
      <c r="BO59" s="41" t="e">
        <f t="shared" si="16"/>
        <v>#REF!</v>
      </c>
      <c r="BP59" s="41" t="e">
        <f t="shared" ref="BP59:BV59" si="17">+$B$51*(BO55/1000000)</f>
        <v>#REF!</v>
      </c>
      <c r="BQ59" s="41" t="e">
        <f t="shared" si="17"/>
        <v>#REF!</v>
      </c>
      <c r="BR59" s="41" t="e">
        <f t="shared" si="17"/>
        <v>#REF!</v>
      </c>
      <c r="BS59" s="41" t="e">
        <f t="shared" si="17"/>
        <v>#REF!</v>
      </c>
      <c r="BT59" s="41" t="e">
        <f t="shared" si="17"/>
        <v>#REF!</v>
      </c>
      <c r="BU59" s="41" t="e">
        <f t="shared" si="17"/>
        <v>#REF!</v>
      </c>
      <c r="BV59" s="41" t="e">
        <f t="shared" si="17"/>
        <v>#REF!</v>
      </c>
    </row>
    <row r="60" spans="1:74" x14ac:dyDescent="0.3">
      <c r="A60" t="s">
        <v>739</v>
      </c>
      <c r="B60">
        <v>0</v>
      </c>
      <c r="C60" s="32" t="e">
        <f>+PMT($B$48,$B$50,-$B$46,0)</f>
        <v>#REF!</v>
      </c>
      <c r="D60" s="32" t="e">
        <f t="shared" ref="D60:BO60" si="18">+PMT($B$48,$B$50,-$B$46,0)</f>
        <v>#REF!</v>
      </c>
      <c r="E60" s="32" t="e">
        <f t="shared" si="18"/>
        <v>#REF!</v>
      </c>
      <c r="F60" s="32" t="e">
        <f t="shared" si="18"/>
        <v>#REF!</v>
      </c>
      <c r="G60" s="32" t="e">
        <f t="shared" si="18"/>
        <v>#REF!</v>
      </c>
      <c r="H60" s="32" t="e">
        <f t="shared" si="18"/>
        <v>#REF!</v>
      </c>
      <c r="I60" s="32" t="e">
        <f t="shared" si="18"/>
        <v>#REF!</v>
      </c>
      <c r="J60" s="32" t="e">
        <f t="shared" si="18"/>
        <v>#REF!</v>
      </c>
      <c r="K60" s="32" t="e">
        <f t="shared" si="18"/>
        <v>#REF!</v>
      </c>
      <c r="L60" s="32" t="e">
        <f t="shared" si="18"/>
        <v>#REF!</v>
      </c>
      <c r="M60" s="32" t="e">
        <f t="shared" si="18"/>
        <v>#REF!</v>
      </c>
      <c r="N60" s="32" t="e">
        <f t="shared" si="18"/>
        <v>#REF!</v>
      </c>
      <c r="O60" s="32" t="e">
        <f t="shared" si="18"/>
        <v>#REF!</v>
      </c>
      <c r="P60" s="32" t="e">
        <f t="shared" si="18"/>
        <v>#REF!</v>
      </c>
      <c r="Q60" s="32" t="e">
        <f t="shared" si="18"/>
        <v>#REF!</v>
      </c>
      <c r="R60" s="32" t="e">
        <f t="shared" si="18"/>
        <v>#REF!</v>
      </c>
      <c r="S60" s="32" t="e">
        <f t="shared" si="18"/>
        <v>#REF!</v>
      </c>
      <c r="T60" s="32" t="e">
        <f t="shared" si="18"/>
        <v>#REF!</v>
      </c>
      <c r="U60" s="32" t="e">
        <f t="shared" si="18"/>
        <v>#REF!</v>
      </c>
      <c r="V60" s="32" t="e">
        <f t="shared" si="18"/>
        <v>#REF!</v>
      </c>
      <c r="W60" s="32" t="e">
        <f t="shared" si="18"/>
        <v>#REF!</v>
      </c>
      <c r="X60" s="32" t="e">
        <f t="shared" si="18"/>
        <v>#REF!</v>
      </c>
      <c r="Y60" s="32" t="e">
        <f t="shared" si="18"/>
        <v>#REF!</v>
      </c>
      <c r="Z60" s="32" t="e">
        <f t="shared" si="18"/>
        <v>#REF!</v>
      </c>
      <c r="AA60" s="32" t="e">
        <f t="shared" si="18"/>
        <v>#REF!</v>
      </c>
      <c r="AB60" s="32" t="e">
        <f t="shared" si="18"/>
        <v>#REF!</v>
      </c>
      <c r="AC60" s="32" t="e">
        <f t="shared" si="18"/>
        <v>#REF!</v>
      </c>
      <c r="AD60" s="32" t="e">
        <f t="shared" si="18"/>
        <v>#REF!</v>
      </c>
      <c r="AE60" s="32" t="e">
        <f t="shared" si="18"/>
        <v>#REF!</v>
      </c>
      <c r="AF60" s="32" t="e">
        <f t="shared" si="18"/>
        <v>#REF!</v>
      </c>
      <c r="AG60" s="32" t="e">
        <f t="shared" si="18"/>
        <v>#REF!</v>
      </c>
      <c r="AH60" s="32" t="e">
        <f t="shared" si="18"/>
        <v>#REF!</v>
      </c>
      <c r="AI60" s="32" t="e">
        <f t="shared" si="18"/>
        <v>#REF!</v>
      </c>
      <c r="AJ60" s="32" t="e">
        <f t="shared" si="18"/>
        <v>#REF!</v>
      </c>
      <c r="AK60" s="32" t="e">
        <f t="shared" si="18"/>
        <v>#REF!</v>
      </c>
      <c r="AL60" s="32" t="e">
        <f t="shared" si="18"/>
        <v>#REF!</v>
      </c>
      <c r="AM60" s="32" t="e">
        <f t="shared" si="18"/>
        <v>#REF!</v>
      </c>
      <c r="AN60" s="32" t="e">
        <f t="shared" si="18"/>
        <v>#REF!</v>
      </c>
      <c r="AO60" s="32" t="e">
        <f t="shared" si="18"/>
        <v>#REF!</v>
      </c>
      <c r="AP60" s="32" t="e">
        <f t="shared" si="18"/>
        <v>#REF!</v>
      </c>
      <c r="AQ60" s="32" t="e">
        <f t="shared" si="18"/>
        <v>#REF!</v>
      </c>
      <c r="AR60" s="32" t="e">
        <f t="shared" si="18"/>
        <v>#REF!</v>
      </c>
      <c r="AS60" s="32" t="e">
        <f t="shared" si="18"/>
        <v>#REF!</v>
      </c>
      <c r="AT60" s="32" t="e">
        <f t="shared" si="18"/>
        <v>#REF!</v>
      </c>
      <c r="AU60" s="32" t="e">
        <f t="shared" si="18"/>
        <v>#REF!</v>
      </c>
      <c r="AV60" s="32" t="e">
        <f t="shared" si="18"/>
        <v>#REF!</v>
      </c>
      <c r="AW60" s="32" t="e">
        <f t="shared" si="18"/>
        <v>#REF!</v>
      </c>
      <c r="AX60" s="32" t="e">
        <f t="shared" si="18"/>
        <v>#REF!</v>
      </c>
      <c r="AY60" s="32" t="e">
        <f t="shared" si="18"/>
        <v>#REF!</v>
      </c>
      <c r="AZ60" s="32" t="e">
        <f t="shared" si="18"/>
        <v>#REF!</v>
      </c>
      <c r="BA60" s="32" t="e">
        <f t="shared" si="18"/>
        <v>#REF!</v>
      </c>
      <c r="BB60" s="32" t="e">
        <f t="shared" si="18"/>
        <v>#REF!</v>
      </c>
      <c r="BC60" s="32" t="e">
        <f t="shared" si="18"/>
        <v>#REF!</v>
      </c>
      <c r="BD60" s="32" t="e">
        <f t="shared" si="18"/>
        <v>#REF!</v>
      </c>
      <c r="BE60" s="32" t="e">
        <f t="shared" si="18"/>
        <v>#REF!</v>
      </c>
      <c r="BF60" s="32" t="e">
        <f t="shared" si="18"/>
        <v>#REF!</v>
      </c>
      <c r="BG60" s="32" t="e">
        <f t="shared" si="18"/>
        <v>#REF!</v>
      </c>
      <c r="BH60" s="32" t="e">
        <f t="shared" si="18"/>
        <v>#REF!</v>
      </c>
      <c r="BI60" s="32" t="e">
        <f t="shared" si="18"/>
        <v>#REF!</v>
      </c>
      <c r="BJ60" s="32" t="e">
        <f t="shared" si="18"/>
        <v>#REF!</v>
      </c>
      <c r="BK60" s="32" t="e">
        <f t="shared" si="18"/>
        <v>#REF!</v>
      </c>
      <c r="BL60" s="32" t="e">
        <f t="shared" si="18"/>
        <v>#REF!</v>
      </c>
      <c r="BM60" s="32" t="e">
        <f t="shared" si="18"/>
        <v>#REF!</v>
      </c>
      <c r="BN60" s="32" t="e">
        <f t="shared" si="18"/>
        <v>#REF!</v>
      </c>
      <c r="BO60" s="32" t="e">
        <f t="shared" si="18"/>
        <v>#REF!</v>
      </c>
      <c r="BP60" s="32" t="e">
        <f t="shared" ref="BP60:BV60" si="19">+PMT($B$48,$B$50,-$B$46,0)</f>
        <v>#REF!</v>
      </c>
      <c r="BQ60" s="32" t="e">
        <f t="shared" si="19"/>
        <v>#REF!</v>
      </c>
      <c r="BR60" s="32" t="e">
        <f t="shared" si="19"/>
        <v>#REF!</v>
      </c>
      <c r="BS60" s="32" t="e">
        <f t="shared" si="19"/>
        <v>#REF!</v>
      </c>
      <c r="BT60" s="32" t="e">
        <f t="shared" si="19"/>
        <v>#REF!</v>
      </c>
      <c r="BU60" s="32" t="e">
        <f t="shared" si="19"/>
        <v>#REF!</v>
      </c>
      <c r="BV60" s="32" t="e">
        <f t="shared" si="19"/>
        <v>#REF!</v>
      </c>
    </row>
    <row r="62" spans="1:74" x14ac:dyDescent="0.3">
      <c r="A62" t="s">
        <v>640</v>
      </c>
      <c r="B62" s="30" t="e">
        <f>+SUM(B57:BV57)</f>
        <v>#REF!</v>
      </c>
    </row>
    <row r="63" spans="1:74" x14ac:dyDescent="0.3">
      <c r="A63" t="s">
        <v>642</v>
      </c>
      <c r="B63" s="30" t="e">
        <f>+SUM(B56:BV56)</f>
        <v>#REF!</v>
      </c>
    </row>
    <row r="64" spans="1:74" x14ac:dyDescent="0.3">
      <c r="A64" t="s">
        <v>719</v>
      </c>
      <c r="B64" s="30" t="e">
        <f>+SUM(B59:BV59)</f>
        <v>#REF!</v>
      </c>
    </row>
    <row r="67" spans="1:86" x14ac:dyDescent="0.3">
      <c r="A67" s="6" t="s">
        <v>742</v>
      </c>
      <c r="B67" t="s">
        <v>728</v>
      </c>
      <c r="C67" t="s">
        <v>729</v>
      </c>
    </row>
    <row r="68" spans="1:86" x14ac:dyDescent="0.3">
      <c r="A68" t="s">
        <v>640</v>
      </c>
      <c r="B68" s="28" t="e">
        <f>+B24</f>
        <v>#REF!</v>
      </c>
      <c r="D68" t="s">
        <v>627</v>
      </c>
      <c r="E68" s="32" t="e">
        <f>+PMT(B70,B72,B68)</f>
        <v>#REF!</v>
      </c>
    </row>
    <row r="69" spans="1:86" x14ac:dyDescent="0.3">
      <c r="A69" t="s">
        <v>730</v>
      </c>
      <c r="B69" s="16">
        <f>+B25</f>
        <v>0.20649999999999999</v>
      </c>
      <c r="C69" s="16">
        <f>+C25</f>
        <v>0.18990000000000001</v>
      </c>
      <c r="E69" s="32"/>
    </row>
    <row r="70" spans="1:86" x14ac:dyDescent="0.3">
      <c r="A70" t="s">
        <v>731</v>
      </c>
      <c r="B70" s="16">
        <f>+B26</f>
        <v>1.6400000000000001E-2</v>
      </c>
      <c r="C70" s="16">
        <f>+C26</f>
        <v>1.46E-2</v>
      </c>
    </row>
    <row r="71" spans="1:86" x14ac:dyDescent="0.3">
      <c r="A71" t="s">
        <v>732</v>
      </c>
      <c r="B71">
        <v>7</v>
      </c>
    </row>
    <row r="72" spans="1:86" x14ac:dyDescent="0.3">
      <c r="A72" t="s">
        <v>733</v>
      </c>
      <c r="B72">
        <f>+B71*12</f>
        <v>84</v>
      </c>
    </row>
    <row r="73" spans="1:86" x14ac:dyDescent="0.3">
      <c r="A73" t="s">
        <v>734</v>
      </c>
      <c r="B73">
        <f>+B29</f>
        <v>1159</v>
      </c>
    </row>
    <row r="76" spans="1:86" x14ac:dyDescent="0.3">
      <c r="A76" t="s">
        <v>735</v>
      </c>
      <c r="B76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6</v>
      </c>
      <c r="I76">
        <v>7</v>
      </c>
      <c r="J76">
        <v>8</v>
      </c>
      <c r="K76">
        <v>9</v>
      </c>
      <c r="L76">
        <v>10</v>
      </c>
      <c r="M76">
        <v>11</v>
      </c>
      <c r="N76">
        <v>12</v>
      </c>
      <c r="O76">
        <v>13</v>
      </c>
      <c r="P76">
        <v>14</v>
      </c>
      <c r="Q76">
        <v>15</v>
      </c>
      <c r="R76">
        <v>16</v>
      </c>
      <c r="S76">
        <v>17</v>
      </c>
      <c r="T76">
        <v>18</v>
      </c>
      <c r="U76">
        <v>19</v>
      </c>
      <c r="V76">
        <v>20</v>
      </c>
      <c r="W76">
        <v>21</v>
      </c>
      <c r="X76">
        <v>22</v>
      </c>
      <c r="Y76">
        <v>23</v>
      </c>
      <c r="Z76">
        <v>24</v>
      </c>
      <c r="AA76">
        <v>25</v>
      </c>
      <c r="AB76">
        <v>26</v>
      </c>
      <c r="AC76">
        <v>27</v>
      </c>
      <c r="AD76">
        <v>28</v>
      </c>
      <c r="AE76">
        <v>29</v>
      </c>
      <c r="AF76">
        <v>30</v>
      </c>
      <c r="AG76">
        <v>31</v>
      </c>
      <c r="AH76">
        <v>32</v>
      </c>
      <c r="AI76">
        <v>33</v>
      </c>
      <c r="AJ76">
        <v>34</v>
      </c>
      <c r="AK76">
        <v>35</v>
      </c>
      <c r="AL76">
        <v>36</v>
      </c>
      <c r="AM76">
        <v>37</v>
      </c>
      <c r="AN76">
        <v>38</v>
      </c>
      <c r="AO76">
        <v>39</v>
      </c>
      <c r="AP76">
        <v>40</v>
      </c>
      <c r="AQ76">
        <v>41</v>
      </c>
      <c r="AR76">
        <v>42</v>
      </c>
      <c r="AS76">
        <v>43</v>
      </c>
      <c r="AT76">
        <v>44</v>
      </c>
      <c r="AU76">
        <v>45</v>
      </c>
      <c r="AV76">
        <v>46</v>
      </c>
      <c r="AW76">
        <v>47</v>
      </c>
      <c r="AX76">
        <v>48</v>
      </c>
      <c r="AY76">
        <v>49</v>
      </c>
      <c r="AZ76">
        <v>50</v>
      </c>
      <c r="BA76">
        <v>51</v>
      </c>
      <c r="BB76">
        <v>52</v>
      </c>
      <c r="BC76">
        <v>53</v>
      </c>
      <c r="BD76">
        <v>54</v>
      </c>
      <c r="BE76">
        <v>55</v>
      </c>
      <c r="BF76">
        <v>56</v>
      </c>
      <c r="BG76">
        <v>57</v>
      </c>
      <c r="BH76">
        <v>58</v>
      </c>
      <c r="BI76">
        <v>59</v>
      </c>
      <c r="BJ76">
        <v>60</v>
      </c>
      <c r="BK76">
        <v>61</v>
      </c>
      <c r="BL76">
        <v>62</v>
      </c>
      <c r="BM76">
        <v>63</v>
      </c>
      <c r="BN76">
        <v>64</v>
      </c>
      <c r="BO76">
        <v>65</v>
      </c>
      <c r="BP76">
        <v>66</v>
      </c>
      <c r="BQ76">
        <v>67</v>
      </c>
      <c r="BR76">
        <v>68</v>
      </c>
      <c r="BS76">
        <v>69</v>
      </c>
      <c r="BT76">
        <v>70</v>
      </c>
      <c r="BU76">
        <v>71</v>
      </c>
      <c r="BV76">
        <v>72</v>
      </c>
      <c r="BW76">
        <v>73</v>
      </c>
      <c r="BX76">
        <v>74</v>
      </c>
      <c r="BY76">
        <v>75</v>
      </c>
      <c r="BZ76">
        <v>76</v>
      </c>
      <c r="CA76">
        <v>77</v>
      </c>
      <c r="CB76">
        <v>78</v>
      </c>
      <c r="CC76">
        <v>79</v>
      </c>
      <c r="CD76">
        <v>80</v>
      </c>
      <c r="CE76">
        <v>81</v>
      </c>
      <c r="CF76">
        <v>82</v>
      </c>
      <c r="CG76">
        <v>83</v>
      </c>
      <c r="CH76">
        <v>84</v>
      </c>
    </row>
    <row r="77" spans="1:86" x14ac:dyDescent="0.3">
      <c r="A77" t="s">
        <v>716</v>
      </c>
      <c r="B77" s="41" t="e">
        <f>+B68</f>
        <v>#REF!</v>
      </c>
      <c r="C77" s="33" t="e">
        <f>+B77-C79</f>
        <v>#REF!</v>
      </c>
      <c r="D77" s="33" t="e">
        <f t="shared" ref="D77:BO77" si="20">+C77-D79</f>
        <v>#REF!</v>
      </c>
      <c r="E77" s="33" t="e">
        <f t="shared" si="20"/>
        <v>#REF!</v>
      </c>
      <c r="F77" s="33" t="e">
        <f t="shared" si="20"/>
        <v>#REF!</v>
      </c>
      <c r="G77" s="33" t="e">
        <f t="shared" si="20"/>
        <v>#REF!</v>
      </c>
      <c r="H77" s="33" t="e">
        <f t="shared" si="20"/>
        <v>#REF!</v>
      </c>
      <c r="I77" s="33" t="e">
        <f t="shared" si="20"/>
        <v>#REF!</v>
      </c>
      <c r="J77" s="33" t="e">
        <f t="shared" si="20"/>
        <v>#REF!</v>
      </c>
      <c r="K77" s="33" t="e">
        <f t="shared" si="20"/>
        <v>#REF!</v>
      </c>
      <c r="L77" s="33" t="e">
        <f t="shared" si="20"/>
        <v>#REF!</v>
      </c>
      <c r="M77" s="33" t="e">
        <f t="shared" si="20"/>
        <v>#REF!</v>
      </c>
      <c r="N77" s="33" t="e">
        <f t="shared" si="20"/>
        <v>#REF!</v>
      </c>
      <c r="O77" s="33" t="e">
        <f t="shared" si="20"/>
        <v>#REF!</v>
      </c>
      <c r="P77" s="33" t="e">
        <f t="shared" si="20"/>
        <v>#REF!</v>
      </c>
      <c r="Q77" s="33" t="e">
        <f t="shared" si="20"/>
        <v>#REF!</v>
      </c>
      <c r="R77" s="33" t="e">
        <f t="shared" si="20"/>
        <v>#REF!</v>
      </c>
      <c r="S77" s="33" t="e">
        <f t="shared" si="20"/>
        <v>#REF!</v>
      </c>
      <c r="T77" s="33" t="e">
        <f t="shared" si="20"/>
        <v>#REF!</v>
      </c>
      <c r="U77" s="33" t="e">
        <f t="shared" si="20"/>
        <v>#REF!</v>
      </c>
      <c r="V77" s="33" t="e">
        <f t="shared" si="20"/>
        <v>#REF!</v>
      </c>
      <c r="W77" s="33" t="e">
        <f t="shared" si="20"/>
        <v>#REF!</v>
      </c>
      <c r="X77" s="33" t="e">
        <f t="shared" si="20"/>
        <v>#REF!</v>
      </c>
      <c r="Y77" s="33" t="e">
        <f t="shared" si="20"/>
        <v>#REF!</v>
      </c>
      <c r="Z77" s="33" t="e">
        <f t="shared" si="20"/>
        <v>#REF!</v>
      </c>
      <c r="AA77" s="33" t="e">
        <f t="shared" si="20"/>
        <v>#REF!</v>
      </c>
      <c r="AB77" s="33" t="e">
        <f t="shared" si="20"/>
        <v>#REF!</v>
      </c>
      <c r="AC77" s="33" t="e">
        <f t="shared" si="20"/>
        <v>#REF!</v>
      </c>
      <c r="AD77" s="33" t="e">
        <f t="shared" si="20"/>
        <v>#REF!</v>
      </c>
      <c r="AE77" s="33" t="e">
        <f t="shared" si="20"/>
        <v>#REF!</v>
      </c>
      <c r="AF77" s="33" t="e">
        <f t="shared" si="20"/>
        <v>#REF!</v>
      </c>
      <c r="AG77" s="33" t="e">
        <f t="shared" si="20"/>
        <v>#REF!</v>
      </c>
      <c r="AH77" s="33" t="e">
        <f t="shared" si="20"/>
        <v>#REF!</v>
      </c>
      <c r="AI77" s="33" t="e">
        <f t="shared" si="20"/>
        <v>#REF!</v>
      </c>
      <c r="AJ77" s="33" t="e">
        <f t="shared" si="20"/>
        <v>#REF!</v>
      </c>
      <c r="AK77" s="33" t="e">
        <f t="shared" si="20"/>
        <v>#REF!</v>
      </c>
      <c r="AL77" s="33" t="e">
        <f t="shared" si="20"/>
        <v>#REF!</v>
      </c>
      <c r="AM77" s="33" t="e">
        <f t="shared" si="20"/>
        <v>#REF!</v>
      </c>
      <c r="AN77" s="33" t="e">
        <f t="shared" si="20"/>
        <v>#REF!</v>
      </c>
      <c r="AO77" s="33" t="e">
        <f t="shared" si="20"/>
        <v>#REF!</v>
      </c>
      <c r="AP77" s="33" t="e">
        <f t="shared" si="20"/>
        <v>#REF!</v>
      </c>
      <c r="AQ77" s="33" t="e">
        <f t="shared" si="20"/>
        <v>#REF!</v>
      </c>
      <c r="AR77" s="33" t="e">
        <f t="shared" si="20"/>
        <v>#REF!</v>
      </c>
      <c r="AS77" s="33" t="e">
        <f t="shared" si="20"/>
        <v>#REF!</v>
      </c>
      <c r="AT77" s="33" t="e">
        <f t="shared" si="20"/>
        <v>#REF!</v>
      </c>
      <c r="AU77" s="33" t="e">
        <f t="shared" si="20"/>
        <v>#REF!</v>
      </c>
      <c r="AV77" s="33" t="e">
        <f t="shared" si="20"/>
        <v>#REF!</v>
      </c>
      <c r="AW77" s="33" t="e">
        <f t="shared" si="20"/>
        <v>#REF!</v>
      </c>
      <c r="AX77" s="33" t="e">
        <f t="shared" si="20"/>
        <v>#REF!</v>
      </c>
      <c r="AY77" s="33" t="e">
        <f t="shared" si="20"/>
        <v>#REF!</v>
      </c>
      <c r="AZ77" s="33" t="e">
        <f t="shared" si="20"/>
        <v>#REF!</v>
      </c>
      <c r="BA77" s="33" t="e">
        <f t="shared" si="20"/>
        <v>#REF!</v>
      </c>
      <c r="BB77" s="33" t="e">
        <f t="shared" si="20"/>
        <v>#REF!</v>
      </c>
      <c r="BC77" s="33" t="e">
        <f t="shared" si="20"/>
        <v>#REF!</v>
      </c>
      <c r="BD77" s="33" t="e">
        <f t="shared" si="20"/>
        <v>#REF!</v>
      </c>
      <c r="BE77" s="33" t="e">
        <f t="shared" si="20"/>
        <v>#REF!</v>
      </c>
      <c r="BF77" s="33" t="e">
        <f t="shared" si="20"/>
        <v>#REF!</v>
      </c>
      <c r="BG77" s="33" t="e">
        <f t="shared" si="20"/>
        <v>#REF!</v>
      </c>
      <c r="BH77" s="33" t="e">
        <f t="shared" si="20"/>
        <v>#REF!</v>
      </c>
      <c r="BI77" s="33" t="e">
        <f t="shared" si="20"/>
        <v>#REF!</v>
      </c>
      <c r="BJ77" s="33" t="e">
        <f t="shared" si="20"/>
        <v>#REF!</v>
      </c>
      <c r="BK77" s="33" t="e">
        <f t="shared" si="20"/>
        <v>#REF!</v>
      </c>
      <c r="BL77" s="33" t="e">
        <f t="shared" si="20"/>
        <v>#REF!</v>
      </c>
      <c r="BM77" s="33" t="e">
        <f t="shared" si="20"/>
        <v>#REF!</v>
      </c>
      <c r="BN77" s="33" t="e">
        <f t="shared" si="20"/>
        <v>#REF!</v>
      </c>
      <c r="BO77" s="33" t="e">
        <f t="shared" si="20"/>
        <v>#REF!</v>
      </c>
      <c r="BP77" s="33" t="e">
        <f t="shared" ref="BP77:BV77" si="21">+BO77-BP79</f>
        <v>#REF!</v>
      </c>
      <c r="BQ77" s="33" t="e">
        <f t="shared" si="21"/>
        <v>#REF!</v>
      </c>
      <c r="BR77" s="33" t="e">
        <f t="shared" si="21"/>
        <v>#REF!</v>
      </c>
      <c r="BS77" s="33" t="e">
        <f t="shared" si="21"/>
        <v>#REF!</v>
      </c>
      <c r="BT77" s="33" t="e">
        <f t="shared" si="21"/>
        <v>#REF!</v>
      </c>
      <c r="BU77" s="33" t="e">
        <f t="shared" si="21"/>
        <v>#REF!</v>
      </c>
      <c r="BV77" s="33" t="e">
        <f t="shared" si="21"/>
        <v>#REF!</v>
      </c>
      <c r="BW77" s="33" t="e">
        <f t="shared" ref="BW77:CH77" si="22">+BV77-BW79</f>
        <v>#REF!</v>
      </c>
      <c r="BX77" s="33" t="e">
        <f t="shared" si="22"/>
        <v>#REF!</v>
      </c>
      <c r="BY77" s="33" t="e">
        <f t="shared" si="22"/>
        <v>#REF!</v>
      </c>
      <c r="BZ77" s="33" t="e">
        <f t="shared" si="22"/>
        <v>#REF!</v>
      </c>
      <c r="CA77" s="33" t="e">
        <f t="shared" si="22"/>
        <v>#REF!</v>
      </c>
      <c r="CB77" s="33" t="e">
        <f t="shared" si="22"/>
        <v>#REF!</v>
      </c>
      <c r="CC77" s="33" t="e">
        <f t="shared" si="22"/>
        <v>#REF!</v>
      </c>
      <c r="CD77" s="33" t="e">
        <f t="shared" si="22"/>
        <v>#REF!</v>
      </c>
      <c r="CE77" s="33" t="e">
        <f t="shared" si="22"/>
        <v>#REF!</v>
      </c>
      <c r="CF77" s="33" t="e">
        <f t="shared" si="22"/>
        <v>#REF!</v>
      </c>
      <c r="CG77" s="33" t="e">
        <f t="shared" si="22"/>
        <v>#REF!</v>
      </c>
      <c r="CH77" s="33" t="e">
        <f t="shared" si="22"/>
        <v>#REF!</v>
      </c>
    </row>
    <row r="78" spans="1:86" x14ac:dyDescent="0.3">
      <c r="A78" t="s">
        <v>736</v>
      </c>
      <c r="B78">
        <v>0</v>
      </c>
      <c r="C78" s="30" t="e">
        <f>+B77*$C$70</f>
        <v>#REF!</v>
      </c>
      <c r="D78" s="30" t="e">
        <f t="shared" ref="D78:BO78" si="23">+C77*$C$70</f>
        <v>#REF!</v>
      </c>
      <c r="E78" s="30" t="e">
        <f t="shared" si="23"/>
        <v>#REF!</v>
      </c>
      <c r="F78" s="30" t="e">
        <f t="shared" si="23"/>
        <v>#REF!</v>
      </c>
      <c r="G78" s="30" t="e">
        <f t="shared" si="23"/>
        <v>#REF!</v>
      </c>
      <c r="H78" s="30" t="e">
        <f t="shared" si="23"/>
        <v>#REF!</v>
      </c>
      <c r="I78" s="30" t="e">
        <f t="shared" si="23"/>
        <v>#REF!</v>
      </c>
      <c r="J78" s="30" t="e">
        <f t="shared" si="23"/>
        <v>#REF!</v>
      </c>
      <c r="K78" s="30" t="e">
        <f t="shared" si="23"/>
        <v>#REF!</v>
      </c>
      <c r="L78" s="30" t="e">
        <f t="shared" si="23"/>
        <v>#REF!</v>
      </c>
      <c r="M78" s="30" t="e">
        <f t="shared" si="23"/>
        <v>#REF!</v>
      </c>
      <c r="N78" s="30" t="e">
        <f t="shared" si="23"/>
        <v>#REF!</v>
      </c>
      <c r="O78" s="30" t="e">
        <f t="shared" si="23"/>
        <v>#REF!</v>
      </c>
      <c r="P78" s="30" t="e">
        <f t="shared" si="23"/>
        <v>#REF!</v>
      </c>
      <c r="Q78" s="30" t="e">
        <f t="shared" si="23"/>
        <v>#REF!</v>
      </c>
      <c r="R78" s="30" t="e">
        <f t="shared" si="23"/>
        <v>#REF!</v>
      </c>
      <c r="S78" s="30" t="e">
        <f t="shared" si="23"/>
        <v>#REF!</v>
      </c>
      <c r="T78" s="30" t="e">
        <f t="shared" si="23"/>
        <v>#REF!</v>
      </c>
      <c r="U78" s="30" t="e">
        <f t="shared" si="23"/>
        <v>#REF!</v>
      </c>
      <c r="V78" s="30" t="e">
        <f t="shared" si="23"/>
        <v>#REF!</v>
      </c>
      <c r="W78" s="30" t="e">
        <f t="shared" si="23"/>
        <v>#REF!</v>
      </c>
      <c r="X78" s="30" t="e">
        <f t="shared" si="23"/>
        <v>#REF!</v>
      </c>
      <c r="Y78" s="30" t="e">
        <f t="shared" si="23"/>
        <v>#REF!</v>
      </c>
      <c r="Z78" s="30" t="e">
        <f t="shared" si="23"/>
        <v>#REF!</v>
      </c>
      <c r="AA78" s="30" t="e">
        <f t="shared" si="23"/>
        <v>#REF!</v>
      </c>
      <c r="AB78" s="30" t="e">
        <f t="shared" si="23"/>
        <v>#REF!</v>
      </c>
      <c r="AC78" s="30" t="e">
        <f t="shared" si="23"/>
        <v>#REF!</v>
      </c>
      <c r="AD78" s="30" t="e">
        <f t="shared" si="23"/>
        <v>#REF!</v>
      </c>
      <c r="AE78" s="30" t="e">
        <f t="shared" si="23"/>
        <v>#REF!</v>
      </c>
      <c r="AF78" s="30" t="e">
        <f t="shared" si="23"/>
        <v>#REF!</v>
      </c>
      <c r="AG78" s="30" t="e">
        <f t="shared" si="23"/>
        <v>#REF!</v>
      </c>
      <c r="AH78" s="30" t="e">
        <f t="shared" si="23"/>
        <v>#REF!</v>
      </c>
      <c r="AI78" s="30" t="e">
        <f t="shared" si="23"/>
        <v>#REF!</v>
      </c>
      <c r="AJ78" s="30" t="e">
        <f t="shared" si="23"/>
        <v>#REF!</v>
      </c>
      <c r="AK78" s="30" t="e">
        <f t="shared" si="23"/>
        <v>#REF!</v>
      </c>
      <c r="AL78" s="30" t="e">
        <f t="shared" si="23"/>
        <v>#REF!</v>
      </c>
      <c r="AM78" s="30" t="e">
        <f t="shared" si="23"/>
        <v>#REF!</v>
      </c>
      <c r="AN78" s="30" t="e">
        <f t="shared" si="23"/>
        <v>#REF!</v>
      </c>
      <c r="AO78" s="30" t="e">
        <f t="shared" si="23"/>
        <v>#REF!</v>
      </c>
      <c r="AP78" s="30" t="e">
        <f t="shared" si="23"/>
        <v>#REF!</v>
      </c>
      <c r="AQ78" s="30" t="e">
        <f t="shared" si="23"/>
        <v>#REF!</v>
      </c>
      <c r="AR78" s="30" t="e">
        <f t="shared" si="23"/>
        <v>#REF!</v>
      </c>
      <c r="AS78" s="30" t="e">
        <f t="shared" si="23"/>
        <v>#REF!</v>
      </c>
      <c r="AT78" s="30" t="e">
        <f t="shared" si="23"/>
        <v>#REF!</v>
      </c>
      <c r="AU78" s="30" t="e">
        <f t="shared" si="23"/>
        <v>#REF!</v>
      </c>
      <c r="AV78" s="30" t="e">
        <f t="shared" si="23"/>
        <v>#REF!</v>
      </c>
      <c r="AW78" s="30" t="e">
        <f t="shared" si="23"/>
        <v>#REF!</v>
      </c>
      <c r="AX78" s="30" t="e">
        <f t="shared" si="23"/>
        <v>#REF!</v>
      </c>
      <c r="AY78" s="30" t="e">
        <f t="shared" si="23"/>
        <v>#REF!</v>
      </c>
      <c r="AZ78" s="30" t="e">
        <f t="shared" si="23"/>
        <v>#REF!</v>
      </c>
      <c r="BA78" s="30" t="e">
        <f t="shared" si="23"/>
        <v>#REF!</v>
      </c>
      <c r="BB78" s="30" t="e">
        <f t="shared" si="23"/>
        <v>#REF!</v>
      </c>
      <c r="BC78" s="30" t="e">
        <f t="shared" si="23"/>
        <v>#REF!</v>
      </c>
      <c r="BD78" s="30" t="e">
        <f t="shared" si="23"/>
        <v>#REF!</v>
      </c>
      <c r="BE78" s="30" t="e">
        <f t="shared" si="23"/>
        <v>#REF!</v>
      </c>
      <c r="BF78" s="30" t="e">
        <f t="shared" si="23"/>
        <v>#REF!</v>
      </c>
      <c r="BG78" s="30" t="e">
        <f t="shared" si="23"/>
        <v>#REF!</v>
      </c>
      <c r="BH78" s="30" t="e">
        <f t="shared" si="23"/>
        <v>#REF!</v>
      </c>
      <c r="BI78" s="30" t="e">
        <f t="shared" si="23"/>
        <v>#REF!</v>
      </c>
      <c r="BJ78" s="30" t="e">
        <f t="shared" si="23"/>
        <v>#REF!</v>
      </c>
      <c r="BK78" s="30" t="e">
        <f t="shared" si="23"/>
        <v>#REF!</v>
      </c>
      <c r="BL78" s="30" t="e">
        <f t="shared" si="23"/>
        <v>#REF!</v>
      </c>
      <c r="BM78" s="30" t="e">
        <f t="shared" si="23"/>
        <v>#REF!</v>
      </c>
      <c r="BN78" s="30" t="e">
        <f t="shared" si="23"/>
        <v>#REF!</v>
      </c>
      <c r="BO78" s="30" t="e">
        <f t="shared" si="23"/>
        <v>#REF!</v>
      </c>
      <c r="BP78" s="30" t="e">
        <f t="shared" ref="BP78:CH78" si="24">+BO77*$C$70</f>
        <v>#REF!</v>
      </c>
      <c r="BQ78" s="30" t="e">
        <f t="shared" si="24"/>
        <v>#REF!</v>
      </c>
      <c r="BR78" s="30" t="e">
        <f t="shared" si="24"/>
        <v>#REF!</v>
      </c>
      <c r="BS78" s="30" t="e">
        <f t="shared" si="24"/>
        <v>#REF!</v>
      </c>
      <c r="BT78" s="30" t="e">
        <f t="shared" si="24"/>
        <v>#REF!</v>
      </c>
      <c r="BU78" s="30" t="e">
        <f t="shared" si="24"/>
        <v>#REF!</v>
      </c>
      <c r="BV78" s="30" t="e">
        <f t="shared" si="24"/>
        <v>#REF!</v>
      </c>
      <c r="BW78" s="30" t="e">
        <f t="shared" si="24"/>
        <v>#REF!</v>
      </c>
      <c r="BX78" s="30" t="e">
        <f t="shared" si="24"/>
        <v>#REF!</v>
      </c>
      <c r="BY78" s="30" t="e">
        <f t="shared" si="24"/>
        <v>#REF!</v>
      </c>
      <c r="BZ78" s="30" t="e">
        <f t="shared" si="24"/>
        <v>#REF!</v>
      </c>
      <c r="CA78" s="30" t="e">
        <f t="shared" si="24"/>
        <v>#REF!</v>
      </c>
      <c r="CB78" s="30" t="e">
        <f t="shared" si="24"/>
        <v>#REF!</v>
      </c>
      <c r="CC78" s="30" t="e">
        <f t="shared" si="24"/>
        <v>#REF!</v>
      </c>
      <c r="CD78" s="30" t="e">
        <f t="shared" si="24"/>
        <v>#REF!</v>
      </c>
      <c r="CE78" s="30" t="e">
        <f t="shared" si="24"/>
        <v>#REF!</v>
      </c>
      <c r="CF78" s="30" t="e">
        <f t="shared" si="24"/>
        <v>#REF!</v>
      </c>
      <c r="CG78" s="30" t="e">
        <f t="shared" si="24"/>
        <v>#REF!</v>
      </c>
      <c r="CH78" s="30" t="e">
        <f t="shared" si="24"/>
        <v>#REF!</v>
      </c>
    </row>
    <row r="79" spans="1:86" x14ac:dyDescent="0.3">
      <c r="A79" t="s">
        <v>737</v>
      </c>
      <c r="B79">
        <v>0</v>
      </c>
      <c r="C79" s="33" t="e">
        <f>+C80-C78</f>
        <v>#REF!</v>
      </c>
      <c r="D79" s="33" t="e">
        <f t="shared" ref="D79:BO79" si="25">+D80-D78</f>
        <v>#REF!</v>
      </c>
      <c r="E79" s="33" t="e">
        <f t="shared" si="25"/>
        <v>#REF!</v>
      </c>
      <c r="F79" s="33" t="e">
        <f t="shared" si="25"/>
        <v>#REF!</v>
      </c>
      <c r="G79" s="33" t="e">
        <f t="shared" si="25"/>
        <v>#REF!</v>
      </c>
      <c r="H79" s="33" t="e">
        <f t="shared" si="25"/>
        <v>#REF!</v>
      </c>
      <c r="I79" s="33" t="e">
        <f t="shared" si="25"/>
        <v>#REF!</v>
      </c>
      <c r="J79" s="33" t="e">
        <f t="shared" si="25"/>
        <v>#REF!</v>
      </c>
      <c r="K79" s="33" t="e">
        <f t="shared" si="25"/>
        <v>#REF!</v>
      </c>
      <c r="L79" s="33" t="e">
        <f t="shared" si="25"/>
        <v>#REF!</v>
      </c>
      <c r="M79" s="33" t="e">
        <f t="shared" si="25"/>
        <v>#REF!</v>
      </c>
      <c r="N79" s="33" t="e">
        <f t="shared" si="25"/>
        <v>#REF!</v>
      </c>
      <c r="O79" s="33" t="e">
        <f t="shared" si="25"/>
        <v>#REF!</v>
      </c>
      <c r="P79" s="33" t="e">
        <f t="shared" si="25"/>
        <v>#REF!</v>
      </c>
      <c r="Q79" s="33" t="e">
        <f t="shared" si="25"/>
        <v>#REF!</v>
      </c>
      <c r="R79" s="33" t="e">
        <f t="shared" si="25"/>
        <v>#REF!</v>
      </c>
      <c r="S79" s="33" t="e">
        <f t="shared" si="25"/>
        <v>#REF!</v>
      </c>
      <c r="T79" s="33" t="e">
        <f t="shared" si="25"/>
        <v>#REF!</v>
      </c>
      <c r="U79" s="33" t="e">
        <f t="shared" si="25"/>
        <v>#REF!</v>
      </c>
      <c r="V79" s="33" t="e">
        <f t="shared" si="25"/>
        <v>#REF!</v>
      </c>
      <c r="W79" s="33" t="e">
        <f t="shared" si="25"/>
        <v>#REF!</v>
      </c>
      <c r="X79" s="33" t="e">
        <f t="shared" si="25"/>
        <v>#REF!</v>
      </c>
      <c r="Y79" s="33" t="e">
        <f t="shared" si="25"/>
        <v>#REF!</v>
      </c>
      <c r="Z79" s="33" t="e">
        <f t="shared" si="25"/>
        <v>#REF!</v>
      </c>
      <c r="AA79" s="33" t="e">
        <f t="shared" si="25"/>
        <v>#REF!</v>
      </c>
      <c r="AB79" s="33" t="e">
        <f t="shared" si="25"/>
        <v>#REF!</v>
      </c>
      <c r="AC79" s="33" t="e">
        <f t="shared" si="25"/>
        <v>#REF!</v>
      </c>
      <c r="AD79" s="33" t="e">
        <f t="shared" si="25"/>
        <v>#REF!</v>
      </c>
      <c r="AE79" s="33" t="e">
        <f t="shared" si="25"/>
        <v>#REF!</v>
      </c>
      <c r="AF79" s="33" t="e">
        <f t="shared" si="25"/>
        <v>#REF!</v>
      </c>
      <c r="AG79" s="33" t="e">
        <f t="shared" si="25"/>
        <v>#REF!</v>
      </c>
      <c r="AH79" s="33" t="e">
        <f t="shared" si="25"/>
        <v>#REF!</v>
      </c>
      <c r="AI79" s="33" t="e">
        <f t="shared" si="25"/>
        <v>#REF!</v>
      </c>
      <c r="AJ79" s="33" t="e">
        <f t="shared" si="25"/>
        <v>#REF!</v>
      </c>
      <c r="AK79" s="33" t="e">
        <f t="shared" si="25"/>
        <v>#REF!</v>
      </c>
      <c r="AL79" s="33" t="e">
        <f t="shared" si="25"/>
        <v>#REF!</v>
      </c>
      <c r="AM79" s="33" t="e">
        <f t="shared" si="25"/>
        <v>#REF!</v>
      </c>
      <c r="AN79" s="33" t="e">
        <f t="shared" si="25"/>
        <v>#REF!</v>
      </c>
      <c r="AO79" s="33" t="e">
        <f t="shared" si="25"/>
        <v>#REF!</v>
      </c>
      <c r="AP79" s="33" t="e">
        <f t="shared" si="25"/>
        <v>#REF!</v>
      </c>
      <c r="AQ79" s="33" t="e">
        <f t="shared" si="25"/>
        <v>#REF!</v>
      </c>
      <c r="AR79" s="33" t="e">
        <f t="shared" si="25"/>
        <v>#REF!</v>
      </c>
      <c r="AS79" s="33" t="e">
        <f t="shared" si="25"/>
        <v>#REF!</v>
      </c>
      <c r="AT79" s="33" t="e">
        <f t="shared" si="25"/>
        <v>#REF!</v>
      </c>
      <c r="AU79" s="33" t="e">
        <f t="shared" si="25"/>
        <v>#REF!</v>
      </c>
      <c r="AV79" s="33" t="e">
        <f t="shared" si="25"/>
        <v>#REF!</v>
      </c>
      <c r="AW79" s="33" t="e">
        <f t="shared" si="25"/>
        <v>#REF!</v>
      </c>
      <c r="AX79" s="33" t="e">
        <f t="shared" si="25"/>
        <v>#REF!</v>
      </c>
      <c r="AY79" s="33" t="e">
        <f t="shared" si="25"/>
        <v>#REF!</v>
      </c>
      <c r="AZ79" s="33" t="e">
        <f t="shared" si="25"/>
        <v>#REF!</v>
      </c>
      <c r="BA79" s="33" t="e">
        <f t="shared" si="25"/>
        <v>#REF!</v>
      </c>
      <c r="BB79" s="33" t="e">
        <f t="shared" si="25"/>
        <v>#REF!</v>
      </c>
      <c r="BC79" s="33" t="e">
        <f t="shared" si="25"/>
        <v>#REF!</v>
      </c>
      <c r="BD79" s="33" t="e">
        <f t="shared" si="25"/>
        <v>#REF!</v>
      </c>
      <c r="BE79" s="33" t="e">
        <f t="shared" si="25"/>
        <v>#REF!</v>
      </c>
      <c r="BF79" s="33" t="e">
        <f t="shared" si="25"/>
        <v>#REF!</v>
      </c>
      <c r="BG79" s="33" t="e">
        <f t="shared" si="25"/>
        <v>#REF!</v>
      </c>
      <c r="BH79" s="33" t="e">
        <f t="shared" si="25"/>
        <v>#REF!</v>
      </c>
      <c r="BI79" s="33" t="e">
        <f t="shared" si="25"/>
        <v>#REF!</v>
      </c>
      <c r="BJ79" s="33" t="e">
        <f t="shared" si="25"/>
        <v>#REF!</v>
      </c>
      <c r="BK79" s="33" t="e">
        <f t="shared" si="25"/>
        <v>#REF!</v>
      </c>
      <c r="BL79" s="33" t="e">
        <f t="shared" si="25"/>
        <v>#REF!</v>
      </c>
      <c r="BM79" s="33" t="e">
        <f t="shared" si="25"/>
        <v>#REF!</v>
      </c>
      <c r="BN79" s="33" t="e">
        <f t="shared" si="25"/>
        <v>#REF!</v>
      </c>
      <c r="BO79" s="33" t="e">
        <f t="shared" si="25"/>
        <v>#REF!</v>
      </c>
      <c r="BP79" s="33" t="e">
        <f t="shared" ref="BP79:BV79" si="26">+BP80-BP78</f>
        <v>#REF!</v>
      </c>
      <c r="BQ79" s="33" t="e">
        <f t="shared" si="26"/>
        <v>#REF!</v>
      </c>
      <c r="BR79" s="33" t="e">
        <f t="shared" si="26"/>
        <v>#REF!</v>
      </c>
      <c r="BS79" s="33" t="e">
        <f t="shared" si="26"/>
        <v>#REF!</v>
      </c>
      <c r="BT79" s="33" t="e">
        <f t="shared" si="26"/>
        <v>#REF!</v>
      </c>
      <c r="BU79" s="33" t="e">
        <f t="shared" si="26"/>
        <v>#REF!</v>
      </c>
      <c r="BV79" s="33" t="e">
        <f t="shared" si="26"/>
        <v>#REF!</v>
      </c>
      <c r="BW79" s="33" t="e">
        <f t="shared" ref="BW79" si="27">+BW80-BW78</f>
        <v>#REF!</v>
      </c>
      <c r="BX79" s="33" t="e">
        <f t="shared" ref="BX79" si="28">+BX80-BX78</f>
        <v>#REF!</v>
      </c>
      <c r="BY79" s="33" t="e">
        <f t="shared" ref="BY79" si="29">+BY80-BY78</f>
        <v>#REF!</v>
      </c>
      <c r="BZ79" s="33" t="e">
        <f t="shared" ref="BZ79" si="30">+BZ80-BZ78</f>
        <v>#REF!</v>
      </c>
      <c r="CA79" s="33" t="e">
        <f t="shared" ref="CA79" si="31">+CA80-CA78</f>
        <v>#REF!</v>
      </c>
      <c r="CB79" s="33" t="e">
        <f t="shared" ref="CB79" si="32">+CB80-CB78</f>
        <v>#REF!</v>
      </c>
      <c r="CC79" s="33" t="e">
        <f t="shared" ref="CC79" si="33">+CC80-CC78</f>
        <v>#REF!</v>
      </c>
      <c r="CD79" s="33" t="e">
        <f t="shared" ref="CD79" si="34">+CD80-CD78</f>
        <v>#REF!</v>
      </c>
      <c r="CE79" s="33" t="e">
        <f t="shared" ref="CE79" si="35">+CE80-CE78</f>
        <v>#REF!</v>
      </c>
      <c r="CF79" s="33" t="e">
        <f t="shared" ref="CF79" si="36">+CF80-CF78</f>
        <v>#REF!</v>
      </c>
      <c r="CG79" s="33" t="e">
        <f t="shared" ref="CG79" si="37">+CG80-CG78</f>
        <v>#REF!</v>
      </c>
      <c r="CH79" s="33" t="e">
        <f t="shared" ref="CH79" si="38">+CH80-CH78</f>
        <v>#REF!</v>
      </c>
    </row>
    <row r="80" spans="1:86" x14ac:dyDescent="0.3">
      <c r="A80" t="s">
        <v>738</v>
      </c>
      <c r="B80">
        <v>0</v>
      </c>
      <c r="C80" s="32" t="e">
        <f>+PMT($C$70,$B$72,-$B$68,0)</f>
        <v>#REF!</v>
      </c>
      <c r="D80" s="32" t="e">
        <f t="shared" ref="D80:BO80" si="39">+PMT($C$70,$B$72,-$B$68,0)</f>
        <v>#REF!</v>
      </c>
      <c r="E80" s="32" t="e">
        <f t="shared" si="39"/>
        <v>#REF!</v>
      </c>
      <c r="F80" s="32" t="e">
        <f t="shared" si="39"/>
        <v>#REF!</v>
      </c>
      <c r="G80" s="32" t="e">
        <f t="shared" si="39"/>
        <v>#REF!</v>
      </c>
      <c r="H80" s="32" t="e">
        <f t="shared" si="39"/>
        <v>#REF!</v>
      </c>
      <c r="I80" s="32" t="e">
        <f t="shared" si="39"/>
        <v>#REF!</v>
      </c>
      <c r="J80" s="32" t="e">
        <f t="shared" si="39"/>
        <v>#REF!</v>
      </c>
      <c r="K80" s="32" t="e">
        <f t="shared" si="39"/>
        <v>#REF!</v>
      </c>
      <c r="L80" s="32" t="e">
        <f t="shared" si="39"/>
        <v>#REF!</v>
      </c>
      <c r="M80" s="32" t="e">
        <f t="shared" si="39"/>
        <v>#REF!</v>
      </c>
      <c r="N80" s="32" t="e">
        <f t="shared" si="39"/>
        <v>#REF!</v>
      </c>
      <c r="O80" s="32" t="e">
        <f t="shared" si="39"/>
        <v>#REF!</v>
      </c>
      <c r="P80" s="32" t="e">
        <f t="shared" si="39"/>
        <v>#REF!</v>
      </c>
      <c r="Q80" s="32" t="e">
        <f t="shared" si="39"/>
        <v>#REF!</v>
      </c>
      <c r="R80" s="32" t="e">
        <f t="shared" si="39"/>
        <v>#REF!</v>
      </c>
      <c r="S80" s="32" t="e">
        <f t="shared" si="39"/>
        <v>#REF!</v>
      </c>
      <c r="T80" s="32" t="e">
        <f t="shared" si="39"/>
        <v>#REF!</v>
      </c>
      <c r="U80" s="32" t="e">
        <f t="shared" si="39"/>
        <v>#REF!</v>
      </c>
      <c r="V80" s="32" t="e">
        <f t="shared" si="39"/>
        <v>#REF!</v>
      </c>
      <c r="W80" s="32" t="e">
        <f t="shared" si="39"/>
        <v>#REF!</v>
      </c>
      <c r="X80" s="32" t="e">
        <f t="shared" si="39"/>
        <v>#REF!</v>
      </c>
      <c r="Y80" s="32" t="e">
        <f t="shared" si="39"/>
        <v>#REF!</v>
      </c>
      <c r="Z80" s="32" t="e">
        <f t="shared" si="39"/>
        <v>#REF!</v>
      </c>
      <c r="AA80" s="32" t="e">
        <f t="shared" si="39"/>
        <v>#REF!</v>
      </c>
      <c r="AB80" s="32" t="e">
        <f t="shared" si="39"/>
        <v>#REF!</v>
      </c>
      <c r="AC80" s="32" t="e">
        <f t="shared" si="39"/>
        <v>#REF!</v>
      </c>
      <c r="AD80" s="32" t="e">
        <f t="shared" si="39"/>
        <v>#REF!</v>
      </c>
      <c r="AE80" s="32" t="e">
        <f t="shared" si="39"/>
        <v>#REF!</v>
      </c>
      <c r="AF80" s="32" t="e">
        <f t="shared" si="39"/>
        <v>#REF!</v>
      </c>
      <c r="AG80" s="32" t="e">
        <f t="shared" si="39"/>
        <v>#REF!</v>
      </c>
      <c r="AH80" s="32" t="e">
        <f t="shared" si="39"/>
        <v>#REF!</v>
      </c>
      <c r="AI80" s="32" t="e">
        <f t="shared" si="39"/>
        <v>#REF!</v>
      </c>
      <c r="AJ80" s="32" t="e">
        <f t="shared" si="39"/>
        <v>#REF!</v>
      </c>
      <c r="AK80" s="32" t="e">
        <f t="shared" si="39"/>
        <v>#REF!</v>
      </c>
      <c r="AL80" s="32" t="e">
        <f t="shared" si="39"/>
        <v>#REF!</v>
      </c>
      <c r="AM80" s="32" t="e">
        <f t="shared" si="39"/>
        <v>#REF!</v>
      </c>
      <c r="AN80" s="32" t="e">
        <f t="shared" si="39"/>
        <v>#REF!</v>
      </c>
      <c r="AO80" s="32" t="e">
        <f t="shared" si="39"/>
        <v>#REF!</v>
      </c>
      <c r="AP80" s="32" t="e">
        <f t="shared" si="39"/>
        <v>#REF!</v>
      </c>
      <c r="AQ80" s="32" t="e">
        <f t="shared" si="39"/>
        <v>#REF!</v>
      </c>
      <c r="AR80" s="32" t="e">
        <f t="shared" si="39"/>
        <v>#REF!</v>
      </c>
      <c r="AS80" s="32" t="e">
        <f t="shared" si="39"/>
        <v>#REF!</v>
      </c>
      <c r="AT80" s="32" t="e">
        <f t="shared" si="39"/>
        <v>#REF!</v>
      </c>
      <c r="AU80" s="32" t="e">
        <f t="shared" si="39"/>
        <v>#REF!</v>
      </c>
      <c r="AV80" s="32" t="e">
        <f t="shared" si="39"/>
        <v>#REF!</v>
      </c>
      <c r="AW80" s="32" t="e">
        <f t="shared" si="39"/>
        <v>#REF!</v>
      </c>
      <c r="AX80" s="32" t="e">
        <f t="shared" si="39"/>
        <v>#REF!</v>
      </c>
      <c r="AY80" s="32" t="e">
        <f t="shared" si="39"/>
        <v>#REF!</v>
      </c>
      <c r="AZ80" s="32" t="e">
        <f t="shared" si="39"/>
        <v>#REF!</v>
      </c>
      <c r="BA80" s="32" t="e">
        <f t="shared" si="39"/>
        <v>#REF!</v>
      </c>
      <c r="BB80" s="32" t="e">
        <f t="shared" si="39"/>
        <v>#REF!</v>
      </c>
      <c r="BC80" s="32" t="e">
        <f t="shared" si="39"/>
        <v>#REF!</v>
      </c>
      <c r="BD80" s="32" t="e">
        <f t="shared" si="39"/>
        <v>#REF!</v>
      </c>
      <c r="BE80" s="32" t="e">
        <f t="shared" si="39"/>
        <v>#REF!</v>
      </c>
      <c r="BF80" s="32" t="e">
        <f t="shared" si="39"/>
        <v>#REF!</v>
      </c>
      <c r="BG80" s="32" t="e">
        <f t="shared" si="39"/>
        <v>#REF!</v>
      </c>
      <c r="BH80" s="32" t="e">
        <f t="shared" si="39"/>
        <v>#REF!</v>
      </c>
      <c r="BI80" s="32" t="e">
        <f t="shared" si="39"/>
        <v>#REF!</v>
      </c>
      <c r="BJ80" s="32" t="e">
        <f t="shared" si="39"/>
        <v>#REF!</v>
      </c>
      <c r="BK80" s="32" t="e">
        <f t="shared" si="39"/>
        <v>#REF!</v>
      </c>
      <c r="BL80" s="32" t="e">
        <f t="shared" si="39"/>
        <v>#REF!</v>
      </c>
      <c r="BM80" s="32" t="e">
        <f t="shared" si="39"/>
        <v>#REF!</v>
      </c>
      <c r="BN80" s="32" t="e">
        <f t="shared" si="39"/>
        <v>#REF!</v>
      </c>
      <c r="BO80" s="32" t="e">
        <f t="shared" si="39"/>
        <v>#REF!</v>
      </c>
      <c r="BP80" s="32" t="e">
        <f t="shared" ref="BP80:CH80" si="40">+PMT($C$70,$B$72,-$B$68,0)</f>
        <v>#REF!</v>
      </c>
      <c r="BQ80" s="32" t="e">
        <f t="shared" si="40"/>
        <v>#REF!</v>
      </c>
      <c r="BR80" s="32" t="e">
        <f t="shared" si="40"/>
        <v>#REF!</v>
      </c>
      <c r="BS80" s="32" t="e">
        <f t="shared" si="40"/>
        <v>#REF!</v>
      </c>
      <c r="BT80" s="32" t="e">
        <f t="shared" si="40"/>
        <v>#REF!</v>
      </c>
      <c r="BU80" s="32" t="e">
        <f t="shared" si="40"/>
        <v>#REF!</v>
      </c>
      <c r="BV80" s="32" t="e">
        <f t="shared" si="40"/>
        <v>#REF!</v>
      </c>
      <c r="BW80" s="32" t="e">
        <f t="shared" si="40"/>
        <v>#REF!</v>
      </c>
      <c r="BX80" s="32" t="e">
        <f t="shared" si="40"/>
        <v>#REF!</v>
      </c>
      <c r="BY80" s="32" t="e">
        <f t="shared" si="40"/>
        <v>#REF!</v>
      </c>
      <c r="BZ80" s="32" t="e">
        <f t="shared" si="40"/>
        <v>#REF!</v>
      </c>
      <c r="CA80" s="32" t="e">
        <f t="shared" si="40"/>
        <v>#REF!</v>
      </c>
      <c r="CB80" s="32" t="e">
        <f t="shared" si="40"/>
        <v>#REF!</v>
      </c>
      <c r="CC80" s="32" t="e">
        <f t="shared" si="40"/>
        <v>#REF!</v>
      </c>
      <c r="CD80" s="32" t="e">
        <f t="shared" si="40"/>
        <v>#REF!</v>
      </c>
      <c r="CE80" s="32" t="e">
        <f t="shared" si="40"/>
        <v>#REF!</v>
      </c>
      <c r="CF80" s="32" t="e">
        <f t="shared" si="40"/>
        <v>#REF!</v>
      </c>
      <c r="CG80" s="32" t="e">
        <f t="shared" si="40"/>
        <v>#REF!</v>
      </c>
      <c r="CH80" s="32" t="e">
        <f t="shared" si="40"/>
        <v>#REF!</v>
      </c>
    </row>
    <row r="81" spans="1:86" x14ac:dyDescent="0.3">
      <c r="A81" t="s">
        <v>719</v>
      </c>
      <c r="B81">
        <v>0</v>
      </c>
      <c r="C81" s="41" t="e">
        <f>+$B$73*(B77/1000000)</f>
        <v>#REF!</v>
      </c>
      <c r="D81" s="41" t="e">
        <f t="shared" ref="D81:BO81" si="41">+$B$73*(C77/1000000)</f>
        <v>#REF!</v>
      </c>
      <c r="E81" s="41" t="e">
        <f t="shared" si="41"/>
        <v>#REF!</v>
      </c>
      <c r="F81" s="41" t="e">
        <f t="shared" si="41"/>
        <v>#REF!</v>
      </c>
      <c r="G81" s="41" t="e">
        <f t="shared" si="41"/>
        <v>#REF!</v>
      </c>
      <c r="H81" s="41" t="e">
        <f t="shared" si="41"/>
        <v>#REF!</v>
      </c>
      <c r="I81" s="41" t="e">
        <f t="shared" si="41"/>
        <v>#REF!</v>
      </c>
      <c r="J81" s="41" t="e">
        <f t="shared" si="41"/>
        <v>#REF!</v>
      </c>
      <c r="K81" s="41" t="e">
        <f t="shared" si="41"/>
        <v>#REF!</v>
      </c>
      <c r="L81" s="41" t="e">
        <f t="shared" si="41"/>
        <v>#REF!</v>
      </c>
      <c r="M81" s="41" t="e">
        <f t="shared" si="41"/>
        <v>#REF!</v>
      </c>
      <c r="N81" s="41" t="e">
        <f t="shared" si="41"/>
        <v>#REF!</v>
      </c>
      <c r="O81" s="41" t="e">
        <f t="shared" si="41"/>
        <v>#REF!</v>
      </c>
      <c r="P81" s="41" t="e">
        <f t="shared" si="41"/>
        <v>#REF!</v>
      </c>
      <c r="Q81" s="41" t="e">
        <f t="shared" si="41"/>
        <v>#REF!</v>
      </c>
      <c r="R81" s="41" t="e">
        <f t="shared" si="41"/>
        <v>#REF!</v>
      </c>
      <c r="S81" s="41" t="e">
        <f t="shared" si="41"/>
        <v>#REF!</v>
      </c>
      <c r="T81" s="41" t="e">
        <f t="shared" si="41"/>
        <v>#REF!</v>
      </c>
      <c r="U81" s="41" t="e">
        <f t="shared" si="41"/>
        <v>#REF!</v>
      </c>
      <c r="V81" s="41" t="e">
        <f t="shared" si="41"/>
        <v>#REF!</v>
      </c>
      <c r="W81" s="41" t="e">
        <f t="shared" si="41"/>
        <v>#REF!</v>
      </c>
      <c r="X81" s="41" t="e">
        <f t="shared" si="41"/>
        <v>#REF!</v>
      </c>
      <c r="Y81" s="41" t="e">
        <f t="shared" si="41"/>
        <v>#REF!</v>
      </c>
      <c r="Z81" s="41" t="e">
        <f t="shared" si="41"/>
        <v>#REF!</v>
      </c>
      <c r="AA81" s="41" t="e">
        <f t="shared" si="41"/>
        <v>#REF!</v>
      </c>
      <c r="AB81" s="41" t="e">
        <f t="shared" si="41"/>
        <v>#REF!</v>
      </c>
      <c r="AC81" s="41" t="e">
        <f t="shared" si="41"/>
        <v>#REF!</v>
      </c>
      <c r="AD81" s="41" t="e">
        <f t="shared" si="41"/>
        <v>#REF!</v>
      </c>
      <c r="AE81" s="41" t="e">
        <f t="shared" si="41"/>
        <v>#REF!</v>
      </c>
      <c r="AF81" s="41" t="e">
        <f t="shared" si="41"/>
        <v>#REF!</v>
      </c>
      <c r="AG81" s="41" t="e">
        <f t="shared" si="41"/>
        <v>#REF!</v>
      </c>
      <c r="AH81" s="41" t="e">
        <f t="shared" si="41"/>
        <v>#REF!</v>
      </c>
      <c r="AI81" s="41" t="e">
        <f t="shared" si="41"/>
        <v>#REF!</v>
      </c>
      <c r="AJ81" s="41" t="e">
        <f t="shared" si="41"/>
        <v>#REF!</v>
      </c>
      <c r="AK81" s="41" t="e">
        <f t="shared" si="41"/>
        <v>#REF!</v>
      </c>
      <c r="AL81" s="41" t="e">
        <f t="shared" si="41"/>
        <v>#REF!</v>
      </c>
      <c r="AM81" s="41" t="e">
        <f t="shared" si="41"/>
        <v>#REF!</v>
      </c>
      <c r="AN81" s="41" t="e">
        <f t="shared" si="41"/>
        <v>#REF!</v>
      </c>
      <c r="AO81" s="41" t="e">
        <f t="shared" si="41"/>
        <v>#REF!</v>
      </c>
      <c r="AP81" s="41" t="e">
        <f t="shared" si="41"/>
        <v>#REF!</v>
      </c>
      <c r="AQ81" s="41" t="e">
        <f t="shared" si="41"/>
        <v>#REF!</v>
      </c>
      <c r="AR81" s="41" t="e">
        <f t="shared" si="41"/>
        <v>#REF!</v>
      </c>
      <c r="AS81" s="41" t="e">
        <f t="shared" si="41"/>
        <v>#REF!</v>
      </c>
      <c r="AT81" s="41" t="e">
        <f t="shared" si="41"/>
        <v>#REF!</v>
      </c>
      <c r="AU81" s="41" t="e">
        <f t="shared" si="41"/>
        <v>#REF!</v>
      </c>
      <c r="AV81" s="41" t="e">
        <f t="shared" si="41"/>
        <v>#REF!</v>
      </c>
      <c r="AW81" s="41" t="e">
        <f t="shared" si="41"/>
        <v>#REF!</v>
      </c>
      <c r="AX81" s="41" t="e">
        <f t="shared" si="41"/>
        <v>#REF!</v>
      </c>
      <c r="AY81" s="41" t="e">
        <f t="shared" si="41"/>
        <v>#REF!</v>
      </c>
      <c r="AZ81" s="41" t="e">
        <f t="shared" si="41"/>
        <v>#REF!</v>
      </c>
      <c r="BA81" s="41" t="e">
        <f t="shared" si="41"/>
        <v>#REF!</v>
      </c>
      <c r="BB81" s="41" t="e">
        <f t="shared" si="41"/>
        <v>#REF!</v>
      </c>
      <c r="BC81" s="41" t="e">
        <f t="shared" si="41"/>
        <v>#REF!</v>
      </c>
      <c r="BD81" s="41" t="e">
        <f t="shared" si="41"/>
        <v>#REF!</v>
      </c>
      <c r="BE81" s="41" t="e">
        <f t="shared" si="41"/>
        <v>#REF!</v>
      </c>
      <c r="BF81" s="41" t="e">
        <f t="shared" si="41"/>
        <v>#REF!</v>
      </c>
      <c r="BG81" s="41" t="e">
        <f t="shared" si="41"/>
        <v>#REF!</v>
      </c>
      <c r="BH81" s="41" t="e">
        <f t="shared" si="41"/>
        <v>#REF!</v>
      </c>
      <c r="BI81" s="41" t="e">
        <f t="shared" si="41"/>
        <v>#REF!</v>
      </c>
      <c r="BJ81" s="41" t="e">
        <f t="shared" si="41"/>
        <v>#REF!</v>
      </c>
      <c r="BK81" s="41" t="e">
        <f t="shared" si="41"/>
        <v>#REF!</v>
      </c>
      <c r="BL81" s="41" t="e">
        <f t="shared" si="41"/>
        <v>#REF!</v>
      </c>
      <c r="BM81" s="41" t="e">
        <f t="shared" si="41"/>
        <v>#REF!</v>
      </c>
      <c r="BN81" s="41" t="e">
        <f t="shared" si="41"/>
        <v>#REF!</v>
      </c>
      <c r="BO81" s="41" t="e">
        <f t="shared" si="41"/>
        <v>#REF!</v>
      </c>
      <c r="BP81" s="41" t="e">
        <f t="shared" ref="BP81:BV81" si="42">+$B$73*(BO77/1000000)</f>
        <v>#REF!</v>
      </c>
      <c r="BQ81" s="41" t="e">
        <f t="shared" si="42"/>
        <v>#REF!</v>
      </c>
      <c r="BR81" s="41" t="e">
        <f t="shared" si="42"/>
        <v>#REF!</v>
      </c>
      <c r="BS81" s="41" t="e">
        <f t="shared" si="42"/>
        <v>#REF!</v>
      </c>
      <c r="BT81" s="41" t="e">
        <f t="shared" si="42"/>
        <v>#REF!</v>
      </c>
      <c r="BU81" s="41" t="e">
        <f t="shared" si="42"/>
        <v>#REF!</v>
      </c>
      <c r="BV81" s="41" t="e">
        <f t="shared" si="42"/>
        <v>#REF!</v>
      </c>
      <c r="BW81" s="41" t="e">
        <f t="shared" ref="BW81:CH81" si="43">+$B$73*(BV77/1000000)</f>
        <v>#REF!</v>
      </c>
      <c r="BX81" s="41" t="e">
        <f t="shared" si="43"/>
        <v>#REF!</v>
      </c>
      <c r="BY81" s="41" t="e">
        <f t="shared" si="43"/>
        <v>#REF!</v>
      </c>
      <c r="BZ81" s="41" t="e">
        <f t="shared" si="43"/>
        <v>#REF!</v>
      </c>
      <c r="CA81" s="41" t="e">
        <f t="shared" si="43"/>
        <v>#REF!</v>
      </c>
      <c r="CB81" s="41" t="e">
        <f t="shared" si="43"/>
        <v>#REF!</v>
      </c>
      <c r="CC81" s="41" t="e">
        <f t="shared" si="43"/>
        <v>#REF!</v>
      </c>
      <c r="CD81" s="41" t="e">
        <f t="shared" si="43"/>
        <v>#REF!</v>
      </c>
      <c r="CE81" s="41" t="e">
        <f t="shared" si="43"/>
        <v>#REF!</v>
      </c>
      <c r="CF81" s="41" t="e">
        <f t="shared" si="43"/>
        <v>#REF!</v>
      </c>
      <c r="CG81" s="41" t="e">
        <f t="shared" si="43"/>
        <v>#REF!</v>
      </c>
      <c r="CH81" s="41" t="e">
        <f t="shared" si="43"/>
        <v>#REF!</v>
      </c>
    </row>
    <row r="82" spans="1:86" x14ac:dyDescent="0.3">
      <c r="A82" t="s">
        <v>739</v>
      </c>
      <c r="B82">
        <v>0</v>
      </c>
      <c r="C82" s="32" t="e">
        <f>+PMT($B$70,$B$72,-$B$68,0)</f>
        <v>#REF!</v>
      </c>
      <c r="D82" s="32" t="e">
        <f t="shared" ref="D82:BO82" si="44">+PMT($B$70,$B$72,-$B$68,0)</f>
        <v>#REF!</v>
      </c>
      <c r="E82" s="32" t="e">
        <f t="shared" si="44"/>
        <v>#REF!</v>
      </c>
      <c r="F82" s="32" t="e">
        <f t="shared" si="44"/>
        <v>#REF!</v>
      </c>
      <c r="G82" s="32" t="e">
        <f t="shared" si="44"/>
        <v>#REF!</v>
      </c>
      <c r="H82" s="32" t="e">
        <f t="shared" si="44"/>
        <v>#REF!</v>
      </c>
      <c r="I82" s="32" t="e">
        <f t="shared" si="44"/>
        <v>#REF!</v>
      </c>
      <c r="J82" s="32" t="e">
        <f t="shared" si="44"/>
        <v>#REF!</v>
      </c>
      <c r="K82" s="32" t="e">
        <f t="shared" si="44"/>
        <v>#REF!</v>
      </c>
      <c r="L82" s="32" t="e">
        <f t="shared" si="44"/>
        <v>#REF!</v>
      </c>
      <c r="M82" s="32" t="e">
        <f t="shared" si="44"/>
        <v>#REF!</v>
      </c>
      <c r="N82" s="32" t="e">
        <f t="shared" si="44"/>
        <v>#REF!</v>
      </c>
      <c r="O82" s="32" t="e">
        <f t="shared" si="44"/>
        <v>#REF!</v>
      </c>
      <c r="P82" s="32" t="e">
        <f t="shared" si="44"/>
        <v>#REF!</v>
      </c>
      <c r="Q82" s="32" t="e">
        <f t="shared" si="44"/>
        <v>#REF!</v>
      </c>
      <c r="R82" s="32" t="e">
        <f t="shared" si="44"/>
        <v>#REF!</v>
      </c>
      <c r="S82" s="32" t="e">
        <f t="shared" si="44"/>
        <v>#REF!</v>
      </c>
      <c r="T82" s="32" t="e">
        <f t="shared" si="44"/>
        <v>#REF!</v>
      </c>
      <c r="U82" s="32" t="e">
        <f t="shared" si="44"/>
        <v>#REF!</v>
      </c>
      <c r="V82" s="32" t="e">
        <f t="shared" si="44"/>
        <v>#REF!</v>
      </c>
      <c r="W82" s="32" t="e">
        <f t="shared" si="44"/>
        <v>#REF!</v>
      </c>
      <c r="X82" s="32" t="e">
        <f t="shared" si="44"/>
        <v>#REF!</v>
      </c>
      <c r="Y82" s="32" t="e">
        <f t="shared" si="44"/>
        <v>#REF!</v>
      </c>
      <c r="Z82" s="32" t="e">
        <f t="shared" si="44"/>
        <v>#REF!</v>
      </c>
      <c r="AA82" s="32" t="e">
        <f t="shared" si="44"/>
        <v>#REF!</v>
      </c>
      <c r="AB82" s="32" t="e">
        <f t="shared" si="44"/>
        <v>#REF!</v>
      </c>
      <c r="AC82" s="32" t="e">
        <f t="shared" si="44"/>
        <v>#REF!</v>
      </c>
      <c r="AD82" s="32" t="e">
        <f t="shared" si="44"/>
        <v>#REF!</v>
      </c>
      <c r="AE82" s="32" t="e">
        <f t="shared" si="44"/>
        <v>#REF!</v>
      </c>
      <c r="AF82" s="32" t="e">
        <f t="shared" si="44"/>
        <v>#REF!</v>
      </c>
      <c r="AG82" s="32" t="e">
        <f t="shared" si="44"/>
        <v>#REF!</v>
      </c>
      <c r="AH82" s="32" t="e">
        <f t="shared" si="44"/>
        <v>#REF!</v>
      </c>
      <c r="AI82" s="32" t="e">
        <f t="shared" si="44"/>
        <v>#REF!</v>
      </c>
      <c r="AJ82" s="32" t="e">
        <f t="shared" si="44"/>
        <v>#REF!</v>
      </c>
      <c r="AK82" s="32" t="e">
        <f t="shared" si="44"/>
        <v>#REF!</v>
      </c>
      <c r="AL82" s="32" t="e">
        <f t="shared" si="44"/>
        <v>#REF!</v>
      </c>
      <c r="AM82" s="32" t="e">
        <f t="shared" si="44"/>
        <v>#REF!</v>
      </c>
      <c r="AN82" s="32" t="e">
        <f t="shared" si="44"/>
        <v>#REF!</v>
      </c>
      <c r="AO82" s="32" t="e">
        <f t="shared" si="44"/>
        <v>#REF!</v>
      </c>
      <c r="AP82" s="32" t="e">
        <f t="shared" si="44"/>
        <v>#REF!</v>
      </c>
      <c r="AQ82" s="32" t="e">
        <f t="shared" si="44"/>
        <v>#REF!</v>
      </c>
      <c r="AR82" s="32" t="e">
        <f t="shared" si="44"/>
        <v>#REF!</v>
      </c>
      <c r="AS82" s="32" t="e">
        <f t="shared" si="44"/>
        <v>#REF!</v>
      </c>
      <c r="AT82" s="32" t="e">
        <f t="shared" si="44"/>
        <v>#REF!</v>
      </c>
      <c r="AU82" s="32" t="e">
        <f t="shared" si="44"/>
        <v>#REF!</v>
      </c>
      <c r="AV82" s="32" t="e">
        <f t="shared" si="44"/>
        <v>#REF!</v>
      </c>
      <c r="AW82" s="32" t="e">
        <f t="shared" si="44"/>
        <v>#REF!</v>
      </c>
      <c r="AX82" s="32" t="e">
        <f t="shared" si="44"/>
        <v>#REF!</v>
      </c>
      <c r="AY82" s="32" t="e">
        <f t="shared" si="44"/>
        <v>#REF!</v>
      </c>
      <c r="AZ82" s="32" t="e">
        <f t="shared" si="44"/>
        <v>#REF!</v>
      </c>
      <c r="BA82" s="32" t="e">
        <f t="shared" si="44"/>
        <v>#REF!</v>
      </c>
      <c r="BB82" s="32" t="e">
        <f t="shared" si="44"/>
        <v>#REF!</v>
      </c>
      <c r="BC82" s="32" t="e">
        <f t="shared" si="44"/>
        <v>#REF!</v>
      </c>
      <c r="BD82" s="32" t="e">
        <f t="shared" si="44"/>
        <v>#REF!</v>
      </c>
      <c r="BE82" s="32" t="e">
        <f t="shared" si="44"/>
        <v>#REF!</v>
      </c>
      <c r="BF82" s="32" t="e">
        <f t="shared" si="44"/>
        <v>#REF!</v>
      </c>
      <c r="BG82" s="32" t="e">
        <f t="shared" si="44"/>
        <v>#REF!</v>
      </c>
      <c r="BH82" s="32" t="e">
        <f t="shared" si="44"/>
        <v>#REF!</v>
      </c>
      <c r="BI82" s="32" t="e">
        <f t="shared" si="44"/>
        <v>#REF!</v>
      </c>
      <c r="BJ82" s="32" t="e">
        <f t="shared" si="44"/>
        <v>#REF!</v>
      </c>
      <c r="BK82" s="32" t="e">
        <f t="shared" si="44"/>
        <v>#REF!</v>
      </c>
      <c r="BL82" s="32" t="e">
        <f t="shared" si="44"/>
        <v>#REF!</v>
      </c>
      <c r="BM82" s="32" t="e">
        <f t="shared" si="44"/>
        <v>#REF!</v>
      </c>
      <c r="BN82" s="32" t="e">
        <f t="shared" si="44"/>
        <v>#REF!</v>
      </c>
      <c r="BO82" s="32" t="e">
        <f t="shared" si="44"/>
        <v>#REF!</v>
      </c>
      <c r="BP82" s="32" t="e">
        <f t="shared" ref="BP82:CH82" si="45">+PMT($B$70,$B$72,-$B$68,0)</f>
        <v>#REF!</v>
      </c>
      <c r="BQ82" s="32" t="e">
        <f t="shared" si="45"/>
        <v>#REF!</v>
      </c>
      <c r="BR82" s="32" t="e">
        <f t="shared" si="45"/>
        <v>#REF!</v>
      </c>
      <c r="BS82" s="32" t="e">
        <f t="shared" si="45"/>
        <v>#REF!</v>
      </c>
      <c r="BT82" s="32" t="e">
        <f t="shared" si="45"/>
        <v>#REF!</v>
      </c>
      <c r="BU82" s="32" t="e">
        <f t="shared" si="45"/>
        <v>#REF!</v>
      </c>
      <c r="BV82" s="32" t="e">
        <f t="shared" si="45"/>
        <v>#REF!</v>
      </c>
      <c r="BW82" s="32" t="e">
        <f t="shared" si="45"/>
        <v>#REF!</v>
      </c>
      <c r="BX82" s="32" t="e">
        <f t="shared" si="45"/>
        <v>#REF!</v>
      </c>
      <c r="BY82" s="32" t="e">
        <f t="shared" si="45"/>
        <v>#REF!</v>
      </c>
      <c r="BZ82" s="32" t="e">
        <f t="shared" si="45"/>
        <v>#REF!</v>
      </c>
      <c r="CA82" s="32" t="e">
        <f t="shared" si="45"/>
        <v>#REF!</v>
      </c>
      <c r="CB82" s="32" t="e">
        <f t="shared" si="45"/>
        <v>#REF!</v>
      </c>
      <c r="CC82" s="32" t="e">
        <f t="shared" si="45"/>
        <v>#REF!</v>
      </c>
      <c r="CD82" s="32" t="e">
        <f t="shared" si="45"/>
        <v>#REF!</v>
      </c>
      <c r="CE82" s="32" t="e">
        <f t="shared" si="45"/>
        <v>#REF!</v>
      </c>
      <c r="CF82" s="32" t="e">
        <f t="shared" si="45"/>
        <v>#REF!</v>
      </c>
      <c r="CG82" s="32" t="e">
        <f t="shared" si="45"/>
        <v>#REF!</v>
      </c>
      <c r="CH82" s="32" t="e">
        <f t="shared" si="45"/>
        <v>#REF!</v>
      </c>
    </row>
    <row r="84" spans="1:86" x14ac:dyDescent="0.3">
      <c r="A84" t="s">
        <v>640</v>
      </c>
      <c r="B84" s="30" t="e">
        <f>+SUM(B79:BV79)</f>
        <v>#REF!</v>
      </c>
    </row>
    <row r="85" spans="1:86" x14ac:dyDescent="0.3">
      <c r="A85" t="s">
        <v>642</v>
      </c>
      <c r="B85" s="30" t="e">
        <f>+SUM(B78:BV78)</f>
        <v>#REF!</v>
      </c>
    </row>
    <row r="86" spans="1:86" x14ac:dyDescent="0.3">
      <c r="A86" t="s">
        <v>719</v>
      </c>
      <c r="B86" s="30" t="e">
        <f>+SUM(B81:BV81)</f>
        <v>#REF!</v>
      </c>
    </row>
    <row r="87" spans="1:86" x14ac:dyDescent="0.3">
      <c r="B87" s="30"/>
    </row>
    <row r="88" spans="1:86" x14ac:dyDescent="0.3">
      <c r="B88" s="30"/>
    </row>
    <row r="89" spans="1:86" x14ac:dyDescent="0.3">
      <c r="A89" s="6" t="s">
        <v>743</v>
      </c>
      <c r="B89" t="s">
        <v>728</v>
      </c>
      <c r="C89" t="s">
        <v>729</v>
      </c>
    </row>
    <row r="90" spans="1:86" x14ac:dyDescent="0.3">
      <c r="A90" t="s">
        <v>640</v>
      </c>
      <c r="B90" s="28" t="e">
        <f>+B46</f>
        <v>#REF!</v>
      </c>
      <c r="D90" t="s">
        <v>627</v>
      </c>
      <c r="E90" s="32" t="e">
        <f>+PMT(B92,B94,B90)</f>
        <v>#REF!</v>
      </c>
    </row>
    <row r="91" spans="1:86" x14ac:dyDescent="0.3">
      <c r="A91" t="s">
        <v>730</v>
      </c>
      <c r="B91" s="16">
        <f>+B47</f>
        <v>0.20649999999999999</v>
      </c>
      <c r="C91" s="16">
        <f>+C47</f>
        <v>0.18990000000000001</v>
      </c>
      <c r="E91" s="32"/>
    </row>
    <row r="92" spans="1:86" x14ac:dyDescent="0.3">
      <c r="A92" t="s">
        <v>731</v>
      </c>
      <c r="B92" s="16">
        <f>+B48</f>
        <v>1.6400000000000001E-2</v>
      </c>
      <c r="C92" s="40">
        <f>+C48</f>
        <v>1.46E-2</v>
      </c>
    </row>
    <row r="93" spans="1:86" x14ac:dyDescent="0.3">
      <c r="A93" t="s">
        <v>732</v>
      </c>
      <c r="B93">
        <v>7</v>
      </c>
    </row>
    <row r="94" spans="1:86" x14ac:dyDescent="0.3">
      <c r="A94" t="s">
        <v>733</v>
      </c>
      <c r="B94">
        <f>+B93*12</f>
        <v>84</v>
      </c>
    </row>
    <row r="95" spans="1:86" x14ac:dyDescent="0.3">
      <c r="A95" t="s">
        <v>734</v>
      </c>
      <c r="B95">
        <f>+B51</f>
        <v>1159</v>
      </c>
    </row>
    <row r="98" spans="1:86" x14ac:dyDescent="0.3">
      <c r="A98" t="s">
        <v>735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  <c r="J98">
        <v>8</v>
      </c>
      <c r="K98">
        <v>9</v>
      </c>
      <c r="L98">
        <v>10</v>
      </c>
      <c r="M98">
        <v>11</v>
      </c>
      <c r="N98">
        <v>12</v>
      </c>
      <c r="O98">
        <v>13</v>
      </c>
      <c r="P98">
        <v>14</v>
      </c>
      <c r="Q98">
        <v>15</v>
      </c>
      <c r="R98">
        <v>16</v>
      </c>
      <c r="S98">
        <v>17</v>
      </c>
      <c r="T98">
        <v>18</v>
      </c>
      <c r="U98">
        <v>19</v>
      </c>
      <c r="V98">
        <v>20</v>
      </c>
      <c r="W98">
        <v>21</v>
      </c>
      <c r="X98">
        <v>22</v>
      </c>
      <c r="Y98">
        <v>23</v>
      </c>
      <c r="Z98">
        <v>24</v>
      </c>
      <c r="AA98">
        <v>25</v>
      </c>
      <c r="AB98">
        <v>26</v>
      </c>
      <c r="AC98">
        <v>27</v>
      </c>
      <c r="AD98">
        <v>28</v>
      </c>
      <c r="AE98">
        <v>29</v>
      </c>
      <c r="AF98">
        <v>30</v>
      </c>
      <c r="AG98">
        <v>31</v>
      </c>
      <c r="AH98">
        <v>32</v>
      </c>
      <c r="AI98">
        <v>33</v>
      </c>
      <c r="AJ98">
        <v>34</v>
      </c>
      <c r="AK98">
        <v>35</v>
      </c>
      <c r="AL98">
        <v>36</v>
      </c>
      <c r="AM98">
        <v>37</v>
      </c>
      <c r="AN98">
        <v>38</v>
      </c>
      <c r="AO98">
        <v>39</v>
      </c>
      <c r="AP98">
        <v>40</v>
      </c>
      <c r="AQ98">
        <v>41</v>
      </c>
      <c r="AR98">
        <v>42</v>
      </c>
      <c r="AS98">
        <v>43</v>
      </c>
      <c r="AT98">
        <v>44</v>
      </c>
      <c r="AU98">
        <v>45</v>
      </c>
      <c r="AV98">
        <v>46</v>
      </c>
      <c r="AW98">
        <v>47</v>
      </c>
      <c r="AX98">
        <v>48</v>
      </c>
      <c r="AY98">
        <v>49</v>
      </c>
      <c r="AZ98">
        <v>50</v>
      </c>
      <c r="BA98">
        <v>51</v>
      </c>
      <c r="BB98">
        <v>52</v>
      </c>
      <c r="BC98">
        <v>53</v>
      </c>
      <c r="BD98">
        <v>54</v>
      </c>
      <c r="BE98">
        <v>55</v>
      </c>
      <c r="BF98">
        <v>56</v>
      </c>
      <c r="BG98">
        <v>57</v>
      </c>
      <c r="BH98">
        <v>58</v>
      </c>
      <c r="BI98">
        <v>59</v>
      </c>
      <c r="BJ98">
        <v>60</v>
      </c>
      <c r="BK98">
        <v>61</v>
      </c>
      <c r="BL98">
        <v>62</v>
      </c>
      <c r="BM98">
        <v>63</v>
      </c>
      <c r="BN98">
        <v>64</v>
      </c>
      <c r="BO98">
        <v>65</v>
      </c>
      <c r="BP98">
        <v>66</v>
      </c>
      <c r="BQ98">
        <v>67</v>
      </c>
      <c r="BR98">
        <v>68</v>
      </c>
      <c r="BS98">
        <v>69</v>
      </c>
      <c r="BT98">
        <v>70</v>
      </c>
      <c r="BU98">
        <v>71</v>
      </c>
      <c r="BV98">
        <v>72</v>
      </c>
      <c r="BW98">
        <v>73</v>
      </c>
      <c r="BX98">
        <v>74</v>
      </c>
      <c r="BY98">
        <v>75</v>
      </c>
      <c r="BZ98">
        <v>76</v>
      </c>
      <c r="CA98">
        <v>77</v>
      </c>
      <c r="CB98">
        <v>78</v>
      </c>
      <c r="CC98">
        <v>79</v>
      </c>
      <c r="CD98">
        <v>80</v>
      </c>
      <c r="CE98">
        <v>81</v>
      </c>
      <c r="CF98">
        <v>82</v>
      </c>
      <c r="CG98">
        <v>83</v>
      </c>
      <c r="CH98">
        <v>84</v>
      </c>
    </row>
    <row r="99" spans="1:86" x14ac:dyDescent="0.3">
      <c r="A99" t="s">
        <v>716</v>
      </c>
      <c r="B99" s="41" t="e">
        <f>+B90</f>
        <v>#REF!</v>
      </c>
      <c r="C99" s="33" t="e">
        <f>+B99-C101</f>
        <v>#REF!</v>
      </c>
      <c r="D99" s="33" t="e">
        <f t="shared" ref="D99:BO99" si="46">+C99-D101</f>
        <v>#REF!</v>
      </c>
      <c r="E99" s="33" t="e">
        <f t="shared" si="46"/>
        <v>#REF!</v>
      </c>
      <c r="F99" s="33" t="e">
        <f t="shared" si="46"/>
        <v>#REF!</v>
      </c>
      <c r="G99" s="33" t="e">
        <f t="shared" si="46"/>
        <v>#REF!</v>
      </c>
      <c r="H99" s="33" t="e">
        <f t="shared" si="46"/>
        <v>#REF!</v>
      </c>
      <c r="I99" s="33" t="e">
        <f t="shared" si="46"/>
        <v>#REF!</v>
      </c>
      <c r="J99" s="33" t="e">
        <f t="shared" si="46"/>
        <v>#REF!</v>
      </c>
      <c r="K99" s="33" t="e">
        <f t="shared" si="46"/>
        <v>#REF!</v>
      </c>
      <c r="L99" s="33" t="e">
        <f t="shared" si="46"/>
        <v>#REF!</v>
      </c>
      <c r="M99" s="33" t="e">
        <f t="shared" si="46"/>
        <v>#REF!</v>
      </c>
      <c r="N99" s="33" t="e">
        <f t="shared" si="46"/>
        <v>#REF!</v>
      </c>
      <c r="O99" s="33" t="e">
        <f t="shared" si="46"/>
        <v>#REF!</v>
      </c>
      <c r="P99" s="33" t="e">
        <f t="shared" si="46"/>
        <v>#REF!</v>
      </c>
      <c r="Q99" s="33" t="e">
        <f t="shared" si="46"/>
        <v>#REF!</v>
      </c>
      <c r="R99" s="33" t="e">
        <f t="shared" si="46"/>
        <v>#REF!</v>
      </c>
      <c r="S99" s="33" t="e">
        <f t="shared" si="46"/>
        <v>#REF!</v>
      </c>
      <c r="T99" s="33" t="e">
        <f t="shared" si="46"/>
        <v>#REF!</v>
      </c>
      <c r="U99" s="33" t="e">
        <f t="shared" si="46"/>
        <v>#REF!</v>
      </c>
      <c r="V99" s="33" t="e">
        <f t="shared" si="46"/>
        <v>#REF!</v>
      </c>
      <c r="W99" s="33" t="e">
        <f t="shared" si="46"/>
        <v>#REF!</v>
      </c>
      <c r="X99" s="33" t="e">
        <f t="shared" si="46"/>
        <v>#REF!</v>
      </c>
      <c r="Y99" s="33" t="e">
        <f t="shared" si="46"/>
        <v>#REF!</v>
      </c>
      <c r="Z99" s="33" t="e">
        <f t="shared" si="46"/>
        <v>#REF!</v>
      </c>
      <c r="AA99" s="33" t="e">
        <f t="shared" si="46"/>
        <v>#REF!</v>
      </c>
      <c r="AB99" s="33" t="e">
        <f t="shared" si="46"/>
        <v>#REF!</v>
      </c>
      <c r="AC99" s="33" t="e">
        <f t="shared" si="46"/>
        <v>#REF!</v>
      </c>
      <c r="AD99" s="33" t="e">
        <f t="shared" si="46"/>
        <v>#REF!</v>
      </c>
      <c r="AE99" s="33" t="e">
        <f t="shared" si="46"/>
        <v>#REF!</v>
      </c>
      <c r="AF99" s="33" t="e">
        <f t="shared" si="46"/>
        <v>#REF!</v>
      </c>
      <c r="AG99" s="33" t="e">
        <f t="shared" si="46"/>
        <v>#REF!</v>
      </c>
      <c r="AH99" s="33" t="e">
        <f t="shared" si="46"/>
        <v>#REF!</v>
      </c>
      <c r="AI99" s="33" t="e">
        <f t="shared" si="46"/>
        <v>#REF!</v>
      </c>
      <c r="AJ99" s="33" t="e">
        <f t="shared" si="46"/>
        <v>#REF!</v>
      </c>
      <c r="AK99" s="33" t="e">
        <f t="shared" si="46"/>
        <v>#REF!</v>
      </c>
      <c r="AL99" s="33" t="e">
        <f t="shared" si="46"/>
        <v>#REF!</v>
      </c>
      <c r="AM99" s="33" t="e">
        <f t="shared" si="46"/>
        <v>#REF!</v>
      </c>
      <c r="AN99" s="33" t="e">
        <f t="shared" si="46"/>
        <v>#REF!</v>
      </c>
      <c r="AO99" s="33" t="e">
        <f t="shared" si="46"/>
        <v>#REF!</v>
      </c>
      <c r="AP99" s="33" t="e">
        <f t="shared" si="46"/>
        <v>#REF!</v>
      </c>
      <c r="AQ99" s="33" t="e">
        <f t="shared" si="46"/>
        <v>#REF!</v>
      </c>
      <c r="AR99" s="33" t="e">
        <f t="shared" si="46"/>
        <v>#REF!</v>
      </c>
      <c r="AS99" s="33" t="e">
        <f t="shared" si="46"/>
        <v>#REF!</v>
      </c>
      <c r="AT99" s="33" t="e">
        <f t="shared" si="46"/>
        <v>#REF!</v>
      </c>
      <c r="AU99" s="33" t="e">
        <f t="shared" si="46"/>
        <v>#REF!</v>
      </c>
      <c r="AV99" s="33" t="e">
        <f t="shared" si="46"/>
        <v>#REF!</v>
      </c>
      <c r="AW99" s="33" t="e">
        <f t="shared" si="46"/>
        <v>#REF!</v>
      </c>
      <c r="AX99" s="33" t="e">
        <f t="shared" si="46"/>
        <v>#REF!</v>
      </c>
      <c r="AY99" s="33" t="e">
        <f t="shared" si="46"/>
        <v>#REF!</v>
      </c>
      <c r="AZ99" s="33" t="e">
        <f t="shared" si="46"/>
        <v>#REF!</v>
      </c>
      <c r="BA99" s="33" t="e">
        <f t="shared" si="46"/>
        <v>#REF!</v>
      </c>
      <c r="BB99" s="33" t="e">
        <f t="shared" si="46"/>
        <v>#REF!</v>
      </c>
      <c r="BC99" s="33" t="e">
        <f t="shared" si="46"/>
        <v>#REF!</v>
      </c>
      <c r="BD99" s="33" t="e">
        <f t="shared" si="46"/>
        <v>#REF!</v>
      </c>
      <c r="BE99" s="33" t="e">
        <f t="shared" si="46"/>
        <v>#REF!</v>
      </c>
      <c r="BF99" s="33" t="e">
        <f t="shared" si="46"/>
        <v>#REF!</v>
      </c>
      <c r="BG99" s="33" t="e">
        <f t="shared" si="46"/>
        <v>#REF!</v>
      </c>
      <c r="BH99" s="33" t="e">
        <f t="shared" si="46"/>
        <v>#REF!</v>
      </c>
      <c r="BI99" s="33" t="e">
        <f t="shared" si="46"/>
        <v>#REF!</v>
      </c>
      <c r="BJ99" s="33" t="e">
        <f t="shared" si="46"/>
        <v>#REF!</v>
      </c>
      <c r="BK99" s="33" t="e">
        <f t="shared" si="46"/>
        <v>#REF!</v>
      </c>
      <c r="BL99" s="33" t="e">
        <f t="shared" si="46"/>
        <v>#REF!</v>
      </c>
      <c r="BM99" s="33" t="e">
        <f t="shared" si="46"/>
        <v>#REF!</v>
      </c>
      <c r="BN99" s="33" t="e">
        <f t="shared" si="46"/>
        <v>#REF!</v>
      </c>
      <c r="BO99" s="33" t="e">
        <f t="shared" si="46"/>
        <v>#REF!</v>
      </c>
      <c r="BP99" s="33" t="e">
        <f t="shared" ref="BP99:CH99" si="47">+BO99-BP101</f>
        <v>#REF!</v>
      </c>
      <c r="BQ99" s="33" t="e">
        <f t="shared" si="47"/>
        <v>#REF!</v>
      </c>
      <c r="BR99" s="33" t="e">
        <f t="shared" si="47"/>
        <v>#REF!</v>
      </c>
      <c r="BS99" s="33" t="e">
        <f t="shared" si="47"/>
        <v>#REF!</v>
      </c>
      <c r="BT99" s="33" t="e">
        <f t="shared" si="47"/>
        <v>#REF!</v>
      </c>
      <c r="BU99" s="33" t="e">
        <f t="shared" si="47"/>
        <v>#REF!</v>
      </c>
      <c r="BV99" s="33" t="e">
        <f t="shared" si="47"/>
        <v>#REF!</v>
      </c>
      <c r="BW99" s="33" t="e">
        <f t="shared" si="47"/>
        <v>#REF!</v>
      </c>
      <c r="BX99" s="33" t="e">
        <f t="shared" si="47"/>
        <v>#REF!</v>
      </c>
      <c r="BY99" s="33" t="e">
        <f t="shared" si="47"/>
        <v>#REF!</v>
      </c>
      <c r="BZ99" s="33" t="e">
        <f t="shared" si="47"/>
        <v>#REF!</v>
      </c>
      <c r="CA99" s="33" t="e">
        <f t="shared" si="47"/>
        <v>#REF!</v>
      </c>
      <c r="CB99" s="33" t="e">
        <f t="shared" si="47"/>
        <v>#REF!</v>
      </c>
      <c r="CC99" s="33" t="e">
        <f t="shared" si="47"/>
        <v>#REF!</v>
      </c>
      <c r="CD99" s="33" t="e">
        <f t="shared" si="47"/>
        <v>#REF!</v>
      </c>
      <c r="CE99" s="33" t="e">
        <f t="shared" si="47"/>
        <v>#REF!</v>
      </c>
      <c r="CF99" s="33" t="e">
        <f t="shared" si="47"/>
        <v>#REF!</v>
      </c>
      <c r="CG99" s="33" t="e">
        <f t="shared" si="47"/>
        <v>#REF!</v>
      </c>
      <c r="CH99" s="33" t="e">
        <f t="shared" si="47"/>
        <v>#REF!</v>
      </c>
    </row>
    <row r="100" spans="1:86" x14ac:dyDescent="0.3">
      <c r="A100" t="s">
        <v>736</v>
      </c>
      <c r="B100">
        <v>0</v>
      </c>
      <c r="C100" s="30" t="e">
        <f>+B99*$C$92</f>
        <v>#REF!</v>
      </c>
      <c r="D100" s="30" t="e">
        <f t="shared" ref="D100:BO100" si="48">+C99*$C$92</f>
        <v>#REF!</v>
      </c>
      <c r="E100" s="30" t="e">
        <f t="shared" si="48"/>
        <v>#REF!</v>
      </c>
      <c r="F100" s="30" t="e">
        <f t="shared" si="48"/>
        <v>#REF!</v>
      </c>
      <c r="G100" s="30" t="e">
        <f t="shared" si="48"/>
        <v>#REF!</v>
      </c>
      <c r="H100" s="30" t="e">
        <f t="shared" si="48"/>
        <v>#REF!</v>
      </c>
      <c r="I100" s="30" t="e">
        <f t="shared" si="48"/>
        <v>#REF!</v>
      </c>
      <c r="J100" s="30" t="e">
        <f t="shared" si="48"/>
        <v>#REF!</v>
      </c>
      <c r="K100" s="30" t="e">
        <f t="shared" si="48"/>
        <v>#REF!</v>
      </c>
      <c r="L100" s="30" t="e">
        <f t="shared" si="48"/>
        <v>#REF!</v>
      </c>
      <c r="M100" s="30" t="e">
        <f t="shared" si="48"/>
        <v>#REF!</v>
      </c>
      <c r="N100" s="30" t="e">
        <f t="shared" si="48"/>
        <v>#REF!</v>
      </c>
      <c r="O100" s="30" t="e">
        <f t="shared" si="48"/>
        <v>#REF!</v>
      </c>
      <c r="P100" s="30" t="e">
        <f t="shared" si="48"/>
        <v>#REF!</v>
      </c>
      <c r="Q100" s="30" t="e">
        <f t="shared" si="48"/>
        <v>#REF!</v>
      </c>
      <c r="R100" s="30" t="e">
        <f t="shared" si="48"/>
        <v>#REF!</v>
      </c>
      <c r="S100" s="30" t="e">
        <f t="shared" si="48"/>
        <v>#REF!</v>
      </c>
      <c r="T100" s="30" t="e">
        <f t="shared" si="48"/>
        <v>#REF!</v>
      </c>
      <c r="U100" s="30" t="e">
        <f t="shared" si="48"/>
        <v>#REF!</v>
      </c>
      <c r="V100" s="30" t="e">
        <f t="shared" si="48"/>
        <v>#REF!</v>
      </c>
      <c r="W100" s="30" t="e">
        <f t="shared" si="48"/>
        <v>#REF!</v>
      </c>
      <c r="X100" s="30" t="e">
        <f t="shared" si="48"/>
        <v>#REF!</v>
      </c>
      <c r="Y100" s="30" t="e">
        <f t="shared" si="48"/>
        <v>#REF!</v>
      </c>
      <c r="Z100" s="30" t="e">
        <f t="shared" si="48"/>
        <v>#REF!</v>
      </c>
      <c r="AA100" s="30" t="e">
        <f t="shared" si="48"/>
        <v>#REF!</v>
      </c>
      <c r="AB100" s="30" t="e">
        <f t="shared" si="48"/>
        <v>#REF!</v>
      </c>
      <c r="AC100" s="30" t="e">
        <f t="shared" si="48"/>
        <v>#REF!</v>
      </c>
      <c r="AD100" s="30" t="e">
        <f t="shared" si="48"/>
        <v>#REF!</v>
      </c>
      <c r="AE100" s="30" t="e">
        <f t="shared" si="48"/>
        <v>#REF!</v>
      </c>
      <c r="AF100" s="30" t="e">
        <f t="shared" si="48"/>
        <v>#REF!</v>
      </c>
      <c r="AG100" s="30" t="e">
        <f t="shared" si="48"/>
        <v>#REF!</v>
      </c>
      <c r="AH100" s="30" t="e">
        <f t="shared" si="48"/>
        <v>#REF!</v>
      </c>
      <c r="AI100" s="30" t="e">
        <f t="shared" si="48"/>
        <v>#REF!</v>
      </c>
      <c r="AJ100" s="30" t="e">
        <f t="shared" si="48"/>
        <v>#REF!</v>
      </c>
      <c r="AK100" s="30" t="e">
        <f t="shared" si="48"/>
        <v>#REF!</v>
      </c>
      <c r="AL100" s="30" t="e">
        <f t="shared" si="48"/>
        <v>#REF!</v>
      </c>
      <c r="AM100" s="30" t="e">
        <f t="shared" si="48"/>
        <v>#REF!</v>
      </c>
      <c r="AN100" s="30" t="e">
        <f t="shared" si="48"/>
        <v>#REF!</v>
      </c>
      <c r="AO100" s="30" t="e">
        <f t="shared" si="48"/>
        <v>#REF!</v>
      </c>
      <c r="AP100" s="30" t="e">
        <f t="shared" si="48"/>
        <v>#REF!</v>
      </c>
      <c r="AQ100" s="30" t="e">
        <f t="shared" si="48"/>
        <v>#REF!</v>
      </c>
      <c r="AR100" s="30" t="e">
        <f t="shared" si="48"/>
        <v>#REF!</v>
      </c>
      <c r="AS100" s="30" t="e">
        <f t="shared" si="48"/>
        <v>#REF!</v>
      </c>
      <c r="AT100" s="30" t="e">
        <f t="shared" si="48"/>
        <v>#REF!</v>
      </c>
      <c r="AU100" s="30" t="e">
        <f t="shared" si="48"/>
        <v>#REF!</v>
      </c>
      <c r="AV100" s="30" t="e">
        <f t="shared" si="48"/>
        <v>#REF!</v>
      </c>
      <c r="AW100" s="30" t="e">
        <f t="shared" si="48"/>
        <v>#REF!</v>
      </c>
      <c r="AX100" s="30" t="e">
        <f t="shared" si="48"/>
        <v>#REF!</v>
      </c>
      <c r="AY100" s="30" t="e">
        <f t="shared" si="48"/>
        <v>#REF!</v>
      </c>
      <c r="AZ100" s="30" t="e">
        <f t="shared" si="48"/>
        <v>#REF!</v>
      </c>
      <c r="BA100" s="30" t="e">
        <f t="shared" si="48"/>
        <v>#REF!</v>
      </c>
      <c r="BB100" s="30" t="e">
        <f t="shared" si="48"/>
        <v>#REF!</v>
      </c>
      <c r="BC100" s="30" t="e">
        <f t="shared" si="48"/>
        <v>#REF!</v>
      </c>
      <c r="BD100" s="30" t="e">
        <f t="shared" si="48"/>
        <v>#REF!</v>
      </c>
      <c r="BE100" s="30" t="e">
        <f t="shared" si="48"/>
        <v>#REF!</v>
      </c>
      <c r="BF100" s="30" t="e">
        <f t="shared" si="48"/>
        <v>#REF!</v>
      </c>
      <c r="BG100" s="30" t="e">
        <f t="shared" si="48"/>
        <v>#REF!</v>
      </c>
      <c r="BH100" s="30" t="e">
        <f t="shared" si="48"/>
        <v>#REF!</v>
      </c>
      <c r="BI100" s="30" t="e">
        <f t="shared" si="48"/>
        <v>#REF!</v>
      </c>
      <c r="BJ100" s="30" t="e">
        <f t="shared" si="48"/>
        <v>#REF!</v>
      </c>
      <c r="BK100" s="30" t="e">
        <f t="shared" si="48"/>
        <v>#REF!</v>
      </c>
      <c r="BL100" s="30" t="e">
        <f t="shared" si="48"/>
        <v>#REF!</v>
      </c>
      <c r="BM100" s="30" t="e">
        <f t="shared" si="48"/>
        <v>#REF!</v>
      </c>
      <c r="BN100" s="30" t="e">
        <f t="shared" si="48"/>
        <v>#REF!</v>
      </c>
      <c r="BO100" s="30" t="e">
        <f t="shared" si="48"/>
        <v>#REF!</v>
      </c>
      <c r="BP100" s="30" t="e">
        <f t="shared" ref="BP100:CH100" si="49">+BO99*$C$92</f>
        <v>#REF!</v>
      </c>
      <c r="BQ100" s="30" t="e">
        <f t="shared" si="49"/>
        <v>#REF!</v>
      </c>
      <c r="BR100" s="30" t="e">
        <f t="shared" si="49"/>
        <v>#REF!</v>
      </c>
      <c r="BS100" s="30" t="e">
        <f t="shared" si="49"/>
        <v>#REF!</v>
      </c>
      <c r="BT100" s="30" t="e">
        <f t="shared" si="49"/>
        <v>#REF!</v>
      </c>
      <c r="BU100" s="30" t="e">
        <f t="shared" si="49"/>
        <v>#REF!</v>
      </c>
      <c r="BV100" s="30" t="e">
        <f t="shared" si="49"/>
        <v>#REF!</v>
      </c>
      <c r="BW100" s="30" t="e">
        <f t="shared" si="49"/>
        <v>#REF!</v>
      </c>
      <c r="BX100" s="30" t="e">
        <f t="shared" si="49"/>
        <v>#REF!</v>
      </c>
      <c r="BY100" s="30" t="e">
        <f t="shared" si="49"/>
        <v>#REF!</v>
      </c>
      <c r="BZ100" s="30" t="e">
        <f t="shared" si="49"/>
        <v>#REF!</v>
      </c>
      <c r="CA100" s="30" t="e">
        <f t="shared" si="49"/>
        <v>#REF!</v>
      </c>
      <c r="CB100" s="30" t="e">
        <f t="shared" si="49"/>
        <v>#REF!</v>
      </c>
      <c r="CC100" s="30" t="e">
        <f t="shared" si="49"/>
        <v>#REF!</v>
      </c>
      <c r="CD100" s="30" t="e">
        <f t="shared" si="49"/>
        <v>#REF!</v>
      </c>
      <c r="CE100" s="30" t="e">
        <f t="shared" si="49"/>
        <v>#REF!</v>
      </c>
      <c r="CF100" s="30" t="e">
        <f t="shared" si="49"/>
        <v>#REF!</v>
      </c>
      <c r="CG100" s="30" t="e">
        <f t="shared" si="49"/>
        <v>#REF!</v>
      </c>
      <c r="CH100" s="30" t="e">
        <f t="shared" si="49"/>
        <v>#REF!</v>
      </c>
    </row>
    <row r="101" spans="1:86" x14ac:dyDescent="0.3">
      <c r="A101" t="s">
        <v>737</v>
      </c>
      <c r="B101">
        <v>0</v>
      </c>
      <c r="C101" s="33" t="e">
        <f>+C102-C100</f>
        <v>#REF!</v>
      </c>
      <c r="D101" s="33" t="e">
        <f t="shared" ref="D101:BO101" si="50">+D102-D100</f>
        <v>#REF!</v>
      </c>
      <c r="E101" s="33" t="e">
        <f t="shared" si="50"/>
        <v>#REF!</v>
      </c>
      <c r="F101" s="33" t="e">
        <f t="shared" si="50"/>
        <v>#REF!</v>
      </c>
      <c r="G101" s="33" t="e">
        <f t="shared" si="50"/>
        <v>#REF!</v>
      </c>
      <c r="H101" s="33" t="e">
        <f t="shared" si="50"/>
        <v>#REF!</v>
      </c>
      <c r="I101" s="33" t="e">
        <f t="shared" si="50"/>
        <v>#REF!</v>
      </c>
      <c r="J101" s="33" t="e">
        <f t="shared" si="50"/>
        <v>#REF!</v>
      </c>
      <c r="K101" s="33" t="e">
        <f t="shared" si="50"/>
        <v>#REF!</v>
      </c>
      <c r="L101" s="33" t="e">
        <f t="shared" si="50"/>
        <v>#REF!</v>
      </c>
      <c r="M101" s="33" t="e">
        <f t="shared" si="50"/>
        <v>#REF!</v>
      </c>
      <c r="N101" s="33" t="e">
        <f t="shared" si="50"/>
        <v>#REF!</v>
      </c>
      <c r="O101" s="33" t="e">
        <f t="shared" si="50"/>
        <v>#REF!</v>
      </c>
      <c r="P101" s="33" t="e">
        <f t="shared" si="50"/>
        <v>#REF!</v>
      </c>
      <c r="Q101" s="33" t="e">
        <f t="shared" si="50"/>
        <v>#REF!</v>
      </c>
      <c r="R101" s="33" t="e">
        <f t="shared" si="50"/>
        <v>#REF!</v>
      </c>
      <c r="S101" s="33" t="e">
        <f t="shared" si="50"/>
        <v>#REF!</v>
      </c>
      <c r="T101" s="33" t="e">
        <f t="shared" si="50"/>
        <v>#REF!</v>
      </c>
      <c r="U101" s="33" t="e">
        <f t="shared" si="50"/>
        <v>#REF!</v>
      </c>
      <c r="V101" s="33" t="e">
        <f t="shared" si="50"/>
        <v>#REF!</v>
      </c>
      <c r="W101" s="33" t="e">
        <f t="shared" si="50"/>
        <v>#REF!</v>
      </c>
      <c r="X101" s="33" t="e">
        <f t="shared" si="50"/>
        <v>#REF!</v>
      </c>
      <c r="Y101" s="33" t="e">
        <f t="shared" si="50"/>
        <v>#REF!</v>
      </c>
      <c r="Z101" s="33" t="e">
        <f t="shared" si="50"/>
        <v>#REF!</v>
      </c>
      <c r="AA101" s="33" t="e">
        <f t="shared" si="50"/>
        <v>#REF!</v>
      </c>
      <c r="AB101" s="33" t="e">
        <f t="shared" si="50"/>
        <v>#REF!</v>
      </c>
      <c r="AC101" s="33" t="e">
        <f t="shared" si="50"/>
        <v>#REF!</v>
      </c>
      <c r="AD101" s="33" t="e">
        <f t="shared" si="50"/>
        <v>#REF!</v>
      </c>
      <c r="AE101" s="33" t="e">
        <f t="shared" si="50"/>
        <v>#REF!</v>
      </c>
      <c r="AF101" s="33" t="e">
        <f t="shared" si="50"/>
        <v>#REF!</v>
      </c>
      <c r="AG101" s="33" t="e">
        <f t="shared" si="50"/>
        <v>#REF!</v>
      </c>
      <c r="AH101" s="33" t="e">
        <f t="shared" si="50"/>
        <v>#REF!</v>
      </c>
      <c r="AI101" s="33" t="e">
        <f t="shared" si="50"/>
        <v>#REF!</v>
      </c>
      <c r="AJ101" s="33" t="e">
        <f t="shared" si="50"/>
        <v>#REF!</v>
      </c>
      <c r="AK101" s="33" t="e">
        <f t="shared" si="50"/>
        <v>#REF!</v>
      </c>
      <c r="AL101" s="33" t="e">
        <f t="shared" si="50"/>
        <v>#REF!</v>
      </c>
      <c r="AM101" s="33" t="e">
        <f t="shared" si="50"/>
        <v>#REF!</v>
      </c>
      <c r="AN101" s="33" t="e">
        <f t="shared" si="50"/>
        <v>#REF!</v>
      </c>
      <c r="AO101" s="33" t="e">
        <f t="shared" si="50"/>
        <v>#REF!</v>
      </c>
      <c r="AP101" s="33" t="e">
        <f t="shared" si="50"/>
        <v>#REF!</v>
      </c>
      <c r="AQ101" s="33" t="e">
        <f t="shared" si="50"/>
        <v>#REF!</v>
      </c>
      <c r="AR101" s="33" t="e">
        <f t="shared" si="50"/>
        <v>#REF!</v>
      </c>
      <c r="AS101" s="33" t="e">
        <f t="shared" si="50"/>
        <v>#REF!</v>
      </c>
      <c r="AT101" s="33" t="e">
        <f t="shared" si="50"/>
        <v>#REF!</v>
      </c>
      <c r="AU101" s="33" t="e">
        <f t="shared" si="50"/>
        <v>#REF!</v>
      </c>
      <c r="AV101" s="33" t="e">
        <f t="shared" si="50"/>
        <v>#REF!</v>
      </c>
      <c r="AW101" s="33" t="e">
        <f t="shared" si="50"/>
        <v>#REF!</v>
      </c>
      <c r="AX101" s="33" t="e">
        <f t="shared" si="50"/>
        <v>#REF!</v>
      </c>
      <c r="AY101" s="33" t="e">
        <f t="shared" si="50"/>
        <v>#REF!</v>
      </c>
      <c r="AZ101" s="33" t="e">
        <f t="shared" si="50"/>
        <v>#REF!</v>
      </c>
      <c r="BA101" s="33" t="e">
        <f t="shared" si="50"/>
        <v>#REF!</v>
      </c>
      <c r="BB101" s="33" t="e">
        <f t="shared" si="50"/>
        <v>#REF!</v>
      </c>
      <c r="BC101" s="33" t="e">
        <f t="shared" si="50"/>
        <v>#REF!</v>
      </c>
      <c r="BD101" s="33" t="e">
        <f t="shared" si="50"/>
        <v>#REF!</v>
      </c>
      <c r="BE101" s="33" t="e">
        <f t="shared" si="50"/>
        <v>#REF!</v>
      </c>
      <c r="BF101" s="33" t="e">
        <f t="shared" si="50"/>
        <v>#REF!</v>
      </c>
      <c r="BG101" s="33" t="e">
        <f t="shared" si="50"/>
        <v>#REF!</v>
      </c>
      <c r="BH101" s="33" t="e">
        <f t="shared" si="50"/>
        <v>#REF!</v>
      </c>
      <c r="BI101" s="33" t="e">
        <f t="shared" si="50"/>
        <v>#REF!</v>
      </c>
      <c r="BJ101" s="33" t="e">
        <f t="shared" si="50"/>
        <v>#REF!</v>
      </c>
      <c r="BK101" s="33" t="e">
        <f t="shared" si="50"/>
        <v>#REF!</v>
      </c>
      <c r="BL101" s="33" t="e">
        <f t="shared" si="50"/>
        <v>#REF!</v>
      </c>
      <c r="BM101" s="33" t="e">
        <f t="shared" si="50"/>
        <v>#REF!</v>
      </c>
      <c r="BN101" s="33" t="e">
        <f t="shared" si="50"/>
        <v>#REF!</v>
      </c>
      <c r="BO101" s="33" t="e">
        <f t="shared" si="50"/>
        <v>#REF!</v>
      </c>
      <c r="BP101" s="33" t="e">
        <f t="shared" ref="BP101:CH101" si="51">+BP102-BP100</f>
        <v>#REF!</v>
      </c>
      <c r="BQ101" s="33" t="e">
        <f t="shared" si="51"/>
        <v>#REF!</v>
      </c>
      <c r="BR101" s="33" t="e">
        <f t="shared" si="51"/>
        <v>#REF!</v>
      </c>
      <c r="BS101" s="33" t="e">
        <f t="shared" si="51"/>
        <v>#REF!</v>
      </c>
      <c r="BT101" s="33" t="e">
        <f t="shared" si="51"/>
        <v>#REF!</v>
      </c>
      <c r="BU101" s="33" t="e">
        <f t="shared" si="51"/>
        <v>#REF!</v>
      </c>
      <c r="BV101" s="33" t="e">
        <f t="shared" si="51"/>
        <v>#REF!</v>
      </c>
      <c r="BW101" s="33" t="e">
        <f t="shared" si="51"/>
        <v>#REF!</v>
      </c>
      <c r="BX101" s="33" t="e">
        <f t="shared" si="51"/>
        <v>#REF!</v>
      </c>
      <c r="BY101" s="33" t="e">
        <f t="shared" si="51"/>
        <v>#REF!</v>
      </c>
      <c r="BZ101" s="33" t="e">
        <f t="shared" si="51"/>
        <v>#REF!</v>
      </c>
      <c r="CA101" s="33" t="e">
        <f t="shared" si="51"/>
        <v>#REF!</v>
      </c>
      <c r="CB101" s="33" t="e">
        <f t="shared" si="51"/>
        <v>#REF!</v>
      </c>
      <c r="CC101" s="33" t="e">
        <f t="shared" si="51"/>
        <v>#REF!</v>
      </c>
      <c r="CD101" s="33" t="e">
        <f t="shared" si="51"/>
        <v>#REF!</v>
      </c>
      <c r="CE101" s="33" t="e">
        <f t="shared" si="51"/>
        <v>#REF!</v>
      </c>
      <c r="CF101" s="33" t="e">
        <f t="shared" si="51"/>
        <v>#REF!</v>
      </c>
      <c r="CG101" s="33" t="e">
        <f t="shared" si="51"/>
        <v>#REF!</v>
      </c>
      <c r="CH101" s="33" t="e">
        <f t="shared" si="51"/>
        <v>#REF!</v>
      </c>
    </row>
    <row r="102" spans="1:86" x14ac:dyDescent="0.3">
      <c r="A102" t="s">
        <v>738</v>
      </c>
      <c r="B102">
        <v>0</v>
      </c>
      <c r="C102" s="32" t="e">
        <f>+PMT($C$92,$B$94,-$B$90,0)</f>
        <v>#REF!</v>
      </c>
      <c r="D102" s="32" t="e">
        <f t="shared" ref="D102:BO102" si="52">+PMT($C$92,$B$94,-$B$90,0)</f>
        <v>#REF!</v>
      </c>
      <c r="E102" s="32" t="e">
        <f t="shared" si="52"/>
        <v>#REF!</v>
      </c>
      <c r="F102" s="32" t="e">
        <f t="shared" si="52"/>
        <v>#REF!</v>
      </c>
      <c r="G102" s="32" t="e">
        <f t="shared" si="52"/>
        <v>#REF!</v>
      </c>
      <c r="H102" s="32" t="e">
        <f t="shared" si="52"/>
        <v>#REF!</v>
      </c>
      <c r="I102" s="32" t="e">
        <f t="shared" si="52"/>
        <v>#REF!</v>
      </c>
      <c r="J102" s="32" t="e">
        <f t="shared" si="52"/>
        <v>#REF!</v>
      </c>
      <c r="K102" s="32" t="e">
        <f t="shared" si="52"/>
        <v>#REF!</v>
      </c>
      <c r="L102" s="32" t="e">
        <f t="shared" si="52"/>
        <v>#REF!</v>
      </c>
      <c r="M102" s="32" t="e">
        <f t="shared" si="52"/>
        <v>#REF!</v>
      </c>
      <c r="N102" s="32" t="e">
        <f t="shared" si="52"/>
        <v>#REF!</v>
      </c>
      <c r="O102" s="32" t="e">
        <f t="shared" si="52"/>
        <v>#REF!</v>
      </c>
      <c r="P102" s="32" t="e">
        <f t="shared" si="52"/>
        <v>#REF!</v>
      </c>
      <c r="Q102" s="32" t="e">
        <f t="shared" si="52"/>
        <v>#REF!</v>
      </c>
      <c r="R102" s="32" t="e">
        <f t="shared" si="52"/>
        <v>#REF!</v>
      </c>
      <c r="S102" s="32" t="e">
        <f t="shared" si="52"/>
        <v>#REF!</v>
      </c>
      <c r="T102" s="32" t="e">
        <f t="shared" si="52"/>
        <v>#REF!</v>
      </c>
      <c r="U102" s="32" t="e">
        <f t="shared" si="52"/>
        <v>#REF!</v>
      </c>
      <c r="V102" s="32" t="e">
        <f t="shared" si="52"/>
        <v>#REF!</v>
      </c>
      <c r="W102" s="32" t="e">
        <f t="shared" si="52"/>
        <v>#REF!</v>
      </c>
      <c r="X102" s="32" t="e">
        <f t="shared" si="52"/>
        <v>#REF!</v>
      </c>
      <c r="Y102" s="32" t="e">
        <f t="shared" si="52"/>
        <v>#REF!</v>
      </c>
      <c r="Z102" s="32" t="e">
        <f t="shared" si="52"/>
        <v>#REF!</v>
      </c>
      <c r="AA102" s="32" t="e">
        <f t="shared" si="52"/>
        <v>#REF!</v>
      </c>
      <c r="AB102" s="32" t="e">
        <f t="shared" si="52"/>
        <v>#REF!</v>
      </c>
      <c r="AC102" s="32" t="e">
        <f t="shared" si="52"/>
        <v>#REF!</v>
      </c>
      <c r="AD102" s="32" t="e">
        <f t="shared" si="52"/>
        <v>#REF!</v>
      </c>
      <c r="AE102" s="32" t="e">
        <f t="shared" si="52"/>
        <v>#REF!</v>
      </c>
      <c r="AF102" s="32" t="e">
        <f t="shared" si="52"/>
        <v>#REF!</v>
      </c>
      <c r="AG102" s="32" t="e">
        <f t="shared" si="52"/>
        <v>#REF!</v>
      </c>
      <c r="AH102" s="32" t="e">
        <f t="shared" si="52"/>
        <v>#REF!</v>
      </c>
      <c r="AI102" s="32" t="e">
        <f t="shared" si="52"/>
        <v>#REF!</v>
      </c>
      <c r="AJ102" s="32" t="e">
        <f t="shared" si="52"/>
        <v>#REF!</v>
      </c>
      <c r="AK102" s="32" t="e">
        <f t="shared" si="52"/>
        <v>#REF!</v>
      </c>
      <c r="AL102" s="32" t="e">
        <f t="shared" si="52"/>
        <v>#REF!</v>
      </c>
      <c r="AM102" s="32" t="e">
        <f t="shared" si="52"/>
        <v>#REF!</v>
      </c>
      <c r="AN102" s="32" t="e">
        <f t="shared" si="52"/>
        <v>#REF!</v>
      </c>
      <c r="AO102" s="32" t="e">
        <f t="shared" si="52"/>
        <v>#REF!</v>
      </c>
      <c r="AP102" s="32" t="e">
        <f t="shared" si="52"/>
        <v>#REF!</v>
      </c>
      <c r="AQ102" s="32" t="e">
        <f t="shared" si="52"/>
        <v>#REF!</v>
      </c>
      <c r="AR102" s="32" t="e">
        <f t="shared" si="52"/>
        <v>#REF!</v>
      </c>
      <c r="AS102" s="32" t="e">
        <f t="shared" si="52"/>
        <v>#REF!</v>
      </c>
      <c r="AT102" s="32" t="e">
        <f t="shared" si="52"/>
        <v>#REF!</v>
      </c>
      <c r="AU102" s="32" t="e">
        <f t="shared" si="52"/>
        <v>#REF!</v>
      </c>
      <c r="AV102" s="32" t="e">
        <f t="shared" si="52"/>
        <v>#REF!</v>
      </c>
      <c r="AW102" s="32" t="e">
        <f t="shared" si="52"/>
        <v>#REF!</v>
      </c>
      <c r="AX102" s="32" t="e">
        <f t="shared" si="52"/>
        <v>#REF!</v>
      </c>
      <c r="AY102" s="32" t="e">
        <f t="shared" si="52"/>
        <v>#REF!</v>
      </c>
      <c r="AZ102" s="32" t="e">
        <f t="shared" si="52"/>
        <v>#REF!</v>
      </c>
      <c r="BA102" s="32" t="e">
        <f t="shared" si="52"/>
        <v>#REF!</v>
      </c>
      <c r="BB102" s="32" t="e">
        <f t="shared" si="52"/>
        <v>#REF!</v>
      </c>
      <c r="BC102" s="32" t="e">
        <f t="shared" si="52"/>
        <v>#REF!</v>
      </c>
      <c r="BD102" s="32" t="e">
        <f t="shared" si="52"/>
        <v>#REF!</v>
      </c>
      <c r="BE102" s="32" t="e">
        <f t="shared" si="52"/>
        <v>#REF!</v>
      </c>
      <c r="BF102" s="32" t="e">
        <f t="shared" si="52"/>
        <v>#REF!</v>
      </c>
      <c r="BG102" s="32" t="e">
        <f t="shared" si="52"/>
        <v>#REF!</v>
      </c>
      <c r="BH102" s="32" t="e">
        <f t="shared" si="52"/>
        <v>#REF!</v>
      </c>
      <c r="BI102" s="32" t="e">
        <f t="shared" si="52"/>
        <v>#REF!</v>
      </c>
      <c r="BJ102" s="32" t="e">
        <f t="shared" si="52"/>
        <v>#REF!</v>
      </c>
      <c r="BK102" s="32" t="e">
        <f t="shared" si="52"/>
        <v>#REF!</v>
      </c>
      <c r="BL102" s="32" t="e">
        <f t="shared" si="52"/>
        <v>#REF!</v>
      </c>
      <c r="BM102" s="32" t="e">
        <f t="shared" si="52"/>
        <v>#REF!</v>
      </c>
      <c r="BN102" s="32" t="e">
        <f t="shared" si="52"/>
        <v>#REF!</v>
      </c>
      <c r="BO102" s="32" t="e">
        <f t="shared" si="52"/>
        <v>#REF!</v>
      </c>
      <c r="BP102" s="32" t="e">
        <f t="shared" ref="BP102:CH102" si="53">+PMT($C$92,$B$94,-$B$90,0)</f>
        <v>#REF!</v>
      </c>
      <c r="BQ102" s="32" t="e">
        <f t="shared" si="53"/>
        <v>#REF!</v>
      </c>
      <c r="BR102" s="32" t="e">
        <f t="shared" si="53"/>
        <v>#REF!</v>
      </c>
      <c r="BS102" s="32" t="e">
        <f t="shared" si="53"/>
        <v>#REF!</v>
      </c>
      <c r="BT102" s="32" t="e">
        <f t="shared" si="53"/>
        <v>#REF!</v>
      </c>
      <c r="BU102" s="32" t="e">
        <f t="shared" si="53"/>
        <v>#REF!</v>
      </c>
      <c r="BV102" s="32" t="e">
        <f t="shared" si="53"/>
        <v>#REF!</v>
      </c>
      <c r="BW102" s="32" t="e">
        <f t="shared" si="53"/>
        <v>#REF!</v>
      </c>
      <c r="BX102" s="32" t="e">
        <f t="shared" si="53"/>
        <v>#REF!</v>
      </c>
      <c r="BY102" s="32" t="e">
        <f t="shared" si="53"/>
        <v>#REF!</v>
      </c>
      <c r="BZ102" s="32" t="e">
        <f t="shared" si="53"/>
        <v>#REF!</v>
      </c>
      <c r="CA102" s="32" t="e">
        <f t="shared" si="53"/>
        <v>#REF!</v>
      </c>
      <c r="CB102" s="32" t="e">
        <f t="shared" si="53"/>
        <v>#REF!</v>
      </c>
      <c r="CC102" s="32" t="e">
        <f t="shared" si="53"/>
        <v>#REF!</v>
      </c>
      <c r="CD102" s="32" t="e">
        <f t="shared" si="53"/>
        <v>#REF!</v>
      </c>
      <c r="CE102" s="32" t="e">
        <f t="shared" si="53"/>
        <v>#REF!</v>
      </c>
      <c r="CF102" s="32" t="e">
        <f t="shared" si="53"/>
        <v>#REF!</v>
      </c>
      <c r="CG102" s="32" t="e">
        <f t="shared" si="53"/>
        <v>#REF!</v>
      </c>
      <c r="CH102" s="32" t="e">
        <f t="shared" si="53"/>
        <v>#REF!</v>
      </c>
    </row>
    <row r="103" spans="1:86" x14ac:dyDescent="0.3">
      <c r="A103" t="s">
        <v>719</v>
      </c>
      <c r="B103">
        <v>0</v>
      </c>
      <c r="C103" s="41" t="e">
        <f>+$B$95*(B99/1000000)</f>
        <v>#REF!</v>
      </c>
      <c r="D103" s="41" t="e">
        <f>+$B$95*(C99/1000000)</f>
        <v>#REF!</v>
      </c>
      <c r="E103" s="41" t="e">
        <f t="shared" ref="E103:BO103" si="54">+$B$95*(D99/1000000)</f>
        <v>#REF!</v>
      </c>
      <c r="F103" s="41" t="e">
        <f t="shared" si="54"/>
        <v>#REF!</v>
      </c>
      <c r="G103" s="41" t="e">
        <f t="shared" si="54"/>
        <v>#REF!</v>
      </c>
      <c r="H103" s="41" t="e">
        <f t="shared" si="54"/>
        <v>#REF!</v>
      </c>
      <c r="I103" s="41" t="e">
        <f t="shared" si="54"/>
        <v>#REF!</v>
      </c>
      <c r="J103" s="41" t="e">
        <f t="shared" si="54"/>
        <v>#REF!</v>
      </c>
      <c r="K103" s="41" t="e">
        <f t="shared" si="54"/>
        <v>#REF!</v>
      </c>
      <c r="L103" s="41" t="e">
        <f t="shared" si="54"/>
        <v>#REF!</v>
      </c>
      <c r="M103" s="41" t="e">
        <f t="shared" si="54"/>
        <v>#REF!</v>
      </c>
      <c r="N103" s="41" t="e">
        <f t="shared" si="54"/>
        <v>#REF!</v>
      </c>
      <c r="O103" s="41" t="e">
        <f t="shared" si="54"/>
        <v>#REF!</v>
      </c>
      <c r="P103" s="41" t="e">
        <f t="shared" si="54"/>
        <v>#REF!</v>
      </c>
      <c r="Q103" s="41" t="e">
        <f t="shared" si="54"/>
        <v>#REF!</v>
      </c>
      <c r="R103" s="41" t="e">
        <f t="shared" si="54"/>
        <v>#REF!</v>
      </c>
      <c r="S103" s="41" t="e">
        <f t="shared" si="54"/>
        <v>#REF!</v>
      </c>
      <c r="T103" s="41" t="e">
        <f t="shared" si="54"/>
        <v>#REF!</v>
      </c>
      <c r="U103" s="41" t="e">
        <f t="shared" si="54"/>
        <v>#REF!</v>
      </c>
      <c r="V103" s="41" t="e">
        <f t="shared" si="54"/>
        <v>#REF!</v>
      </c>
      <c r="W103" s="41" t="e">
        <f t="shared" si="54"/>
        <v>#REF!</v>
      </c>
      <c r="X103" s="41" t="e">
        <f t="shared" si="54"/>
        <v>#REF!</v>
      </c>
      <c r="Y103" s="41" t="e">
        <f t="shared" si="54"/>
        <v>#REF!</v>
      </c>
      <c r="Z103" s="41" t="e">
        <f t="shared" si="54"/>
        <v>#REF!</v>
      </c>
      <c r="AA103" s="41" t="e">
        <f t="shared" si="54"/>
        <v>#REF!</v>
      </c>
      <c r="AB103" s="41" t="e">
        <f t="shared" si="54"/>
        <v>#REF!</v>
      </c>
      <c r="AC103" s="41" t="e">
        <f t="shared" si="54"/>
        <v>#REF!</v>
      </c>
      <c r="AD103" s="41" t="e">
        <f t="shared" si="54"/>
        <v>#REF!</v>
      </c>
      <c r="AE103" s="41" t="e">
        <f t="shared" si="54"/>
        <v>#REF!</v>
      </c>
      <c r="AF103" s="41" t="e">
        <f t="shared" si="54"/>
        <v>#REF!</v>
      </c>
      <c r="AG103" s="41" t="e">
        <f t="shared" si="54"/>
        <v>#REF!</v>
      </c>
      <c r="AH103" s="41" t="e">
        <f t="shared" si="54"/>
        <v>#REF!</v>
      </c>
      <c r="AI103" s="41" t="e">
        <f t="shared" si="54"/>
        <v>#REF!</v>
      </c>
      <c r="AJ103" s="41" t="e">
        <f t="shared" si="54"/>
        <v>#REF!</v>
      </c>
      <c r="AK103" s="41" t="e">
        <f t="shared" si="54"/>
        <v>#REF!</v>
      </c>
      <c r="AL103" s="41" t="e">
        <f t="shared" si="54"/>
        <v>#REF!</v>
      </c>
      <c r="AM103" s="41" t="e">
        <f t="shared" si="54"/>
        <v>#REF!</v>
      </c>
      <c r="AN103" s="41" t="e">
        <f t="shared" si="54"/>
        <v>#REF!</v>
      </c>
      <c r="AO103" s="41" t="e">
        <f t="shared" si="54"/>
        <v>#REF!</v>
      </c>
      <c r="AP103" s="41" t="e">
        <f t="shared" si="54"/>
        <v>#REF!</v>
      </c>
      <c r="AQ103" s="41" t="e">
        <f t="shared" si="54"/>
        <v>#REF!</v>
      </c>
      <c r="AR103" s="41" t="e">
        <f t="shared" si="54"/>
        <v>#REF!</v>
      </c>
      <c r="AS103" s="41" t="e">
        <f t="shared" si="54"/>
        <v>#REF!</v>
      </c>
      <c r="AT103" s="41" t="e">
        <f t="shared" si="54"/>
        <v>#REF!</v>
      </c>
      <c r="AU103" s="41" t="e">
        <f t="shared" si="54"/>
        <v>#REF!</v>
      </c>
      <c r="AV103" s="41" t="e">
        <f t="shared" si="54"/>
        <v>#REF!</v>
      </c>
      <c r="AW103" s="41" t="e">
        <f t="shared" si="54"/>
        <v>#REF!</v>
      </c>
      <c r="AX103" s="41" t="e">
        <f t="shared" si="54"/>
        <v>#REF!</v>
      </c>
      <c r="AY103" s="41" t="e">
        <f t="shared" si="54"/>
        <v>#REF!</v>
      </c>
      <c r="AZ103" s="41" t="e">
        <f t="shared" si="54"/>
        <v>#REF!</v>
      </c>
      <c r="BA103" s="41" t="e">
        <f t="shared" si="54"/>
        <v>#REF!</v>
      </c>
      <c r="BB103" s="41" t="e">
        <f t="shared" si="54"/>
        <v>#REF!</v>
      </c>
      <c r="BC103" s="41" t="e">
        <f t="shared" si="54"/>
        <v>#REF!</v>
      </c>
      <c r="BD103" s="41" t="e">
        <f t="shared" si="54"/>
        <v>#REF!</v>
      </c>
      <c r="BE103" s="41" t="e">
        <f t="shared" si="54"/>
        <v>#REF!</v>
      </c>
      <c r="BF103" s="41" t="e">
        <f t="shared" si="54"/>
        <v>#REF!</v>
      </c>
      <c r="BG103" s="41" t="e">
        <f t="shared" si="54"/>
        <v>#REF!</v>
      </c>
      <c r="BH103" s="41" t="e">
        <f t="shared" si="54"/>
        <v>#REF!</v>
      </c>
      <c r="BI103" s="41" t="e">
        <f t="shared" si="54"/>
        <v>#REF!</v>
      </c>
      <c r="BJ103" s="41" t="e">
        <f t="shared" si="54"/>
        <v>#REF!</v>
      </c>
      <c r="BK103" s="41" t="e">
        <f t="shared" si="54"/>
        <v>#REF!</v>
      </c>
      <c r="BL103" s="41" t="e">
        <f t="shared" si="54"/>
        <v>#REF!</v>
      </c>
      <c r="BM103" s="41" t="e">
        <f t="shared" si="54"/>
        <v>#REF!</v>
      </c>
      <c r="BN103" s="41" t="e">
        <f t="shared" si="54"/>
        <v>#REF!</v>
      </c>
      <c r="BO103" s="41" t="e">
        <f t="shared" si="54"/>
        <v>#REF!</v>
      </c>
      <c r="BP103" s="41" t="e">
        <f t="shared" ref="BP103:CH103" si="55">+$B$95*(BO99/1000000)</f>
        <v>#REF!</v>
      </c>
      <c r="BQ103" s="41" t="e">
        <f t="shared" si="55"/>
        <v>#REF!</v>
      </c>
      <c r="BR103" s="41" t="e">
        <f t="shared" si="55"/>
        <v>#REF!</v>
      </c>
      <c r="BS103" s="41" t="e">
        <f t="shared" si="55"/>
        <v>#REF!</v>
      </c>
      <c r="BT103" s="41" t="e">
        <f t="shared" si="55"/>
        <v>#REF!</v>
      </c>
      <c r="BU103" s="41" t="e">
        <f t="shared" si="55"/>
        <v>#REF!</v>
      </c>
      <c r="BV103" s="41" t="e">
        <f t="shared" si="55"/>
        <v>#REF!</v>
      </c>
      <c r="BW103" s="41" t="e">
        <f t="shared" si="55"/>
        <v>#REF!</v>
      </c>
      <c r="BX103" s="41" t="e">
        <f t="shared" si="55"/>
        <v>#REF!</v>
      </c>
      <c r="BY103" s="41" t="e">
        <f t="shared" si="55"/>
        <v>#REF!</v>
      </c>
      <c r="BZ103" s="41" t="e">
        <f t="shared" si="55"/>
        <v>#REF!</v>
      </c>
      <c r="CA103" s="41" t="e">
        <f t="shared" si="55"/>
        <v>#REF!</v>
      </c>
      <c r="CB103" s="41" t="e">
        <f t="shared" si="55"/>
        <v>#REF!</v>
      </c>
      <c r="CC103" s="41" t="e">
        <f t="shared" si="55"/>
        <v>#REF!</v>
      </c>
      <c r="CD103" s="41" t="e">
        <f t="shared" si="55"/>
        <v>#REF!</v>
      </c>
      <c r="CE103" s="41" t="e">
        <f t="shared" si="55"/>
        <v>#REF!</v>
      </c>
      <c r="CF103" s="41" t="e">
        <f t="shared" si="55"/>
        <v>#REF!</v>
      </c>
      <c r="CG103" s="41" t="e">
        <f t="shared" si="55"/>
        <v>#REF!</v>
      </c>
      <c r="CH103" s="41" t="e">
        <f t="shared" si="55"/>
        <v>#REF!</v>
      </c>
    </row>
    <row r="104" spans="1:86" x14ac:dyDescent="0.3">
      <c r="A104" t="s">
        <v>739</v>
      </c>
      <c r="B104">
        <v>0</v>
      </c>
      <c r="C104" s="32" t="e">
        <f>+PMT($B$92,$B$94,-$B$90,0)</f>
        <v>#REF!</v>
      </c>
      <c r="D104" s="32" t="e">
        <f t="shared" ref="D104:BO104" si="56">+PMT($B$92,$B$94,-$B$90,0)</f>
        <v>#REF!</v>
      </c>
      <c r="E104" s="32" t="e">
        <f t="shared" si="56"/>
        <v>#REF!</v>
      </c>
      <c r="F104" s="32" t="e">
        <f t="shared" si="56"/>
        <v>#REF!</v>
      </c>
      <c r="G104" s="32" t="e">
        <f t="shared" si="56"/>
        <v>#REF!</v>
      </c>
      <c r="H104" s="32" t="e">
        <f t="shared" si="56"/>
        <v>#REF!</v>
      </c>
      <c r="I104" s="32" t="e">
        <f t="shared" si="56"/>
        <v>#REF!</v>
      </c>
      <c r="J104" s="32" t="e">
        <f t="shared" si="56"/>
        <v>#REF!</v>
      </c>
      <c r="K104" s="32" t="e">
        <f t="shared" si="56"/>
        <v>#REF!</v>
      </c>
      <c r="L104" s="32" t="e">
        <f t="shared" si="56"/>
        <v>#REF!</v>
      </c>
      <c r="M104" s="32" t="e">
        <f t="shared" si="56"/>
        <v>#REF!</v>
      </c>
      <c r="N104" s="32" t="e">
        <f t="shared" si="56"/>
        <v>#REF!</v>
      </c>
      <c r="O104" s="32" t="e">
        <f t="shared" si="56"/>
        <v>#REF!</v>
      </c>
      <c r="P104" s="32" t="e">
        <f t="shared" si="56"/>
        <v>#REF!</v>
      </c>
      <c r="Q104" s="32" t="e">
        <f t="shared" si="56"/>
        <v>#REF!</v>
      </c>
      <c r="R104" s="32" t="e">
        <f t="shared" si="56"/>
        <v>#REF!</v>
      </c>
      <c r="S104" s="32" t="e">
        <f t="shared" si="56"/>
        <v>#REF!</v>
      </c>
      <c r="T104" s="32" t="e">
        <f t="shared" si="56"/>
        <v>#REF!</v>
      </c>
      <c r="U104" s="32" t="e">
        <f t="shared" si="56"/>
        <v>#REF!</v>
      </c>
      <c r="V104" s="32" t="e">
        <f t="shared" si="56"/>
        <v>#REF!</v>
      </c>
      <c r="W104" s="32" t="e">
        <f t="shared" si="56"/>
        <v>#REF!</v>
      </c>
      <c r="X104" s="32" t="e">
        <f t="shared" si="56"/>
        <v>#REF!</v>
      </c>
      <c r="Y104" s="32" t="e">
        <f t="shared" si="56"/>
        <v>#REF!</v>
      </c>
      <c r="Z104" s="32" t="e">
        <f t="shared" si="56"/>
        <v>#REF!</v>
      </c>
      <c r="AA104" s="32" t="e">
        <f t="shared" si="56"/>
        <v>#REF!</v>
      </c>
      <c r="AB104" s="32" t="e">
        <f t="shared" si="56"/>
        <v>#REF!</v>
      </c>
      <c r="AC104" s="32" t="e">
        <f t="shared" si="56"/>
        <v>#REF!</v>
      </c>
      <c r="AD104" s="32" t="e">
        <f t="shared" si="56"/>
        <v>#REF!</v>
      </c>
      <c r="AE104" s="32" t="e">
        <f t="shared" si="56"/>
        <v>#REF!</v>
      </c>
      <c r="AF104" s="32" t="e">
        <f t="shared" si="56"/>
        <v>#REF!</v>
      </c>
      <c r="AG104" s="32" t="e">
        <f t="shared" si="56"/>
        <v>#REF!</v>
      </c>
      <c r="AH104" s="32" t="e">
        <f t="shared" si="56"/>
        <v>#REF!</v>
      </c>
      <c r="AI104" s="32" t="e">
        <f t="shared" si="56"/>
        <v>#REF!</v>
      </c>
      <c r="AJ104" s="32" t="e">
        <f t="shared" si="56"/>
        <v>#REF!</v>
      </c>
      <c r="AK104" s="32" t="e">
        <f t="shared" si="56"/>
        <v>#REF!</v>
      </c>
      <c r="AL104" s="32" t="e">
        <f t="shared" si="56"/>
        <v>#REF!</v>
      </c>
      <c r="AM104" s="32" t="e">
        <f t="shared" si="56"/>
        <v>#REF!</v>
      </c>
      <c r="AN104" s="32" t="e">
        <f t="shared" si="56"/>
        <v>#REF!</v>
      </c>
      <c r="AO104" s="32" t="e">
        <f t="shared" si="56"/>
        <v>#REF!</v>
      </c>
      <c r="AP104" s="32" t="e">
        <f t="shared" si="56"/>
        <v>#REF!</v>
      </c>
      <c r="AQ104" s="32" t="e">
        <f t="shared" si="56"/>
        <v>#REF!</v>
      </c>
      <c r="AR104" s="32" t="e">
        <f t="shared" si="56"/>
        <v>#REF!</v>
      </c>
      <c r="AS104" s="32" t="e">
        <f t="shared" si="56"/>
        <v>#REF!</v>
      </c>
      <c r="AT104" s="32" t="e">
        <f t="shared" si="56"/>
        <v>#REF!</v>
      </c>
      <c r="AU104" s="32" t="e">
        <f t="shared" si="56"/>
        <v>#REF!</v>
      </c>
      <c r="AV104" s="32" t="e">
        <f t="shared" si="56"/>
        <v>#REF!</v>
      </c>
      <c r="AW104" s="32" t="e">
        <f t="shared" si="56"/>
        <v>#REF!</v>
      </c>
      <c r="AX104" s="32" t="e">
        <f t="shared" si="56"/>
        <v>#REF!</v>
      </c>
      <c r="AY104" s="32" t="e">
        <f t="shared" si="56"/>
        <v>#REF!</v>
      </c>
      <c r="AZ104" s="32" t="e">
        <f t="shared" si="56"/>
        <v>#REF!</v>
      </c>
      <c r="BA104" s="32" t="e">
        <f t="shared" si="56"/>
        <v>#REF!</v>
      </c>
      <c r="BB104" s="32" t="e">
        <f t="shared" si="56"/>
        <v>#REF!</v>
      </c>
      <c r="BC104" s="32" t="e">
        <f t="shared" si="56"/>
        <v>#REF!</v>
      </c>
      <c r="BD104" s="32" t="e">
        <f t="shared" si="56"/>
        <v>#REF!</v>
      </c>
      <c r="BE104" s="32" t="e">
        <f t="shared" si="56"/>
        <v>#REF!</v>
      </c>
      <c r="BF104" s="32" t="e">
        <f t="shared" si="56"/>
        <v>#REF!</v>
      </c>
      <c r="BG104" s="32" t="e">
        <f t="shared" si="56"/>
        <v>#REF!</v>
      </c>
      <c r="BH104" s="32" t="e">
        <f t="shared" si="56"/>
        <v>#REF!</v>
      </c>
      <c r="BI104" s="32" t="e">
        <f t="shared" si="56"/>
        <v>#REF!</v>
      </c>
      <c r="BJ104" s="32" t="e">
        <f t="shared" si="56"/>
        <v>#REF!</v>
      </c>
      <c r="BK104" s="32" t="e">
        <f t="shared" si="56"/>
        <v>#REF!</v>
      </c>
      <c r="BL104" s="32" t="e">
        <f t="shared" si="56"/>
        <v>#REF!</v>
      </c>
      <c r="BM104" s="32" t="e">
        <f t="shared" si="56"/>
        <v>#REF!</v>
      </c>
      <c r="BN104" s="32" t="e">
        <f t="shared" si="56"/>
        <v>#REF!</v>
      </c>
      <c r="BO104" s="32" t="e">
        <f t="shared" si="56"/>
        <v>#REF!</v>
      </c>
      <c r="BP104" s="32" t="e">
        <f t="shared" ref="BP104:CH104" si="57">+PMT($B$92,$B$94,-$B$90,0)</f>
        <v>#REF!</v>
      </c>
      <c r="BQ104" s="32" t="e">
        <f t="shared" si="57"/>
        <v>#REF!</v>
      </c>
      <c r="BR104" s="32" t="e">
        <f t="shared" si="57"/>
        <v>#REF!</v>
      </c>
      <c r="BS104" s="32" t="e">
        <f t="shared" si="57"/>
        <v>#REF!</v>
      </c>
      <c r="BT104" s="32" t="e">
        <f t="shared" si="57"/>
        <v>#REF!</v>
      </c>
      <c r="BU104" s="32" t="e">
        <f t="shared" si="57"/>
        <v>#REF!</v>
      </c>
      <c r="BV104" s="32" t="e">
        <f t="shared" si="57"/>
        <v>#REF!</v>
      </c>
      <c r="BW104" s="32" t="e">
        <f t="shared" si="57"/>
        <v>#REF!</v>
      </c>
      <c r="BX104" s="32" t="e">
        <f t="shared" si="57"/>
        <v>#REF!</v>
      </c>
      <c r="BY104" s="32" t="e">
        <f t="shared" si="57"/>
        <v>#REF!</v>
      </c>
      <c r="BZ104" s="32" t="e">
        <f t="shared" si="57"/>
        <v>#REF!</v>
      </c>
      <c r="CA104" s="32" t="e">
        <f t="shared" si="57"/>
        <v>#REF!</v>
      </c>
      <c r="CB104" s="32" t="e">
        <f t="shared" si="57"/>
        <v>#REF!</v>
      </c>
      <c r="CC104" s="32" t="e">
        <f t="shared" si="57"/>
        <v>#REF!</v>
      </c>
      <c r="CD104" s="32" t="e">
        <f t="shared" si="57"/>
        <v>#REF!</v>
      </c>
      <c r="CE104" s="32" t="e">
        <f t="shared" si="57"/>
        <v>#REF!</v>
      </c>
      <c r="CF104" s="32" t="e">
        <f t="shared" si="57"/>
        <v>#REF!</v>
      </c>
      <c r="CG104" s="32" t="e">
        <f t="shared" si="57"/>
        <v>#REF!</v>
      </c>
      <c r="CH104" s="32" t="e">
        <f t="shared" si="57"/>
        <v>#REF!</v>
      </c>
    </row>
    <row r="106" spans="1:86" x14ac:dyDescent="0.3">
      <c r="A106" t="s">
        <v>640</v>
      </c>
      <c r="B106" s="30" t="e">
        <f>+SUM(B101:CH101)</f>
        <v>#REF!</v>
      </c>
    </row>
    <row r="107" spans="1:86" x14ac:dyDescent="0.3">
      <c r="A107" t="s">
        <v>642</v>
      </c>
      <c r="B107" s="30" t="e">
        <f>+SUM(B100:CH100)</f>
        <v>#REF!</v>
      </c>
    </row>
    <row r="108" spans="1:86" x14ac:dyDescent="0.3">
      <c r="A108" t="s">
        <v>719</v>
      </c>
      <c r="B108" s="30" t="e">
        <f>+SUM(B103:CH103)</f>
        <v>#REF!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7420-9B68-459A-8934-FFF8D37E2EFD}">
  <sheetPr>
    <tabColor theme="4"/>
    <pageSetUpPr fitToPage="1"/>
  </sheetPr>
  <dimension ref="B1:GI369"/>
  <sheetViews>
    <sheetView showGridLines="0" zoomScaleNormal="100" workbookViewId="0">
      <pane ySplit="9" topLeftCell="A10" activePane="bottomLeft" state="frozenSplit"/>
      <selection pane="bottomLeft" activeCell="H5" sqref="H5"/>
    </sheetView>
  </sheetViews>
  <sheetFormatPr baseColWidth="10" defaultColWidth="10.77734375" defaultRowHeight="14.4" x14ac:dyDescent="0.25"/>
  <cols>
    <col min="1" max="1" width="3.44140625" style="88" customWidth="1"/>
    <col min="2" max="2" width="6.21875" style="106" bestFit="1" customWidth="1"/>
    <col min="3" max="3" width="12.77734375" style="98" bestFit="1" customWidth="1"/>
    <col min="4" max="4" width="16.5546875" style="98" bestFit="1" customWidth="1"/>
    <col min="5" max="7" width="11.44140625" style="98" bestFit="1" customWidth="1"/>
    <col min="8" max="8" width="18.44140625" style="98" bestFit="1" customWidth="1"/>
    <col min="9" max="9" width="3.44140625" style="88" customWidth="1"/>
    <col min="10" max="10" width="10.44140625" style="88" bestFit="1" customWidth="1"/>
    <col min="11" max="11" width="12.5546875" style="88" bestFit="1" customWidth="1"/>
    <col min="12" max="148" width="16.44140625" style="88" bestFit="1" customWidth="1"/>
    <col min="149" max="187" width="15.44140625" style="88" bestFit="1" customWidth="1"/>
    <col min="188" max="191" width="14.44140625" style="88" bestFit="1" customWidth="1"/>
    <col min="192" max="16384" width="10.77734375" style="88"/>
  </cols>
  <sheetData>
    <row r="1" spans="2:191" ht="60.75" customHeight="1" x14ac:dyDescent="0.3">
      <c r="B1" s="219" t="s">
        <v>709</v>
      </c>
      <c r="C1" s="219"/>
      <c r="D1" s="219"/>
      <c r="E1" s="219"/>
      <c r="F1" s="219"/>
      <c r="G1" s="219"/>
      <c r="H1" s="219"/>
    </row>
    <row r="2" spans="2:191" ht="9.75" customHeight="1" x14ac:dyDescent="0.3">
      <c r="B2" s="102"/>
      <c r="C2" s="89"/>
      <c r="D2" s="89"/>
      <c r="E2" s="89"/>
      <c r="F2" s="89"/>
      <c r="G2" s="89"/>
      <c r="H2" s="89"/>
      <c r="L2" s="103" t="str" cm="1">
        <f t="array" aca="1" ref="L2:GI2" ca="1">+TRANSPOSE(B10:B189)</f>
        <v/>
      </c>
      <c r="M2" s="103" t="str">
        <f ca="1"/>
        <v/>
      </c>
      <c r="N2" s="103" t="str">
        <f ca="1"/>
        <v/>
      </c>
      <c r="O2" s="103" t="str">
        <f ca="1"/>
        <v/>
      </c>
      <c r="P2" s="103" t="str">
        <f ca="1"/>
        <v/>
      </c>
      <c r="Q2" s="103" t="str">
        <f ca="1"/>
        <v/>
      </c>
      <c r="R2" s="103" t="str">
        <f ca="1"/>
        <v/>
      </c>
      <c r="S2" s="103" t="str">
        <f ca="1"/>
        <v/>
      </c>
      <c r="T2" s="103" t="str">
        <f ca="1"/>
        <v/>
      </c>
      <c r="U2" s="103" t="str">
        <f ca="1"/>
        <v/>
      </c>
      <c r="V2" s="103" t="str">
        <f ca="1"/>
        <v/>
      </c>
      <c r="W2" s="103" t="str">
        <f ca="1"/>
        <v/>
      </c>
      <c r="X2" s="103" t="str">
        <f ca="1"/>
        <v/>
      </c>
      <c r="Y2" s="103" t="str">
        <f ca="1"/>
        <v/>
      </c>
      <c r="Z2" s="103" t="str">
        <f ca="1"/>
        <v/>
      </c>
      <c r="AA2" s="103" t="str">
        <f ca="1"/>
        <v/>
      </c>
      <c r="AB2" s="103" t="str">
        <f ca="1"/>
        <v/>
      </c>
      <c r="AC2" s="103" t="str">
        <f ca="1"/>
        <v/>
      </c>
      <c r="AD2" s="103" t="str">
        <f ca="1"/>
        <v/>
      </c>
      <c r="AE2" s="103" t="str">
        <f ca="1"/>
        <v/>
      </c>
      <c r="AF2" s="103" t="str">
        <f ca="1"/>
        <v/>
      </c>
      <c r="AG2" s="103" t="str">
        <f ca="1"/>
        <v/>
      </c>
      <c r="AH2" s="103" t="str">
        <f ca="1"/>
        <v/>
      </c>
      <c r="AI2" s="103" t="str">
        <f ca="1"/>
        <v/>
      </c>
      <c r="AJ2" s="103" t="str">
        <f ca="1"/>
        <v/>
      </c>
      <c r="AK2" s="103" t="str">
        <f ca="1"/>
        <v/>
      </c>
      <c r="AL2" s="103" t="str">
        <f ca="1"/>
        <v/>
      </c>
      <c r="AM2" s="103" t="str">
        <f ca="1"/>
        <v/>
      </c>
      <c r="AN2" s="103" t="str">
        <f ca="1"/>
        <v/>
      </c>
      <c r="AO2" s="103" t="str">
        <f ca="1"/>
        <v/>
      </c>
      <c r="AP2" s="103" t="str">
        <f ca="1"/>
        <v/>
      </c>
      <c r="AQ2" s="103" t="str">
        <f ca="1"/>
        <v/>
      </c>
      <c r="AR2" s="103" t="str">
        <f ca="1"/>
        <v/>
      </c>
      <c r="AS2" s="103" t="str">
        <f ca="1"/>
        <v/>
      </c>
      <c r="AT2" s="103" t="str">
        <f ca="1"/>
        <v/>
      </c>
      <c r="AU2" s="103" t="str">
        <f ca="1"/>
        <v/>
      </c>
      <c r="AV2" s="103" t="str">
        <f ca="1"/>
        <v/>
      </c>
      <c r="AW2" s="103" t="str">
        <f ca="1"/>
        <v/>
      </c>
      <c r="AX2" s="103" t="str">
        <f ca="1"/>
        <v/>
      </c>
      <c r="AY2" s="103" t="str">
        <f ca="1"/>
        <v/>
      </c>
      <c r="AZ2" s="103" t="str">
        <f ca="1"/>
        <v/>
      </c>
      <c r="BA2" s="103" t="str">
        <f ca="1"/>
        <v/>
      </c>
      <c r="BB2" s="103" t="str">
        <f ca="1"/>
        <v/>
      </c>
      <c r="BC2" s="103" t="str">
        <f ca="1"/>
        <v/>
      </c>
      <c r="BD2" s="103" t="str">
        <f ca="1"/>
        <v/>
      </c>
      <c r="BE2" s="103" t="str">
        <f ca="1"/>
        <v/>
      </c>
      <c r="BF2" s="103" t="str">
        <f ca="1"/>
        <v/>
      </c>
      <c r="BG2" s="103" t="str">
        <f ca="1"/>
        <v/>
      </c>
      <c r="BH2" s="103" t="str">
        <f ca="1"/>
        <v/>
      </c>
      <c r="BI2" s="103" t="str">
        <f ca="1"/>
        <v/>
      </c>
      <c r="BJ2" s="103" t="str">
        <f ca="1"/>
        <v/>
      </c>
      <c r="BK2" s="103" t="str">
        <f ca="1"/>
        <v/>
      </c>
      <c r="BL2" s="103" t="str">
        <f ca="1"/>
        <v/>
      </c>
      <c r="BM2" s="103" t="str">
        <f ca="1"/>
        <v/>
      </c>
      <c r="BN2" s="103" t="str">
        <f ca="1"/>
        <v/>
      </c>
      <c r="BO2" s="103" t="str">
        <f ca="1"/>
        <v/>
      </c>
      <c r="BP2" s="103" t="str">
        <f ca="1"/>
        <v/>
      </c>
      <c r="BQ2" s="103" t="str">
        <f ca="1"/>
        <v/>
      </c>
      <c r="BR2" s="103" t="str">
        <f ca="1"/>
        <v/>
      </c>
      <c r="BS2" s="103" t="str">
        <f ca="1"/>
        <v/>
      </c>
      <c r="BT2" s="103" t="str">
        <f ca="1"/>
        <v/>
      </c>
      <c r="BU2" s="103" t="str">
        <f ca="1"/>
        <v/>
      </c>
      <c r="BV2" s="103" t="str">
        <f ca="1"/>
        <v/>
      </c>
      <c r="BW2" s="103" t="str">
        <f ca="1"/>
        <v/>
      </c>
      <c r="BX2" s="103" t="str">
        <f ca="1"/>
        <v/>
      </c>
      <c r="BY2" s="103" t="str">
        <f ca="1"/>
        <v/>
      </c>
      <c r="BZ2" s="103" t="str">
        <f ca="1"/>
        <v/>
      </c>
      <c r="CA2" s="103" t="str">
        <f ca="1"/>
        <v/>
      </c>
      <c r="CB2" s="103" t="str">
        <f ca="1"/>
        <v/>
      </c>
      <c r="CC2" s="103" t="str">
        <f ca="1"/>
        <v/>
      </c>
      <c r="CD2" s="103" t="str">
        <f ca="1"/>
        <v/>
      </c>
      <c r="CE2" s="103" t="str">
        <f ca="1"/>
        <v/>
      </c>
      <c r="CF2" s="103" t="str">
        <f ca="1"/>
        <v/>
      </c>
      <c r="CG2" s="103" t="str">
        <f ca="1"/>
        <v/>
      </c>
      <c r="CH2" s="103" t="str">
        <f ca="1"/>
        <v/>
      </c>
      <c r="CI2" s="103" t="str">
        <f ca="1"/>
        <v/>
      </c>
      <c r="CJ2" s="103" t="str">
        <f ca="1"/>
        <v/>
      </c>
      <c r="CK2" s="103" t="str">
        <f ca="1"/>
        <v/>
      </c>
      <c r="CL2" s="103" t="str">
        <f ca="1"/>
        <v/>
      </c>
      <c r="CM2" s="103" t="str">
        <f ca="1"/>
        <v/>
      </c>
      <c r="CN2" s="103" t="str">
        <f ca="1"/>
        <v/>
      </c>
      <c r="CO2" s="103" t="str">
        <f ca="1"/>
        <v/>
      </c>
      <c r="CP2" s="103" t="str">
        <f ca="1"/>
        <v/>
      </c>
      <c r="CQ2" s="103" t="str">
        <f ca="1"/>
        <v/>
      </c>
      <c r="CR2" s="103" t="str">
        <f ca="1"/>
        <v/>
      </c>
      <c r="CS2" s="103" t="str">
        <f ca="1"/>
        <v/>
      </c>
      <c r="CT2" s="103" t="str">
        <f ca="1"/>
        <v/>
      </c>
      <c r="CU2" s="103" t="str">
        <f ca="1"/>
        <v/>
      </c>
      <c r="CV2" s="103" t="str">
        <f ca="1"/>
        <v/>
      </c>
      <c r="CW2" s="103" t="str">
        <f ca="1"/>
        <v/>
      </c>
      <c r="CX2" s="103" t="str">
        <f ca="1"/>
        <v/>
      </c>
      <c r="CY2" s="103" t="str">
        <f ca="1"/>
        <v/>
      </c>
      <c r="CZ2" s="103" t="str">
        <f ca="1"/>
        <v/>
      </c>
      <c r="DA2" s="103" t="str">
        <f ca="1"/>
        <v/>
      </c>
      <c r="DB2" s="103" t="str">
        <f ca="1"/>
        <v/>
      </c>
      <c r="DC2" s="103" t="str">
        <f ca="1"/>
        <v/>
      </c>
      <c r="DD2" s="103" t="str">
        <f ca="1"/>
        <v/>
      </c>
      <c r="DE2" s="103" t="str">
        <f ca="1"/>
        <v/>
      </c>
      <c r="DF2" s="103" t="str">
        <f ca="1"/>
        <v/>
      </c>
      <c r="DG2" s="103" t="str">
        <f ca="1"/>
        <v/>
      </c>
      <c r="DH2" s="103" t="str">
        <f ca="1"/>
        <v/>
      </c>
      <c r="DI2" s="103" t="str">
        <f ca="1"/>
        <v/>
      </c>
      <c r="DJ2" s="103" t="str">
        <f ca="1"/>
        <v/>
      </c>
      <c r="DK2" s="103" t="str">
        <f ca="1"/>
        <v/>
      </c>
      <c r="DL2" s="103" t="str">
        <f ca="1"/>
        <v/>
      </c>
      <c r="DM2" s="103" t="str">
        <f ca="1"/>
        <v/>
      </c>
      <c r="DN2" s="103" t="str">
        <f ca="1"/>
        <v/>
      </c>
      <c r="DO2" s="103" t="str">
        <f ca="1"/>
        <v/>
      </c>
      <c r="DP2" s="103" t="str">
        <f ca="1"/>
        <v/>
      </c>
      <c r="DQ2" s="103" t="str">
        <f ca="1"/>
        <v/>
      </c>
      <c r="DR2" s="103" t="str">
        <f ca="1"/>
        <v/>
      </c>
      <c r="DS2" s="103" t="str">
        <f ca="1"/>
        <v/>
      </c>
      <c r="DT2" s="103" t="str">
        <f ca="1"/>
        <v/>
      </c>
      <c r="DU2" s="103" t="str">
        <f ca="1"/>
        <v/>
      </c>
      <c r="DV2" s="103" t="str">
        <f ca="1"/>
        <v/>
      </c>
      <c r="DW2" s="103" t="str">
        <f ca="1"/>
        <v/>
      </c>
      <c r="DX2" s="103" t="str">
        <f ca="1"/>
        <v/>
      </c>
      <c r="DY2" s="103" t="str">
        <f ca="1"/>
        <v/>
      </c>
      <c r="DZ2" s="103" t="str">
        <f ca="1"/>
        <v/>
      </c>
      <c r="EA2" s="103" t="str">
        <f ca="1"/>
        <v/>
      </c>
      <c r="EB2" s="103" t="str">
        <f ca="1"/>
        <v/>
      </c>
      <c r="EC2" s="103" t="str">
        <f ca="1"/>
        <v/>
      </c>
      <c r="ED2" s="103" t="str">
        <f ca="1"/>
        <v/>
      </c>
      <c r="EE2" s="103" t="str">
        <f ca="1"/>
        <v/>
      </c>
      <c r="EF2" s="103" t="str">
        <f ca="1"/>
        <v/>
      </c>
      <c r="EG2" s="103" t="str">
        <f ca="1"/>
        <v/>
      </c>
      <c r="EH2" s="103" t="str">
        <f ca="1"/>
        <v/>
      </c>
      <c r="EI2" s="103" t="str">
        <f ca="1"/>
        <v/>
      </c>
      <c r="EJ2" s="103" t="str">
        <f ca="1"/>
        <v/>
      </c>
      <c r="EK2" s="103" t="str">
        <f ca="1"/>
        <v/>
      </c>
      <c r="EL2" s="103" t="str">
        <f ca="1"/>
        <v/>
      </c>
      <c r="EM2" s="103" t="str">
        <f ca="1"/>
        <v/>
      </c>
      <c r="EN2" s="103" t="str">
        <f ca="1"/>
        <v/>
      </c>
      <c r="EO2" s="103" t="str">
        <f ca="1"/>
        <v/>
      </c>
      <c r="EP2" s="103" t="str">
        <f ca="1"/>
        <v/>
      </c>
      <c r="EQ2" s="103" t="str">
        <f ca="1"/>
        <v/>
      </c>
      <c r="ER2" s="103" t="str">
        <f ca="1"/>
        <v/>
      </c>
      <c r="ES2" s="103" t="str">
        <f ca="1"/>
        <v/>
      </c>
      <c r="ET2" s="103" t="str">
        <f ca="1"/>
        <v/>
      </c>
      <c r="EU2" s="103" t="str">
        <f ca="1"/>
        <v/>
      </c>
      <c r="EV2" s="103" t="str">
        <f ca="1"/>
        <v/>
      </c>
      <c r="EW2" s="103" t="str">
        <f ca="1"/>
        <v/>
      </c>
      <c r="EX2" s="103" t="str">
        <f ca="1"/>
        <v/>
      </c>
      <c r="EY2" s="103" t="str">
        <f ca="1"/>
        <v/>
      </c>
      <c r="EZ2" s="103" t="str">
        <f ca="1"/>
        <v/>
      </c>
      <c r="FA2" s="103" t="str">
        <f ca="1"/>
        <v/>
      </c>
      <c r="FB2" s="103" t="str">
        <f ca="1"/>
        <v/>
      </c>
      <c r="FC2" s="103" t="str">
        <f ca="1"/>
        <v/>
      </c>
      <c r="FD2" s="103" t="str">
        <f ca="1"/>
        <v/>
      </c>
      <c r="FE2" s="103" t="str">
        <f ca="1"/>
        <v/>
      </c>
      <c r="FF2" s="103" t="str">
        <f ca="1"/>
        <v/>
      </c>
      <c r="FG2" s="103" t="str">
        <f ca="1"/>
        <v/>
      </c>
      <c r="FH2" s="103" t="str">
        <f ca="1"/>
        <v/>
      </c>
      <c r="FI2" s="103" t="str">
        <f ca="1"/>
        <v/>
      </c>
      <c r="FJ2" s="103" t="str">
        <f ca="1"/>
        <v/>
      </c>
      <c r="FK2" s="103" t="str">
        <f ca="1"/>
        <v/>
      </c>
      <c r="FL2" s="103" t="str">
        <f ca="1"/>
        <v/>
      </c>
      <c r="FM2" s="103" t="str">
        <f ca="1"/>
        <v/>
      </c>
      <c r="FN2" s="103" t="str">
        <f ca="1"/>
        <v/>
      </c>
      <c r="FO2" s="103" t="str">
        <f ca="1"/>
        <v/>
      </c>
      <c r="FP2" s="103" t="str">
        <f ca="1"/>
        <v/>
      </c>
      <c r="FQ2" s="103" t="str">
        <f ca="1"/>
        <v/>
      </c>
      <c r="FR2" s="103" t="str">
        <f ca="1"/>
        <v/>
      </c>
      <c r="FS2" s="103" t="str">
        <f ca="1"/>
        <v/>
      </c>
      <c r="FT2" s="103" t="str">
        <f ca="1"/>
        <v/>
      </c>
      <c r="FU2" s="103" t="str">
        <f ca="1"/>
        <v/>
      </c>
      <c r="FV2" s="103" t="str">
        <f ca="1"/>
        <v/>
      </c>
      <c r="FW2" s="103" t="str">
        <f ca="1"/>
        <v/>
      </c>
      <c r="FX2" s="103" t="str">
        <f ca="1"/>
        <v/>
      </c>
      <c r="FY2" s="103" t="str">
        <f ca="1"/>
        <v/>
      </c>
      <c r="FZ2" s="103" t="str">
        <f ca="1"/>
        <v/>
      </c>
      <c r="GA2" s="103" t="str">
        <f ca="1"/>
        <v/>
      </c>
      <c r="GB2" s="103" t="str">
        <f ca="1"/>
        <v/>
      </c>
      <c r="GC2" s="103" t="str">
        <f ca="1"/>
        <v/>
      </c>
      <c r="GD2" s="103" t="str">
        <f ca="1"/>
        <v/>
      </c>
      <c r="GE2" s="103" t="str">
        <f ca="1"/>
        <v/>
      </c>
      <c r="GF2" s="103" t="str">
        <f ca="1"/>
        <v/>
      </c>
      <c r="GG2" s="103" t="str">
        <f ca="1"/>
        <v/>
      </c>
      <c r="GH2" s="103" t="str">
        <f ca="1"/>
        <v/>
      </c>
      <c r="GI2" s="103" t="str">
        <f ca="1"/>
        <v/>
      </c>
    </row>
    <row r="3" spans="2:191" ht="20.100000000000001" customHeight="1" thickBot="1" x14ac:dyDescent="0.35">
      <c r="B3" s="220" t="s">
        <v>710</v>
      </c>
      <c r="C3" s="220"/>
      <c r="D3" s="220"/>
      <c r="E3" s="88"/>
      <c r="F3" s="220" t="s">
        <v>711</v>
      </c>
      <c r="G3" s="220"/>
      <c r="H3" s="220"/>
      <c r="K3" s="88" t="s">
        <v>640</v>
      </c>
      <c r="L3" s="107" t="str" cm="1">
        <f t="array" aca="1" ref="L3:GI3" ca="1">+TRANSPOSE(F10:F189)</f>
        <v/>
      </c>
      <c r="M3" s="107" t="str">
        <f ca="1"/>
        <v/>
      </c>
      <c r="N3" s="107" t="str">
        <f ca="1"/>
        <v/>
      </c>
      <c r="O3" s="107" t="str">
        <f ca="1"/>
        <v/>
      </c>
      <c r="P3" s="107" t="str">
        <f ca="1"/>
        <v/>
      </c>
      <c r="Q3" s="107" t="str">
        <f ca="1"/>
        <v/>
      </c>
      <c r="R3" s="107" t="str">
        <f ca="1"/>
        <v/>
      </c>
      <c r="S3" s="107" t="str">
        <f ca="1"/>
        <v/>
      </c>
      <c r="T3" s="107" t="str">
        <f ca="1"/>
        <v/>
      </c>
      <c r="U3" s="107" t="str">
        <f ca="1"/>
        <v/>
      </c>
      <c r="V3" s="107" t="str">
        <f ca="1"/>
        <v/>
      </c>
      <c r="W3" s="107" t="str">
        <f ca="1"/>
        <v/>
      </c>
      <c r="X3" s="107" t="str">
        <f ca="1"/>
        <v/>
      </c>
      <c r="Y3" s="107" t="str">
        <f ca="1"/>
        <v/>
      </c>
      <c r="Z3" s="107" t="str">
        <f ca="1"/>
        <v/>
      </c>
      <c r="AA3" s="107" t="str">
        <f ca="1"/>
        <v/>
      </c>
      <c r="AB3" s="107" t="str">
        <f ca="1"/>
        <v/>
      </c>
      <c r="AC3" s="107" t="str">
        <f ca="1"/>
        <v/>
      </c>
      <c r="AD3" s="107" t="str">
        <f ca="1"/>
        <v/>
      </c>
      <c r="AE3" s="107" t="str">
        <f ca="1"/>
        <v/>
      </c>
      <c r="AF3" s="107" t="str">
        <f ca="1"/>
        <v/>
      </c>
      <c r="AG3" s="107" t="str">
        <f ca="1"/>
        <v/>
      </c>
      <c r="AH3" s="107" t="str">
        <f ca="1"/>
        <v/>
      </c>
      <c r="AI3" s="107" t="str">
        <f ca="1"/>
        <v/>
      </c>
      <c r="AJ3" s="107" t="str">
        <f ca="1"/>
        <v/>
      </c>
      <c r="AK3" s="107" t="str">
        <f ca="1"/>
        <v/>
      </c>
      <c r="AL3" s="107" t="str">
        <f ca="1"/>
        <v/>
      </c>
      <c r="AM3" s="107" t="str">
        <f ca="1"/>
        <v/>
      </c>
      <c r="AN3" s="107" t="str">
        <f ca="1"/>
        <v/>
      </c>
      <c r="AO3" s="107" t="str">
        <f ca="1"/>
        <v/>
      </c>
      <c r="AP3" s="107" t="str">
        <f ca="1"/>
        <v/>
      </c>
      <c r="AQ3" s="107" t="str">
        <f ca="1"/>
        <v/>
      </c>
      <c r="AR3" s="107" t="str">
        <f ca="1"/>
        <v/>
      </c>
      <c r="AS3" s="107" t="str">
        <f ca="1"/>
        <v/>
      </c>
      <c r="AT3" s="107" t="str">
        <f ca="1"/>
        <v/>
      </c>
      <c r="AU3" s="107" t="str">
        <f ca="1"/>
        <v/>
      </c>
      <c r="AV3" s="107" t="str">
        <f ca="1"/>
        <v/>
      </c>
      <c r="AW3" s="107" t="str">
        <f ca="1"/>
        <v/>
      </c>
      <c r="AX3" s="107" t="str">
        <f ca="1"/>
        <v/>
      </c>
      <c r="AY3" s="107" t="str">
        <f ca="1"/>
        <v/>
      </c>
      <c r="AZ3" s="107" t="str">
        <f ca="1"/>
        <v/>
      </c>
      <c r="BA3" s="107" t="str">
        <f ca="1"/>
        <v/>
      </c>
      <c r="BB3" s="107" t="str">
        <f ca="1"/>
        <v/>
      </c>
      <c r="BC3" s="107" t="str">
        <f ca="1"/>
        <v/>
      </c>
      <c r="BD3" s="107" t="str">
        <f ca="1"/>
        <v/>
      </c>
      <c r="BE3" s="107" t="str">
        <f ca="1"/>
        <v/>
      </c>
      <c r="BF3" s="107" t="str">
        <f ca="1"/>
        <v/>
      </c>
      <c r="BG3" s="107" t="str">
        <f ca="1"/>
        <v/>
      </c>
      <c r="BH3" s="107" t="str">
        <f ca="1"/>
        <v/>
      </c>
      <c r="BI3" s="107" t="str">
        <f ca="1"/>
        <v/>
      </c>
      <c r="BJ3" s="107" t="str">
        <f ca="1"/>
        <v/>
      </c>
      <c r="BK3" s="107" t="str">
        <f ca="1"/>
        <v/>
      </c>
      <c r="BL3" s="107" t="str">
        <f ca="1"/>
        <v/>
      </c>
      <c r="BM3" s="107" t="str">
        <f ca="1"/>
        <v/>
      </c>
      <c r="BN3" s="107" t="str">
        <f ca="1"/>
        <v/>
      </c>
      <c r="BO3" s="107" t="str">
        <f ca="1"/>
        <v/>
      </c>
      <c r="BP3" s="107" t="str">
        <f ca="1"/>
        <v/>
      </c>
      <c r="BQ3" s="107" t="str">
        <f ca="1"/>
        <v/>
      </c>
      <c r="BR3" s="107" t="str">
        <f ca="1"/>
        <v/>
      </c>
      <c r="BS3" s="107" t="str">
        <f ca="1"/>
        <v/>
      </c>
      <c r="BT3" s="107" t="str">
        <f ca="1"/>
        <v/>
      </c>
      <c r="BU3" s="107" t="str">
        <f ca="1"/>
        <v/>
      </c>
      <c r="BV3" s="107" t="str">
        <f ca="1"/>
        <v/>
      </c>
      <c r="BW3" s="107" t="str">
        <f ca="1"/>
        <v/>
      </c>
      <c r="BX3" s="107" t="str">
        <f ca="1"/>
        <v/>
      </c>
      <c r="BY3" s="107" t="str">
        <f ca="1"/>
        <v/>
      </c>
      <c r="BZ3" s="107" t="str">
        <f ca="1"/>
        <v/>
      </c>
      <c r="CA3" s="107" t="str">
        <f ca="1"/>
        <v/>
      </c>
      <c r="CB3" s="107" t="str">
        <f ca="1"/>
        <v/>
      </c>
      <c r="CC3" s="107" t="str">
        <f ca="1"/>
        <v/>
      </c>
      <c r="CD3" s="107" t="str">
        <f ca="1"/>
        <v/>
      </c>
      <c r="CE3" s="107" t="str">
        <f ca="1"/>
        <v/>
      </c>
      <c r="CF3" s="107" t="str">
        <f ca="1"/>
        <v/>
      </c>
      <c r="CG3" s="107" t="str">
        <f ca="1"/>
        <v/>
      </c>
      <c r="CH3" s="107" t="str">
        <f ca="1"/>
        <v/>
      </c>
      <c r="CI3" s="107" t="str">
        <f ca="1"/>
        <v/>
      </c>
      <c r="CJ3" s="107" t="str">
        <f ca="1"/>
        <v/>
      </c>
      <c r="CK3" s="107" t="str">
        <f ca="1"/>
        <v/>
      </c>
      <c r="CL3" s="107" t="str">
        <f ca="1"/>
        <v/>
      </c>
      <c r="CM3" s="107" t="str">
        <f ca="1"/>
        <v/>
      </c>
      <c r="CN3" s="107" t="str">
        <f ca="1"/>
        <v/>
      </c>
      <c r="CO3" s="107" t="str">
        <f ca="1"/>
        <v/>
      </c>
      <c r="CP3" s="107" t="str">
        <f ca="1"/>
        <v/>
      </c>
      <c r="CQ3" s="107" t="str">
        <f ca="1"/>
        <v/>
      </c>
      <c r="CR3" s="107" t="str">
        <f ca="1"/>
        <v/>
      </c>
      <c r="CS3" s="107" t="str">
        <f ca="1"/>
        <v/>
      </c>
      <c r="CT3" s="107" t="str">
        <f ca="1"/>
        <v/>
      </c>
      <c r="CU3" s="107" t="str">
        <f ca="1"/>
        <v/>
      </c>
      <c r="CV3" s="107" t="str">
        <f ca="1"/>
        <v/>
      </c>
      <c r="CW3" s="107" t="str">
        <f ca="1"/>
        <v/>
      </c>
      <c r="CX3" s="107" t="str">
        <f ca="1"/>
        <v/>
      </c>
      <c r="CY3" s="107" t="str">
        <f ca="1"/>
        <v/>
      </c>
      <c r="CZ3" s="107" t="str">
        <f ca="1"/>
        <v/>
      </c>
      <c r="DA3" s="107" t="str">
        <f ca="1"/>
        <v/>
      </c>
      <c r="DB3" s="107" t="str">
        <f ca="1"/>
        <v/>
      </c>
      <c r="DC3" s="107" t="str">
        <f ca="1"/>
        <v/>
      </c>
      <c r="DD3" s="107" t="str">
        <f ca="1"/>
        <v/>
      </c>
      <c r="DE3" s="107" t="str">
        <f ca="1"/>
        <v/>
      </c>
      <c r="DF3" s="107" t="str">
        <f ca="1"/>
        <v/>
      </c>
      <c r="DG3" s="107" t="str">
        <f ca="1"/>
        <v/>
      </c>
      <c r="DH3" s="107" t="str">
        <f ca="1"/>
        <v/>
      </c>
      <c r="DI3" s="107" t="str">
        <f ca="1"/>
        <v/>
      </c>
      <c r="DJ3" s="107" t="str">
        <f ca="1"/>
        <v/>
      </c>
      <c r="DK3" s="107" t="str">
        <f ca="1"/>
        <v/>
      </c>
      <c r="DL3" s="107" t="str">
        <f ca="1"/>
        <v/>
      </c>
      <c r="DM3" s="107" t="str">
        <f ca="1"/>
        <v/>
      </c>
      <c r="DN3" s="107" t="str">
        <f ca="1"/>
        <v/>
      </c>
      <c r="DO3" s="107" t="str">
        <f ca="1"/>
        <v/>
      </c>
      <c r="DP3" s="107" t="str">
        <f ca="1"/>
        <v/>
      </c>
      <c r="DQ3" s="107" t="str">
        <f ca="1"/>
        <v/>
      </c>
      <c r="DR3" s="107" t="str">
        <f ca="1"/>
        <v/>
      </c>
      <c r="DS3" s="107" t="str">
        <f ca="1"/>
        <v/>
      </c>
      <c r="DT3" s="107" t="str">
        <f ca="1"/>
        <v/>
      </c>
      <c r="DU3" s="107" t="str">
        <f ca="1"/>
        <v/>
      </c>
      <c r="DV3" s="107" t="str">
        <f ca="1"/>
        <v/>
      </c>
      <c r="DW3" s="107" t="str">
        <f ca="1"/>
        <v/>
      </c>
      <c r="DX3" s="107" t="str">
        <f ca="1"/>
        <v/>
      </c>
      <c r="DY3" s="107" t="str">
        <f ca="1"/>
        <v/>
      </c>
      <c r="DZ3" s="107" t="str">
        <f ca="1"/>
        <v/>
      </c>
      <c r="EA3" s="107" t="str">
        <f ca="1"/>
        <v/>
      </c>
      <c r="EB3" s="107" t="str">
        <f ca="1"/>
        <v/>
      </c>
      <c r="EC3" s="107" t="str">
        <f ca="1"/>
        <v/>
      </c>
      <c r="ED3" s="107" t="str">
        <f ca="1"/>
        <v/>
      </c>
      <c r="EE3" s="107" t="str">
        <f ca="1"/>
        <v/>
      </c>
      <c r="EF3" s="107" t="str">
        <f ca="1"/>
        <v/>
      </c>
      <c r="EG3" s="107" t="str">
        <f ca="1"/>
        <v/>
      </c>
      <c r="EH3" s="107" t="str">
        <f ca="1"/>
        <v/>
      </c>
      <c r="EI3" s="107" t="str">
        <f ca="1"/>
        <v/>
      </c>
      <c r="EJ3" s="107" t="str">
        <f ca="1"/>
        <v/>
      </c>
      <c r="EK3" s="107" t="str">
        <f ca="1"/>
        <v/>
      </c>
      <c r="EL3" s="107" t="str">
        <f ca="1"/>
        <v/>
      </c>
      <c r="EM3" s="107" t="str">
        <f ca="1"/>
        <v/>
      </c>
      <c r="EN3" s="107" t="str">
        <f ca="1"/>
        <v/>
      </c>
      <c r="EO3" s="107" t="str">
        <f ca="1"/>
        <v/>
      </c>
      <c r="EP3" s="107" t="str">
        <f ca="1"/>
        <v/>
      </c>
      <c r="EQ3" s="107" t="str">
        <f ca="1"/>
        <v/>
      </c>
      <c r="ER3" s="107" t="str">
        <f ca="1"/>
        <v/>
      </c>
      <c r="ES3" s="107" t="str">
        <f ca="1"/>
        <v/>
      </c>
      <c r="ET3" s="107" t="str">
        <f ca="1"/>
        <v/>
      </c>
      <c r="EU3" s="107" t="str">
        <f ca="1"/>
        <v/>
      </c>
      <c r="EV3" s="107" t="str">
        <f ca="1"/>
        <v/>
      </c>
      <c r="EW3" s="107" t="str">
        <f ca="1"/>
        <v/>
      </c>
      <c r="EX3" s="107" t="str">
        <f ca="1"/>
        <v/>
      </c>
      <c r="EY3" s="107" t="str">
        <f ca="1"/>
        <v/>
      </c>
      <c r="EZ3" s="107" t="str">
        <f ca="1"/>
        <v/>
      </c>
      <c r="FA3" s="107" t="str">
        <f ca="1"/>
        <v/>
      </c>
      <c r="FB3" s="107" t="str">
        <f ca="1"/>
        <v/>
      </c>
      <c r="FC3" s="107" t="str">
        <f ca="1"/>
        <v/>
      </c>
      <c r="FD3" s="107" t="str">
        <f ca="1"/>
        <v/>
      </c>
      <c r="FE3" s="107" t="str">
        <f ca="1"/>
        <v/>
      </c>
      <c r="FF3" s="107" t="str">
        <f ca="1"/>
        <v/>
      </c>
      <c r="FG3" s="107" t="str">
        <f ca="1"/>
        <v/>
      </c>
      <c r="FH3" s="107" t="str">
        <f ca="1"/>
        <v/>
      </c>
      <c r="FI3" s="107" t="str">
        <f ca="1"/>
        <v/>
      </c>
      <c r="FJ3" s="107" t="str">
        <f ca="1"/>
        <v/>
      </c>
      <c r="FK3" s="107" t="str">
        <f ca="1"/>
        <v/>
      </c>
      <c r="FL3" s="107" t="str">
        <f ca="1"/>
        <v/>
      </c>
      <c r="FM3" s="107" t="str">
        <f ca="1"/>
        <v/>
      </c>
      <c r="FN3" s="107" t="str">
        <f ca="1"/>
        <v/>
      </c>
      <c r="FO3" s="107" t="str">
        <f ca="1"/>
        <v/>
      </c>
      <c r="FP3" s="107" t="str">
        <f ca="1"/>
        <v/>
      </c>
      <c r="FQ3" s="107" t="str">
        <f ca="1"/>
        <v/>
      </c>
      <c r="FR3" s="107" t="str">
        <f ca="1"/>
        <v/>
      </c>
      <c r="FS3" s="107" t="str">
        <f ca="1"/>
        <v/>
      </c>
      <c r="FT3" s="107" t="str">
        <f ca="1"/>
        <v/>
      </c>
      <c r="FU3" s="107" t="str">
        <f ca="1"/>
        <v/>
      </c>
      <c r="FV3" s="107" t="str">
        <f ca="1"/>
        <v/>
      </c>
      <c r="FW3" s="107" t="str">
        <f ca="1"/>
        <v/>
      </c>
      <c r="FX3" s="107" t="str">
        <f ca="1"/>
        <v/>
      </c>
      <c r="FY3" s="107" t="str">
        <f ca="1"/>
        <v/>
      </c>
      <c r="FZ3" s="107" t="str">
        <f ca="1"/>
        <v/>
      </c>
      <c r="GA3" s="107" t="str">
        <f ca="1"/>
        <v/>
      </c>
      <c r="GB3" s="107" t="str">
        <f ca="1"/>
        <v/>
      </c>
      <c r="GC3" s="107" t="str">
        <f ca="1"/>
        <v/>
      </c>
      <c r="GD3" s="107" t="str">
        <f ca="1"/>
        <v/>
      </c>
      <c r="GE3" s="107" t="str">
        <f ca="1"/>
        <v/>
      </c>
      <c r="GF3" s="107" t="str">
        <f ca="1"/>
        <v/>
      </c>
      <c r="GG3" s="107" t="str">
        <f ca="1"/>
        <v/>
      </c>
      <c r="GH3" s="107" t="str">
        <f ca="1"/>
        <v/>
      </c>
      <c r="GI3" s="107" t="str">
        <f ca="1"/>
        <v/>
      </c>
    </row>
    <row r="4" spans="2:191" ht="20.100000000000001" customHeight="1" thickTop="1" x14ac:dyDescent="0.3">
      <c r="B4" s="221" t="s">
        <v>712</v>
      </c>
      <c r="C4" s="221"/>
      <c r="D4" s="90" t="e">
        <f>+#REF!</f>
        <v>#REF!</v>
      </c>
      <c r="E4" s="88"/>
      <c r="F4" s="221" t="s">
        <v>713</v>
      </c>
      <c r="G4" s="221"/>
      <c r="H4" s="91" t="str">
        <f ca="1">IFERROR(IF(PréstamoPagado,PagoMensual,""), "")</f>
        <v/>
      </c>
      <c r="K4" s="88" t="s">
        <v>642</v>
      </c>
      <c r="L4" s="107" t="str" cm="1">
        <f t="array" aca="1" ref="L4:GI4" ca="1">+TRANSPOSE(G10:G189)</f>
        <v/>
      </c>
      <c r="M4" s="107" t="str">
        <f ca="1"/>
        <v/>
      </c>
      <c r="N4" s="107" t="str">
        <f ca="1"/>
        <v/>
      </c>
      <c r="O4" s="107" t="str">
        <f ca="1"/>
        <v/>
      </c>
      <c r="P4" s="107" t="str">
        <f ca="1"/>
        <v/>
      </c>
      <c r="Q4" s="107" t="str">
        <f ca="1"/>
        <v/>
      </c>
      <c r="R4" s="107" t="str">
        <f ca="1"/>
        <v/>
      </c>
      <c r="S4" s="107" t="str">
        <f ca="1"/>
        <v/>
      </c>
      <c r="T4" s="107" t="str">
        <f ca="1"/>
        <v/>
      </c>
      <c r="U4" s="107" t="str">
        <f ca="1"/>
        <v/>
      </c>
      <c r="V4" s="107" t="str">
        <f ca="1"/>
        <v/>
      </c>
      <c r="W4" s="107" t="str">
        <f ca="1"/>
        <v/>
      </c>
      <c r="X4" s="107" t="str">
        <f ca="1"/>
        <v/>
      </c>
      <c r="Y4" s="107" t="str">
        <f ca="1"/>
        <v/>
      </c>
      <c r="Z4" s="107" t="str">
        <f ca="1"/>
        <v/>
      </c>
      <c r="AA4" s="107" t="str">
        <f ca="1"/>
        <v/>
      </c>
      <c r="AB4" s="107" t="str">
        <f ca="1"/>
        <v/>
      </c>
      <c r="AC4" s="107" t="str">
        <f ca="1"/>
        <v/>
      </c>
      <c r="AD4" s="107" t="str">
        <f ca="1"/>
        <v/>
      </c>
      <c r="AE4" s="107" t="str">
        <f ca="1"/>
        <v/>
      </c>
      <c r="AF4" s="107" t="str">
        <f ca="1"/>
        <v/>
      </c>
      <c r="AG4" s="107" t="str">
        <f ca="1"/>
        <v/>
      </c>
      <c r="AH4" s="107" t="str">
        <f ca="1"/>
        <v/>
      </c>
      <c r="AI4" s="107" t="str">
        <f ca="1"/>
        <v/>
      </c>
      <c r="AJ4" s="107" t="str">
        <f ca="1"/>
        <v/>
      </c>
      <c r="AK4" s="107" t="str">
        <f ca="1"/>
        <v/>
      </c>
      <c r="AL4" s="107" t="str">
        <f ca="1"/>
        <v/>
      </c>
      <c r="AM4" s="107" t="str">
        <f ca="1"/>
        <v/>
      </c>
      <c r="AN4" s="107" t="str">
        <f ca="1"/>
        <v/>
      </c>
      <c r="AO4" s="107" t="str">
        <f ca="1"/>
        <v/>
      </c>
      <c r="AP4" s="107" t="str">
        <f ca="1"/>
        <v/>
      </c>
      <c r="AQ4" s="107" t="str">
        <f ca="1"/>
        <v/>
      </c>
      <c r="AR4" s="107" t="str">
        <f ca="1"/>
        <v/>
      </c>
      <c r="AS4" s="107" t="str">
        <f ca="1"/>
        <v/>
      </c>
      <c r="AT4" s="107" t="str">
        <f ca="1"/>
        <v/>
      </c>
      <c r="AU4" s="107" t="str">
        <f ca="1"/>
        <v/>
      </c>
      <c r="AV4" s="107" t="str">
        <f ca="1"/>
        <v/>
      </c>
      <c r="AW4" s="107" t="str">
        <f ca="1"/>
        <v/>
      </c>
      <c r="AX4" s="107" t="str">
        <f ca="1"/>
        <v/>
      </c>
      <c r="AY4" s="107" t="str">
        <f ca="1"/>
        <v/>
      </c>
      <c r="AZ4" s="107" t="str">
        <f ca="1"/>
        <v/>
      </c>
      <c r="BA4" s="107" t="str">
        <f ca="1"/>
        <v/>
      </c>
      <c r="BB4" s="107" t="str">
        <f ca="1"/>
        <v/>
      </c>
      <c r="BC4" s="107" t="str">
        <f ca="1"/>
        <v/>
      </c>
      <c r="BD4" s="107" t="str">
        <f ca="1"/>
        <v/>
      </c>
      <c r="BE4" s="107" t="str">
        <f ca="1"/>
        <v/>
      </c>
      <c r="BF4" s="107" t="str">
        <f ca="1"/>
        <v/>
      </c>
      <c r="BG4" s="107" t="str">
        <f ca="1"/>
        <v/>
      </c>
      <c r="BH4" s="107" t="str">
        <f ca="1"/>
        <v/>
      </c>
      <c r="BI4" s="107" t="str">
        <f ca="1"/>
        <v/>
      </c>
      <c r="BJ4" s="107" t="str">
        <f ca="1"/>
        <v/>
      </c>
      <c r="BK4" s="107" t="str">
        <f ca="1"/>
        <v/>
      </c>
      <c r="BL4" s="107" t="str">
        <f ca="1"/>
        <v/>
      </c>
      <c r="BM4" s="107" t="str">
        <f ca="1"/>
        <v/>
      </c>
      <c r="BN4" s="107" t="str">
        <f ca="1"/>
        <v/>
      </c>
      <c r="BO4" s="107" t="str">
        <f ca="1"/>
        <v/>
      </c>
      <c r="BP4" s="107" t="str">
        <f ca="1"/>
        <v/>
      </c>
      <c r="BQ4" s="107" t="str">
        <f ca="1"/>
        <v/>
      </c>
      <c r="BR4" s="107" t="str">
        <f ca="1"/>
        <v/>
      </c>
      <c r="BS4" s="107" t="str">
        <f ca="1"/>
        <v/>
      </c>
      <c r="BT4" s="107" t="str">
        <f ca="1"/>
        <v/>
      </c>
      <c r="BU4" s="107" t="str">
        <f ca="1"/>
        <v/>
      </c>
      <c r="BV4" s="107" t="str">
        <f ca="1"/>
        <v/>
      </c>
      <c r="BW4" s="107" t="str">
        <f ca="1"/>
        <v/>
      </c>
      <c r="BX4" s="107" t="str">
        <f ca="1"/>
        <v/>
      </c>
      <c r="BY4" s="107" t="str">
        <f ca="1"/>
        <v/>
      </c>
      <c r="BZ4" s="107" t="str">
        <f ca="1"/>
        <v/>
      </c>
      <c r="CA4" s="107" t="str">
        <f ca="1"/>
        <v/>
      </c>
      <c r="CB4" s="107" t="str">
        <f ca="1"/>
        <v/>
      </c>
      <c r="CC4" s="107" t="str">
        <f ca="1"/>
        <v/>
      </c>
      <c r="CD4" s="107" t="str">
        <f ca="1"/>
        <v/>
      </c>
      <c r="CE4" s="107" t="str">
        <f ca="1"/>
        <v/>
      </c>
      <c r="CF4" s="107" t="str">
        <f ca="1"/>
        <v/>
      </c>
      <c r="CG4" s="107" t="str">
        <f ca="1"/>
        <v/>
      </c>
      <c r="CH4" s="107" t="str">
        <f ca="1"/>
        <v/>
      </c>
      <c r="CI4" s="107" t="str">
        <f ca="1"/>
        <v/>
      </c>
      <c r="CJ4" s="107" t="str">
        <f ca="1"/>
        <v/>
      </c>
      <c r="CK4" s="107" t="str">
        <f ca="1"/>
        <v/>
      </c>
      <c r="CL4" s="107" t="str">
        <f ca="1"/>
        <v/>
      </c>
      <c r="CM4" s="107" t="str">
        <f ca="1"/>
        <v/>
      </c>
      <c r="CN4" s="107" t="str">
        <f ca="1"/>
        <v/>
      </c>
      <c r="CO4" s="107" t="str">
        <f ca="1"/>
        <v/>
      </c>
      <c r="CP4" s="107" t="str">
        <f ca="1"/>
        <v/>
      </c>
      <c r="CQ4" s="107" t="str">
        <f ca="1"/>
        <v/>
      </c>
      <c r="CR4" s="107" t="str">
        <f ca="1"/>
        <v/>
      </c>
      <c r="CS4" s="107" t="str">
        <f ca="1"/>
        <v/>
      </c>
      <c r="CT4" s="107" t="str">
        <f ca="1"/>
        <v/>
      </c>
      <c r="CU4" s="107" t="str">
        <f ca="1"/>
        <v/>
      </c>
      <c r="CV4" s="107" t="str">
        <f ca="1"/>
        <v/>
      </c>
      <c r="CW4" s="107" t="str">
        <f ca="1"/>
        <v/>
      </c>
      <c r="CX4" s="107" t="str">
        <f ca="1"/>
        <v/>
      </c>
      <c r="CY4" s="107" t="str">
        <f ca="1"/>
        <v/>
      </c>
      <c r="CZ4" s="107" t="str">
        <f ca="1"/>
        <v/>
      </c>
      <c r="DA4" s="107" t="str">
        <f ca="1"/>
        <v/>
      </c>
      <c r="DB4" s="107" t="str">
        <f ca="1"/>
        <v/>
      </c>
      <c r="DC4" s="107" t="str">
        <f ca="1"/>
        <v/>
      </c>
      <c r="DD4" s="107" t="str">
        <f ca="1"/>
        <v/>
      </c>
      <c r="DE4" s="107" t="str">
        <f ca="1"/>
        <v/>
      </c>
      <c r="DF4" s="107" t="str">
        <f ca="1"/>
        <v/>
      </c>
      <c r="DG4" s="107" t="str">
        <f ca="1"/>
        <v/>
      </c>
      <c r="DH4" s="107" t="str">
        <f ca="1"/>
        <v/>
      </c>
      <c r="DI4" s="107" t="str">
        <f ca="1"/>
        <v/>
      </c>
      <c r="DJ4" s="107" t="str">
        <f ca="1"/>
        <v/>
      </c>
      <c r="DK4" s="107" t="str">
        <f ca="1"/>
        <v/>
      </c>
      <c r="DL4" s="107" t="str">
        <f ca="1"/>
        <v/>
      </c>
      <c r="DM4" s="107" t="str">
        <f ca="1"/>
        <v/>
      </c>
      <c r="DN4" s="107" t="str">
        <f ca="1"/>
        <v/>
      </c>
      <c r="DO4" s="107" t="str">
        <f ca="1"/>
        <v/>
      </c>
      <c r="DP4" s="107" t="str">
        <f ca="1"/>
        <v/>
      </c>
      <c r="DQ4" s="107" t="str">
        <f ca="1"/>
        <v/>
      </c>
      <c r="DR4" s="107" t="str">
        <f ca="1"/>
        <v/>
      </c>
      <c r="DS4" s="107" t="str">
        <f ca="1"/>
        <v/>
      </c>
      <c r="DT4" s="107" t="str">
        <f ca="1"/>
        <v/>
      </c>
      <c r="DU4" s="107" t="str">
        <f ca="1"/>
        <v/>
      </c>
      <c r="DV4" s="107" t="str">
        <f ca="1"/>
        <v/>
      </c>
      <c r="DW4" s="107" t="str">
        <f ca="1"/>
        <v/>
      </c>
      <c r="DX4" s="107" t="str">
        <f ca="1"/>
        <v/>
      </c>
      <c r="DY4" s="107" t="str">
        <f ca="1"/>
        <v/>
      </c>
      <c r="DZ4" s="107" t="str">
        <f ca="1"/>
        <v/>
      </c>
      <c r="EA4" s="107" t="str">
        <f ca="1"/>
        <v/>
      </c>
      <c r="EB4" s="107" t="str">
        <f ca="1"/>
        <v/>
      </c>
      <c r="EC4" s="107" t="str">
        <f ca="1"/>
        <v/>
      </c>
      <c r="ED4" s="107" t="str">
        <f ca="1"/>
        <v/>
      </c>
      <c r="EE4" s="107" t="str">
        <f ca="1"/>
        <v/>
      </c>
      <c r="EF4" s="107" t="str">
        <f ca="1"/>
        <v/>
      </c>
      <c r="EG4" s="107" t="str">
        <f ca="1"/>
        <v/>
      </c>
      <c r="EH4" s="107" t="str">
        <f ca="1"/>
        <v/>
      </c>
      <c r="EI4" s="107" t="str">
        <f ca="1"/>
        <v/>
      </c>
      <c r="EJ4" s="107" t="str">
        <f ca="1"/>
        <v/>
      </c>
      <c r="EK4" s="107" t="str">
        <f ca="1"/>
        <v/>
      </c>
      <c r="EL4" s="107" t="str">
        <f ca="1"/>
        <v/>
      </c>
      <c r="EM4" s="107" t="str">
        <f ca="1"/>
        <v/>
      </c>
      <c r="EN4" s="107" t="str">
        <f ca="1"/>
        <v/>
      </c>
      <c r="EO4" s="107" t="str">
        <f ca="1"/>
        <v/>
      </c>
      <c r="EP4" s="107" t="str">
        <f ca="1"/>
        <v/>
      </c>
      <c r="EQ4" s="107" t="str">
        <f ca="1"/>
        <v/>
      </c>
      <c r="ER4" s="107" t="str">
        <f ca="1"/>
        <v/>
      </c>
      <c r="ES4" s="107" t="str">
        <f ca="1"/>
        <v/>
      </c>
      <c r="ET4" s="107" t="str">
        <f ca="1"/>
        <v/>
      </c>
      <c r="EU4" s="107" t="str">
        <f ca="1"/>
        <v/>
      </c>
      <c r="EV4" s="107" t="str">
        <f ca="1"/>
        <v/>
      </c>
      <c r="EW4" s="107" t="str">
        <f ca="1"/>
        <v/>
      </c>
      <c r="EX4" s="107" t="str">
        <f ca="1"/>
        <v/>
      </c>
      <c r="EY4" s="107" t="str">
        <f ca="1"/>
        <v/>
      </c>
      <c r="EZ4" s="107" t="str">
        <f ca="1"/>
        <v/>
      </c>
      <c r="FA4" s="107" t="str">
        <f ca="1"/>
        <v/>
      </c>
      <c r="FB4" s="107" t="str">
        <f ca="1"/>
        <v/>
      </c>
      <c r="FC4" s="107" t="str">
        <f ca="1"/>
        <v/>
      </c>
      <c r="FD4" s="107" t="str">
        <f ca="1"/>
        <v/>
      </c>
      <c r="FE4" s="107" t="str">
        <f ca="1"/>
        <v/>
      </c>
      <c r="FF4" s="107" t="str">
        <f ca="1"/>
        <v/>
      </c>
      <c r="FG4" s="107" t="str">
        <f ca="1"/>
        <v/>
      </c>
      <c r="FH4" s="107" t="str">
        <f ca="1"/>
        <v/>
      </c>
      <c r="FI4" s="107" t="str">
        <f ca="1"/>
        <v/>
      </c>
      <c r="FJ4" s="107" t="str">
        <f ca="1"/>
        <v/>
      </c>
      <c r="FK4" s="107" t="str">
        <f ca="1"/>
        <v/>
      </c>
      <c r="FL4" s="107" t="str">
        <f ca="1"/>
        <v/>
      </c>
      <c r="FM4" s="107" t="str">
        <f ca="1"/>
        <v/>
      </c>
      <c r="FN4" s="107" t="str">
        <f ca="1"/>
        <v/>
      </c>
      <c r="FO4" s="107" t="str">
        <f ca="1"/>
        <v/>
      </c>
      <c r="FP4" s="107" t="str">
        <f ca="1"/>
        <v/>
      </c>
      <c r="FQ4" s="107" t="str">
        <f ca="1"/>
        <v/>
      </c>
      <c r="FR4" s="107" t="str">
        <f ca="1"/>
        <v/>
      </c>
      <c r="FS4" s="107" t="str">
        <f ca="1"/>
        <v/>
      </c>
      <c r="FT4" s="107" t="str">
        <f ca="1"/>
        <v/>
      </c>
      <c r="FU4" s="107" t="str">
        <f ca="1"/>
        <v/>
      </c>
      <c r="FV4" s="107" t="str">
        <f ca="1"/>
        <v/>
      </c>
      <c r="FW4" s="107" t="str">
        <f ca="1"/>
        <v/>
      </c>
      <c r="FX4" s="107" t="str">
        <f ca="1"/>
        <v/>
      </c>
      <c r="FY4" s="107" t="str">
        <f ca="1"/>
        <v/>
      </c>
      <c r="FZ4" s="107" t="str">
        <f ca="1"/>
        <v/>
      </c>
      <c r="GA4" s="107" t="str">
        <f ca="1"/>
        <v/>
      </c>
      <c r="GB4" s="107" t="str">
        <f ca="1"/>
        <v/>
      </c>
      <c r="GC4" s="107" t="str">
        <f ca="1"/>
        <v/>
      </c>
      <c r="GD4" s="107" t="str">
        <f ca="1"/>
        <v/>
      </c>
      <c r="GE4" s="107" t="str">
        <f ca="1"/>
        <v/>
      </c>
      <c r="GF4" s="107" t="str">
        <f ca="1"/>
        <v/>
      </c>
      <c r="GG4" s="107" t="str">
        <f ca="1"/>
        <v/>
      </c>
      <c r="GH4" s="107" t="str">
        <f ca="1"/>
        <v/>
      </c>
      <c r="GI4" s="107" t="str">
        <f ca="1"/>
        <v/>
      </c>
    </row>
    <row r="5" spans="2:191" ht="20.100000000000001" customHeight="1" x14ac:dyDescent="0.3">
      <c r="B5" s="218" t="s">
        <v>714</v>
      </c>
      <c r="C5" s="218"/>
      <c r="D5" s="99">
        <v>0.13</v>
      </c>
      <c r="E5" s="88"/>
      <c r="F5" s="218" t="s">
        <v>715</v>
      </c>
      <c r="G5" s="218"/>
      <c r="H5" s="92" t="str">
        <f ca="1">IFERROR(IF(PréstamoPagado,AñosPréstamo*12,""), "")</f>
        <v/>
      </c>
      <c r="K5" s="88" t="s">
        <v>716</v>
      </c>
      <c r="L5" s="107" t="str" cm="1">
        <f t="array" aca="1" ref="L5:GI5" ca="1">+TRANSPOSE(H10:H189)</f>
        <v/>
      </c>
      <c r="M5" s="107" t="str">
        <f ca="1"/>
        <v/>
      </c>
      <c r="N5" s="107" t="str">
        <f ca="1"/>
        <v/>
      </c>
      <c r="O5" s="107" t="str">
        <f ca="1"/>
        <v/>
      </c>
      <c r="P5" s="107" t="str">
        <f ca="1"/>
        <v/>
      </c>
      <c r="Q5" s="107" t="str">
        <f ca="1"/>
        <v/>
      </c>
      <c r="R5" s="107" t="str">
        <f ca="1"/>
        <v/>
      </c>
      <c r="S5" s="107" t="str">
        <f ca="1"/>
        <v/>
      </c>
      <c r="T5" s="107" t="str">
        <f ca="1"/>
        <v/>
      </c>
      <c r="U5" s="107" t="str">
        <f ca="1"/>
        <v/>
      </c>
      <c r="V5" s="107" t="str">
        <f ca="1"/>
        <v/>
      </c>
      <c r="W5" s="107" t="str">
        <f ca="1"/>
        <v/>
      </c>
      <c r="X5" s="107" t="str">
        <f ca="1"/>
        <v/>
      </c>
      <c r="Y5" s="107" t="str">
        <f ca="1"/>
        <v/>
      </c>
      <c r="Z5" s="107" t="str">
        <f ca="1"/>
        <v/>
      </c>
      <c r="AA5" s="107" t="str">
        <f ca="1"/>
        <v/>
      </c>
      <c r="AB5" s="107" t="str">
        <f ca="1"/>
        <v/>
      </c>
      <c r="AC5" s="107" t="str">
        <f ca="1"/>
        <v/>
      </c>
      <c r="AD5" s="107" t="str">
        <f ca="1"/>
        <v/>
      </c>
      <c r="AE5" s="107" t="str">
        <f ca="1"/>
        <v/>
      </c>
      <c r="AF5" s="107" t="str">
        <f ca="1"/>
        <v/>
      </c>
      <c r="AG5" s="107" t="str">
        <f ca="1"/>
        <v/>
      </c>
      <c r="AH5" s="107" t="str">
        <f ca="1"/>
        <v/>
      </c>
      <c r="AI5" s="107" t="str">
        <f ca="1"/>
        <v/>
      </c>
      <c r="AJ5" s="107" t="str">
        <f ca="1"/>
        <v/>
      </c>
      <c r="AK5" s="107" t="str">
        <f ca="1"/>
        <v/>
      </c>
      <c r="AL5" s="107" t="str">
        <f ca="1"/>
        <v/>
      </c>
      <c r="AM5" s="107" t="str">
        <f ca="1"/>
        <v/>
      </c>
      <c r="AN5" s="107" t="str">
        <f ca="1"/>
        <v/>
      </c>
      <c r="AO5" s="107" t="str">
        <f ca="1"/>
        <v/>
      </c>
      <c r="AP5" s="107" t="str">
        <f ca="1"/>
        <v/>
      </c>
      <c r="AQ5" s="107" t="str">
        <f ca="1"/>
        <v/>
      </c>
      <c r="AR5" s="107" t="str">
        <f ca="1"/>
        <v/>
      </c>
      <c r="AS5" s="107" t="str">
        <f ca="1"/>
        <v/>
      </c>
      <c r="AT5" s="107" t="str">
        <f ca="1"/>
        <v/>
      </c>
      <c r="AU5" s="107" t="str">
        <f ca="1"/>
        <v/>
      </c>
      <c r="AV5" s="107" t="str">
        <f ca="1"/>
        <v/>
      </c>
      <c r="AW5" s="107" t="str">
        <f ca="1"/>
        <v/>
      </c>
      <c r="AX5" s="107" t="str">
        <f ca="1"/>
        <v/>
      </c>
      <c r="AY5" s="107" t="str">
        <f ca="1"/>
        <v/>
      </c>
      <c r="AZ5" s="107" t="str">
        <f ca="1"/>
        <v/>
      </c>
      <c r="BA5" s="107" t="str">
        <f ca="1"/>
        <v/>
      </c>
      <c r="BB5" s="107" t="str">
        <f ca="1"/>
        <v/>
      </c>
      <c r="BC5" s="107" t="str">
        <f ca="1"/>
        <v/>
      </c>
      <c r="BD5" s="107" t="str">
        <f ca="1"/>
        <v/>
      </c>
      <c r="BE5" s="107" t="str">
        <f ca="1"/>
        <v/>
      </c>
      <c r="BF5" s="107" t="str">
        <f ca="1"/>
        <v/>
      </c>
      <c r="BG5" s="107" t="str">
        <f ca="1"/>
        <v/>
      </c>
      <c r="BH5" s="107" t="str">
        <f ca="1"/>
        <v/>
      </c>
      <c r="BI5" s="107" t="str">
        <f ca="1"/>
        <v/>
      </c>
      <c r="BJ5" s="107" t="str">
        <f ca="1"/>
        <v/>
      </c>
      <c r="BK5" s="107" t="str">
        <f ca="1"/>
        <v/>
      </c>
      <c r="BL5" s="107" t="str">
        <f ca="1"/>
        <v/>
      </c>
      <c r="BM5" s="107" t="str">
        <f ca="1"/>
        <v/>
      </c>
      <c r="BN5" s="107" t="str">
        <f ca="1"/>
        <v/>
      </c>
      <c r="BO5" s="107" t="str">
        <f ca="1"/>
        <v/>
      </c>
      <c r="BP5" s="107" t="str">
        <f ca="1"/>
        <v/>
      </c>
      <c r="BQ5" s="107" t="str">
        <f ca="1"/>
        <v/>
      </c>
      <c r="BR5" s="107" t="str">
        <f ca="1"/>
        <v/>
      </c>
      <c r="BS5" s="107" t="str">
        <f ca="1"/>
        <v/>
      </c>
      <c r="BT5" s="107" t="str">
        <f ca="1"/>
        <v/>
      </c>
      <c r="BU5" s="107" t="str">
        <f ca="1"/>
        <v/>
      </c>
      <c r="BV5" s="107" t="str">
        <f ca="1"/>
        <v/>
      </c>
      <c r="BW5" s="107" t="str">
        <f ca="1"/>
        <v/>
      </c>
      <c r="BX5" s="107" t="str">
        <f ca="1"/>
        <v/>
      </c>
      <c r="BY5" s="107" t="str">
        <f ca="1"/>
        <v/>
      </c>
      <c r="BZ5" s="107" t="str">
        <f ca="1"/>
        <v/>
      </c>
      <c r="CA5" s="107" t="str">
        <f ca="1"/>
        <v/>
      </c>
      <c r="CB5" s="107" t="str">
        <f ca="1"/>
        <v/>
      </c>
      <c r="CC5" s="107" t="str">
        <f ca="1"/>
        <v/>
      </c>
      <c r="CD5" s="107" t="str">
        <f ca="1"/>
        <v/>
      </c>
      <c r="CE5" s="107" t="str">
        <f ca="1"/>
        <v/>
      </c>
      <c r="CF5" s="107" t="str">
        <f ca="1"/>
        <v/>
      </c>
      <c r="CG5" s="107" t="str">
        <f ca="1"/>
        <v/>
      </c>
      <c r="CH5" s="107" t="str">
        <f ca="1"/>
        <v/>
      </c>
      <c r="CI5" s="107" t="str">
        <f ca="1"/>
        <v/>
      </c>
      <c r="CJ5" s="107" t="str">
        <f ca="1"/>
        <v/>
      </c>
      <c r="CK5" s="107" t="str">
        <f ca="1"/>
        <v/>
      </c>
      <c r="CL5" s="107" t="str">
        <f ca="1"/>
        <v/>
      </c>
      <c r="CM5" s="107" t="str">
        <f ca="1"/>
        <v/>
      </c>
      <c r="CN5" s="107" t="str">
        <f ca="1"/>
        <v/>
      </c>
      <c r="CO5" s="107" t="str">
        <f ca="1"/>
        <v/>
      </c>
      <c r="CP5" s="107" t="str">
        <f ca="1"/>
        <v/>
      </c>
      <c r="CQ5" s="107" t="str">
        <f ca="1"/>
        <v/>
      </c>
      <c r="CR5" s="107" t="str">
        <f ca="1"/>
        <v/>
      </c>
      <c r="CS5" s="107" t="str">
        <f ca="1"/>
        <v/>
      </c>
      <c r="CT5" s="107" t="str">
        <f ca="1"/>
        <v/>
      </c>
      <c r="CU5" s="107" t="str">
        <f ca="1"/>
        <v/>
      </c>
      <c r="CV5" s="107" t="str">
        <f ca="1"/>
        <v/>
      </c>
      <c r="CW5" s="107" t="str">
        <f ca="1"/>
        <v/>
      </c>
      <c r="CX5" s="107" t="str">
        <f ca="1"/>
        <v/>
      </c>
      <c r="CY5" s="107" t="str">
        <f ca="1"/>
        <v/>
      </c>
      <c r="CZ5" s="107" t="str">
        <f ca="1"/>
        <v/>
      </c>
      <c r="DA5" s="107" t="str">
        <f ca="1"/>
        <v/>
      </c>
      <c r="DB5" s="107" t="str">
        <f ca="1"/>
        <v/>
      </c>
      <c r="DC5" s="107" t="str">
        <f ca="1"/>
        <v/>
      </c>
      <c r="DD5" s="107" t="str">
        <f ca="1"/>
        <v/>
      </c>
      <c r="DE5" s="107" t="str">
        <f ca="1"/>
        <v/>
      </c>
      <c r="DF5" s="107" t="str">
        <f ca="1"/>
        <v/>
      </c>
      <c r="DG5" s="107" t="str">
        <f ca="1"/>
        <v/>
      </c>
      <c r="DH5" s="107" t="str">
        <f ca="1"/>
        <v/>
      </c>
      <c r="DI5" s="107" t="str">
        <f ca="1"/>
        <v/>
      </c>
      <c r="DJ5" s="107" t="str">
        <f ca="1"/>
        <v/>
      </c>
      <c r="DK5" s="107" t="str">
        <f ca="1"/>
        <v/>
      </c>
      <c r="DL5" s="107" t="str">
        <f ca="1"/>
        <v/>
      </c>
      <c r="DM5" s="107" t="str">
        <f ca="1"/>
        <v/>
      </c>
      <c r="DN5" s="107" t="str">
        <f ca="1"/>
        <v/>
      </c>
      <c r="DO5" s="107" t="str">
        <f ca="1"/>
        <v/>
      </c>
      <c r="DP5" s="107" t="str">
        <f ca="1"/>
        <v/>
      </c>
      <c r="DQ5" s="107" t="str">
        <f ca="1"/>
        <v/>
      </c>
      <c r="DR5" s="107" t="str">
        <f ca="1"/>
        <v/>
      </c>
      <c r="DS5" s="107" t="str">
        <f ca="1"/>
        <v/>
      </c>
      <c r="DT5" s="107" t="str">
        <f ca="1"/>
        <v/>
      </c>
      <c r="DU5" s="107" t="str">
        <f ca="1"/>
        <v/>
      </c>
      <c r="DV5" s="107" t="str">
        <f ca="1"/>
        <v/>
      </c>
      <c r="DW5" s="107" t="str">
        <f ca="1"/>
        <v/>
      </c>
      <c r="DX5" s="107" t="str">
        <f ca="1"/>
        <v/>
      </c>
      <c r="DY5" s="107" t="str">
        <f ca="1"/>
        <v/>
      </c>
      <c r="DZ5" s="107" t="str">
        <f ca="1"/>
        <v/>
      </c>
      <c r="EA5" s="107" t="str">
        <f ca="1"/>
        <v/>
      </c>
      <c r="EB5" s="107" t="str">
        <f ca="1"/>
        <v/>
      </c>
      <c r="EC5" s="107" t="str">
        <f ca="1"/>
        <v/>
      </c>
      <c r="ED5" s="107" t="str">
        <f ca="1"/>
        <v/>
      </c>
      <c r="EE5" s="107" t="str">
        <f ca="1"/>
        <v/>
      </c>
      <c r="EF5" s="107" t="str">
        <f ca="1"/>
        <v/>
      </c>
      <c r="EG5" s="107" t="str">
        <f ca="1"/>
        <v/>
      </c>
      <c r="EH5" s="107" t="str">
        <f ca="1"/>
        <v/>
      </c>
      <c r="EI5" s="107" t="str">
        <f ca="1"/>
        <v/>
      </c>
      <c r="EJ5" s="107" t="str">
        <f ca="1"/>
        <v/>
      </c>
      <c r="EK5" s="107" t="str">
        <f ca="1"/>
        <v/>
      </c>
      <c r="EL5" s="107" t="str">
        <f ca="1"/>
        <v/>
      </c>
      <c r="EM5" s="107" t="str">
        <f ca="1"/>
        <v/>
      </c>
      <c r="EN5" s="107" t="str">
        <f ca="1"/>
        <v/>
      </c>
      <c r="EO5" s="107" t="str">
        <f ca="1"/>
        <v/>
      </c>
      <c r="EP5" s="107" t="str">
        <f ca="1"/>
        <v/>
      </c>
      <c r="EQ5" s="107" t="str">
        <f ca="1"/>
        <v/>
      </c>
      <c r="ER5" s="107" t="str">
        <f ca="1"/>
        <v/>
      </c>
      <c r="ES5" s="107" t="str">
        <f ca="1"/>
        <v/>
      </c>
      <c r="ET5" s="107" t="str">
        <f ca="1"/>
        <v/>
      </c>
      <c r="EU5" s="107" t="str">
        <f ca="1"/>
        <v/>
      </c>
      <c r="EV5" s="107" t="str">
        <f ca="1"/>
        <v/>
      </c>
      <c r="EW5" s="107" t="str">
        <f ca="1"/>
        <v/>
      </c>
      <c r="EX5" s="107" t="str">
        <f ca="1"/>
        <v/>
      </c>
      <c r="EY5" s="107" t="str">
        <f ca="1"/>
        <v/>
      </c>
      <c r="EZ5" s="107" t="str">
        <f ca="1"/>
        <v/>
      </c>
      <c r="FA5" s="107" t="str">
        <f ca="1"/>
        <v/>
      </c>
      <c r="FB5" s="107" t="str">
        <f ca="1"/>
        <v/>
      </c>
      <c r="FC5" s="107" t="str">
        <f ca="1"/>
        <v/>
      </c>
      <c r="FD5" s="107" t="str">
        <f ca="1"/>
        <v/>
      </c>
      <c r="FE5" s="107" t="str">
        <f ca="1"/>
        <v/>
      </c>
      <c r="FF5" s="107" t="str">
        <f ca="1"/>
        <v/>
      </c>
      <c r="FG5" s="107" t="str">
        <f ca="1"/>
        <v/>
      </c>
      <c r="FH5" s="107" t="str">
        <f ca="1"/>
        <v/>
      </c>
      <c r="FI5" s="107" t="str">
        <f ca="1"/>
        <v/>
      </c>
      <c r="FJ5" s="107" t="str">
        <f ca="1"/>
        <v/>
      </c>
      <c r="FK5" s="107" t="str">
        <f ca="1"/>
        <v/>
      </c>
      <c r="FL5" s="107" t="str">
        <f ca="1"/>
        <v/>
      </c>
      <c r="FM5" s="107" t="str">
        <f ca="1"/>
        <v/>
      </c>
      <c r="FN5" s="107" t="str">
        <f ca="1"/>
        <v/>
      </c>
      <c r="FO5" s="107" t="str">
        <f ca="1"/>
        <v/>
      </c>
      <c r="FP5" s="107" t="str">
        <f ca="1"/>
        <v/>
      </c>
      <c r="FQ5" s="107" t="str">
        <f ca="1"/>
        <v/>
      </c>
      <c r="FR5" s="107" t="str">
        <f ca="1"/>
        <v/>
      </c>
      <c r="FS5" s="107" t="str">
        <f ca="1"/>
        <v/>
      </c>
      <c r="FT5" s="107" t="str">
        <f ca="1"/>
        <v/>
      </c>
      <c r="FU5" s="107" t="str">
        <f ca="1"/>
        <v/>
      </c>
      <c r="FV5" s="107" t="str">
        <f ca="1"/>
        <v/>
      </c>
      <c r="FW5" s="107" t="str">
        <f ca="1"/>
        <v/>
      </c>
      <c r="FX5" s="107" t="str">
        <f ca="1"/>
        <v/>
      </c>
      <c r="FY5" s="107" t="str">
        <f ca="1"/>
        <v/>
      </c>
      <c r="FZ5" s="107" t="str">
        <f ca="1"/>
        <v/>
      </c>
      <c r="GA5" s="107" t="str">
        <f ca="1"/>
        <v/>
      </c>
      <c r="GB5" s="107" t="str">
        <f ca="1"/>
        <v/>
      </c>
      <c r="GC5" s="107" t="str">
        <f ca="1"/>
        <v/>
      </c>
      <c r="GD5" s="107" t="str">
        <f ca="1"/>
        <v/>
      </c>
      <c r="GE5" s="107" t="str">
        <f ca="1"/>
        <v/>
      </c>
      <c r="GF5" s="107" t="str">
        <f ca="1"/>
        <v/>
      </c>
      <c r="GG5" s="107" t="str">
        <f ca="1"/>
        <v/>
      </c>
      <c r="GH5" s="107" t="str">
        <f ca="1"/>
        <v/>
      </c>
      <c r="GI5" s="107" t="str">
        <f ca="1"/>
        <v/>
      </c>
    </row>
    <row r="6" spans="2:191" ht="20.100000000000001" customHeight="1" x14ac:dyDescent="0.3">
      <c r="B6" s="218" t="s">
        <v>717</v>
      </c>
      <c r="C6" s="218"/>
      <c r="D6" s="100">
        <v>15</v>
      </c>
      <c r="E6" s="88"/>
      <c r="F6" s="218" t="s">
        <v>718</v>
      </c>
      <c r="G6" s="218"/>
      <c r="H6" s="93" t="str">
        <f ca="1">IFERROR(IF(PréstamoPagado,CosteTotalPréstamo-CantidadPréstamo,""), "")</f>
        <v/>
      </c>
      <c r="J6" s="88">
        <v>1159</v>
      </c>
      <c r="K6" s="88" t="s">
        <v>719</v>
      </c>
      <c r="L6" s="88" t="e">
        <f ca="1">+(L5/1000000)*$J$6</f>
        <v>#VALUE!</v>
      </c>
      <c r="M6" s="88" t="e">
        <f ca="1">+(M5/1000000)*$J$6</f>
        <v>#VALUE!</v>
      </c>
      <c r="N6" s="88" t="e">
        <f t="shared" ref="N6:BU6" ca="1" si="0">+(N5/1000000)*$J$6</f>
        <v>#VALUE!</v>
      </c>
      <c r="O6" s="88" t="e">
        <f t="shared" ca="1" si="0"/>
        <v>#VALUE!</v>
      </c>
      <c r="P6" s="88" t="e">
        <f t="shared" ca="1" si="0"/>
        <v>#VALUE!</v>
      </c>
      <c r="Q6" s="88" t="e">
        <f t="shared" ca="1" si="0"/>
        <v>#VALUE!</v>
      </c>
      <c r="R6" s="88" t="e">
        <f t="shared" ca="1" si="0"/>
        <v>#VALUE!</v>
      </c>
      <c r="S6" s="88" t="e">
        <f t="shared" ca="1" si="0"/>
        <v>#VALUE!</v>
      </c>
      <c r="T6" s="88" t="e">
        <f t="shared" ca="1" si="0"/>
        <v>#VALUE!</v>
      </c>
      <c r="U6" s="88" t="e">
        <f t="shared" ca="1" si="0"/>
        <v>#VALUE!</v>
      </c>
      <c r="V6" s="88" t="e">
        <f t="shared" ca="1" si="0"/>
        <v>#VALUE!</v>
      </c>
      <c r="W6" s="88" t="e">
        <f t="shared" ca="1" si="0"/>
        <v>#VALUE!</v>
      </c>
      <c r="X6" s="88" t="e">
        <f t="shared" ca="1" si="0"/>
        <v>#VALUE!</v>
      </c>
      <c r="Y6" s="88" t="e">
        <f t="shared" ca="1" si="0"/>
        <v>#VALUE!</v>
      </c>
      <c r="Z6" s="88" t="e">
        <f t="shared" ca="1" si="0"/>
        <v>#VALUE!</v>
      </c>
      <c r="AA6" s="88" t="e">
        <f t="shared" ca="1" si="0"/>
        <v>#VALUE!</v>
      </c>
      <c r="AB6" s="88" t="e">
        <f t="shared" ca="1" si="0"/>
        <v>#VALUE!</v>
      </c>
      <c r="AC6" s="88" t="e">
        <f t="shared" ca="1" si="0"/>
        <v>#VALUE!</v>
      </c>
      <c r="AD6" s="88" t="e">
        <f t="shared" ca="1" si="0"/>
        <v>#VALUE!</v>
      </c>
      <c r="AE6" s="88" t="e">
        <f t="shared" ca="1" si="0"/>
        <v>#VALUE!</v>
      </c>
      <c r="AF6" s="88" t="e">
        <f t="shared" ca="1" si="0"/>
        <v>#VALUE!</v>
      </c>
      <c r="AG6" s="88" t="e">
        <f t="shared" ca="1" si="0"/>
        <v>#VALUE!</v>
      </c>
      <c r="AH6" s="88" t="e">
        <f t="shared" ca="1" si="0"/>
        <v>#VALUE!</v>
      </c>
      <c r="AI6" s="88" t="e">
        <f t="shared" ca="1" si="0"/>
        <v>#VALUE!</v>
      </c>
      <c r="AJ6" s="88" t="e">
        <f t="shared" ca="1" si="0"/>
        <v>#VALUE!</v>
      </c>
      <c r="AK6" s="88" t="e">
        <f t="shared" ca="1" si="0"/>
        <v>#VALUE!</v>
      </c>
      <c r="AL6" s="88" t="e">
        <f t="shared" ca="1" si="0"/>
        <v>#VALUE!</v>
      </c>
      <c r="AM6" s="88" t="e">
        <f t="shared" ca="1" si="0"/>
        <v>#VALUE!</v>
      </c>
      <c r="AN6" s="88" t="e">
        <f t="shared" ca="1" si="0"/>
        <v>#VALUE!</v>
      </c>
      <c r="AO6" s="88" t="e">
        <f t="shared" ca="1" si="0"/>
        <v>#VALUE!</v>
      </c>
      <c r="AP6" s="88" t="e">
        <f t="shared" ca="1" si="0"/>
        <v>#VALUE!</v>
      </c>
      <c r="AQ6" s="88" t="e">
        <f t="shared" ca="1" si="0"/>
        <v>#VALUE!</v>
      </c>
      <c r="AR6" s="88" t="e">
        <f t="shared" ca="1" si="0"/>
        <v>#VALUE!</v>
      </c>
      <c r="AS6" s="88" t="e">
        <f t="shared" ca="1" si="0"/>
        <v>#VALUE!</v>
      </c>
      <c r="AT6" s="88" t="e">
        <f t="shared" ca="1" si="0"/>
        <v>#VALUE!</v>
      </c>
      <c r="AU6" s="88" t="e">
        <f t="shared" ca="1" si="0"/>
        <v>#VALUE!</v>
      </c>
      <c r="AV6" s="88" t="e">
        <f t="shared" ca="1" si="0"/>
        <v>#VALUE!</v>
      </c>
      <c r="AW6" s="88" t="e">
        <f t="shared" ca="1" si="0"/>
        <v>#VALUE!</v>
      </c>
      <c r="AX6" s="88" t="e">
        <f t="shared" ca="1" si="0"/>
        <v>#VALUE!</v>
      </c>
      <c r="AY6" s="88" t="e">
        <f t="shared" ca="1" si="0"/>
        <v>#VALUE!</v>
      </c>
      <c r="AZ6" s="88" t="e">
        <f t="shared" ca="1" si="0"/>
        <v>#VALUE!</v>
      </c>
      <c r="BA6" s="88" t="e">
        <f t="shared" ca="1" si="0"/>
        <v>#VALUE!</v>
      </c>
      <c r="BB6" s="88" t="e">
        <f t="shared" ca="1" si="0"/>
        <v>#VALUE!</v>
      </c>
      <c r="BC6" s="88" t="e">
        <f t="shared" ca="1" si="0"/>
        <v>#VALUE!</v>
      </c>
      <c r="BD6" s="88" t="e">
        <f t="shared" ca="1" si="0"/>
        <v>#VALUE!</v>
      </c>
      <c r="BE6" s="88" t="e">
        <f t="shared" ca="1" si="0"/>
        <v>#VALUE!</v>
      </c>
      <c r="BF6" s="88" t="e">
        <f t="shared" ca="1" si="0"/>
        <v>#VALUE!</v>
      </c>
      <c r="BG6" s="88" t="e">
        <f t="shared" ca="1" si="0"/>
        <v>#VALUE!</v>
      </c>
      <c r="BH6" s="88" t="e">
        <f t="shared" ca="1" si="0"/>
        <v>#VALUE!</v>
      </c>
      <c r="BI6" s="88" t="e">
        <f t="shared" ca="1" si="0"/>
        <v>#VALUE!</v>
      </c>
      <c r="BJ6" s="88" t="e">
        <f t="shared" ca="1" si="0"/>
        <v>#VALUE!</v>
      </c>
      <c r="BK6" s="88" t="e">
        <f t="shared" ca="1" si="0"/>
        <v>#VALUE!</v>
      </c>
      <c r="BL6" s="88" t="e">
        <f t="shared" ca="1" si="0"/>
        <v>#VALUE!</v>
      </c>
      <c r="BM6" s="88" t="e">
        <f t="shared" ca="1" si="0"/>
        <v>#VALUE!</v>
      </c>
      <c r="BN6" s="88" t="e">
        <f t="shared" ca="1" si="0"/>
        <v>#VALUE!</v>
      </c>
      <c r="BO6" s="88" t="e">
        <f t="shared" ca="1" si="0"/>
        <v>#VALUE!</v>
      </c>
      <c r="BP6" s="88" t="e">
        <f t="shared" ca="1" si="0"/>
        <v>#VALUE!</v>
      </c>
      <c r="BQ6" s="88" t="e">
        <f t="shared" ca="1" si="0"/>
        <v>#VALUE!</v>
      </c>
      <c r="BR6" s="88" t="e">
        <f t="shared" ca="1" si="0"/>
        <v>#VALUE!</v>
      </c>
      <c r="BS6" s="88" t="e">
        <f t="shared" ca="1" si="0"/>
        <v>#VALUE!</v>
      </c>
      <c r="BT6" s="88" t="e">
        <f t="shared" ca="1" si="0"/>
        <v>#VALUE!</v>
      </c>
      <c r="BU6" s="88" t="e">
        <f t="shared" ca="1" si="0"/>
        <v>#VALUE!</v>
      </c>
      <c r="BV6" s="88" t="e">
        <f ca="1">+(BV5/1000000)*$J$6</f>
        <v>#VALUE!</v>
      </c>
      <c r="BW6" s="88" t="e">
        <f ca="1">+(BW5/1000000)*$J$6</f>
        <v>#VALUE!</v>
      </c>
      <c r="BX6" s="88" t="e">
        <f t="shared" ref="BX6:EA6" ca="1" si="1">+(BX5/1000000)*$J$6</f>
        <v>#VALUE!</v>
      </c>
      <c r="BY6" s="88" t="e">
        <f t="shared" ca="1" si="1"/>
        <v>#VALUE!</v>
      </c>
      <c r="BZ6" s="88" t="e">
        <f t="shared" ca="1" si="1"/>
        <v>#VALUE!</v>
      </c>
      <c r="CA6" s="88" t="e">
        <f t="shared" ca="1" si="1"/>
        <v>#VALUE!</v>
      </c>
      <c r="CB6" s="88" t="e">
        <f t="shared" ca="1" si="1"/>
        <v>#VALUE!</v>
      </c>
      <c r="CC6" s="88" t="e">
        <f t="shared" ca="1" si="1"/>
        <v>#VALUE!</v>
      </c>
      <c r="CD6" s="88" t="e">
        <f t="shared" ca="1" si="1"/>
        <v>#VALUE!</v>
      </c>
      <c r="CE6" s="88" t="e">
        <f t="shared" ca="1" si="1"/>
        <v>#VALUE!</v>
      </c>
      <c r="CF6" s="88" t="e">
        <f t="shared" ca="1" si="1"/>
        <v>#VALUE!</v>
      </c>
      <c r="CG6" s="88" t="e">
        <f t="shared" ca="1" si="1"/>
        <v>#VALUE!</v>
      </c>
      <c r="CH6" s="88" t="e">
        <f t="shared" ca="1" si="1"/>
        <v>#VALUE!</v>
      </c>
      <c r="CI6" s="88" t="e">
        <f t="shared" ca="1" si="1"/>
        <v>#VALUE!</v>
      </c>
      <c r="CJ6" s="88" t="e">
        <f t="shared" ca="1" si="1"/>
        <v>#VALUE!</v>
      </c>
      <c r="CK6" s="88" t="e">
        <f t="shared" ca="1" si="1"/>
        <v>#VALUE!</v>
      </c>
      <c r="CL6" s="88" t="e">
        <f t="shared" ca="1" si="1"/>
        <v>#VALUE!</v>
      </c>
      <c r="CM6" s="88" t="e">
        <f t="shared" ca="1" si="1"/>
        <v>#VALUE!</v>
      </c>
      <c r="CN6" s="88" t="e">
        <f t="shared" ca="1" si="1"/>
        <v>#VALUE!</v>
      </c>
      <c r="CO6" s="88" t="e">
        <f t="shared" ca="1" si="1"/>
        <v>#VALUE!</v>
      </c>
      <c r="CP6" s="88" t="e">
        <f t="shared" ca="1" si="1"/>
        <v>#VALUE!</v>
      </c>
      <c r="CQ6" s="88" t="e">
        <f t="shared" ca="1" si="1"/>
        <v>#VALUE!</v>
      </c>
      <c r="CR6" s="88" t="e">
        <f t="shared" ca="1" si="1"/>
        <v>#VALUE!</v>
      </c>
      <c r="CS6" s="88" t="e">
        <f t="shared" ca="1" si="1"/>
        <v>#VALUE!</v>
      </c>
      <c r="CT6" s="88" t="e">
        <f t="shared" ca="1" si="1"/>
        <v>#VALUE!</v>
      </c>
      <c r="CU6" s="88" t="e">
        <f t="shared" ca="1" si="1"/>
        <v>#VALUE!</v>
      </c>
      <c r="CV6" s="88" t="e">
        <f t="shared" ca="1" si="1"/>
        <v>#VALUE!</v>
      </c>
      <c r="CW6" s="88" t="e">
        <f t="shared" ca="1" si="1"/>
        <v>#VALUE!</v>
      </c>
      <c r="CX6" s="88" t="e">
        <f t="shared" ca="1" si="1"/>
        <v>#VALUE!</v>
      </c>
      <c r="CY6" s="88" t="e">
        <f t="shared" ca="1" si="1"/>
        <v>#VALUE!</v>
      </c>
      <c r="CZ6" s="88" t="e">
        <f t="shared" ca="1" si="1"/>
        <v>#VALUE!</v>
      </c>
      <c r="DA6" s="88" t="e">
        <f t="shared" ca="1" si="1"/>
        <v>#VALUE!</v>
      </c>
      <c r="DB6" s="88" t="e">
        <f t="shared" ca="1" si="1"/>
        <v>#VALUE!</v>
      </c>
      <c r="DC6" s="88" t="e">
        <f t="shared" ca="1" si="1"/>
        <v>#VALUE!</v>
      </c>
      <c r="DD6" s="88" t="e">
        <f t="shared" ca="1" si="1"/>
        <v>#VALUE!</v>
      </c>
      <c r="DE6" s="88" t="e">
        <f t="shared" ca="1" si="1"/>
        <v>#VALUE!</v>
      </c>
      <c r="DF6" s="88" t="e">
        <f t="shared" ca="1" si="1"/>
        <v>#VALUE!</v>
      </c>
      <c r="DG6" s="88" t="e">
        <f t="shared" ca="1" si="1"/>
        <v>#VALUE!</v>
      </c>
      <c r="DH6" s="88" t="e">
        <f t="shared" ca="1" si="1"/>
        <v>#VALUE!</v>
      </c>
      <c r="DI6" s="88" t="e">
        <f t="shared" ca="1" si="1"/>
        <v>#VALUE!</v>
      </c>
      <c r="DJ6" s="88" t="e">
        <f t="shared" ca="1" si="1"/>
        <v>#VALUE!</v>
      </c>
      <c r="DK6" s="88" t="e">
        <f t="shared" ca="1" si="1"/>
        <v>#VALUE!</v>
      </c>
      <c r="DL6" s="88" t="e">
        <f t="shared" ca="1" si="1"/>
        <v>#VALUE!</v>
      </c>
      <c r="DM6" s="88" t="e">
        <f t="shared" ca="1" si="1"/>
        <v>#VALUE!</v>
      </c>
      <c r="DN6" s="88" t="e">
        <f t="shared" ca="1" si="1"/>
        <v>#VALUE!</v>
      </c>
      <c r="DO6" s="88" t="e">
        <f t="shared" ca="1" si="1"/>
        <v>#VALUE!</v>
      </c>
      <c r="DP6" s="88" t="e">
        <f t="shared" ca="1" si="1"/>
        <v>#VALUE!</v>
      </c>
      <c r="DQ6" s="88" t="e">
        <f t="shared" ca="1" si="1"/>
        <v>#VALUE!</v>
      </c>
      <c r="DR6" s="88" t="e">
        <f t="shared" ca="1" si="1"/>
        <v>#VALUE!</v>
      </c>
      <c r="DS6" s="88" t="e">
        <f t="shared" ca="1" si="1"/>
        <v>#VALUE!</v>
      </c>
      <c r="DT6" s="88" t="e">
        <f t="shared" ca="1" si="1"/>
        <v>#VALUE!</v>
      </c>
      <c r="DU6" s="88" t="e">
        <f t="shared" ca="1" si="1"/>
        <v>#VALUE!</v>
      </c>
      <c r="DV6" s="88" t="e">
        <f t="shared" ca="1" si="1"/>
        <v>#VALUE!</v>
      </c>
      <c r="DW6" s="88" t="e">
        <f t="shared" ca="1" si="1"/>
        <v>#VALUE!</v>
      </c>
      <c r="DX6" s="88" t="e">
        <f t="shared" ca="1" si="1"/>
        <v>#VALUE!</v>
      </c>
      <c r="DY6" s="88" t="e">
        <f t="shared" ca="1" si="1"/>
        <v>#VALUE!</v>
      </c>
      <c r="DZ6" s="88" t="e">
        <f t="shared" ca="1" si="1"/>
        <v>#VALUE!</v>
      </c>
      <c r="EA6" s="88" t="e">
        <f t="shared" ca="1" si="1"/>
        <v>#VALUE!</v>
      </c>
      <c r="EB6" s="88" t="e">
        <f ca="1">+(EB5/1000000)*$J$6</f>
        <v>#VALUE!</v>
      </c>
      <c r="EC6" s="88" t="e">
        <f ca="1">+(EC5/1000000)*$J$6</f>
        <v>#VALUE!</v>
      </c>
      <c r="ED6" s="88" t="e">
        <f t="shared" ref="ED6" ca="1" si="2">+(ED5/1000000)*$J$6</f>
        <v>#VALUE!</v>
      </c>
      <c r="EE6" s="88" t="e">
        <f t="shared" ref="EE6" ca="1" si="3">+(EE5/1000000)*$J$6</f>
        <v>#VALUE!</v>
      </c>
      <c r="EF6" s="88" t="e">
        <f t="shared" ref="EF6" ca="1" si="4">+(EF5/1000000)*$J$6</f>
        <v>#VALUE!</v>
      </c>
      <c r="EG6" s="88" t="e">
        <f t="shared" ref="EG6" ca="1" si="5">+(EG5/1000000)*$J$6</f>
        <v>#VALUE!</v>
      </c>
      <c r="EH6" s="88" t="e">
        <f t="shared" ref="EH6" ca="1" si="6">+(EH5/1000000)*$J$6</f>
        <v>#VALUE!</v>
      </c>
      <c r="EI6" s="88" t="e">
        <f t="shared" ref="EI6" ca="1" si="7">+(EI5/1000000)*$J$6</f>
        <v>#VALUE!</v>
      </c>
      <c r="EJ6" s="88" t="e">
        <f t="shared" ref="EJ6" ca="1" si="8">+(EJ5/1000000)*$J$6</f>
        <v>#VALUE!</v>
      </c>
      <c r="EK6" s="88" t="e">
        <f t="shared" ref="EK6" ca="1" si="9">+(EK5/1000000)*$J$6</f>
        <v>#VALUE!</v>
      </c>
      <c r="EL6" s="88" t="e">
        <f t="shared" ref="EL6" ca="1" si="10">+(EL5/1000000)*$J$6</f>
        <v>#VALUE!</v>
      </c>
      <c r="EM6" s="88" t="e">
        <f t="shared" ref="EM6" ca="1" si="11">+(EM5/1000000)*$J$6</f>
        <v>#VALUE!</v>
      </c>
      <c r="EN6" s="88" t="e">
        <f t="shared" ref="EN6" ca="1" si="12">+(EN5/1000000)*$J$6</f>
        <v>#VALUE!</v>
      </c>
      <c r="EO6" s="88" t="e">
        <f t="shared" ref="EO6" ca="1" si="13">+(EO5/1000000)*$J$6</f>
        <v>#VALUE!</v>
      </c>
      <c r="EP6" s="88" t="e">
        <f t="shared" ref="EP6" ca="1" si="14">+(EP5/1000000)*$J$6</f>
        <v>#VALUE!</v>
      </c>
      <c r="EQ6" s="88" t="e">
        <f t="shared" ref="EQ6" ca="1" si="15">+(EQ5/1000000)*$J$6</f>
        <v>#VALUE!</v>
      </c>
      <c r="ER6" s="88" t="e">
        <f t="shared" ref="ER6" ca="1" si="16">+(ER5/1000000)*$J$6</f>
        <v>#VALUE!</v>
      </c>
      <c r="ES6" s="88" t="e">
        <f t="shared" ref="ES6" ca="1" si="17">+(ES5/1000000)*$J$6</f>
        <v>#VALUE!</v>
      </c>
      <c r="ET6" s="88" t="e">
        <f t="shared" ref="ET6" ca="1" si="18">+(ET5/1000000)*$J$6</f>
        <v>#VALUE!</v>
      </c>
      <c r="EU6" s="88" t="e">
        <f t="shared" ref="EU6" ca="1" si="19">+(EU5/1000000)*$J$6</f>
        <v>#VALUE!</v>
      </c>
      <c r="EV6" s="88" t="e">
        <f t="shared" ref="EV6" ca="1" si="20">+(EV5/1000000)*$J$6</f>
        <v>#VALUE!</v>
      </c>
      <c r="EW6" s="88" t="e">
        <f t="shared" ref="EW6" ca="1" si="21">+(EW5/1000000)*$J$6</f>
        <v>#VALUE!</v>
      </c>
      <c r="EX6" s="88" t="e">
        <f t="shared" ref="EX6" ca="1" si="22">+(EX5/1000000)*$J$6</f>
        <v>#VALUE!</v>
      </c>
      <c r="EY6" s="88" t="e">
        <f t="shared" ref="EY6" ca="1" si="23">+(EY5/1000000)*$J$6</f>
        <v>#VALUE!</v>
      </c>
      <c r="EZ6" s="88" t="e">
        <f t="shared" ref="EZ6" ca="1" si="24">+(EZ5/1000000)*$J$6</f>
        <v>#VALUE!</v>
      </c>
      <c r="FA6" s="88" t="e">
        <f t="shared" ref="FA6" ca="1" si="25">+(FA5/1000000)*$J$6</f>
        <v>#VALUE!</v>
      </c>
      <c r="FB6" s="88" t="e">
        <f t="shared" ref="FB6" ca="1" si="26">+(FB5/1000000)*$J$6</f>
        <v>#VALUE!</v>
      </c>
      <c r="FC6" s="88" t="e">
        <f t="shared" ref="FC6" ca="1" si="27">+(FC5/1000000)*$J$6</f>
        <v>#VALUE!</v>
      </c>
      <c r="FD6" s="88" t="e">
        <f t="shared" ref="FD6" ca="1" si="28">+(FD5/1000000)*$J$6</f>
        <v>#VALUE!</v>
      </c>
      <c r="FE6" s="88" t="e">
        <f t="shared" ref="FE6" ca="1" si="29">+(FE5/1000000)*$J$6</f>
        <v>#VALUE!</v>
      </c>
      <c r="FF6" s="88" t="e">
        <f t="shared" ref="FF6" ca="1" si="30">+(FF5/1000000)*$J$6</f>
        <v>#VALUE!</v>
      </c>
      <c r="FG6" s="88" t="e">
        <f t="shared" ref="FG6" ca="1" si="31">+(FG5/1000000)*$J$6</f>
        <v>#VALUE!</v>
      </c>
      <c r="FH6" s="88" t="e">
        <f t="shared" ref="FH6" ca="1" si="32">+(FH5/1000000)*$J$6</f>
        <v>#VALUE!</v>
      </c>
      <c r="FI6" s="88" t="e">
        <f t="shared" ref="FI6" ca="1" si="33">+(FI5/1000000)*$J$6</f>
        <v>#VALUE!</v>
      </c>
      <c r="FJ6" s="88" t="e">
        <f t="shared" ref="FJ6" ca="1" si="34">+(FJ5/1000000)*$J$6</f>
        <v>#VALUE!</v>
      </c>
      <c r="FK6" s="88" t="e">
        <f t="shared" ref="FK6" ca="1" si="35">+(FK5/1000000)*$J$6</f>
        <v>#VALUE!</v>
      </c>
      <c r="FL6" s="88" t="e">
        <f t="shared" ref="FL6" ca="1" si="36">+(FL5/1000000)*$J$6</f>
        <v>#VALUE!</v>
      </c>
      <c r="FM6" s="88" t="e">
        <f t="shared" ref="FM6" ca="1" si="37">+(FM5/1000000)*$J$6</f>
        <v>#VALUE!</v>
      </c>
      <c r="FN6" s="88" t="e">
        <f t="shared" ref="FN6" ca="1" si="38">+(FN5/1000000)*$J$6</f>
        <v>#VALUE!</v>
      </c>
      <c r="FO6" s="88" t="e">
        <f t="shared" ref="FO6" ca="1" si="39">+(FO5/1000000)*$J$6</f>
        <v>#VALUE!</v>
      </c>
      <c r="FP6" s="88" t="e">
        <f t="shared" ref="FP6" ca="1" si="40">+(FP5/1000000)*$J$6</f>
        <v>#VALUE!</v>
      </c>
      <c r="FQ6" s="88" t="e">
        <f t="shared" ref="FQ6" ca="1" si="41">+(FQ5/1000000)*$J$6</f>
        <v>#VALUE!</v>
      </c>
      <c r="FR6" s="88" t="e">
        <f t="shared" ref="FR6" ca="1" si="42">+(FR5/1000000)*$J$6</f>
        <v>#VALUE!</v>
      </c>
      <c r="FS6" s="88" t="e">
        <f t="shared" ref="FS6" ca="1" si="43">+(FS5/1000000)*$J$6</f>
        <v>#VALUE!</v>
      </c>
      <c r="FT6" s="88" t="e">
        <f t="shared" ref="FT6" ca="1" si="44">+(FT5/1000000)*$J$6</f>
        <v>#VALUE!</v>
      </c>
      <c r="FU6" s="88" t="e">
        <f t="shared" ref="FU6" ca="1" si="45">+(FU5/1000000)*$J$6</f>
        <v>#VALUE!</v>
      </c>
      <c r="FV6" s="88" t="e">
        <f t="shared" ref="FV6" ca="1" si="46">+(FV5/1000000)*$J$6</f>
        <v>#VALUE!</v>
      </c>
      <c r="FW6" s="88" t="e">
        <f t="shared" ref="FW6" ca="1" si="47">+(FW5/1000000)*$J$6</f>
        <v>#VALUE!</v>
      </c>
      <c r="FX6" s="88" t="e">
        <f t="shared" ref="FX6" ca="1" si="48">+(FX5/1000000)*$J$6</f>
        <v>#VALUE!</v>
      </c>
      <c r="FY6" s="88" t="e">
        <f t="shared" ref="FY6" ca="1" si="49">+(FY5/1000000)*$J$6</f>
        <v>#VALUE!</v>
      </c>
      <c r="FZ6" s="88" t="e">
        <f t="shared" ref="FZ6" ca="1" si="50">+(FZ5/1000000)*$J$6</f>
        <v>#VALUE!</v>
      </c>
      <c r="GA6" s="88" t="e">
        <f t="shared" ref="GA6" ca="1" si="51">+(GA5/1000000)*$J$6</f>
        <v>#VALUE!</v>
      </c>
      <c r="GB6" s="88" t="e">
        <f t="shared" ref="GB6" ca="1" si="52">+(GB5/1000000)*$J$6</f>
        <v>#VALUE!</v>
      </c>
      <c r="GC6" s="88" t="e">
        <f t="shared" ref="GC6" ca="1" si="53">+(GC5/1000000)*$J$6</f>
        <v>#VALUE!</v>
      </c>
      <c r="GD6" s="88" t="e">
        <f t="shared" ref="GD6" ca="1" si="54">+(GD5/1000000)*$J$6</f>
        <v>#VALUE!</v>
      </c>
      <c r="GE6" s="88" t="e">
        <f t="shared" ref="GE6" ca="1" si="55">+(GE5/1000000)*$J$6</f>
        <v>#VALUE!</v>
      </c>
      <c r="GF6" s="88" t="e">
        <f t="shared" ref="GF6" ca="1" si="56">+(GF5/1000000)*$J$6</f>
        <v>#VALUE!</v>
      </c>
      <c r="GG6" s="88" t="e">
        <f t="shared" ref="GG6" ca="1" si="57">+(GG5/1000000)*$J$6</f>
        <v>#VALUE!</v>
      </c>
      <c r="GH6" s="88" t="e">
        <f t="shared" ref="GH6" ca="1" si="58">+(GH5/1000000)*$J$6</f>
        <v>#VALUE!</v>
      </c>
      <c r="GI6" s="88" t="e">
        <f t="shared" ref="GI6" ca="1" si="59">+(GI5/1000000)*$J$6</f>
        <v>#VALUE!</v>
      </c>
    </row>
    <row r="7" spans="2:191" ht="20.100000000000001" customHeight="1" x14ac:dyDescent="0.3">
      <c r="B7" s="218" t="s">
        <v>720</v>
      </c>
      <c r="C7" s="218"/>
      <c r="D7" s="101">
        <f ca="1">TODAY()</f>
        <v>46301</v>
      </c>
      <c r="E7" s="88"/>
      <c r="F7" s="218" t="s">
        <v>721</v>
      </c>
      <c r="G7" s="218"/>
      <c r="H7" s="93" t="str">
        <f ca="1">IFERROR(IF(PréstamoPagado,PagoMensual*NúmeroDePagos,""), "")</f>
        <v/>
      </c>
      <c r="K7" s="88" t="s">
        <v>11</v>
      </c>
      <c r="L7" s="88" t="e">
        <f ca="1">+L3+L4+L6</f>
        <v>#VALUE!</v>
      </c>
      <c r="M7" s="88" t="e">
        <f t="shared" ref="M7:BX7" ca="1" si="60">+M3+M4+M6</f>
        <v>#VALUE!</v>
      </c>
      <c r="N7" s="88" t="e">
        <f t="shared" ca="1" si="60"/>
        <v>#VALUE!</v>
      </c>
      <c r="O7" s="88" t="e">
        <f t="shared" ca="1" si="60"/>
        <v>#VALUE!</v>
      </c>
      <c r="P7" s="88" t="e">
        <f t="shared" ca="1" si="60"/>
        <v>#VALUE!</v>
      </c>
      <c r="Q7" s="88" t="e">
        <f t="shared" ca="1" si="60"/>
        <v>#VALUE!</v>
      </c>
      <c r="R7" s="88" t="e">
        <f t="shared" ca="1" si="60"/>
        <v>#VALUE!</v>
      </c>
      <c r="S7" s="88" t="e">
        <f t="shared" ca="1" si="60"/>
        <v>#VALUE!</v>
      </c>
      <c r="T7" s="88" t="e">
        <f t="shared" ca="1" si="60"/>
        <v>#VALUE!</v>
      </c>
      <c r="U7" s="88" t="e">
        <f t="shared" ca="1" si="60"/>
        <v>#VALUE!</v>
      </c>
      <c r="V7" s="88" t="e">
        <f t="shared" ca="1" si="60"/>
        <v>#VALUE!</v>
      </c>
      <c r="W7" s="88" t="e">
        <f t="shared" ca="1" si="60"/>
        <v>#VALUE!</v>
      </c>
      <c r="X7" s="88" t="e">
        <f t="shared" ca="1" si="60"/>
        <v>#VALUE!</v>
      </c>
      <c r="Y7" s="88" t="e">
        <f t="shared" ca="1" si="60"/>
        <v>#VALUE!</v>
      </c>
      <c r="Z7" s="88" t="e">
        <f t="shared" ca="1" si="60"/>
        <v>#VALUE!</v>
      </c>
      <c r="AA7" s="88" t="e">
        <f t="shared" ca="1" si="60"/>
        <v>#VALUE!</v>
      </c>
      <c r="AB7" s="88" t="e">
        <f t="shared" ca="1" si="60"/>
        <v>#VALUE!</v>
      </c>
      <c r="AC7" s="88" t="e">
        <f t="shared" ca="1" si="60"/>
        <v>#VALUE!</v>
      </c>
      <c r="AD7" s="88" t="e">
        <f t="shared" ca="1" si="60"/>
        <v>#VALUE!</v>
      </c>
      <c r="AE7" s="88" t="e">
        <f t="shared" ca="1" si="60"/>
        <v>#VALUE!</v>
      </c>
      <c r="AF7" s="88" t="e">
        <f t="shared" ca="1" si="60"/>
        <v>#VALUE!</v>
      </c>
      <c r="AG7" s="88" t="e">
        <f t="shared" ca="1" si="60"/>
        <v>#VALUE!</v>
      </c>
      <c r="AH7" s="88" t="e">
        <f t="shared" ca="1" si="60"/>
        <v>#VALUE!</v>
      </c>
      <c r="AI7" s="88" t="e">
        <f t="shared" ca="1" si="60"/>
        <v>#VALUE!</v>
      </c>
      <c r="AJ7" s="88" t="e">
        <f t="shared" ca="1" si="60"/>
        <v>#VALUE!</v>
      </c>
      <c r="AK7" s="88" t="e">
        <f t="shared" ca="1" si="60"/>
        <v>#VALUE!</v>
      </c>
      <c r="AL7" s="88" t="e">
        <f t="shared" ca="1" si="60"/>
        <v>#VALUE!</v>
      </c>
      <c r="AM7" s="88" t="e">
        <f t="shared" ca="1" si="60"/>
        <v>#VALUE!</v>
      </c>
      <c r="AN7" s="88" t="e">
        <f t="shared" ca="1" si="60"/>
        <v>#VALUE!</v>
      </c>
      <c r="AO7" s="88" t="e">
        <f t="shared" ca="1" si="60"/>
        <v>#VALUE!</v>
      </c>
      <c r="AP7" s="88" t="e">
        <f t="shared" ca="1" si="60"/>
        <v>#VALUE!</v>
      </c>
      <c r="AQ7" s="88" t="e">
        <f t="shared" ca="1" si="60"/>
        <v>#VALUE!</v>
      </c>
      <c r="AR7" s="88" t="e">
        <f t="shared" ca="1" si="60"/>
        <v>#VALUE!</v>
      </c>
      <c r="AS7" s="88" t="e">
        <f t="shared" ca="1" si="60"/>
        <v>#VALUE!</v>
      </c>
      <c r="AT7" s="88" t="e">
        <f t="shared" ca="1" si="60"/>
        <v>#VALUE!</v>
      </c>
      <c r="AU7" s="88" t="e">
        <f t="shared" ca="1" si="60"/>
        <v>#VALUE!</v>
      </c>
      <c r="AV7" s="88" t="e">
        <f t="shared" ca="1" si="60"/>
        <v>#VALUE!</v>
      </c>
      <c r="AW7" s="88" t="e">
        <f t="shared" ca="1" si="60"/>
        <v>#VALUE!</v>
      </c>
      <c r="AX7" s="88" t="e">
        <f t="shared" ca="1" si="60"/>
        <v>#VALUE!</v>
      </c>
      <c r="AY7" s="88" t="e">
        <f t="shared" ca="1" si="60"/>
        <v>#VALUE!</v>
      </c>
      <c r="AZ7" s="88" t="e">
        <f t="shared" ca="1" si="60"/>
        <v>#VALUE!</v>
      </c>
      <c r="BA7" s="88" t="e">
        <f t="shared" ca="1" si="60"/>
        <v>#VALUE!</v>
      </c>
      <c r="BB7" s="88" t="e">
        <f t="shared" ca="1" si="60"/>
        <v>#VALUE!</v>
      </c>
      <c r="BC7" s="88" t="e">
        <f t="shared" ca="1" si="60"/>
        <v>#VALUE!</v>
      </c>
      <c r="BD7" s="88" t="e">
        <f t="shared" ca="1" si="60"/>
        <v>#VALUE!</v>
      </c>
      <c r="BE7" s="88" t="e">
        <f t="shared" ca="1" si="60"/>
        <v>#VALUE!</v>
      </c>
      <c r="BF7" s="88" t="e">
        <f t="shared" ca="1" si="60"/>
        <v>#VALUE!</v>
      </c>
      <c r="BG7" s="88" t="e">
        <f t="shared" ca="1" si="60"/>
        <v>#VALUE!</v>
      </c>
      <c r="BH7" s="88" t="e">
        <f t="shared" ca="1" si="60"/>
        <v>#VALUE!</v>
      </c>
      <c r="BI7" s="88" t="e">
        <f t="shared" ca="1" si="60"/>
        <v>#VALUE!</v>
      </c>
      <c r="BJ7" s="88" t="e">
        <f t="shared" ca="1" si="60"/>
        <v>#VALUE!</v>
      </c>
      <c r="BK7" s="88" t="e">
        <f t="shared" ca="1" si="60"/>
        <v>#VALUE!</v>
      </c>
      <c r="BL7" s="88" t="e">
        <f t="shared" ca="1" si="60"/>
        <v>#VALUE!</v>
      </c>
      <c r="BM7" s="88" t="e">
        <f t="shared" ca="1" si="60"/>
        <v>#VALUE!</v>
      </c>
      <c r="BN7" s="88" t="e">
        <f t="shared" ca="1" si="60"/>
        <v>#VALUE!</v>
      </c>
      <c r="BO7" s="88" t="e">
        <f t="shared" ca="1" si="60"/>
        <v>#VALUE!</v>
      </c>
      <c r="BP7" s="88" t="e">
        <f t="shared" ca="1" si="60"/>
        <v>#VALUE!</v>
      </c>
      <c r="BQ7" s="88" t="e">
        <f t="shared" ca="1" si="60"/>
        <v>#VALUE!</v>
      </c>
      <c r="BR7" s="88" t="e">
        <f t="shared" ca="1" si="60"/>
        <v>#VALUE!</v>
      </c>
      <c r="BS7" s="88" t="e">
        <f t="shared" ca="1" si="60"/>
        <v>#VALUE!</v>
      </c>
      <c r="BT7" s="88" t="e">
        <f t="shared" ca="1" si="60"/>
        <v>#VALUE!</v>
      </c>
      <c r="BU7" s="88" t="e">
        <f t="shared" ca="1" si="60"/>
        <v>#VALUE!</v>
      </c>
      <c r="BV7" s="88" t="e">
        <f t="shared" ca="1" si="60"/>
        <v>#VALUE!</v>
      </c>
      <c r="BW7" s="88" t="e">
        <f t="shared" ca="1" si="60"/>
        <v>#VALUE!</v>
      </c>
      <c r="BX7" s="88" t="e">
        <f t="shared" ca="1" si="60"/>
        <v>#VALUE!</v>
      </c>
      <c r="BY7" s="88" t="e">
        <f t="shared" ref="BY7:EJ7" ca="1" si="61">+BY3+BY4+BY6</f>
        <v>#VALUE!</v>
      </c>
      <c r="BZ7" s="88" t="e">
        <f t="shared" ca="1" si="61"/>
        <v>#VALUE!</v>
      </c>
      <c r="CA7" s="88" t="e">
        <f t="shared" ca="1" si="61"/>
        <v>#VALUE!</v>
      </c>
      <c r="CB7" s="88" t="e">
        <f t="shared" ca="1" si="61"/>
        <v>#VALUE!</v>
      </c>
      <c r="CC7" s="88" t="e">
        <f t="shared" ca="1" si="61"/>
        <v>#VALUE!</v>
      </c>
      <c r="CD7" s="88" t="e">
        <f t="shared" ca="1" si="61"/>
        <v>#VALUE!</v>
      </c>
      <c r="CE7" s="88" t="e">
        <f t="shared" ca="1" si="61"/>
        <v>#VALUE!</v>
      </c>
      <c r="CF7" s="88" t="e">
        <f t="shared" ca="1" si="61"/>
        <v>#VALUE!</v>
      </c>
      <c r="CG7" s="88" t="e">
        <f t="shared" ca="1" si="61"/>
        <v>#VALUE!</v>
      </c>
      <c r="CH7" s="88" t="e">
        <f t="shared" ca="1" si="61"/>
        <v>#VALUE!</v>
      </c>
      <c r="CI7" s="88" t="e">
        <f t="shared" ca="1" si="61"/>
        <v>#VALUE!</v>
      </c>
      <c r="CJ7" s="88" t="e">
        <f t="shared" ca="1" si="61"/>
        <v>#VALUE!</v>
      </c>
      <c r="CK7" s="88" t="e">
        <f t="shared" ca="1" si="61"/>
        <v>#VALUE!</v>
      </c>
      <c r="CL7" s="88" t="e">
        <f t="shared" ca="1" si="61"/>
        <v>#VALUE!</v>
      </c>
      <c r="CM7" s="88" t="e">
        <f t="shared" ca="1" si="61"/>
        <v>#VALUE!</v>
      </c>
      <c r="CN7" s="88" t="e">
        <f t="shared" ca="1" si="61"/>
        <v>#VALUE!</v>
      </c>
      <c r="CO7" s="88" t="e">
        <f t="shared" ca="1" si="61"/>
        <v>#VALUE!</v>
      </c>
      <c r="CP7" s="88" t="e">
        <f t="shared" ca="1" si="61"/>
        <v>#VALUE!</v>
      </c>
      <c r="CQ7" s="88" t="e">
        <f t="shared" ca="1" si="61"/>
        <v>#VALUE!</v>
      </c>
      <c r="CR7" s="88" t="e">
        <f t="shared" ca="1" si="61"/>
        <v>#VALUE!</v>
      </c>
      <c r="CS7" s="88" t="e">
        <f t="shared" ca="1" si="61"/>
        <v>#VALUE!</v>
      </c>
      <c r="CT7" s="88" t="e">
        <f t="shared" ca="1" si="61"/>
        <v>#VALUE!</v>
      </c>
      <c r="CU7" s="88" t="e">
        <f t="shared" ca="1" si="61"/>
        <v>#VALUE!</v>
      </c>
      <c r="CV7" s="88" t="e">
        <f t="shared" ca="1" si="61"/>
        <v>#VALUE!</v>
      </c>
      <c r="CW7" s="88" t="e">
        <f t="shared" ca="1" si="61"/>
        <v>#VALUE!</v>
      </c>
      <c r="CX7" s="88" t="e">
        <f t="shared" ca="1" si="61"/>
        <v>#VALUE!</v>
      </c>
      <c r="CY7" s="88" t="e">
        <f t="shared" ca="1" si="61"/>
        <v>#VALUE!</v>
      </c>
      <c r="CZ7" s="88" t="e">
        <f t="shared" ca="1" si="61"/>
        <v>#VALUE!</v>
      </c>
      <c r="DA7" s="88" t="e">
        <f t="shared" ca="1" si="61"/>
        <v>#VALUE!</v>
      </c>
      <c r="DB7" s="88" t="e">
        <f t="shared" ca="1" si="61"/>
        <v>#VALUE!</v>
      </c>
      <c r="DC7" s="88" t="e">
        <f t="shared" ca="1" si="61"/>
        <v>#VALUE!</v>
      </c>
      <c r="DD7" s="88" t="e">
        <f t="shared" ca="1" si="61"/>
        <v>#VALUE!</v>
      </c>
      <c r="DE7" s="88" t="e">
        <f t="shared" ca="1" si="61"/>
        <v>#VALUE!</v>
      </c>
      <c r="DF7" s="88" t="e">
        <f t="shared" ca="1" si="61"/>
        <v>#VALUE!</v>
      </c>
      <c r="DG7" s="88" t="e">
        <f t="shared" ca="1" si="61"/>
        <v>#VALUE!</v>
      </c>
      <c r="DH7" s="88" t="e">
        <f t="shared" ca="1" si="61"/>
        <v>#VALUE!</v>
      </c>
      <c r="DI7" s="88" t="e">
        <f t="shared" ca="1" si="61"/>
        <v>#VALUE!</v>
      </c>
      <c r="DJ7" s="88" t="e">
        <f t="shared" ca="1" si="61"/>
        <v>#VALUE!</v>
      </c>
      <c r="DK7" s="88" t="e">
        <f t="shared" ca="1" si="61"/>
        <v>#VALUE!</v>
      </c>
      <c r="DL7" s="88" t="e">
        <f t="shared" ca="1" si="61"/>
        <v>#VALUE!</v>
      </c>
      <c r="DM7" s="88" t="e">
        <f t="shared" ca="1" si="61"/>
        <v>#VALUE!</v>
      </c>
      <c r="DN7" s="88" t="e">
        <f t="shared" ca="1" si="61"/>
        <v>#VALUE!</v>
      </c>
      <c r="DO7" s="88" t="e">
        <f t="shared" ca="1" si="61"/>
        <v>#VALUE!</v>
      </c>
      <c r="DP7" s="88" t="e">
        <f t="shared" ca="1" si="61"/>
        <v>#VALUE!</v>
      </c>
      <c r="DQ7" s="88" t="e">
        <f t="shared" ca="1" si="61"/>
        <v>#VALUE!</v>
      </c>
      <c r="DR7" s="88" t="e">
        <f t="shared" ca="1" si="61"/>
        <v>#VALUE!</v>
      </c>
      <c r="DS7" s="88" t="e">
        <f t="shared" ca="1" si="61"/>
        <v>#VALUE!</v>
      </c>
      <c r="DT7" s="88" t="e">
        <f t="shared" ca="1" si="61"/>
        <v>#VALUE!</v>
      </c>
      <c r="DU7" s="88" t="e">
        <f t="shared" ca="1" si="61"/>
        <v>#VALUE!</v>
      </c>
      <c r="DV7" s="88" t="e">
        <f t="shared" ca="1" si="61"/>
        <v>#VALUE!</v>
      </c>
      <c r="DW7" s="88" t="e">
        <f t="shared" ca="1" si="61"/>
        <v>#VALUE!</v>
      </c>
      <c r="DX7" s="88" t="e">
        <f t="shared" ca="1" si="61"/>
        <v>#VALUE!</v>
      </c>
      <c r="DY7" s="88" t="e">
        <f t="shared" ca="1" si="61"/>
        <v>#VALUE!</v>
      </c>
      <c r="DZ7" s="88" t="e">
        <f t="shared" ca="1" si="61"/>
        <v>#VALUE!</v>
      </c>
      <c r="EA7" s="88" t="e">
        <f t="shared" ca="1" si="61"/>
        <v>#VALUE!</v>
      </c>
      <c r="EB7" s="88" t="e">
        <f t="shared" ca="1" si="61"/>
        <v>#VALUE!</v>
      </c>
      <c r="EC7" s="88" t="e">
        <f t="shared" ca="1" si="61"/>
        <v>#VALUE!</v>
      </c>
      <c r="ED7" s="88" t="e">
        <f t="shared" ca="1" si="61"/>
        <v>#VALUE!</v>
      </c>
      <c r="EE7" s="88" t="e">
        <f t="shared" ca="1" si="61"/>
        <v>#VALUE!</v>
      </c>
      <c r="EF7" s="88" t="e">
        <f t="shared" ca="1" si="61"/>
        <v>#VALUE!</v>
      </c>
      <c r="EG7" s="88" t="e">
        <f t="shared" ca="1" si="61"/>
        <v>#VALUE!</v>
      </c>
      <c r="EH7" s="88" t="e">
        <f t="shared" ca="1" si="61"/>
        <v>#VALUE!</v>
      </c>
      <c r="EI7" s="88" t="e">
        <f t="shared" ca="1" si="61"/>
        <v>#VALUE!</v>
      </c>
      <c r="EJ7" s="88" t="e">
        <f t="shared" ca="1" si="61"/>
        <v>#VALUE!</v>
      </c>
      <c r="EK7" s="88" t="e">
        <f t="shared" ref="EK7:GI7" ca="1" si="62">+EK3+EK4+EK6</f>
        <v>#VALUE!</v>
      </c>
      <c r="EL7" s="88" t="e">
        <f t="shared" ca="1" si="62"/>
        <v>#VALUE!</v>
      </c>
      <c r="EM7" s="88" t="e">
        <f t="shared" ca="1" si="62"/>
        <v>#VALUE!</v>
      </c>
      <c r="EN7" s="88" t="e">
        <f t="shared" ca="1" si="62"/>
        <v>#VALUE!</v>
      </c>
      <c r="EO7" s="88" t="e">
        <f t="shared" ca="1" si="62"/>
        <v>#VALUE!</v>
      </c>
      <c r="EP7" s="88" t="e">
        <f t="shared" ca="1" si="62"/>
        <v>#VALUE!</v>
      </c>
      <c r="EQ7" s="88" t="e">
        <f t="shared" ca="1" si="62"/>
        <v>#VALUE!</v>
      </c>
      <c r="ER7" s="88" t="e">
        <f t="shared" ca="1" si="62"/>
        <v>#VALUE!</v>
      </c>
      <c r="ES7" s="88" t="e">
        <f t="shared" ca="1" si="62"/>
        <v>#VALUE!</v>
      </c>
      <c r="ET7" s="88" t="e">
        <f t="shared" ca="1" si="62"/>
        <v>#VALUE!</v>
      </c>
      <c r="EU7" s="88" t="e">
        <f t="shared" ca="1" si="62"/>
        <v>#VALUE!</v>
      </c>
      <c r="EV7" s="88" t="e">
        <f t="shared" ca="1" si="62"/>
        <v>#VALUE!</v>
      </c>
      <c r="EW7" s="88" t="e">
        <f t="shared" ca="1" si="62"/>
        <v>#VALUE!</v>
      </c>
      <c r="EX7" s="88" t="e">
        <f t="shared" ca="1" si="62"/>
        <v>#VALUE!</v>
      </c>
      <c r="EY7" s="88" t="e">
        <f t="shared" ca="1" si="62"/>
        <v>#VALUE!</v>
      </c>
      <c r="EZ7" s="88" t="e">
        <f t="shared" ca="1" si="62"/>
        <v>#VALUE!</v>
      </c>
      <c r="FA7" s="88" t="e">
        <f t="shared" ca="1" si="62"/>
        <v>#VALUE!</v>
      </c>
      <c r="FB7" s="88" t="e">
        <f t="shared" ca="1" si="62"/>
        <v>#VALUE!</v>
      </c>
      <c r="FC7" s="88" t="e">
        <f t="shared" ca="1" si="62"/>
        <v>#VALUE!</v>
      </c>
      <c r="FD7" s="88" t="e">
        <f t="shared" ca="1" si="62"/>
        <v>#VALUE!</v>
      </c>
      <c r="FE7" s="88" t="e">
        <f t="shared" ca="1" si="62"/>
        <v>#VALUE!</v>
      </c>
      <c r="FF7" s="88" t="e">
        <f t="shared" ca="1" si="62"/>
        <v>#VALUE!</v>
      </c>
      <c r="FG7" s="88" t="e">
        <f t="shared" ca="1" si="62"/>
        <v>#VALUE!</v>
      </c>
      <c r="FH7" s="88" t="e">
        <f t="shared" ca="1" si="62"/>
        <v>#VALUE!</v>
      </c>
      <c r="FI7" s="88" t="e">
        <f t="shared" ca="1" si="62"/>
        <v>#VALUE!</v>
      </c>
      <c r="FJ7" s="88" t="e">
        <f t="shared" ca="1" si="62"/>
        <v>#VALUE!</v>
      </c>
      <c r="FK7" s="88" t="e">
        <f t="shared" ca="1" si="62"/>
        <v>#VALUE!</v>
      </c>
      <c r="FL7" s="88" t="e">
        <f t="shared" ca="1" si="62"/>
        <v>#VALUE!</v>
      </c>
      <c r="FM7" s="88" t="e">
        <f t="shared" ca="1" si="62"/>
        <v>#VALUE!</v>
      </c>
      <c r="FN7" s="88" t="e">
        <f t="shared" ca="1" si="62"/>
        <v>#VALUE!</v>
      </c>
      <c r="FO7" s="88" t="e">
        <f t="shared" ca="1" si="62"/>
        <v>#VALUE!</v>
      </c>
      <c r="FP7" s="88" t="e">
        <f t="shared" ca="1" si="62"/>
        <v>#VALUE!</v>
      </c>
      <c r="FQ7" s="88" t="e">
        <f t="shared" ca="1" si="62"/>
        <v>#VALUE!</v>
      </c>
      <c r="FR7" s="88" t="e">
        <f t="shared" ca="1" si="62"/>
        <v>#VALUE!</v>
      </c>
      <c r="FS7" s="88" t="e">
        <f t="shared" ca="1" si="62"/>
        <v>#VALUE!</v>
      </c>
      <c r="FT7" s="88" t="e">
        <f t="shared" ca="1" si="62"/>
        <v>#VALUE!</v>
      </c>
      <c r="FU7" s="88" t="e">
        <f t="shared" ca="1" si="62"/>
        <v>#VALUE!</v>
      </c>
      <c r="FV7" s="88" t="e">
        <f t="shared" ca="1" si="62"/>
        <v>#VALUE!</v>
      </c>
      <c r="FW7" s="88" t="e">
        <f t="shared" ca="1" si="62"/>
        <v>#VALUE!</v>
      </c>
      <c r="FX7" s="88" t="e">
        <f t="shared" ca="1" si="62"/>
        <v>#VALUE!</v>
      </c>
      <c r="FY7" s="88" t="e">
        <f t="shared" ca="1" si="62"/>
        <v>#VALUE!</v>
      </c>
      <c r="FZ7" s="88" t="e">
        <f t="shared" ca="1" si="62"/>
        <v>#VALUE!</v>
      </c>
      <c r="GA7" s="88" t="e">
        <f t="shared" ca="1" si="62"/>
        <v>#VALUE!</v>
      </c>
      <c r="GB7" s="88" t="e">
        <f t="shared" ca="1" si="62"/>
        <v>#VALUE!</v>
      </c>
      <c r="GC7" s="88" t="e">
        <f t="shared" ca="1" si="62"/>
        <v>#VALUE!</v>
      </c>
      <c r="GD7" s="88" t="e">
        <f t="shared" ca="1" si="62"/>
        <v>#VALUE!</v>
      </c>
      <c r="GE7" s="88" t="e">
        <f t="shared" ca="1" si="62"/>
        <v>#VALUE!</v>
      </c>
      <c r="GF7" s="88" t="e">
        <f t="shared" ca="1" si="62"/>
        <v>#VALUE!</v>
      </c>
      <c r="GG7" s="88" t="e">
        <f t="shared" ca="1" si="62"/>
        <v>#VALUE!</v>
      </c>
      <c r="GH7" s="88" t="e">
        <f t="shared" ca="1" si="62"/>
        <v>#VALUE!</v>
      </c>
      <c r="GI7" s="88" t="e">
        <f t="shared" ca="1" si="62"/>
        <v>#VALUE!</v>
      </c>
    </row>
    <row r="8" spans="2:191" ht="15" customHeight="1" x14ac:dyDescent="0.3">
      <c r="B8" s="103"/>
      <c r="C8" s="88"/>
      <c r="D8" s="88"/>
      <c r="E8" s="88"/>
      <c r="F8" s="88"/>
      <c r="G8" s="88"/>
      <c r="H8" s="88"/>
    </row>
    <row r="9" spans="2:191" ht="29.25" customHeight="1" x14ac:dyDescent="0.3">
      <c r="B9" s="104" t="s">
        <v>722</v>
      </c>
      <c r="C9" s="94" t="s">
        <v>723</v>
      </c>
      <c r="D9" s="95" t="s">
        <v>724</v>
      </c>
      <c r="E9" s="95" t="s">
        <v>725</v>
      </c>
      <c r="F9" s="95" t="s">
        <v>640</v>
      </c>
      <c r="G9" s="95" t="s">
        <v>642</v>
      </c>
      <c r="H9" s="95" t="s">
        <v>726</v>
      </c>
    </row>
    <row r="10" spans="2:191" ht="20.100000000000001" customHeight="1" x14ac:dyDescent="0.3">
      <c r="B10" s="105" t="str">
        <f ca="1">IFERROR(IF(PréstamoNoPagado*PréstamoPagado,NúmeroDePago,""), "")</f>
        <v/>
      </c>
      <c r="C10" s="96" t="str">
        <f ca="1">IFERROR(IF(PréstamoNoPagado*PréstamoPagado,FechaDePago,""), "")</f>
        <v/>
      </c>
      <c r="D10" s="97" t="str">
        <f ca="1">IFERROR(IF(PréstamoNoPagado*PréstamoPagado,ValorPréstamo,""), "")</f>
        <v/>
      </c>
      <c r="E10" s="97" t="str">
        <f ca="1">IFERROR(IF(PréstamoNoPagado*PréstamoPagado,PagoMensual,""), "")</f>
        <v/>
      </c>
      <c r="F10" s="97" t="str">
        <f ca="1">IFERROR(IF(PréstamoNoPagado*PréstamoPagado,Capital,""), "")</f>
        <v/>
      </c>
      <c r="G10" s="97" t="str">
        <f ca="1">IFERROR(IF(PréstamoNoPagado*PréstamoPagado,AmortizaciónInterés,""), "")</f>
        <v/>
      </c>
      <c r="H10" s="97" t="str">
        <f ca="1">IFERROR(IF(PréstamoNoPagado*PréstamoPagado,SaldoFinal,""), "")</f>
        <v/>
      </c>
    </row>
    <row r="11" spans="2:191" ht="20.100000000000001" customHeight="1" x14ac:dyDescent="0.3">
      <c r="B11" s="105" t="str">
        <f ca="1">IFERROR(IF(PréstamoNoPagado*PréstamoPagado,NúmeroDePago,""), "")</f>
        <v/>
      </c>
      <c r="C11" s="96" t="str">
        <f ca="1">IFERROR(IF(PréstamoNoPagado*PréstamoPagado,FechaDePago,""), "")</f>
        <v/>
      </c>
      <c r="D11" s="97" t="str">
        <f ca="1">IFERROR(IF(PréstamoNoPagado*PréstamoPagado,ValorPréstamo,""), "")</f>
        <v/>
      </c>
      <c r="E11" s="97" t="str">
        <f ca="1">IFERROR(IF(PréstamoNoPagado*PréstamoPagado,PagoMensual,""), "")</f>
        <v/>
      </c>
      <c r="F11" s="97" t="str">
        <f ca="1">IFERROR(IF(PréstamoNoPagado*PréstamoPagado,Capital,""), "")</f>
        <v/>
      </c>
      <c r="G11" s="97" t="str">
        <f ca="1">IFERROR(IF(PréstamoNoPagado*PréstamoPagado,AmortizaciónInterés,""), "")</f>
        <v/>
      </c>
      <c r="H11" s="97" t="str">
        <f ca="1">IFERROR(IF(PréstamoNoPagado*PréstamoPagado,SaldoFinal,""), "")</f>
        <v/>
      </c>
    </row>
    <row r="12" spans="2:191" ht="20.100000000000001" customHeight="1" x14ac:dyDescent="0.3">
      <c r="B12" s="105" t="str">
        <f ca="1">IFERROR(IF(PréstamoNoPagado*PréstamoPagado,NúmeroDePago,""), "")</f>
        <v/>
      </c>
      <c r="C12" s="96" t="str">
        <f ca="1">IFERROR(IF(PréstamoNoPagado*PréstamoPagado,FechaDePago,""), "")</f>
        <v/>
      </c>
      <c r="D12" s="97" t="str">
        <f ca="1">IFERROR(IF(PréstamoNoPagado*PréstamoPagado,ValorPréstamo,""), "")</f>
        <v/>
      </c>
      <c r="E12" s="97" t="str">
        <f ca="1">IFERROR(IF(PréstamoNoPagado*PréstamoPagado,PagoMensual,""), "")</f>
        <v/>
      </c>
      <c r="F12" s="97" t="str">
        <f ca="1">IFERROR(IF(PréstamoNoPagado*PréstamoPagado,Capital,""), "")</f>
        <v/>
      </c>
      <c r="G12" s="97" t="str">
        <f ca="1">IFERROR(IF(PréstamoNoPagado*PréstamoPagado,AmortizaciónInterés,""), "")</f>
        <v/>
      </c>
      <c r="H12" s="97" t="str">
        <f ca="1">IFERROR(IF(PréstamoNoPagado*PréstamoPagado,SaldoFinal,""), "")</f>
        <v/>
      </c>
    </row>
    <row r="13" spans="2:191" ht="20.100000000000001" customHeight="1" x14ac:dyDescent="0.3">
      <c r="B13" s="105" t="str">
        <f ca="1">IFERROR(IF(PréstamoNoPagado*PréstamoPagado,NúmeroDePago,""), "")</f>
        <v/>
      </c>
      <c r="C13" s="96" t="str">
        <f ca="1">IFERROR(IF(PréstamoNoPagado*PréstamoPagado,FechaDePago,""), "")</f>
        <v/>
      </c>
      <c r="D13" s="97" t="str">
        <f ca="1">IFERROR(IF(PréstamoNoPagado*PréstamoPagado,ValorPréstamo,""), "")</f>
        <v/>
      </c>
      <c r="E13" s="97" t="str">
        <f ca="1">IFERROR(IF(PréstamoNoPagado*PréstamoPagado,PagoMensual,""), "")</f>
        <v/>
      </c>
      <c r="F13" s="97" t="str">
        <f ca="1">IFERROR(IF(PréstamoNoPagado*PréstamoPagado,Capital,""), "")</f>
        <v/>
      </c>
      <c r="G13" s="97" t="str">
        <f ca="1">IFERROR(IF(PréstamoNoPagado*PréstamoPagado,AmortizaciónInterés,""), "")</f>
        <v/>
      </c>
      <c r="H13" s="97" t="str">
        <f ca="1">IFERROR(IF(PréstamoNoPagado*PréstamoPagado,SaldoFinal,""), "")</f>
        <v/>
      </c>
    </row>
    <row r="14" spans="2:191" ht="20.100000000000001" customHeight="1" x14ac:dyDescent="0.3">
      <c r="B14" s="105" t="str">
        <f ca="1">IFERROR(IF(PréstamoNoPagado*PréstamoPagado,NúmeroDePago,""), "")</f>
        <v/>
      </c>
      <c r="C14" s="96" t="str">
        <f ca="1">IFERROR(IF(PréstamoNoPagado*PréstamoPagado,FechaDePago,""), "")</f>
        <v/>
      </c>
      <c r="D14" s="97" t="str">
        <f ca="1">IFERROR(IF(PréstamoNoPagado*PréstamoPagado,ValorPréstamo,""), "")</f>
        <v/>
      </c>
      <c r="E14" s="97" t="str">
        <f ca="1">IFERROR(IF(PréstamoNoPagado*PréstamoPagado,PagoMensual,""), "")</f>
        <v/>
      </c>
      <c r="F14" s="97" t="str">
        <f ca="1">IFERROR(IF(PréstamoNoPagado*PréstamoPagado,Capital,""), "")</f>
        <v/>
      </c>
      <c r="G14" s="97" t="str">
        <f ca="1">IFERROR(IF(PréstamoNoPagado*PréstamoPagado,AmortizaciónInterés,""), "")</f>
        <v/>
      </c>
      <c r="H14" s="97" t="str">
        <f ca="1">IFERROR(IF(PréstamoNoPagado*PréstamoPagado,SaldoFinal,""), "")</f>
        <v/>
      </c>
    </row>
    <row r="15" spans="2:191" ht="20.100000000000001" customHeight="1" x14ac:dyDescent="0.3">
      <c r="B15" s="105" t="str">
        <f ca="1">IFERROR(IF(PréstamoNoPagado*PréstamoPagado,NúmeroDePago,""), "")</f>
        <v/>
      </c>
      <c r="C15" s="96" t="str">
        <f ca="1">IFERROR(IF(PréstamoNoPagado*PréstamoPagado,FechaDePago,""), "")</f>
        <v/>
      </c>
      <c r="D15" s="97" t="str">
        <f ca="1">IFERROR(IF(PréstamoNoPagado*PréstamoPagado,ValorPréstamo,""), "")</f>
        <v/>
      </c>
      <c r="E15" s="97" t="str">
        <f ca="1">IFERROR(IF(PréstamoNoPagado*PréstamoPagado,PagoMensual,""), "")</f>
        <v/>
      </c>
      <c r="F15" s="97" t="str">
        <f ca="1">IFERROR(IF(PréstamoNoPagado*PréstamoPagado,Capital,""), "")</f>
        <v/>
      </c>
      <c r="G15" s="97" t="str">
        <f ca="1">IFERROR(IF(PréstamoNoPagado*PréstamoPagado,AmortizaciónInterés,""), "")</f>
        <v/>
      </c>
      <c r="H15" s="97" t="str">
        <f ca="1">IFERROR(IF(PréstamoNoPagado*PréstamoPagado,SaldoFinal,""), "")</f>
        <v/>
      </c>
    </row>
    <row r="16" spans="2:191" ht="20.100000000000001" customHeight="1" x14ac:dyDescent="0.3">
      <c r="B16" s="105" t="str">
        <f ca="1">IFERROR(IF(PréstamoNoPagado*PréstamoPagado,NúmeroDePago,""), "")</f>
        <v/>
      </c>
      <c r="C16" s="96" t="str">
        <f ca="1">IFERROR(IF(PréstamoNoPagado*PréstamoPagado,FechaDePago,""), "")</f>
        <v/>
      </c>
      <c r="D16" s="97" t="str">
        <f ca="1">IFERROR(IF(PréstamoNoPagado*PréstamoPagado,ValorPréstamo,""), "")</f>
        <v/>
      </c>
      <c r="E16" s="97" t="str">
        <f ca="1">IFERROR(IF(PréstamoNoPagado*PréstamoPagado,PagoMensual,""), "")</f>
        <v/>
      </c>
      <c r="F16" s="97" t="str">
        <f ca="1">IFERROR(IF(PréstamoNoPagado*PréstamoPagado,Capital,""), "")</f>
        <v/>
      </c>
      <c r="G16" s="97" t="str">
        <f ca="1">IFERROR(IF(PréstamoNoPagado*PréstamoPagado,AmortizaciónInterés,""), "")</f>
        <v/>
      </c>
      <c r="H16" s="97" t="str">
        <f ca="1">IFERROR(IF(PréstamoNoPagado*PréstamoPagado,SaldoFinal,""), "")</f>
        <v/>
      </c>
    </row>
    <row r="17" spans="2:8" ht="20.100000000000001" customHeight="1" x14ac:dyDescent="0.3">
      <c r="B17" s="105" t="str">
        <f ca="1">IFERROR(IF(PréstamoNoPagado*PréstamoPagado,NúmeroDePago,""), "")</f>
        <v/>
      </c>
      <c r="C17" s="96" t="str">
        <f ca="1">IFERROR(IF(PréstamoNoPagado*PréstamoPagado,FechaDePago,""), "")</f>
        <v/>
      </c>
      <c r="D17" s="97" t="str">
        <f ca="1">IFERROR(IF(PréstamoNoPagado*PréstamoPagado,ValorPréstamo,""), "")</f>
        <v/>
      </c>
      <c r="E17" s="97" t="str">
        <f ca="1">IFERROR(IF(PréstamoNoPagado*PréstamoPagado,PagoMensual,""), "")</f>
        <v/>
      </c>
      <c r="F17" s="97" t="str">
        <f ca="1">IFERROR(IF(PréstamoNoPagado*PréstamoPagado,Capital,""), "")</f>
        <v/>
      </c>
      <c r="G17" s="97" t="str">
        <f ca="1">IFERROR(IF(PréstamoNoPagado*PréstamoPagado,AmortizaciónInterés,""), "")</f>
        <v/>
      </c>
      <c r="H17" s="97" t="str">
        <f ca="1">IFERROR(IF(PréstamoNoPagado*PréstamoPagado,SaldoFinal,""), "")</f>
        <v/>
      </c>
    </row>
    <row r="18" spans="2:8" ht="20.100000000000001" customHeight="1" x14ac:dyDescent="0.3">
      <c r="B18" s="105" t="str">
        <f ca="1">IFERROR(IF(PréstamoNoPagado*PréstamoPagado,NúmeroDePago,""), "")</f>
        <v/>
      </c>
      <c r="C18" s="96" t="str">
        <f ca="1">IFERROR(IF(PréstamoNoPagado*PréstamoPagado,FechaDePago,""), "")</f>
        <v/>
      </c>
      <c r="D18" s="97" t="str">
        <f ca="1">IFERROR(IF(PréstamoNoPagado*PréstamoPagado,ValorPréstamo,""), "")</f>
        <v/>
      </c>
      <c r="E18" s="97" t="str">
        <f ca="1">IFERROR(IF(PréstamoNoPagado*PréstamoPagado,PagoMensual,""), "")</f>
        <v/>
      </c>
      <c r="F18" s="97" t="str">
        <f ca="1">IFERROR(IF(PréstamoNoPagado*PréstamoPagado,Capital,""), "")</f>
        <v/>
      </c>
      <c r="G18" s="97" t="str">
        <f ca="1">IFERROR(IF(PréstamoNoPagado*PréstamoPagado,AmortizaciónInterés,""), "")</f>
        <v/>
      </c>
      <c r="H18" s="97" t="str">
        <f ca="1">IFERROR(IF(PréstamoNoPagado*PréstamoPagado,SaldoFinal,""), "")</f>
        <v/>
      </c>
    </row>
    <row r="19" spans="2:8" ht="20.100000000000001" customHeight="1" x14ac:dyDescent="0.3">
      <c r="B19" s="105" t="str">
        <f ca="1">IFERROR(IF(PréstamoNoPagado*PréstamoPagado,NúmeroDePago,""), "")</f>
        <v/>
      </c>
      <c r="C19" s="96" t="str">
        <f ca="1">IFERROR(IF(PréstamoNoPagado*PréstamoPagado,FechaDePago,""), "")</f>
        <v/>
      </c>
      <c r="D19" s="97" t="str">
        <f ca="1">IFERROR(IF(PréstamoNoPagado*PréstamoPagado,ValorPréstamo,""), "")</f>
        <v/>
      </c>
      <c r="E19" s="97" t="str">
        <f ca="1">IFERROR(IF(PréstamoNoPagado*PréstamoPagado,PagoMensual,""), "")</f>
        <v/>
      </c>
      <c r="F19" s="97" t="str">
        <f ca="1">IFERROR(IF(PréstamoNoPagado*PréstamoPagado,Capital,""), "")</f>
        <v/>
      </c>
      <c r="G19" s="97" t="str">
        <f ca="1">IFERROR(IF(PréstamoNoPagado*PréstamoPagado,AmortizaciónInterés,""), "")</f>
        <v/>
      </c>
      <c r="H19" s="97" t="str">
        <f ca="1">IFERROR(IF(PréstamoNoPagado*PréstamoPagado,SaldoFinal,""), "")</f>
        <v/>
      </c>
    </row>
    <row r="20" spans="2:8" ht="20.100000000000001" customHeight="1" x14ac:dyDescent="0.3">
      <c r="B20" s="105" t="str">
        <f ca="1">IFERROR(IF(PréstamoNoPagado*PréstamoPagado,NúmeroDePago,""), "")</f>
        <v/>
      </c>
      <c r="C20" s="96" t="str">
        <f ca="1">IFERROR(IF(PréstamoNoPagado*PréstamoPagado,FechaDePago,""), "")</f>
        <v/>
      </c>
      <c r="D20" s="97" t="str">
        <f ca="1">IFERROR(IF(PréstamoNoPagado*PréstamoPagado,ValorPréstamo,""), "")</f>
        <v/>
      </c>
      <c r="E20" s="97" t="str">
        <f ca="1">IFERROR(IF(PréstamoNoPagado*PréstamoPagado,PagoMensual,""), "")</f>
        <v/>
      </c>
      <c r="F20" s="97" t="str">
        <f ca="1">IFERROR(IF(PréstamoNoPagado*PréstamoPagado,Capital,""), "")</f>
        <v/>
      </c>
      <c r="G20" s="97" t="str">
        <f ca="1">IFERROR(IF(PréstamoNoPagado*PréstamoPagado,AmortizaciónInterés,""), "")</f>
        <v/>
      </c>
      <c r="H20" s="97" t="str">
        <f ca="1">IFERROR(IF(PréstamoNoPagado*PréstamoPagado,SaldoFinal,""), "")</f>
        <v/>
      </c>
    </row>
    <row r="21" spans="2:8" ht="20.100000000000001" customHeight="1" x14ac:dyDescent="0.3">
      <c r="B21" s="105" t="str">
        <f ca="1">IFERROR(IF(PréstamoNoPagado*PréstamoPagado,NúmeroDePago,""), "")</f>
        <v/>
      </c>
      <c r="C21" s="96" t="str">
        <f ca="1">IFERROR(IF(PréstamoNoPagado*PréstamoPagado,FechaDePago,""), "")</f>
        <v/>
      </c>
      <c r="D21" s="97" t="str">
        <f ca="1">IFERROR(IF(PréstamoNoPagado*PréstamoPagado,ValorPréstamo,""), "")</f>
        <v/>
      </c>
      <c r="E21" s="97" t="str">
        <f ca="1">IFERROR(IF(PréstamoNoPagado*PréstamoPagado,PagoMensual,""), "")</f>
        <v/>
      </c>
      <c r="F21" s="97" t="str">
        <f ca="1">IFERROR(IF(PréstamoNoPagado*PréstamoPagado,Capital,""), "")</f>
        <v/>
      </c>
      <c r="G21" s="97" t="str">
        <f ca="1">IFERROR(IF(PréstamoNoPagado*PréstamoPagado,AmortizaciónInterés,""), "")</f>
        <v/>
      </c>
      <c r="H21" s="97" t="str">
        <f ca="1">IFERROR(IF(PréstamoNoPagado*PréstamoPagado,SaldoFinal,""), "")</f>
        <v/>
      </c>
    </row>
    <row r="22" spans="2:8" ht="20.100000000000001" customHeight="1" x14ac:dyDescent="0.3">
      <c r="B22" s="105" t="str">
        <f ca="1">IFERROR(IF(PréstamoNoPagado*PréstamoPagado,NúmeroDePago,""), "")</f>
        <v/>
      </c>
      <c r="C22" s="96" t="str">
        <f ca="1">IFERROR(IF(PréstamoNoPagado*PréstamoPagado,FechaDePago,""), "")</f>
        <v/>
      </c>
      <c r="D22" s="97" t="str">
        <f ca="1">IFERROR(IF(PréstamoNoPagado*PréstamoPagado,ValorPréstamo,""), "")</f>
        <v/>
      </c>
      <c r="E22" s="97" t="str">
        <f ca="1">IFERROR(IF(PréstamoNoPagado*PréstamoPagado,PagoMensual,""), "")</f>
        <v/>
      </c>
      <c r="F22" s="97" t="str">
        <f ca="1">IFERROR(IF(PréstamoNoPagado*PréstamoPagado,Capital,""), "")</f>
        <v/>
      </c>
      <c r="G22" s="97" t="str">
        <f ca="1">IFERROR(IF(PréstamoNoPagado*PréstamoPagado,AmortizaciónInterés,""), "")</f>
        <v/>
      </c>
      <c r="H22" s="97" t="str">
        <f ca="1">IFERROR(IF(PréstamoNoPagado*PréstamoPagado,SaldoFinal,""), "")</f>
        <v/>
      </c>
    </row>
    <row r="23" spans="2:8" ht="20.100000000000001" customHeight="1" x14ac:dyDescent="0.3">
      <c r="B23" s="105" t="str">
        <f ca="1">IFERROR(IF(PréstamoNoPagado*PréstamoPagado,NúmeroDePago,""), "")</f>
        <v/>
      </c>
      <c r="C23" s="96" t="str">
        <f ca="1">IFERROR(IF(PréstamoNoPagado*PréstamoPagado,FechaDePago,""), "")</f>
        <v/>
      </c>
      <c r="D23" s="97" t="str">
        <f ca="1">IFERROR(IF(PréstamoNoPagado*PréstamoPagado,ValorPréstamo,""), "")</f>
        <v/>
      </c>
      <c r="E23" s="97" t="str">
        <f ca="1">IFERROR(IF(PréstamoNoPagado*PréstamoPagado,PagoMensual,""), "")</f>
        <v/>
      </c>
      <c r="F23" s="97" t="str">
        <f ca="1">IFERROR(IF(PréstamoNoPagado*PréstamoPagado,Capital,""), "")</f>
        <v/>
      </c>
      <c r="G23" s="97" t="str">
        <f ca="1">IFERROR(IF(PréstamoNoPagado*PréstamoPagado,AmortizaciónInterés,""), "")</f>
        <v/>
      </c>
      <c r="H23" s="97" t="str">
        <f ca="1">IFERROR(IF(PréstamoNoPagado*PréstamoPagado,SaldoFinal,""), "")</f>
        <v/>
      </c>
    </row>
    <row r="24" spans="2:8" ht="20.100000000000001" customHeight="1" x14ac:dyDescent="0.3">
      <c r="B24" s="105" t="str">
        <f ca="1">IFERROR(IF(PréstamoNoPagado*PréstamoPagado,NúmeroDePago,""), "")</f>
        <v/>
      </c>
      <c r="C24" s="96" t="str">
        <f ca="1">IFERROR(IF(PréstamoNoPagado*PréstamoPagado,FechaDePago,""), "")</f>
        <v/>
      </c>
      <c r="D24" s="97" t="str">
        <f ca="1">IFERROR(IF(PréstamoNoPagado*PréstamoPagado,ValorPréstamo,""), "")</f>
        <v/>
      </c>
      <c r="E24" s="97" t="str">
        <f ca="1">IFERROR(IF(PréstamoNoPagado*PréstamoPagado,PagoMensual,""), "")</f>
        <v/>
      </c>
      <c r="F24" s="97" t="str">
        <f ca="1">IFERROR(IF(PréstamoNoPagado*PréstamoPagado,Capital,""), "")</f>
        <v/>
      </c>
      <c r="G24" s="97" t="str">
        <f ca="1">IFERROR(IF(PréstamoNoPagado*PréstamoPagado,AmortizaciónInterés,""), "")</f>
        <v/>
      </c>
      <c r="H24" s="97" t="str">
        <f ca="1">IFERROR(IF(PréstamoNoPagado*PréstamoPagado,SaldoFinal,""), "")</f>
        <v/>
      </c>
    </row>
    <row r="25" spans="2:8" ht="20.100000000000001" customHeight="1" x14ac:dyDescent="0.3">
      <c r="B25" s="105" t="str">
        <f ca="1">IFERROR(IF(PréstamoNoPagado*PréstamoPagado,NúmeroDePago,""), "")</f>
        <v/>
      </c>
      <c r="C25" s="96" t="str">
        <f ca="1">IFERROR(IF(PréstamoNoPagado*PréstamoPagado,FechaDePago,""), "")</f>
        <v/>
      </c>
      <c r="D25" s="97" t="str">
        <f ca="1">IFERROR(IF(PréstamoNoPagado*PréstamoPagado,ValorPréstamo,""), "")</f>
        <v/>
      </c>
      <c r="E25" s="97" t="str">
        <f ca="1">IFERROR(IF(PréstamoNoPagado*PréstamoPagado,PagoMensual,""), "")</f>
        <v/>
      </c>
      <c r="F25" s="97" t="str">
        <f ca="1">IFERROR(IF(PréstamoNoPagado*PréstamoPagado,Capital,""), "")</f>
        <v/>
      </c>
      <c r="G25" s="97" t="str">
        <f ca="1">IFERROR(IF(PréstamoNoPagado*PréstamoPagado,AmortizaciónInterés,""), "")</f>
        <v/>
      </c>
      <c r="H25" s="97" t="str">
        <f ca="1">IFERROR(IF(PréstamoNoPagado*PréstamoPagado,SaldoFinal,""), "")</f>
        <v/>
      </c>
    </row>
    <row r="26" spans="2:8" ht="20.100000000000001" customHeight="1" x14ac:dyDescent="0.3">
      <c r="B26" s="105" t="str">
        <f ca="1">IFERROR(IF(PréstamoNoPagado*PréstamoPagado,NúmeroDePago,""), "")</f>
        <v/>
      </c>
      <c r="C26" s="96" t="str">
        <f ca="1">IFERROR(IF(PréstamoNoPagado*PréstamoPagado,FechaDePago,""), "")</f>
        <v/>
      </c>
      <c r="D26" s="97" t="str">
        <f ca="1">IFERROR(IF(PréstamoNoPagado*PréstamoPagado,ValorPréstamo,""), "")</f>
        <v/>
      </c>
      <c r="E26" s="97" t="str">
        <f ca="1">IFERROR(IF(PréstamoNoPagado*PréstamoPagado,PagoMensual,""), "")</f>
        <v/>
      </c>
      <c r="F26" s="97" t="str">
        <f ca="1">IFERROR(IF(PréstamoNoPagado*PréstamoPagado,Capital,""), "")</f>
        <v/>
      </c>
      <c r="G26" s="97" t="str">
        <f ca="1">IFERROR(IF(PréstamoNoPagado*PréstamoPagado,AmortizaciónInterés,""), "")</f>
        <v/>
      </c>
      <c r="H26" s="97" t="str">
        <f ca="1">IFERROR(IF(PréstamoNoPagado*PréstamoPagado,SaldoFinal,""), "")</f>
        <v/>
      </c>
    </row>
    <row r="27" spans="2:8" ht="20.100000000000001" customHeight="1" x14ac:dyDescent="0.3">
      <c r="B27" s="105" t="str">
        <f ca="1">IFERROR(IF(PréstamoNoPagado*PréstamoPagado,NúmeroDePago,""), "")</f>
        <v/>
      </c>
      <c r="C27" s="96" t="str">
        <f ca="1">IFERROR(IF(PréstamoNoPagado*PréstamoPagado,FechaDePago,""), "")</f>
        <v/>
      </c>
      <c r="D27" s="97" t="str">
        <f ca="1">IFERROR(IF(PréstamoNoPagado*PréstamoPagado,ValorPréstamo,""), "")</f>
        <v/>
      </c>
      <c r="E27" s="97" t="str">
        <f ca="1">IFERROR(IF(PréstamoNoPagado*PréstamoPagado,PagoMensual,""), "")</f>
        <v/>
      </c>
      <c r="F27" s="97" t="str">
        <f ca="1">IFERROR(IF(PréstamoNoPagado*PréstamoPagado,Capital,""), "")</f>
        <v/>
      </c>
      <c r="G27" s="97" t="str">
        <f ca="1">IFERROR(IF(PréstamoNoPagado*PréstamoPagado,AmortizaciónInterés,""), "")</f>
        <v/>
      </c>
      <c r="H27" s="97" t="str">
        <f ca="1">IFERROR(IF(PréstamoNoPagado*PréstamoPagado,SaldoFinal,""), "")</f>
        <v/>
      </c>
    </row>
    <row r="28" spans="2:8" ht="20.100000000000001" customHeight="1" x14ac:dyDescent="0.3">
      <c r="B28" s="105" t="str">
        <f ca="1">IFERROR(IF(PréstamoNoPagado*PréstamoPagado,NúmeroDePago,""), "")</f>
        <v/>
      </c>
      <c r="C28" s="96" t="str">
        <f ca="1">IFERROR(IF(PréstamoNoPagado*PréstamoPagado,FechaDePago,""), "")</f>
        <v/>
      </c>
      <c r="D28" s="97" t="str">
        <f ca="1">IFERROR(IF(PréstamoNoPagado*PréstamoPagado,ValorPréstamo,""), "")</f>
        <v/>
      </c>
      <c r="E28" s="97" t="str">
        <f ca="1">IFERROR(IF(PréstamoNoPagado*PréstamoPagado,PagoMensual,""), "")</f>
        <v/>
      </c>
      <c r="F28" s="97" t="str">
        <f ca="1">IFERROR(IF(PréstamoNoPagado*PréstamoPagado,Capital,""), "")</f>
        <v/>
      </c>
      <c r="G28" s="97" t="str">
        <f ca="1">IFERROR(IF(PréstamoNoPagado*PréstamoPagado,AmortizaciónInterés,""), "")</f>
        <v/>
      </c>
      <c r="H28" s="97" t="str">
        <f ca="1">IFERROR(IF(PréstamoNoPagado*PréstamoPagado,SaldoFinal,""), "")</f>
        <v/>
      </c>
    </row>
    <row r="29" spans="2:8" ht="20.100000000000001" customHeight="1" x14ac:dyDescent="0.3">
      <c r="B29" s="105" t="str">
        <f ca="1">IFERROR(IF(PréstamoNoPagado*PréstamoPagado,NúmeroDePago,""), "")</f>
        <v/>
      </c>
      <c r="C29" s="96" t="str">
        <f ca="1">IFERROR(IF(PréstamoNoPagado*PréstamoPagado,FechaDePago,""), "")</f>
        <v/>
      </c>
      <c r="D29" s="97" t="str">
        <f ca="1">IFERROR(IF(PréstamoNoPagado*PréstamoPagado,ValorPréstamo,""), "")</f>
        <v/>
      </c>
      <c r="E29" s="97" t="str">
        <f ca="1">IFERROR(IF(PréstamoNoPagado*PréstamoPagado,PagoMensual,""), "")</f>
        <v/>
      </c>
      <c r="F29" s="97" t="str">
        <f ca="1">IFERROR(IF(PréstamoNoPagado*PréstamoPagado,Capital,""), "")</f>
        <v/>
      </c>
      <c r="G29" s="97" t="str">
        <f ca="1">IFERROR(IF(PréstamoNoPagado*PréstamoPagado,AmortizaciónInterés,""), "")</f>
        <v/>
      </c>
      <c r="H29" s="97" t="str">
        <f ca="1">IFERROR(IF(PréstamoNoPagado*PréstamoPagado,SaldoFinal,""), "")</f>
        <v/>
      </c>
    </row>
    <row r="30" spans="2:8" ht="20.100000000000001" customHeight="1" x14ac:dyDescent="0.3">
      <c r="B30" s="105" t="str">
        <f ca="1">IFERROR(IF(PréstamoNoPagado*PréstamoPagado,NúmeroDePago,""), "")</f>
        <v/>
      </c>
      <c r="C30" s="96" t="str">
        <f ca="1">IFERROR(IF(PréstamoNoPagado*PréstamoPagado,FechaDePago,""), "")</f>
        <v/>
      </c>
      <c r="D30" s="97" t="str">
        <f ca="1">IFERROR(IF(PréstamoNoPagado*PréstamoPagado,ValorPréstamo,""), "")</f>
        <v/>
      </c>
      <c r="E30" s="97" t="str">
        <f ca="1">IFERROR(IF(PréstamoNoPagado*PréstamoPagado,PagoMensual,""), "")</f>
        <v/>
      </c>
      <c r="F30" s="97" t="str">
        <f ca="1">IFERROR(IF(PréstamoNoPagado*PréstamoPagado,Capital,""), "")</f>
        <v/>
      </c>
      <c r="G30" s="97" t="str">
        <f ca="1">IFERROR(IF(PréstamoNoPagado*PréstamoPagado,AmortizaciónInterés,""), "")</f>
        <v/>
      </c>
      <c r="H30" s="97" t="str">
        <f ca="1">IFERROR(IF(PréstamoNoPagado*PréstamoPagado,SaldoFinal,""), "")</f>
        <v/>
      </c>
    </row>
    <row r="31" spans="2:8" ht="20.100000000000001" customHeight="1" x14ac:dyDescent="0.3">
      <c r="B31" s="105" t="str">
        <f ca="1">IFERROR(IF(PréstamoNoPagado*PréstamoPagado,NúmeroDePago,""), "")</f>
        <v/>
      </c>
      <c r="C31" s="96" t="str">
        <f ca="1">IFERROR(IF(PréstamoNoPagado*PréstamoPagado,FechaDePago,""), "")</f>
        <v/>
      </c>
      <c r="D31" s="97" t="str">
        <f ca="1">IFERROR(IF(PréstamoNoPagado*PréstamoPagado,ValorPréstamo,""), "")</f>
        <v/>
      </c>
      <c r="E31" s="97" t="str">
        <f ca="1">IFERROR(IF(PréstamoNoPagado*PréstamoPagado,PagoMensual,""), "")</f>
        <v/>
      </c>
      <c r="F31" s="97" t="str">
        <f ca="1">IFERROR(IF(PréstamoNoPagado*PréstamoPagado,Capital,""), "")</f>
        <v/>
      </c>
      <c r="G31" s="97" t="str">
        <f ca="1">IFERROR(IF(PréstamoNoPagado*PréstamoPagado,AmortizaciónInterés,""), "")</f>
        <v/>
      </c>
      <c r="H31" s="97" t="str">
        <f ca="1">IFERROR(IF(PréstamoNoPagado*PréstamoPagado,SaldoFinal,""), "")</f>
        <v/>
      </c>
    </row>
    <row r="32" spans="2:8" ht="20.100000000000001" customHeight="1" x14ac:dyDescent="0.3">
      <c r="B32" s="105" t="str">
        <f ca="1">IFERROR(IF(PréstamoNoPagado*PréstamoPagado,NúmeroDePago,""), "")</f>
        <v/>
      </c>
      <c r="C32" s="96" t="str">
        <f ca="1">IFERROR(IF(PréstamoNoPagado*PréstamoPagado,FechaDePago,""), "")</f>
        <v/>
      </c>
      <c r="D32" s="97" t="str">
        <f ca="1">IFERROR(IF(PréstamoNoPagado*PréstamoPagado,ValorPréstamo,""), "")</f>
        <v/>
      </c>
      <c r="E32" s="97" t="str">
        <f ca="1">IFERROR(IF(PréstamoNoPagado*PréstamoPagado,PagoMensual,""), "")</f>
        <v/>
      </c>
      <c r="F32" s="97" t="str">
        <f ca="1">IFERROR(IF(PréstamoNoPagado*PréstamoPagado,Capital,""), "")</f>
        <v/>
      </c>
      <c r="G32" s="97" t="str">
        <f ca="1">IFERROR(IF(PréstamoNoPagado*PréstamoPagado,AmortizaciónInterés,""), "")</f>
        <v/>
      </c>
      <c r="H32" s="97" t="str">
        <f ca="1">IFERROR(IF(PréstamoNoPagado*PréstamoPagado,SaldoFinal,""), "")</f>
        <v/>
      </c>
    </row>
    <row r="33" spans="2:8" ht="20.100000000000001" customHeight="1" x14ac:dyDescent="0.3">
      <c r="B33" s="105" t="str">
        <f ca="1">IFERROR(IF(PréstamoNoPagado*PréstamoPagado,NúmeroDePago,""), "")</f>
        <v/>
      </c>
      <c r="C33" s="96" t="str">
        <f ca="1">IFERROR(IF(PréstamoNoPagado*PréstamoPagado,FechaDePago,""), "")</f>
        <v/>
      </c>
      <c r="D33" s="97" t="str">
        <f ca="1">IFERROR(IF(PréstamoNoPagado*PréstamoPagado,ValorPréstamo,""), "")</f>
        <v/>
      </c>
      <c r="E33" s="97" t="str">
        <f ca="1">IFERROR(IF(PréstamoNoPagado*PréstamoPagado,PagoMensual,""), "")</f>
        <v/>
      </c>
      <c r="F33" s="97" t="str">
        <f ca="1">IFERROR(IF(PréstamoNoPagado*PréstamoPagado,Capital,""), "")</f>
        <v/>
      </c>
      <c r="G33" s="97" t="str">
        <f ca="1">IFERROR(IF(PréstamoNoPagado*PréstamoPagado,AmortizaciónInterés,""), "")</f>
        <v/>
      </c>
      <c r="H33" s="97" t="str">
        <f ca="1">IFERROR(IF(PréstamoNoPagado*PréstamoPagado,SaldoFinal,""), "")</f>
        <v/>
      </c>
    </row>
    <row r="34" spans="2:8" ht="20.100000000000001" customHeight="1" x14ac:dyDescent="0.3">
      <c r="B34" s="105" t="str">
        <f ca="1">IFERROR(IF(PréstamoNoPagado*PréstamoPagado,NúmeroDePago,""), "")</f>
        <v/>
      </c>
      <c r="C34" s="96" t="str">
        <f ca="1">IFERROR(IF(PréstamoNoPagado*PréstamoPagado,FechaDePago,""), "")</f>
        <v/>
      </c>
      <c r="D34" s="97" t="str">
        <f ca="1">IFERROR(IF(PréstamoNoPagado*PréstamoPagado,ValorPréstamo,""), "")</f>
        <v/>
      </c>
      <c r="E34" s="97" t="str">
        <f ca="1">IFERROR(IF(PréstamoNoPagado*PréstamoPagado,PagoMensual,""), "")</f>
        <v/>
      </c>
      <c r="F34" s="97" t="str">
        <f ca="1">IFERROR(IF(PréstamoNoPagado*PréstamoPagado,Capital,""), "")</f>
        <v/>
      </c>
      <c r="G34" s="97" t="str">
        <f ca="1">IFERROR(IF(PréstamoNoPagado*PréstamoPagado,AmortizaciónInterés,""), "")</f>
        <v/>
      </c>
      <c r="H34" s="97" t="str">
        <f ca="1">IFERROR(IF(PréstamoNoPagado*PréstamoPagado,SaldoFinal,""), "")</f>
        <v/>
      </c>
    </row>
    <row r="35" spans="2:8" ht="20.100000000000001" customHeight="1" x14ac:dyDescent="0.3">
      <c r="B35" s="105" t="str">
        <f ca="1">IFERROR(IF(PréstamoNoPagado*PréstamoPagado,NúmeroDePago,""), "")</f>
        <v/>
      </c>
      <c r="C35" s="96" t="str">
        <f ca="1">IFERROR(IF(PréstamoNoPagado*PréstamoPagado,FechaDePago,""), "")</f>
        <v/>
      </c>
      <c r="D35" s="97" t="str">
        <f ca="1">IFERROR(IF(PréstamoNoPagado*PréstamoPagado,ValorPréstamo,""), "")</f>
        <v/>
      </c>
      <c r="E35" s="97" t="str">
        <f ca="1">IFERROR(IF(PréstamoNoPagado*PréstamoPagado,PagoMensual,""), "")</f>
        <v/>
      </c>
      <c r="F35" s="97" t="str">
        <f ca="1">IFERROR(IF(PréstamoNoPagado*PréstamoPagado,Capital,""), "")</f>
        <v/>
      </c>
      <c r="G35" s="97" t="str">
        <f ca="1">IFERROR(IF(PréstamoNoPagado*PréstamoPagado,AmortizaciónInterés,""), "")</f>
        <v/>
      </c>
      <c r="H35" s="97" t="str">
        <f ca="1">IFERROR(IF(PréstamoNoPagado*PréstamoPagado,SaldoFinal,""), "")</f>
        <v/>
      </c>
    </row>
    <row r="36" spans="2:8" ht="20.100000000000001" customHeight="1" x14ac:dyDescent="0.3">
      <c r="B36" s="105" t="str">
        <f ca="1">IFERROR(IF(PréstamoNoPagado*PréstamoPagado,NúmeroDePago,""), "")</f>
        <v/>
      </c>
      <c r="C36" s="96" t="str">
        <f ca="1">IFERROR(IF(PréstamoNoPagado*PréstamoPagado,FechaDePago,""), "")</f>
        <v/>
      </c>
      <c r="D36" s="97" t="str">
        <f ca="1">IFERROR(IF(PréstamoNoPagado*PréstamoPagado,ValorPréstamo,""), "")</f>
        <v/>
      </c>
      <c r="E36" s="97" t="str">
        <f ca="1">IFERROR(IF(PréstamoNoPagado*PréstamoPagado,PagoMensual,""), "")</f>
        <v/>
      </c>
      <c r="F36" s="97" t="str">
        <f ca="1">IFERROR(IF(PréstamoNoPagado*PréstamoPagado,Capital,""), "")</f>
        <v/>
      </c>
      <c r="G36" s="97" t="str">
        <f ca="1">IFERROR(IF(PréstamoNoPagado*PréstamoPagado,AmortizaciónInterés,""), "")</f>
        <v/>
      </c>
      <c r="H36" s="97" t="str">
        <f ca="1">IFERROR(IF(PréstamoNoPagado*PréstamoPagado,SaldoFinal,""), "")</f>
        <v/>
      </c>
    </row>
    <row r="37" spans="2:8" ht="20.100000000000001" customHeight="1" x14ac:dyDescent="0.3">
      <c r="B37" s="105" t="str">
        <f ca="1">IFERROR(IF(PréstamoNoPagado*PréstamoPagado,NúmeroDePago,""), "")</f>
        <v/>
      </c>
      <c r="C37" s="96" t="str">
        <f ca="1">IFERROR(IF(PréstamoNoPagado*PréstamoPagado,FechaDePago,""), "")</f>
        <v/>
      </c>
      <c r="D37" s="97" t="str">
        <f ca="1">IFERROR(IF(PréstamoNoPagado*PréstamoPagado,ValorPréstamo,""), "")</f>
        <v/>
      </c>
      <c r="E37" s="97" t="str">
        <f ca="1">IFERROR(IF(PréstamoNoPagado*PréstamoPagado,PagoMensual,""), "")</f>
        <v/>
      </c>
      <c r="F37" s="97" t="str">
        <f ca="1">IFERROR(IF(PréstamoNoPagado*PréstamoPagado,Capital,""), "")</f>
        <v/>
      </c>
      <c r="G37" s="97" t="str">
        <f ca="1">IFERROR(IF(PréstamoNoPagado*PréstamoPagado,AmortizaciónInterés,""), "")</f>
        <v/>
      </c>
      <c r="H37" s="97" t="str">
        <f ca="1">IFERROR(IF(PréstamoNoPagado*PréstamoPagado,SaldoFinal,""), "")</f>
        <v/>
      </c>
    </row>
    <row r="38" spans="2:8" ht="20.100000000000001" customHeight="1" x14ac:dyDescent="0.3">
      <c r="B38" s="105" t="str">
        <f ca="1">IFERROR(IF(PréstamoNoPagado*PréstamoPagado,NúmeroDePago,""), "")</f>
        <v/>
      </c>
      <c r="C38" s="96" t="str">
        <f ca="1">IFERROR(IF(PréstamoNoPagado*PréstamoPagado,FechaDePago,""), "")</f>
        <v/>
      </c>
      <c r="D38" s="97" t="str">
        <f ca="1">IFERROR(IF(PréstamoNoPagado*PréstamoPagado,ValorPréstamo,""), "")</f>
        <v/>
      </c>
      <c r="E38" s="97" t="str">
        <f ca="1">IFERROR(IF(PréstamoNoPagado*PréstamoPagado,PagoMensual,""), "")</f>
        <v/>
      </c>
      <c r="F38" s="97" t="str">
        <f ca="1">IFERROR(IF(PréstamoNoPagado*PréstamoPagado,Capital,""), "")</f>
        <v/>
      </c>
      <c r="G38" s="97" t="str">
        <f ca="1">IFERROR(IF(PréstamoNoPagado*PréstamoPagado,AmortizaciónInterés,""), "")</f>
        <v/>
      </c>
      <c r="H38" s="97" t="str">
        <f ca="1">IFERROR(IF(PréstamoNoPagado*PréstamoPagado,SaldoFinal,""), "")</f>
        <v/>
      </c>
    </row>
    <row r="39" spans="2:8" ht="20.100000000000001" customHeight="1" x14ac:dyDescent="0.3">
      <c r="B39" s="105" t="str">
        <f ca="1">IFERROR(IF(PréstamoNoPagado*PréstamoPagado,NúmeroDePago,""), "")</f>
        <v/>
      </c>
      <c r="C39" s="96" t="str">
        <f ca="1">IFERROR(IF(PréstamoNoPagado*PréstamoPagado,FechaDePago,""), "")</f>
        <v/>
      </c>
      <c r="D39" s="97" t="str">
        <f ca="1">IFERROR(IF(PréstamoNoPagado*PréstamoPagado,ValorPréstamo,""), "")</f>
        <v/>
      </c>
      <c r="E39" s="97" t="str">
        <f ca="1">IFERROR(IF(PréstamoNoPagado*PréstamoPagado,PagoMensual,""), "")</f>
        <v/>
      </c>
      <c r="F39" s="97" t="str">
        <f ca="1">IFERROR(IF(PréstamoNoPagado*PréstamoPagado,Capital,""), "")</f>
        <v/>
      </c>
      <c r="G39" s="97" t="str">
        <f ca="1">IFERROR(IF(PréstamoNoPagado*PréstamoPagado,AmortizaciónInterés,""), "")</f>
        <v/>
      </c>
      <c r="H39" s="97" t="str">
        <f ca="1">IFERROR(IF(PréstamoNoPagado*PréstamoPagado,SaldoFinal,""), "")</f>
        <v/>
      </c>
    </row>
    <row r="40" spans="2:8" ht="20.100000000000001" customHeight="1" x14ac:dyDescent="0.3">
      <c r="B40" s="105" t="str">
        <f ca="1">IFERROR(IF(PréstamoNoPagado*PréstamoPagado,NúmeroDePago,""), "")</f>
        <v/>
      </c>
      <c r="C40" s="96" t="str">
        <f ca="1">IFERROR(IF(PréstamoNoPagado*PréstamoPagado,FechaDePago,""), "")</f>
        <v/>
      </c>
      <c r="D40" s="97" t="str">
        <f ca="1">IFERROR(IF(PréstamoNoPagado*PréstamoPagado,ValorPréstamo,""), "")</f>
        <v/>
      </c>
      <c r="E40" s="97" t="str">
        <f ca="1">IFERROR(IF(PréstamoNoPagado*PréstamoPagado,PagoMensual,""), "")</f>
        <v/>
      </c>
      <c r="F40" s="97" t="str">
        <f ca="1">IFERROR(IF(PréstamoNoPagado*PréstamoPagado,Capital,""), "")</f>
        <v/>
      </c>
      <c r="G40" s="97" t="str">
        <f ca="1">IFERROR(IF(PréstamoNoPagado*PréstamoPagado,AmortizaciónInterés,""), "")</f>
        <v/>
      </c>
      <c r="H40" s="97" t="str">
        <f ca="1">IFERROR(IF(PréstamoNoPagado*PréstamoPagado,SaldoFinal,""), "")</f>
        <v/>
      </c>
    </row>
    <row r="41" spans="2:8" ht="20.100000000000001" customHeight="1" x14ac:dyDescent="0.3">
      <c r="B41" s="105" t="str">
        <f ca="1">IFERROR(IF(PréstamoNoPagado*PréstamoPagado,NúmeroDePago,""), "")</f>
        <v/>
      </c>
      <c r="C41" s="96" t="str">
        <f ca="1">IFERROR(IF(PréstamoNoPagado*PréstamoPagado,FechaDePago,""), "")</f>
        <v/>
      </c>
      <c r="D41" s="97" t="str">
        <f ca="1">IFERROR(IF(PréstamoNoPagado*PréstamoPagado,ValorPréstamo,""), "")</f>
        <v/>
      </c>
      <c r="E41" s="97" t="str">
        <f ca="1">IFERROR(IF(PréstamoNoPagado*PréstamoPagado,PagoMensual,""), "")</f>
        <v/>
      </c>
      <c r="F41" s="97" t="str">
        <f ca="1">IFERROR(IF(PréstamoNoPagado*PréstamoPagado,Capital,""), "")</f>
        <v/>
      </c>
      <c r="G41" s="97" t="str">
        <f ca="1">IFERROR(IF(PréstamoNoPagado*PréstamoPagado,AmortizaciónInterés,""), "")</f>
        <v/>
      </c>
      <c r="H41" s="97" t="str">
        <f ca="1">IFERROR(IF(PréstamoNoPagado*PréstamoPagado,SaldoFinal,""), "")</f>
        <v/>
      </c>
    </row>
    <row r="42" spans="2:8" ht="20.100000000000001" customHeight="1" x14ac:dyDescent="0.3">
      <c r="B42" s="105" t="str">
        <f ca="1">IFERROR(IF(PréstamoNoPagado*PréstamoPagado,NúmeroDePago,""), "")</f>
        <v/>
      </c>
      <c r="C42" s="96" t="str">
        <f ca="1">IFERROR(IF(PréstamoNoPagado*PréstamoPagado,FechaDePago,""), "")</f>
        <v/>
      </c>
      <c r="D42" s="97" t="str">
        <f ca="1">IFERROR(IF(PréstamoNoPagado*PréstamoPagado,ValorPréstamo,""), "")</f>
        <v/>
      </c>
      <c r="E42" s="97" t="str">
        <f ca="1">IFERROR(IF(PréstamoNoPagado*PréstamoPagado,PagoMensual,""), "")</f>
        <v/>
      </c>
      <c r="F42" s="97" t="str">
        <f ca="1">IFERROR(IF(PréstamoNoPagado*PréstamoPagado,Capital,""), "")</f>
        <v/>
      </c>
      <c r="G42" s="97" t="str">
        <f ca="1">IFERROR(IF(PréstamoNoPagado*PréstamoPagado,AmortizaciónInterés,""), "")</f>
        <v/>
      </c>
      <c r="H42" s="97" t="str">
        <f ca="1">IFERROR(IF(PréstamoNoPagado*PréstamoPagado,SaldoFinal,""), "")</f>
        <v/>
      </c>
    </row>
    <row r="43" spans="2:8" ht="20.100000000000001" customHeight="1" x14ac:dyDescent="0.3">
      <c r="B43" s="105" t="str">
        <f ca="1">IFERROR(IF(PréstamoNoPagado*PréstamoPagado,NúmeroDePago,""), "")</f>
        <v/>
      </c>
      <c r="C43" s="96" t="str">
        <f ca="1">IFERROR(IF(PréstamoNoPagado*PréstamoPagado,FechaDePago,""), "")</f>
        <v/>
      </c>
      <c r="D43" s="97" t="str">
        <f ca="1">IFERROR(IF(PréstamoNoPagado*PréstamoPagado,ValorPréstamo,""), "")</f>
        <v/>
      </c>
      <c r="E43" s="97" t="str">
        <f ca="1">IFERROR(IF(PréstamoNoPagado*PréstamoPagado,PagoMensual,""), "")</f>
        <v/>
      </c>
      <c r="F43" s="97" t="str">
        <f ca="1">IFERROR(IF(PréstamoNoPagado*PréstamoPagado,Capital,""), "")</f>
        <v/>
      </c>
      <c r="G43" s="97" t="str">
        <f ca="1">IFERROR(IF(PréstamoNoPagado*PréstamoPagado,AmortizaciónInterés,""), "")</f>
        <v/>
      </c>
      <c r="H43" s="97" t="str">
        <f ca="1">IFERROR(IF(PréstamoNoPagado*PréstamoPagado,SaldoFinal,""), "")</f>
        <v/>
      </c>
    </row>
    <row r="44" spans="2:8" ht="20.100000000000001" customHeight="1" x14ac:dyDescent="0.3">
      <c r="B44" s="105" t="str">
        <f ca="1">IFERROR(IF(PréstamoNoPagado*PréstamoPagado,NúmeroDePago,""), "")</f>
        <v/>
      </c>
      <c r="C44" s="96" t="str">
        <f ca="1">IFERROR(IF(PréstamoNoPagado*PréstamoPagado,FechaDePago,""), "")</f>
        <v/>
      </c>
      <c r="D44" s="97" t="str">
        <f ca="1">IFERROR(IF(PréstamoNoPagado*PréstamoPagado,ValorPréstamo,""), "")</f>
        <v/>
      </c>
      <c r="E44" s="97" t="str">
        <f ca="1">IFERROR(IF(PréstamoNoPagado*PréstamoPagado,PagoMensual,""), "")</f>
        <v/>
      </c>
      <c r="F44" s="97" t="str">
        <f ca="1">IFERROR(IF(PréstamoNoPagado*PréstamoPagado,Capital,""), "")</f>
        <v/>
      </c>
      <c r="G44" s="97" t="str">
        <f ca="1">IFERROR(IF(PréstamoNoPagado*PréstamoPagado,AmortizaciónInterés,""), "")</f>
        <v/>
      </c>
      <c r="H44" s="97" t="str">
        <f ca="1">IFERROR(IF(PréstamoNoPagado*PréstamoPagado,SaldoFinal,""), "")</f>
        <v/>
      </c>
    </row>
    <row r="45" spans="2:8" ht="20.100000000000001" customHeight="1" x14ac:dyDescent="0.3">
      <c r="B45" s="105" t="str">
        <f ca="1">IFERROR(IF(PréstamoNoPagado*PréstamoPagado,NúmeroDePago,""), "")</f>
        <v/>
      </c>
      <c r="C45" s="96" t="str">
        <f ca="1">IFERROR(IF(PréstamoNoPagado*PréstamoPagado,FechaDePago,""), "")</f>
        <v/>
      </c>
      <c r="D45" s="97" t="str">
        <f ca="1">IFERROR(IF(PréstamoNoPagado*PréstamoPagado,ValorPréstamo,""), "")</f>
        <v/>
      </c>
      <c r="E45" s="97" t="str">
        <f ca="1">IFERROR(IF(PréstamoNoPagado*PréstamoPagado,PagoMensual,""), "")</f>
        <v/>
      </c>
      <c r="F45" s="97" t="str">
        <f ca="1">IFERROR(IF(PréstamoNoPagado*PréstamoPagado,Capital,""), "")</f>
        <v/>
      </c>
      <c r="G45" s="97" t="str">
        <f ca="1">IFERROR(IF(PréstamoNoPagado*PréstamoPagado,AmortizaciónInterés,""), "")</f>
        <v/>
      </c>
      <c r="H45" s="97" t="str">
        <f ca="1">IFERROR(IF(PréstamoNoPagado*PréstamoPagado,SaldoFinal,""), "")</f>
        <v/>
      </c>
    </row>
    <row r="46" spans="2:8" ht="20.100000000000001" customHeight="1" x14ac:dyDescent="0.3">
      <c r="B46" s="105" t="str">
        <f ca="1">IFERROR(IF(PréstamoNoPagado*PréstamoPagado,NúmeroDePago,""), "")</f>
        <v/>
      </c>
      <c r="C46" s="96" t="str">
        <f ca="1">IFERROR(IF(PréstamoNoPagado*PréstamoPagado,FechaDePago,""), "")</f>
        <v/>
      </c>
      <c r="D46" s="97" t="str">
        <f ca="1">IFERROR(IF(PréstamoNoPagado*PréstamoPagado,ValorPréstamo,""), "")</f>
        <v/>
      </c>
      <c r="E46" s="97" t="str">
        <f ca="1">IFERROR(IF(PréstamoNoPagado*PréstamoPagado,PagoMensual,""), "")</f>
        <v/>
      </c>
      <c r="F46" s="97" t="str">
        <f ca="1">IFERROR(IF(PréstamoNoPagado*PréstamoPagado,Capital,""), "")</f>
        <v/>
      </c>
      <c r="G46" s="97" t="str">
        <f ca="1">IFERROR(IF(PréstamoNoPagado*PréstamoPagado,AmortizaciónInterés,""), "")</f>
        <v/>
      </c>
      <c r="H46" s="97" t="str">
        <f ca="1">IFERROR(IF(PréstamoNoPagado*PréstamoPagado,SaldoFinal,""), "")</f>
        <v/>
      </c>
    </row>
    <row r="47" spans="2:8" ht="20.100000000000001" customHeight="1" x14ac:dyDescent="0.3">
      <c r="B47" s="105" t="str">
        <f ca="1">IFERROR(IF(PréstamoNoPagado*PréstamoPagado,NúmeroDePago,""), "")</f>
        <v/>
      </c>
      <c r="C47" s="96" t="str">
        <f ca="1">IFERROR(IF(PréstamoNoPagado*PréstamoPagado,FechaDePago,""), "")</f>
        <v/>
      </c>
      <c r="D47" s="97" t="str">
        <f ca="1">IFERROR(IF(PréstamoNoPagado*PréstamoPagado,ValorPréstamo,""), "")</f>
        <v/>
      </c>
      <c r="E47" s="97" t="str">
        <f ca="1">IFERROR(IF(PréstamoNoPagado*PréstamoPagado,PagoMensual,""), "")</f>
        <v/>
      </c>
      <c r="F47" s="97" t="str">
        <f ca="1">IFERROR(IF(PréstamoNoPagado*PréstamoPagado,Capital,""), "")</f>
        <v/>
      </c>
      <c r="G47" s="97" t="str">
        <f ca="1">IFERROR(IF(PréstamoNoPagado*PréstamoPagado,AmortizaciónInterés,""), "")</f>
        <v/>
      </c>
      <c r="H47" s="97" t="str">
        <f ca="1">IFERROR(IF(PréstamoNoPagado*PréstamoPagado,SaldoFinal,""), "")</f>
        <v/>
      </c>
    </row>
    <row r="48" spans="2:8" ht="20.100000000000001" customHeight="1" x14ac:dyDescent="0.3">
      <c r="B48" s="105" t="str">
        <f ca="1">IFERROR(IF(PréstamoNoPagado*PréstamoPagado,NúmeroDePago,""), "")</f>
        <v/>
      </c>
      <c r="C48" s="96" t="str">
        <f ca="1">IFERROR(IF(PréstamoNoPagado*PréstamoPagado,FechaDePago,""), "")</f>
        <v/>
      </c>
      <c r="D48" s="97" t="str">
        <f ca="1">IFERROR(IF(PréstamoNoPagado*PréstamoPagado,ValorPréstamo,""), "")</f>
        <v/>
      </c>
      <c r="E48" s="97" t="str">
        <f ca="1">IFERROR(IF(PréstamoNoPagado*PréstamoPagado,PagoMensual,""), "")</f>
        <v/>
      </c>
      <c r="F48" s="97" t="str">
        <f ca="1">IFERROR(IF(PréstamoNoPagado*PréstamoPagado,Capital,""), "")</f>
        <v/>
      </c>
      <c r="G48" s="97" t="str">
        <f ca="1">IFERROR(IF(PréstamoNoPagado*PréstamoPagado,AmortizaciónInterés,""), "")</f>
        <v/>
      </c>
      <c r="H48" s="97" t="str">
        <f ca="1">IFERROR(IF(PréstamoNoPagado*PréstamoPagado,SaldoFinal,""), "")</f>
        <v/>
      </c>
    </row>
    <row r="49" spans="2:8" ht="20.100000000000001" customHeight="1" x14ac:dyDescent="0.3">
      <c r="B49" s="105" t="str">
        <f ca="1">IFERROR(IF(PréstamoNoPagado*PréstamoPagado,NúmeroDePago,""), "")</f>
        <v/>
      </c>
      <c r="C49" s="96" t="str">
        <f ca="1">IFERROR(IF(PréstamoNoPagado*PréstamoPagado,FechaDePago,""), "")</f>
        <v/>
      </c>
      <c r="D49" s="97" t="str">
        <f ca="1">IFERROR(IF(PréstamoNoPagado*PréstamoPagado,ValorPréstamo,""), "")</f>
        <v/>
      </c>
      <c r="E49" s="97" t="str">
        <f ca="1">IFERROR(IF(PréstamoNoPagado*PréstamoPagado,PagoMensual,""), "")</f>
        <v/>
      </c>
      <c r="F49" s="97" t="str">
        <f ca="1">IFERROR(IF(PréstamoNoPagado*PréstamoPagado,Capital,""), "")</f>
        <v/>
      </c>
      <c r="G49" s="97" t="str">
        <f ca="1">IFERROR(IF(PréstamoNoPagado*PréstamoPagado,AmortizaciónInterés,""), "")</f>
        <v/>
      </c>
      <c r="H49" s="97" t="str">
        <f ca="1">IFERROR(IF(PréstamoNoPagado*PréstamoPagado,SaldoFinal,""), "")</f>
        <v/>
      </c>
    </row>
    <row r="50" spans="2:8" ht="20.100000000000001" customHeight="1" x14ac:dyDescent="0.3">
      <c r="B50" s="105" t="str">
        <f ca="1">IFERROR(IF(PréstamoNoPagado*PréstamoPagado,NúmeroDePago,""), "")</f>
        <v/>
      </c>
      <c r="C50" s="96" t="str">
        <f ca="1">IFERROR(IF(PréstamoNoPagado*PréstamoPagado,FechaDePago,""), "")</f>
        <v/>
      </c>
      <c r="D50" s="97" t="str">
        <f ca="1">IFERROR(IF(PréstamoNoPagado*PréstamoPagado,ValorPréstamo,""), "")</f>
        <v/>
      </c>
      <c r="E50" s="97" t="str">
        <f ca="1">IFERROR(IF(PréstamoNoPagado*PréstamoPagado,PagoMensual,""), "")</f>
        <v/>
      </c>
      <c r="F50" s="97" t="str">
        <f ca="1">IFERROR(IF(PréstamoNoPagado*PréstamoPagado,Capital,""), "")</f>
        <v/>
      </c>
      <c r="G50" s="97" t="str">
        <f ca="1">IFERROR(IF(PréstamoNoPagado*PréstamoPagado,AmortizaciónInterés,""), "")</f>
        <v/>
      </c>
      <c r="H50" s="97" t="str">
        <f ca="1">IFERROR(IF(PréstamoNoPagado*PréstamoPagado,SaldoFinal,""), "")</f>
        <v/>
      </c>
    </row>
    <row r="51" spans="2:8" ht="20.100000000000001" customHeight="1" x14ac:dyDescent="0.3">
      <c r="B51" s="105" t="str">
        <f ca="1">IFERROR(IF(PréstamoNoPagado*PréstamoPagado,NúmeroDePago,""), "")</f>
        <v/>
      </c>
      <c r="C51" s="96" t="str">
        <f ca="1">IFERROR(IF(PréstamoNoPagado*PréstamoPagado,FechaDePago,""), "")</f>
        <v/>
      </c>
      <c r="D51" s="97" t="str">
        <f ca="1">IFERROR(IF(PréstamoNoPagado*PréstamoPagado,ValorPréstamo,""), "")</f>
        <v/>
      </c>
      <c r="E51" s="97" t="str">
        <f ca="1">IFERROR(IF(PréstamoNoPagado*PréstamoPagado,PagoMensual,""), "")</f>
        <v/>
      </c>
      <c r="F51" s="97" t="str">
        <f ca="1">IFERROR(IF(PréstamoNoPagado*PréstamoPagado,Capital,""), "")</f>
        <v/>
      </c>
      <c r="G51" s="97" t="str">
        <f ca="1">IFERROR(IF(PréstamoNoPagado*PréstamoPagado,AmortizaciónInterés,""), "")</f>
        <v/>
      </c>
      <c r="H51" s="97" t="str">
        <f ca="1">IFERROR(IF(PréstamoNoPagado*PréstamoPagado,SaldoFinal,""), "")</f>
        <v/>
      </c>
    </row>
    <row r="52" spans="2:8" ht="20.100000000000001" customHeight="1" x14ac:dyDescent="0.3">
      <c r="B52" s="105" t="str">
        <f ca="1">IFERROR(IF(PréstamoNoPagado*PréstamoPagado,NúmeroDePago,""), "")</f>
        <v/>
      </c>
      <c r="C52" s="96" t="str">
        <f ca="1">IFERROR(IF(PréstamoNoPagado*PréstamoPagado,FechaDePago,""), "")</f>
        <v/>
      </c>
      <c r="D52" s="97" t="str">
        <f ca="1">IFERROR(IF(PréstamoNoPagado*PréstamoPagado,ValorPréstamo,""), "")</f>
        <v/>
      </c>
      <c r="E52" s="97" t="str">
        <f ca="1">IFERROR(IF(PréstamoNoPagado*PréstamoPagado,PagoMensual,""), "")</f>
        <v/>
      </c>
      <c r="F52" s="97" t="str">
        <f ca="1">IFERROR(IF(PréstamoNoPagado*PréstamoPagado,Capital,""), "")</f>
        <v/>
      </c>
      <c r="G52" s="97" t="str">
        <f ca="1">IFERROR(IF(PréstamoNoPagado*PréstamoPagado,AmortizaciónInterés,""), "")</f>
        <v/>
      </c>
      <c r="H52" s="97" t="str">
        <f ca="1">IFERROR(IF(PréstamoNoPagado*PréstamoPagado,SaldoFinal,""), "")</f>
        <v/>
      </c>
    </row>
    <row r="53" spans="2:8" ht="20.100000000000001" customHeight="1" x14ac:dyDescent="0.3">
      <c r="B53" s="105" t="str">
        <f ca="1">IFERROR(IF(PréstamoNoPagado*PréstamoPagado,NúmeroDePago,""), "")</f>
        <v/>
      </c>
      <c r="C53" s="96" t="str">
        <f ca="1">IFERROR(IF(PréstamoNoPagado*PréstamoPagado,FechaDePago,""), "")</f>
        <v/>
      </c>
      <c r="D53" s="97" t="str">
        <f ca="1">IFERROR(IF(PréstamoNoPagado*PréstamoPagado,ValorPréstamo,""), "")</f>
        <v/>
      </c>
      <c r="E53" s="97" t="str">
        <f ca="1">IFERROR(IF(PréstamoNoPagado*PréstamoPagado,PagoMensual,""), "")</f>
        <v/>
      </c>
      <c r="F53" s="97" t="str">
        <f ca="1">IFERROR(IF(PréstamoNoPagado*PréstamoPagado,Capital,""), "")</f>
        <v/>
      </c>
      <c r="G53" s="97" t="str">
        <f ca="1">IFERROR(IF(PréstamoNoPagado*PréstamoPagado,AmortizaciónInterés,""), "")</f>
        <v/>
      </c>
      <c r="H53" s="97" t="str">
        <f ca="1">IFERROR(IF(PréstamoNoPagado*PréstamoPagado,SaldoFinal,""), "")</f>
        <v/>
      </c>
    </row>
    <row r="54" spans="2:8" ht="20.100000000000001" customHeight="1" x14ac:dyDescent="0.3">
      <c r="B54" s="105" t="str">
        <f ca="1">IFERROR(IF(PréstamoNoPagado*PréstamoPagado,NúmeroDePago,""), "")</f>
        <v/>
      </c>
      <c r="C54" s="96" t="str">
        <f ca="1">IFERROR(IF(PréstamoNoPagado*PréstamoPagado,FechaDePago,""), "")</f>
        <v/>
      </c>
      <c r="D54" s="97" t="str">
        <f ca="1">IFERROR(IF(PréstamoNoPagado*PréstamoPagado,ValorPréstamo,""), "")</f>
        <v/>
      </c>
      <c r="E54" s="97" t="str">
        <f ca="1">IFERROR(IF(PréstamoNoPagado*PréstamoPagado,PagoMensual,""), "")</f>
        <v/>
      </c>
      <c r="F54" s="97" t="str">
        <f ca="1">IFERROR(IF(PréstamoNoPagado*PréstamoPagado,Capital,""), "")</f>
        <v/>
      </c>
      <c r="G54" s="97" t="str">
        <f ca="1">IFERROR(IF(PréstamoNoPagado*PréstamoPagado,AmortizaciónInterés,""), "")</f>
        <v/>
      </c>
      <c r="H54" s="97" t="str">
        <f ca="1">IFERROR(IF(PréstamoNoPagado*PréstamoPagado,SaldoFinal,""), "")</f>
        <v/>
      </c>
    </row>
    <row r="55" spans="2:8" ht="20.100000000000001" customHeight="1" x14ac:dyDescent="0.3">
      <c r="B55" s="105" t="str">
        <f ca="1">IFERROR(IF(PréstamoNoPagado*PréstamoPagado,NúmeroDePago,""), "")</f>
        <v/>
      </c>
      <c r="C55" s="96" t="str">
        <f ca="1">IFERROR(IF(PréstamoNoPagado*PréstamoPagado,FechaDePago,""), "")</f>
        <v/>
      </c>
      <c r="D55" s="97" t="str">
        <f ca="1">IFERROR(IF(PréstamoNoPagado*PréstamoPagado,ValorPréstamo,""), "")</f>
        <v/>
      </c>
      <c r="E55" s="97" t="str">
        <f ca="1">IFERROR(IF(PréstamoNoPagado*PréstamoPagado,PagoMensual,""), "")</f>
        <v/>
      </c>
      <c r="F55" s="97" t="str">
        <f ca="1">IFERROR(IF(PréstamoNoPagado*PréstamoPagado,Capital,""), "")</f>
        <v/>
      </c>
      <c r="G55" s="97" t="str">
        <f ca="1">IFERROR(IF(PréstamoNoPagado*PréstamoPagado,AmortizaciónInterés,""), "")</f>
        <v/>
      </c>
      <c r="H55" s="97" t="str">
        <f ca="1">IFERROR(IF(PréstamoNoPagado*PréstamoPagado,SaldoFinal,""), "")</f>
        <v/>
      </c>
    </row>
    <row r="56" spans="2:8" ht="20.100000000000001" customHeight="1" x14ac:dyDescent="0.3">
      <c r="B56" s="105" t="str">
        <f ca="1">IFERROR(IF(PréstamoNoPagado*PréstamoPagado,NúmeroDePago,""), "")</f>
        <v/>
      </c>
      <c r="C56" s="96" t="str">
        <f ca="1">IFERROR(IF(PréstamoNoPagado*PréstamoPagado,FechaDePago,""), "")</f>
        <v/>
      </c>
      <c r="D56" s="97" t="str">
        <f ca="1">IFERROR(IF(PréstamoNoPagado*PréstamoPagado,ValorPréstamo,""), "")</f>
        <v/>
      </c>
      <c r="E56" s="97" t="str">
        <f ca="1">IFERROR(IF(PréstamoNoPagado*PréstamoPagado,PagoMensual,""), "")</f>
        <v/>
      </c>
      <c r="F56" s="97" t="str">
        <f ca="1">IFERROR(IF(PréstamoNoPagado*PréstamoPagado,Capital,""), "")</f>
        <v/>
      </c>
      <c r="G56" s="97" t="str">
        <f ca="1">IFERROR(IF(PréstamoNoPagado*PréstamoPagado,AmortizaciónInterés,""), "")</f>
        <v/>
      </c>
      <c r="H56" s="97" t="str">
        <f ca="1">IFERROR(IF(PréstamoNoPagado*PréstamoPagado,SaldoFinal,""), "")</f>
        <v/>
      </c>
    </row>
    <row r="57" spans="2:8" ht="20.100000000000001" customHeight="1" x14ac:dyDescent="0.3">
      <c r="B57" s="105" t="str">
        <f ca="1">IFERROR(IF(PréstamoNoPagado*PréstamoPagado,NúmeroDePago,""), "")</f>
        <v/>
      </c>
      <c r="C57" s="96" t="str">
        <f ca="1">IFERROR(IF(PréstamoNoPagado*PréstamoPagado,FechaDePago,""), "")</f>
        <v/>
      </c>
      <c r="D57" s="97" t="str">
        <f ca="1">IFERROR(IF(PréstamoNoPagado*PréstamoPagado,ValorPréstamo,""), "")</f>
        <v/>
      </c>
      <c r="E57" s="97" t="str">
        <f ca="1">IFERROR(IF(PréstamoNoPagado*PréstamoPagado,PagoMensual,""), "")</f>
        <v/>
      </c>
      <c r="F57" s="97" t="str">
        <f ca="1">IFERROR(IF(PréstamoNoPagado*PréstamoPagado,Capital,""), "")</f>
        <v/>
      </c>
      <c r="G57" s="97" t="str">
        <f ca="1">IFERROR(IF(PréstamoNoPagado*PréstamoPagado,AmortizaciónInterés,""), "")</f>
        <v/>
      </c>
      <c r="H57" s="97" t="str">
        <f ca="1">IFERROR(IF(PréstamoNoPagado*PréstamoPagado,SaldoFinal,""), "")</f>
        <v/>
      </c>
    </row>
    <row r="58" spans="2:8" ht="20.100000000000001" customHeight="1" x14ac:dyDescent="0.3">
      <c r="B58" s="105" t="str">
        <f ca="1">IFERROR(IF(PréstamoNoPagado*PréstamoPagado,NúmeroDePago,""), "")</f>
        <v/>
      </c>
      <c r="C58" s="96" t="str">
        <f ca="1">IFERROR(IF(PréstamoNoPagado*PréstamoPagado,FechaDePago,""), "")</f>
        <v/>
      </c>
      <c r="D58" s="97" t="str">
        <f ca="1">IFERROR(IF(PréstamoNoPagado*PréstamoPagado,ValorPréstamo,""), "")</f>
        <v/>
      </c>
      <c r="E58" s="97" t="str">
        <f ca="1">IFERROR(IF(PréstamoNoPagado*PréstamoPagado,PagoMensual,""), "")</f>
        <v/>
      </c>
      <c r="F58" s="97" t="str">
        <f ca="1">IFERROR(IF(PréstamoNoPagado*PréstamoPagado,Capital,""), "")</f>
        <v/>
      </c>
      <c r="G58" s="97" t="str">
        <f ca="1">IFERROR(IF(PréstamoNoPagado*PréstamoPagado,AmortizaciónInterés,""), "")</f>
        <v/>
      </c>
      <c r="H58" s="97" t="str">
        <f ca="1">IFERROR(IF(PréstamoNoPagado*PréstamoPagado,SaldoFinal,""), "")</f>
        <v/>
      </c>
    </row>
    <row r="59" spans="2:8" ht="20.100000000000001" customHeight="1" x14ac:dyDescent="0.3">
      <c r="B59" s="105" t="str">
        <f ca="1">IFERROR(IF(PréstamoNoPagado*PréstamoPagado,NúmeroDePago,""), "")</f>
        <v/>
      </c>
      <c r="C59" s="96" t="str">
        <f ca="1">IFERROR(IF(PréstamoNoPagado*PréstamoPagado,FechaDePago,""), "")</f>
        <v/>
      </c>
      <c r="D59" s="97" t="str">
        <f ca="1">IFERROR(IF(PréstamoNoPagado*PréstamoPagado,ValorPréstamo,""), "")</f>
        <v/>
      </c>
      <c r="E59" s="97" t="str">
        <f ca="1">IFERROR(IF(PréstamoNoPagado*PréstamoPagado,PagoMensual,""), "")</f>
        <v/>
      </c>
      <c r="F59" s="97" t="str">
        <f ca="1">IFERROR(IF(PréstamoNoPagado*PréstamoPagado,Capital,""), "")</f>
        <v/>
      </c>
      <c r="G59" s="97" t="str">
        <f ca="1">IFERROR(IF(PréstamoNoPagado*PréstamoPagado,AmortizaciónInterés,""), "")</f>
        <v/>
      </c>
      <c r="H59" s="97" t="str">
        <f ca="1">IFERROR(IF(PréstamoNoPagado*PréstamoPagado,SaldoFinal,""), "")</f>
        <v/>
      </c>
    </row>
    <row r="60" spans="2:8" ht="20.100000000000001" customHeight="1" x14ac:dyDescent="0.3">
      <c r="B60" s="105" t="str">
        <f ca="1">IFERROR(IF(PréstamoNoPagado*PréstamoPagado,NúmeroDePago,""), "")</f>
        <v/>
      </c>
      <c r="C60" s="96" t="str">
        <f ca="1">IFERROR(IF(PréstamoNoPagado*PréstamoPagado,FechaDePago,""), "")</f>
        <v/>
      </c>
      <c r="D60" s="97" t="str">
        <f ca="1">IFERROR(IF(PréstamoNoPagado*PréstamoPagado,ValorPréstamo,""), "")</f>
        <v/>
      </c>
      <c r="E60" s="97" t="str">
        <f ca="1">IFERROR(IF(PréstamoNoPagado*PréstamoPagado,PagoMensual,""), "")</f>
        <v/>
      </c>
      <c r="F60" s="97" t="str">
        <f ca="1">IFERROR(IF(PréstamoNoPagado*PréstamoPagado,Capital,""), "")</f>
        <v/>
      </c>
      <c r="G60" s="97" t="str">
        <f ca="1">IFERROR(IF(PréstamoNoPagado*PréstamoPagado,AmortizaciónInterés,""), "")</f>
        <v/>
      </c>
      <c r="H60" s="97" t="str">
        <f ca="1">IFERROR(IF(PréstamoNoPagado*PréstamoPagado,SaldoFinal,""), "")</f>
        <v/>
      </c>
    </row>
    <row r="61" spans="2:8" ht="20.100000000000001" customHeight="1" x14ac:dyDescent="0.3">
      <c r="B61" s="105" t="str">
        <f ca="1">IFERROR(IF(PréstamoNoPagado*PréstamoPagado,NúmeroDePago,""), "")</f>
        <v/>
      </c>
      <c r="C61" s="96" t="str">
        <f ca="1">IFERROR(IF(PréstamoNoPagado*PréstamoPagado,FechaDePago,""), "")</f>
        <v/>
      </c>
      <c r="D61" s="97" t="str">
        <f ca="1">IFERROR(IF(PréstamoNoPagado*PréstamoPagado,ValorPréstamo,""), "")</f>
        <v/>
      </c>
      <c r="E61" s="97" t="str">
        <f ca="1">IFERROR(IF(PréstamoNoPagado*PréstamoPagado,PagoMensual,""), "")</f>
        <v/>
      </c>
      <c r="F61" s="97" t="str">
        <f ca="1">IFERROR(IF(PréstamoNoPagado*PréstamoPagado,Capital,""), "")</f>
        <v/>
      </c>
      <c r="G61" s="97" t="str">
        <f ca="1">IFERROR(IF(PréstamoNoPagado*PréstamoPagado,AmortizaciónInterés,""), "")</f>
        <v/>
      </c>
      <c r="H61" s="97" t="str">
        <f ca="1">IFERROR(IF(PréstamoNoPagado*PréstamoPagado,SaldoFinal,""), "")</f>
        <v/>
      </c>
    </row>
    <row r="62" spans="2:8" ht="20.100000000000001" customHeight="1" x14ac:dyDescent="0.3">
      <c r="B62" s="105" t="str">
        <f ca="1">IFERROR(IF(PréstamoNoPagado*PréstamoPagado,NúmeroDePago,""), "")</f>
        <v/>
      </c>
      <c r="C62" s="96" t="str">
        <f ca="1">IFERROR(IF(PréstamoNoPagado*PréstamoPagado,FechaDePago,""), "")</f>
        <v/>
      </c>
      <c r="D62" s="97" t="str">
        <f ca="1">IFERROR(IF(PréstamoNoPagado*PréstamoPagado,ValorPréstamo,""), "")</f>
        <v/>
      </c>
      <c r="E62" s="97" t="str">
        <f ca="1">IFERROR(IF(PréstamoNoPagado*PréstamoPagado,PagoMensual,""), "")</f>
        <v/>
      </c>
      <c r="F62" s="97" t="str">
        <f ca="1">IFERROR(IF(PréstamoNoPagado*PréstamoPagado,Capital,""), "")</f>
        <v/>
      </c>
      <c r="G62" s="97" t="str">
        <f ca="1">IFERROR(IF(PréstamoNoPagado*PréstamoPagado,AmortizaciónInterés,""), "")</f>
        <v/>
      </c>
      <c r="H62" s="97" t="str">
        <f ca="1">IFERROR(IF(PréstamoNoPagado*PréstamoPagado,SaldoFinal,""), "")</f>
        <v/>
      </c>
    </row>
    <row r="63" spans="2:8" ht="20.100000000000001" customHeight="1" x14ac:dyDescent="0.3">
      <c r="B63" s="105" t="str">
        <f ca="1">IFERROR(IF(PréstamoNoPagado*PréstamoPagado,NúmeroDePago,""), "")</f>
        <v/>
      </c>
      <c r="C63" s="96" t="str">
        <f ca="1">IFERROR(IF(PréstamoNoPagado*PréstamoPagado,FechaDePago,""), "")</f>
        <v/>
      </c>
      <c r="D63" s="97" t="str">
        <f ca="1">IFERROR(IF(PréstamoNoPagado*PréstamoPagado,ValorPréstamo,""), "")</f>
        <v/>
      </c>
      <c r="E63" s="97" t="str">
        <f ca="1">IFERROR(IF(PréstamoNoPagado*PréstamoPagado,PagoMensual,""), "")</f>
        <v/>
      </c>
      <c r="F63" s="97" t="str">
        <f ca="1">IFERROR(IF(PréstamoNoPagado*PréstamoPagado,Capital,""), "")</f>
        <v/>
      </c>
      <c r="G63" s="97" t="str">
        <f ca="1">IFERROR(IF(PréstamoNoPagado*PréstamoPagado,AmortizaciónInterés,""), "")</f>
        <v/>
      </c>
      <c r="H63" s="97" t="str">
        <f ca="1">IFERROR(IF(PréstamoNoPagado*PréstamoPagado,SaldoFinal,""), "")</f>
        <v/>
      </c>
    </row>
    <row r="64" spans="2:8" ht="20.100000000000001" customHeight="1" x14ac:dyDescent="0.3">
      <c r="B64" s="105" t="str">
        <f ca="1">IFERROR(IF(PréstamoNoPagado*PréstamoPagado,NúmeroDePago,""), "")</f>
        <v/>
      </c>
      <c r="C64" s="96" t="str">
        <f ca="1">IFERROR(IF(PréstamoNoPagado*PréstamoPagado,FechaDePago,""), "")</f>
        <v/>
      </c>
      <c r="D64" s="97" t="str">
        <f ca="1">IFERROR(IF(PréstamoNoPagado*PréstamoPagado,ValorPréstamo,""), "")</f>
        <v/>
      </c>
      <c r="E64" s="97" t="str">
        <f ca="1">IFERROR(IF(PréstamoNoPagado*PréstamoPagado,PagoMensual,""), "")</f>
        <v/>
      </c>
      <c r="F64" s="97" t="str">
        <f ca="1">IFERROR(IF(PréstamoNoPagado*PréstamoPagado,Capital,""), "")</f>
        <v/>
      </c>
      <c r="G64" s="97" t="str">
        <f ca="1">IFERROR(IF(PréstamoNoPagado*PréstamoPagado,AmortizaciónInterés,""), "")</f>
        <v/>
      </c>
      <c r="H64" s="97" t="str">
        <f ca="1">IFERROR(IF(PréstamoNoPagado*PréstamoPagado,SaldoFinal,""), "")</f>
        <v/>
      </c>
    </row>
    <row r="65" spans="2:8" ht="20.100000000000001" customHeight="1" x14ac:dyDescent="0.3">
      <c r="B65" s="105" t="str">
        <f ca="1">IFERROR(IF(PréstamoNoPagado*PréstamoPagado,NúmeroDePago,""), "")</f>
        <v/>
      </c>
      <c r="C65" s="96" t="str">
        <f ca="1">IFERROR(IF(PréstamoNoPagado*PréstamoPagado,FechaDePago,""), "")</f>
        <v/>
      </c>
      <c r="D65" s="97" t="str">
        <f ca="1">IFERROR(IF(PréstamoNoPagado*PréstamoPagado,ValorPréstamo,""), "")</f>
        <v/>
      </c>
      <c r="E65" s="97" t="str">
        <f ca="1">IFERROR(IF(PréstamoNoPagado*PréstamoPagado,PagoMensual,""), "")</f>
        <v/>
      </c>
      <c r="F65" s="97" t="str">
        <f ca="1">IFERROR(IF(PréstamoNoPagado*PréstamoPagado,Capital,""), "")</f>
        <v/>
      </c>
      <c r="G65" s="97" t="str">
        <f ca="1">IFERROR(IF(PréstamoNoPagado*PréstamoPagado,AmortizaciónInterés,""), "")</f>
        <v/>
      </c>
      <c r="H65" s="97" t="str">
        <f ca="1">IFERROR(IF(PréstamoNoPagado*PréstamoPagado,SaldoFinal,""), "")</f>
        <v/>
      </c>
    </row>
    <row r="66" spans="2:8" ht="20.100000000000001" customHeight="1" x14ac:dyDescent="0.3">
      <c r="B66" s="105" t="str">
        <f ca="1">IFERROR(IF(PréstamoNoPagado*PréstamoPagado,NúmeroDePago,""), "")</f>
        <v/>
      </c>
      <c r="C66" s="96" t="str">
        <f ca="1">IFERROR(IF(PréstamoNoPagado*PréstamoPagado,FechaDePago,""), "")</f>
        <v/>
      </c>
      <c r="D66" s="97" t="str">
        <f ca="1">IFERROR(IF(PréstamoNoPagado*PréstamoPagado,ValorPréstamo,""), "")</f>
        <v/>
      </c>
      <c r="E66" s="97" t="str">
        <f ca="1">IFERROR(IF(PréstamoNoPagado*PréstamoPagado,PagoMensual,""), "")</f>
        <v/>
      </c>
      <c r="F66" s="97" t="str">
        <f ca="1">IFERROR(IF(PréstamoNoPagado*PréstamoPagado,Capital,""), "")</f>
        <v/>
      </c>
      <c r="G66" s="97" t="str">
        <f ca="1">IFERROR(IF(PréstamoNoPagado*PréstamoPagado,AmortizaciónInterés,""), "")</f>
        <v/>
      </c>
      <c r="H66" s="97" t="str">
        <f ca="1">IFERROR(IF(PréstamoNoPagado*PréstamoPagado,SaldoFinal,""), "")</f>
        <v/>
      </c>
    </row>
    <row r="67" spans="2:8" ht="20.100000000000001" customHeight="1" x14ac:dyDescent="0.3">
      <c r="B67" s="105" t="str">
        <f ca="1">IFERROR(IF(PréstamoNoPagado*PréstamoPagado,NúmeroDePago,""), "")</f>
        <v/>
      </c>
      <c r="C67" s="96" t="str">
        <f ca="1">IFERROR(IF(PréstamoNoPagado*PréstamoPagado,FechaDePago,""), "")</f>
        <v/>
      </c>
      <c r="D67" s="97" t="str">
        <f ca="1">IFERROR(IF(PréstamoNoPagado*PréstamoPagado,ValorPréstamo,""), "")</f>
        <v/>
      </c>
      <c r="E67" s="97" t="str">
        <f ca="1">IFERROR(IF(PréstamoNoPagado*PréstamoPagado,PagoMensual,""), "")</f>
        <v/>
      </c>
      <c r="F67" s="97" t="str">
        <f ca="1">IFERROR(IF(PréstamoNoPagado*PréstamoPagado,Capital,""), "")</f>
        <v/>
      </c>
      <c r="G67" s="97" t="str">
        <f ca="1">IFERROR(IF(PréstamoNoPagado*PréstamoPagado,AmortizaciónInterés,""), "")</f>
        <v/>
      </c>
      <c r="H67" s="97" t="str">
        <f ca="1">IFERROR(IF(PréstamoNoPagado*PréstamoPagado,SaldoFinal,""), "")</f>
        <v/>
      </c>
    </row>
    <row r="68" spans="2:8" ht="20.100000000000001" customHeight="1" x14ac:dyDescent="0.3">
      <c r="B68" s="105" t="str">
        <f ca="1">IFERROR(IF(PréstamoNoPagado*PréstamoPagado,NúmeroDePago,""), "")</f>
        <v/>
      </c>
      <c r="C68" s="96" t="str">
        <f ca="1">IFERROR(IF(PréstamoNoPagado*PréstamoPagado,FechaDePago,""), "")</f>
        <v/>
      </c>
      <c r="D68" s="97" t="str">
        <f ca="1">IFERROR(IF(PréstamoNoPagado*PréstamoPagado,ValorPréstamo,""), "")</f>
        <v/>
      </c>
      <c r="E68" s="97" t="str">
        <f ca="1">IFERROR(IF(PréstamoNoPagado*PréstamoPagado,PagoMensual,""), "")</f>
        <v/>
      </c>
      <c r="F68" s="97" t="str">
        <f ca="1">IFERROR(IF(PréstamoNoPagado*PréstamoPagado,Capital,""), "")</f>
        <v/>
      </c>
      <c r="G68" s="97" t="str">
        <f ca="1">IFERROR(IF(PréstamoNoPagado*PréstamoPagado,AmortizaciónInterés,""), "")</f>
        <v/>
      </c>
      <c r="H68" s="97" t="str">
        <f ca="1">IFERROR(IF(PréstamoNoPagado*PréstamoPagado,SaldoFinal,""), "")</f>
        <v/>
      </c>
    </row>
    <row r="69" spans="2:8" ht="20.100000000000001" customHeight="1" x14ac:dyDescent="0.3">
      <c r="B69" s="105" t="str">
        <f ca="1">IFERROR(IF(PréstamoNoPagado*PréstamoPagado,NúmeroDePago,""), "")</f>
        <v/>
      </c>
      <c r="C69" s="96" t="str">
        <f ca="1">IFERROR(IF(PréstamoNoPagado*PréstamoPagado,FechaDePago,""), "")</f>
        <v/>
      </c>
      <c r="D69" s="97" t="str">
        <f ca="1">IFERROR(IF(PréstamoNoPagado*PréstamoPagado,ValorPréstamo,""), "")</f>
        <v/>
      </c>
      <c r="E69" s="97" t="str">
        <f ca="1">IFERROR(IF(PréstamoNoPagado*PréstamoPagado,PagoMensual,""), "")</f>
        <v/>
      </c>
      <c r="F69" s="97" t="str">
        <f ca="1">IFERROR(IF(PréstamoNoPagado*PréstamoPagado,Capital,""), "")</f>
        <v/>
      </c>
      <c r="G69" s="97" t="str">
        <f ca="1">IFERROR(IF(PréstamoNoPagado*PréstamoPagado,AmortizaciónInterés,""), "")</f>
        <v/>
      </c>
      <c r="H69" s="97" t="str">
        <f ca="1">IFERROR(IF(PréstamoNoPagado*PréstamoPagado,SaldoFinal,""), "")</f>
        <v/>
      </c>
    </row>
    <row r="70" spans="2:8" ht="20.100000000000001" customHeight="1" x14ac:dyDescent="0.3">
      <c r="B70" s="105" t="str">
        <f ca="1">IFERROR(IF(PréstamoNoPagado*PréstamoPagado,NúmeroDePago,""), "")</f>
        <v/>
      </c>
      <c r="C70" s="96" t="str">
        <f ca="1">IFERROR(IF(PréstamoNoPagado*PréstamoPagado,FechaDePago,""), "")</f>
        <v/>
      </c>
      <c r="D70" s="97" t="str">
        <f ca="1">IFERROR(IF(PréstamoNoPagado*PréstamoPagado,ValorPréstamo,""), "")</f>
        <v/>
      </c>
      <c r="E70" s="97" t="str">
        <f ca="1">IFERROR(IF(PréstamoNoPagado*PréstamoPagado,PagoMensual,""), "")</f>
        <v/>
      </c>
      <c r="F70" s="97" t="str">
        <f ca="1">IFERROR(IF(PréstamoNoPagado*PréstamoPagado,Capital,""), "")</f>
        <v/>
      </c>
      <c r="G70" s="97" t="str">
        <f ca="1">IFERROR(IF(PréstamoNoPagado*PréstamoPagado,AmortizaciónInterés,""), "")</f>
        <v/>
      </c>
      <c r="H70" s="97" t="str">
        <f ca="1">IFERROR(IF(PréstamoNoPagado*PréstamoPagado,SaldoFinal,""), "")</f>
        <v/>
      </c>
    </row>
    <row r="71" spans="2:8" ht="20.100000000000001" customHeight="1" x14ac:dyDescent="0.3">
      <c r="B71" s="105" t="str">
        <f ca="1">IFERROR(IF(PréstamoNoPagado*PréstamoPagado,NúmeroDePago,""), "")</f>
        <v/>
      </c>
      <c r="C71" s="96" t="str">
        <f ca="1">IFERROR(IF(PréstamoNoPagado*PréstamoPagado,FechaDePago,""), "")</f>
        <v/>
      </c>
      <c r="D71" s="97" t="str">
        <f ca="1">IFERROR(IF(PréstamoNoPagado*PréstamoPagado,ValorPréstamo,""), "")</f>
        <v/>
      </c>
      <c r="E71" s="97" t="str">
        <f ca="1">IFERROR(IF(PréstamoNoPagado*PréstamoPagado,PagoMensual,""), "")</f>
        <v/>
      </c>
      <c r="F71" s="97" t="str">
        <f ca="1">IFERROR(IF(PréstamoNoPagado*PréstamoPagado,Capital,""), "")</f>
        <v/>
      </c>
      <c r="G71" s="97" t="str">
        <f ca="1">IFERROR(IF(PréstamoNoPagado*PréstamoPagado,AmortizaciónInterés,""), "")</f>
        <v/>
      </c>
      <c r="H71" s="97" t="str">
        <f ca="1">IFERROR(IF(PréstamoNoPagado*PréstamoPagado,SaldoFinal,""), "")</f>
        <v/>
      </c>
    </row>
    <row r="72" spans="2:8" ht="20.100000000000001" customHeight="1" x14ac:dyDescent="0.3">
      <c r="B72" s="105" t="str">
        <f ca="1">IFERROR(IF(PréstamoNoPagado*PréstamoPagado,NúmeroDePago,""), "")</f>
        <v/>
      </c>
      <c r="C72" s="96" t="str">
        <f ca="1">IFERROR(IF(PréstamoNoPagado*PréstamoPagado,FechaDePago,""), "")</f>
        <v/>
      </c>
      <c r="D72" s="97" t="str">
        <f ca="1">IFERROR(IF(PréstamoNoPagado*PréstamoPagado,ValorPréstamo,""), "")</f>
        <v/>
      </c>
      <c r="E72" s="97" t="str">
        <f ca="1">IFERROR(IF(PréstamoNoPagado*PréstamoPagado,PagoMensual,""), "")</f>
        <v/>
      </c>
      <c r="F72" s="97" t="str">
        <f ca="1">IFERROR(IF(PréstamoNoPagado*PréstamoPagado,Capital,""), "")</f>
        <v/>
      </c>
      <c r="G72" s="97" t="str">
        <f ca="1">IFERROR(IF(PréstamoNoPagado*PréstamoPagado,AmortizaciónInterés,""), "")</f>
        <v/>
      </c>
      <c r="H72" s="97" t="str">
        <f ca="1">IFERROR(IF(PréstamoNoPagado*PréstamoPagado,SaldoFinal,""), "")</f>
        <v/>
      </c>
    </row>
    <row r="73" spans="2:8" ht="20.100000000000001" customHeight="1" x14ac:dyDescent="0.3">
      <c r="B73" s="105" t="str">
        <f ca="1">IFERROR(IF(PréstamoNoPagado*PréstamoPagado,NúmeroDePago,""), "")</f>
        <v/>
      </c>
      <c r="C73" s="96" t="str">
        <f ca="1">IFERROR(IF(PréstamoNoPagado*PréstamoPagado,FechaDePago,""), "")</f>
        <v/>
      </c>
      <c r="D73" s="97" t="str">
        <f ca="1">IFERROR(IF(PréstamoNoPagado*PréstamoPagado,ValorPréstamo,""), "")</f>
        <v/>
      </c>
      <c r="E73" s="97" t="str">
        <f ca="1">IFERROR(IF(PréstamoNoPagado*PréstamoPagado,PagoMensual,""), "")</f>
        <v/>
      </c>
      <c r="F73" s="97" t="str">
        <f ca="1">IFERROR(IF(PréstamoNoPagado*PréstamoPagado,Capital,""), "")</f>
        <v/>
      </c>
      <c r="G73" s="97" t="str">
        <f ca="1">IFERROR(IF(PréstamoNoPagado*PréstamoPagado,AmortizaciónInterés,""), "")</f>
        <v/>
      </c>
      <c r="H73" s="97" t="str">
        <f ca="1">IFERROR(IF(PréstamoNoPagado*PréstamoPagado,SaldoFinal,""), "")</f>
        <v/>
      </c>
    </row>
    <row r="74" spans="2:8" ht="20.100000000000001" customHeight="1" x14ac:dyDescent="0.3">
      <c r="B74" s="105" t="str">
        <f ca="1">IFERROR(IF(PréstamoNoPagado*PréstamoPagado,NúmeroDePago,""), "")</f>
        <v/>
      </c>
      <c r="C74" s="96" t="str">
        <f ca="1">IFERROR(IF(PréstamoNoPagado*PréstamoPagado,FechaDePago,""), "")</f>
        <v/>
      </c>
      <c r="D74" s="97" t="str">
        <f ca="1">IFERROR(IF(PréstamoNoPagado*PréstamoPagado,ValorPréstamo,""), "")</f>
        <v/>
      </c>
      <c r="E74" s="97" t="str">
        <f ca="1">IFERROR(IF(PréstamoNoPagado*PréstamoPagado,PagoMensual,""), "")</f>
        <v/>
      </c>
      <c r="F74" s="97" t="str">
        <f ca="1">IFERROR(IF(PréstamoNoPagado*PréstamoPagado,Capital,""), "")</f>
        <v/>
      </c>
      <c r="G74" s="97" t="str">
        <f ca="1">IFERROR(IF(PréstamoNoPagado*PréstamoPagado,AmortizaciónInterés,""), "")</f>
        <v/>
      </c>
      <c r="H74" s="97" t="str">
        <f ca="1">IFERROR(IF(PréstamoNoPagado*PréstamoPagado,SaldoFinal,""), "")</f>
        <v/>
      </c>
    </row>
    <row r="75" spans="2:8" ht="20.100000000000001" customHeight="1" x14ac:dyDescent="0.3">
      <c r="B75" s="105" t="str">
        <f ca="1">IFERROR(IF(PréstamoNoPagado*PréstamoPagado,NúmeroDePago,""), "")</f>
        <v/>
      </c>
      <c r="C75" s="96" t="str">
        <f ca="1">IFERROR(IF(PréstamoNoPagado*PréstamoPagado,FechaDePago,""), "")</f>
        <v/>
      </c>
      <c r="D75" s="97" t="str">
        <f ca="1">IFERROR(IF(PréstamoNoPagado*PréstamoPagado,ValorPréstamo,""), "")</f>
        <v/>
      </c>
      <c r="E75" s="97" t="str">
        <f ca="1">IFERROR(IF(PréstamoNoPagado*PréstamoPagado,PagoMensual,""), "")</f>
        <v/>
      </c>
      <c r="F75" s="97" t="str">
        <f ca="1">IFERROR(IF(PréstamoNoPagado*PréstamoPagado,Capital,""), "")</f>
        <v/>
      </c>
      <c r="G75" s="97" t="str">
        <f ca="1">IFERROR(IF(PréstamoNoPagado*PréstamoPagado,AmortizaciónInterés,""), "")</f>
        <v/>
      </c>
      <c r="H75" s="97" t="str">
        <f ca="1">IFERROR(IF(PréstamoNoPagado*PréstamoPagado,SaldoFinal,""), "")</f>
        <v/>
      </c>
    </row>
    <row r="76" spans="2:8" ht="20.100000000000001" customHeight="1" x14ac:dyDescent="0.3">
      <c r="B76" s="105" t="str">
        <f ca="1">IFERROR(IF(PréstamoNoPagado*PréstamoPagado,NúmeroDePago,""), "")</f>
        <v/>
      </c>
      <c r="C76" s="96" t="str">
        <f ca="1">IFERROR(IF(PréstamoNoPagado*PréstamoPagado,FechaDePago,""), "")</f>
        <v/>
      </c>
      <c r="D76" s="97" t="str">
        <f ca="1">IFERROR(IF(PréstamoNoPagado*PréstamoPagado,ValorPréstamo,""), "")</f>
        <v/>
      </c>
      <c r="E76" s="97" t="str">
        <f ca="1">IFERROR(IF(PréstamoNoPagado*PréstamoPagado,PagoMensual,""), "")</f>
        <v/>
      </c>
      <c r="F76" s="97" t="str">
        <f ca="1">IFERROR(IF(PréstamoNoPagado*PréstamoPagado,Capital,""), "")</f>
        <v/>
      </c>
      <c r="G76" s="97" t="str">
        <f ca="1">IFERROR(IF(PréstamoNoPagado*PréstamoPagado,AmortizaciónInterés,""), "")</f>
        <v/>
      </c>
      <c r="H76" s="97" t="str">
        <f ca="1">IFERROR(IF(PréstamoNoPagado*PréstamoPagado,SaldoFinal,""), "")</f>
        <v/>
      </c>
    </row>
    <row r="77" spans="2:8" ht="20.100000000000001" customHeight="1" x14ac:dyDescent="0.3">
      <c r="B77" s="105" t="str">
        <f ca="1">IFERROR(IF(PréstamoNoPagado*PréstamoPagado,NúmeroDePago,""), "")</f>
        <v/>
      </c>
      <c r="C77" s="96" t="str">
        <f ca="1">IFERROR(IF(PréstamoNoPagado*PréstamoPagado,FechaDePago,""), "")</f>
        <v/>
      </c>
      <c r="D77" s="97" t="str">
        <f ca="1">IFERROR(IF(PréstamoNoPagado*PréstamoPagado,ValorPréstamo,""), "")</f>
        <v/>
      </c>
      <c r="E77" s="97" t="str">
        <f ca="1">IFERROR(IF(PréstamoNoPagado*PréstamoPagado,PagoMensual,""), "")</f>
        <v/>
      </c>
      <c r="F77" s="97" t="str">
        <f ca="1">IFERROR(IF(PréstamoNoPagado*PréstamoPagado,Capital,""), "")</f>
        <v/>
      </c>
      <c r="G77" s="97" t="str">
        <f ca="1">IFERROR(IF(PréstamoNoPagado*PréstamoPagado,AmortizaciónInterés,""), "")</f>
        <v/>
      </c>
      <c r="H77" s="97" t="str">
        <f ca="1">IFERROR(IF(PréstamoNoPagado*PréstamoPagado,SaldoFinal,""), "")</f>
        <v/>
      </c>
    </row>
    <row r="78" spans="2:8" ht="20.100000000000001" customHeight="1" x14ac:dyDescent="0.3">
      <c r="B78" s="105" t="str">
        <f ca="1">IFERROR(IF(PréstamoNoPagado*PréstamoPagado,NúmeroDePago,""), "")</f>
        <v/>
      </c>
      <c r="C78" s="96" t="str">
        <f ca="1">IFERROR(IF(PréstamoNoPagado*PréstamoPagado,FechaDePago,""), "")</f>
        <v/>
      </c>
      <c r="D78" s="97" t="str">
        <f ca="1">IFERROR(IF(PréstamoNoPagado*PréstamoPagado,ValorPréstamo,""), "")</f>
        <v/>
      </c>
      <c r="E78" s="97" t="str">
        <f ca="1">IFERROR(IF(PréstamoNoPagado*PréstamoPagado,PagoMensual,""), "")</f>
        <v/>
      </c>
      <c r="F78" s="97" t="str">
        <f ca="1">IFERROR(IF(PréstamoNoPagado*PréstamoPagado,Capital,""), "")</f>
        <v/>
      </c>
      <c r="G78" s="97" t="str">
        <f ca="1">IFERROR(IF(PréstamoNoPagado*PréstamoPagado,AmortizaciónInterés,""), "")</f>
        <v/>
      </c>
      <c r="H78" s="97" t="str">
        <f ca="1">IFERROR(IF(PréstamoNoPagado*PréstamoPagado,SaldoFinal,""), "")</f>
        <v/>
      </c>
    </row>
    <row r="79" spans="2:8" ht="20.100000000000001" customHeight="1" x14ac:dyDescent="0.3">
      <c r="B79" s="105" t="str">
        <f ca="1">IFERROR(IF(PréstamoNoPagado*PréstamoPagado,NúmeroDePago,""), "")</f>
        <v/>
      </c>
      <c r="C79" s="96" t="str">
        <f ca="1">IFERROR(IF(PréstamoNoPagado*PréstamoPagado,FechaDePago,""), "")</f>
        <v/>
      </c>
      <c r="D79" s="97" t="str">
        <f ca="1">IFERROR(IF(PréstamoNoPagado*PréstamoPagado,ValorPréstamo,""), "")</f>
        <v/>
      </c>
      <c r="E79" s="97" t="str">
        <f ca="1">IFERROR(IF(PréstamoNoPagado*PréstamoPagado,PagoMensual,""), "")</f>
        <v/>
      </c>
      <c r="F79" s="97" t="str">
        <f ca="1">IFERROR(IF(PréstamoNoPagado*PréstamoPagado,Capital,""), "")</f>
        <v/>
      </c>
      <c r="G79" s="97" t="str">
        <f ca="1">IFERROR(IF(PréstamoNoPagado*PréstamoPagado,AmortizaciónInterés,""), "")</f>
        <v/>
      </c>
      <c r="H79" s="97" t="str">
        <f ca="1">IFERROR(IF(PréstamoNoPagado*PréstamoPagado,SaldoFinal,""), "")</f>
        <v/>
      </c>
    </row>
    <row r="80" spans="2:8" ht="20.100000000000001" customHeight="1" x14ac:dyDescent="0.3">
      <c r="B80" s="105" t="str">
        <f ca="1">IFERROR(IF(PréstamoNoPagado*PréstamoPagado,NúmeroDePago,""), "")</f>
        <v/>
      </c>
      <c r="C80" s="96" t="str">
        <f ca="1">IFERROR(IF(PréstamoNoPagado*PréstamoPagado,FechaDePago,""), "")</f>
        <v/>
      </c>
      <c r="D80" s="97" t="str">
        <f ca="1">IFERROR(IF(PréstamoNoPagado*PréstamoPagado,ValorPréstamo,""), "")</f>
        <v/>
      </c>
      <c r="E80" s="97" t="str">
        <f ca="1">IFERROR(IF(PréstamoNoPagado*PréstamoPagado,PagoMensual,""), "")</f>
        <v/>
      </c>
      <c r="F80" s="97" t="str">
        <f ca="1">IFERROR(IF(PréstamoNoPagado*PréstamoPagado,Capital,""), "")</f>
        <v/>
      </c>
      <c r="G80" s="97" t="str">
        <f ca="1">IFERROR(IF(PréstamoNoPagado*PréstamoPagado,AmortizaciónInterés,""), "")</f>
        <v/>
      </c>
      <c r="H80" s="97" t="str">
        <f ca="1">IFERROR(IF(PréstamoNoPagado*PréstamoPagado,SaldoFinal,""), "")</f>
        <v/>
      </c>
    </row>
    <row r="81" spans="2:8" ht="20.100000000000001" customHeight="1" x14ac:dyDescent="0.3">
      <c r="B81" s="105" t="str">
        <f ca="1">IFERROR(IF(PréstamoNoPagado*PréstamoPagado,NúmeroDePago,""), "")</f>
        <v/>
      </c>
      <c r="C81" s="96" t="str">
        <f ca="1">IFERROR(IF(PréstamoNoPagado*PréstamoPagado,FechaDePago,""), "")</f>
        <v/>
      </c>
      <c r="D81" s="97" t="str">
        <f ca="1">IFERROR(IF(PréstamoNoPagado*PréstamoPagado,ValorPréstamo,""), "")</f>
        <v/>
      </c>
      <c r="E81" s="97" t="str">
        <f ca="1">IFERROR(IF(PréstamoNoPagado*PréstamoPagado,PagoMensual,""), "")</f>
        <v/>
      </c>
      <c r="F81" s="97" t="str">
        <f ca="1">IFERROR(IF(PréstamoNoPagado*PréstamoPagado,Capital,""), "")</f>
        <v/>
      </c>
      <c r="G81" s="97" t="str">
        <f ca="1">IFERROR(IF(PréstamoNoPagado*PréstamoPagado,AmortizaciónInterés,""), "")</f>
        <v/>
      </c>
      <c r="H81" s="97" t="str">
        <f ca="1">IFERROR(IF(PréstamoNoPagado*PréstamoPagado,SaldoFinal,""), "")</f>
        <v/>
      </c>
    </row>
    <row r="82" spans="2:8" ht="20.100000000000001" customHeight="1" x14ac:dyDescent="0.3">
      <c r="B82" s="105" t="str">
        <f ca="1">IFERROR(IF(PréstamoNoPagado*PréstamoPagado,NúmeroDePago,""), "")</f>
        <v/>
      </c>
      <c r="C82" s="96" t="str">
        <f ca="1">IFERROR(IF(PréstamoNoPagado*PréstamoPagado,FechaDePago,""), "")</f>
        <v/>
      </c>
      <c r="D82" s="97" t="str">
        <f ca="1">IFERROR(IF(PréstamoNoPagado*PréstamoPagado,ValorPréstamo,""), "")</f>
        <v/>
      </c>
      <c r="E82" s="97" t="str">
        <f ca="1">IFERROR(IF(PréstamoNoPagado*PréstamoPagado,PagoMensual,""), "")</f>
        <v/>
      </c>
      <c r="F82" s="97" t="str">
        <f ca="1">IFERROR(IF(PréstamoNoPagado*PréstamoPagado,Capital,""), "")</f>
        <v/>
      </c>
      <c r="G82" s="97" t="str">
        <f ca="1">IFERROR(IF(PréstamoNoPagado*PréstamoPagado,AmortizaciónInterés,""), "")</f>
        <v/>
      </c>
      <c r="H82" s="97" t="str">
        <f ca="1">IFERROR(IF(PréstamoNoPagado*PréstamoPagado,SaldoFinal,""), "")</f>
        <v/>
      </c>
    </row>
    <row r="83" spans="2:8" ht="20.100000000000001" customHeight="1" x14ac:dyDescent="0.3">
      <c r="B83" s="105" t="str">
        <f ca="1">IFERROR(IF(PréstamoNoPagado*PréstamoPagado,NúmeroDePago,""), "")</f>
        <v/>
      </c>
      <c r="C83" s="96" t="str">
        <f ca="1">IFERROR(IF(PréstamoNoPagado*PréstamoPagado,FechaDePago,""), "")</f>
        <v/>
      </c>
      <c r="D83" s="97" t="str">
        <f ca="1">IFERROR(IF(PréstamoNoPagado*PréstamoPagado,ValorPréstamo,""), "")</f>
        <v/>
      </c>
      <c r="E83" s="97" t="str">
        <f ca="1">IFERROR(IF(PréstamoNoPagado*PréstamoPagado,PagoMensual,""), "")</f>
        <v/>
      </c>
      <c r="F83" s="97" t="str">
        <f ca="1">IFERROR(IF(PréstamoNoPagado*PréstamoPagado,Capital,""), "")</f>
        <v/>
      </c>
      <c r="G83" s="97" t="str">
        <f ca="1">IFERROR(IF(PréstamoNoPagado*PréstamoPagado,AmortizaciónInterés,""), "")</f>
        <v/>
      </c>
      <c r="H83" s="97" t="str">
        <f ca="1">IFERROR(IF(PréstamoNoPagado*PréstamoPagado,SaldoFinal,""), "")</f>
        <v/>
      </c>
    </row>
    <row r="84" spans="2:8" ht="20.100000000000001" customHeight="1" x14ac:dyDescent="0.3">
      <c r="B84" s="105" t="str">
        <f ca="1">IFERROR(IF(PréstamoNoPagado*PréstamoPagado,NúmeroDePago,""), "")</f>
        <v/>
      </c>
      <c r="C84" s="96" t="str">
        <f ca="1">IFERROR(IF(PréstamoNoPagado*PréstamoPagado,FechaDePago,""), "")</f>
        <v/>
      </c>
      <c r="D84" s="97" t="str">
        <f ca="1">IFERROR(IF(PréstamoNoPagado*PréstamoPagado,ValorPréstamo,""), "")</f>
        <v/>
      </c>
      <c r="E84" s="97" t="str">
        <f ca="1">IFERROR(IF(PréstamoNoPagado*PréstamoPagado,PagoMensual,""), "")</f>
        <v/>
      </c>
      <c r="F84" s="97" t="str">
        <f ca="1">IFERROR(IF(PréstamoNoPagado*PréstamoPagado,Capital,""), "")</f>
        <v/>
      </c>
      <c r="G84" s="97" t="str">
        <f ca="1">IFERROR(IF(PréstamoNoPagado*PréstamoPagado,AmortizaciónInterés,""), "")</f>
        <v/>
      </c>
      <c r="H84" s="97" t="str">
        <f ca="1">IFERROR(IF(PréstamoNoPagado*PréstamoPagado,SaldoFinal,""), "")</f>
        <v/>
      </c>
    </row>
    <row r="85" spans="2:8" ht="20.100000000000001" customHeight="1" x14ac:dyDescent="0.3">
      <c r="B85" s="105" t="str">
        <f ca="1">IFERROR(IF(PréstamoNoPagado*PréstamoPagado,NúmeroDePago,""), "")</f>
        <v/>
      </c>
      <c r="C85" s="96" t="str">
        <f ca="1">IFERROR(IF(PréstamoNoPagado*PréstamoPagado,FechaDePago,""), "")</f>
        <v/>
      </c>
      <c r="D85" s="97" t="str">
        <f ca="1">IFERROR(IF(PréstamoNoPagado*PréstamoPagado,ValorPréstamo,""), "")</f>
        <v/>
      </c>
      <c r="E85" s="97" t="str">
        <f ca="1">IFERROR(IF(PréstamoNoPagado*PréstamoPagado,PagoMensual,""), "")</f>
        <v/>
      </c>
      <c r="F85" s="97" t="str">
        <f ca="1">IFERROR(IF(PréstamoNoPagado*PréstamoPagado,Capital,""), "")</f>
        <v/>
      </c>
      <c r="G85" s="97" t="str">
        <f ca="1">IFERROR(IF(PréstamoNoPagado*PréstamoPagado,AmortizaciónInterés,""), "")</f>
        <v/>
      </c>
      <c r="H85" s="97" t="str">
        <f ca="1">IFERROR(IF(PréstamoNoPagado*PréstamoPagado,SaldoFinal,""), "")</f>
        <v/>
      </c>
    </row>
    <row r="86" spans="2:8" ht="20.100000000000001" customHeight="1" x14ac:dyDescent="0.3">
      <c r="B86" s="105" t="str">
        <f ca="1">IFERROR(IF(PréstamoNoPagado*PréstamoPagado,NúmeroDePago,""), "")</f>
        <v/>
      </c>
      <c r="C86" s="96" t="str">
        <f ca="1">IFERROR(IF(PréstamoNoPagado*PréstamoPagado,FechaDePago,""), "")</f>
        <v/>
      </c>
      <c r="D86" s="97" t="str">
        <f ca="1">IFERROR(IF(PréstamoNoPagado*PréstamoPagado,ValorPréstamo,""), "")</f>
        <v/>
      </c>
      <c r="E86" s="97" t="str">
        <f ca="1">IFERROR(IF(PréstamoNoPagado*PréstamoPagado,PagoMensual,""), "")</f>
        <v/>
      </c>
      <c r="F86" s="97" t="str">
        <f ca="1">IFERROR(IF(PréstamoNoPagado*PréstamoPagado,Capital,""), "")</f>
        <v/>
      </c>
      <c r="G86" s="97" t="str">
        <f ca="1">IFERROR(IF(PréstamoNoPagado*PréstamoPagado,AmortizaciónInterés,""), "")</f>
        <v/>
      </c>
      <c r="H86" s="97" t="str">
        <f ca="1">IFERROR(IF(PréstamoNoPagado*PréstamoPagado,SaldoFinal,""), "")</f>
        <v/>
      </c>
    </row>
    <row r="87" spans="2:8" ht="20.100000000000001" customHeight="1" x14ac:dyDescent="0.3">
      <c r="B87" s="105" t="str">
        <f ca="1">IFERROR(IF(PréstamoNoPagado*PréstamoPagado,NúmeroDePago,""), "")</f>
        <v/>
      </c>
      <c r="C87" s="96" t="str">
        <f ca="1">IFERROR(IF(PréstamoNoPagado*PréstamoPagado,FechaDePago,""), "")</f>
        <v/>
      </c>
      <c r="D87" s="97" t="str">
        <f ca="1">IFERROR(IF(PréstamoNoPagado*PréstamoPagado,ValorPréstamo,""), "")</f>
        <v/>
      </c>
      <c r="E87" s="97" t="str">
        <f ca="1">IFERROR(IF(PréstamoNoPagado*PréstamoPagado,PagoMensual,""), "")</f>
        <v/>
      </c>
      <c r="F87" s="97" t="str">
        <f ca="1">IFERROR(IF(PréstamoNoPagado*PréstamoPagado,Capital,""), "")</f>
        <v/>
      </c>
      <c r="G87" s="97" t="str">
        <f ca="1">IFERROR(IF(PréstamoNoPagado*PréstamoPagado,AmortizaciónInterés,""), "")</f>
        <v/>
      </c>
      <c r="H87" s="97" t="str">
        <f ca="1">IFERROR(IF(PréstamoNoPagado*PréstamoPagado,SaldoFinal,""), "")</f>
        <v/>
      </c>
    </row>
    <row r="88" spans="2:8" ht="20.100000000000001" customHeight="1" x14ac:dyDescent="0.3">
      <c r="B88" s="105" t="str">
        <f ca="1">IFERROR(IF(PréstamoNoPagado*PréstamoPagado,NúmeroDePago,""), "")</f>
        <v/>
      </c>
      <c r="C88" s="96" t="str">
        <f ca="1">IFERROR(IF(PréstamoNoPagado*PréstamoPagado,FechaDePago,""), "")</f>
        <v/>
      </c>
      <c r="D88" s="97" t="str">
        <f ca="1">IFERROR(IF(PréstamoNoPagado*PréstamoPagado,ValorPréstamo,""), "")</f>
        <v/>
      </c>
      <c r="E88" s="97" t="str">
        <f ca="1">IFERROR(IF(PréstamoNoPagado*PréstamoPagado,PagoMensual,""), "")</f>
        <v/>
      </c>
      <c r="F88" s="97" t="str">
        <f ca="1">IFERROR(IF(PréstamoNoPagado*PréstamoPagado,Capital,""), "")</f>
        <v/>
      </c>
      <c r="G88" s="97" t="str">
        <f ca="1">IFERROR(IF(PréstamoNoPagado*PréstamoPagado,AmortizaciónInterés,""), "")</f>
        <v/>
      </c>
      <c r="H88" s="97" t="str">
        <f ca="1">IFERROR(IF(PréstamoNoPagado*PréstamoPagado,SaldoFinal,""), "")</f>
        <v/>
      </c>
    </row>
    <row r="89" spans="2:8" ht="20.100000000000001" customHeight="1" x14ac:dyDescent="0.3">
      <c r="B89" s="105" t="str">
        <f ca="1">IFERROR(IF(PréstamoNoPagado*PréstamoPagado,NúmeroDePago,""), "")</f>
        <v/>
      </c>
      <c r="C89" s="96" t="str">
        <f ca="1">IFERROR(IF(PréstamoNoPagado*PréstamoPagado,FechaDePago,""), "")</f>
        <v/>
      </c>
      <c r="D89" s="97" t="str">
        <f ca="1">IFERROR(IF(PréstamoNoPagado*PréstamoPagado,ValorPréstamo,""), "")</f>
        <v/>
      </c>
      <c r="E89" s="97" t="str">
        <f ca="1">IFERROR(IF(PréstamoNoPagado*PréstamoPagado,PagoMensual,""), "")</f>
        <v/>
      </c>
      <c r="F89" s="97" t="str">
        <f ca="1">IFERROR(IF(PréstamoNoPagado*PréstamoPagado,Capital,""), "")</f>
        <v/>
      </c>
      <c r="G89" s="97" t="str">
        <f ca="1">IFERROR(IF(PréstamoNoPagado*PréstamoPagado,AmortizaciónInterés,""), "")</f>
        <v/>
      </c>
      <c r="H89" s="97" t="str">
        <f ca="1">IFERROR(IF(PréstamoNoPagado*PréstamoPagado,SaldoFinal,""), "")</f>
        <v/>
      </c>
    </row>
    <row r="90" spans="2:8" ht="20.100000000000001" customHeight="1" x14ac:dyDescent="0.3">
      <c r="B90" s="105" t="str">
        <f ca="1">IFERROR(IF(PréstamoNoPagado*PréstamoPagado,NúmeroDePago,""), "")</f>
        <v/>
      </c>
      <c r="C90" s="96" t="str">
        <f ca="1">IFERROR(IF(PréstamoNoPagado*PréstamoPagado,FechaDePago,""), "")</f>
        <v/>
      </c>
      <c r="D90" s="97" t="str">
        <f ca="1">IFERROR(IF(PréstamoNoPagado*PréstamoPagado,ValorPréstamo,""), "")</f>
        <v/>
      </c>
      <c r="E90" s="97" t="str">
        <f ca="1">IFERROR(IF(PréstamoNoPagado*PréstamoPagado,PagoMensual,""), "")</f>
        <v/>
      </c>
      <c r="F90" s="97" t="str">
        <f ca="1">IFERROR(IF(PréstamoNoPagado*PréstamoPagado,Capital,""), "")</f>
        <v/>
      </c>
      <c r="G90" s="97" t="str">
        <f ca="1">IFERROR(IF(PréstamoNoPagado*PréstamoPagado,AmortizaciónInterés,""), "")</f>
        <v/>
      </c>
      <c r="H90" s="97" t="str">
        <f ca="1">IFERROR(IF(PréstamoNoPagado*PréstamoPagado,SaldoFinal,""), "")</f>
        <v/>
      </c>
    </row>
    <row r="91" spans="2:8" ht="20.100000000000001" customHeight="1" x14ac:dyDescent="0.3">
      <c r="B91" s="105" t="str">
        <f ca="1">IFERROR(IF(PréstamoNoPagado*PréstamoPagado,NúmeroDePago,""), "")</f>
        <v/>
      </c>
      <c r="C91" s="96" t="str">
        <f ca="1">IFERROR(IF(PréstamoNoPagado*PréstamoPagado,FechaDePago,""), "")</f>
        <v/>
      </c>
      <c r="D91" s="97" t="str">
        <f ca="1">IFERROR(IF(PréstamoNoPagado*PréstamoPagado,ValorPréstamo,""), "")</f>
        <v/>
      </c>
      <c r="E91" s="97" t="str">
        <f ca="1">IFERROR(IF(PréstamoNoPagado*PréstamoPagado,PagoMensual,""), "")</f>
        <v/>
      </c>
      <c r="F91" s="97" t="str">
        <f ca="1">IFERROR(IF(PréstamoNoPagado*PréstamoPagado,Capital,""), "")</f>
        <v/>
      </c>
      <c r="G91" s="97" t="str">
        <f ca="1">IFERROR(IF(PréstamoNoPagado*PréstamoPagado,AmortizaciónInterés,""), "")</f>
        <v/>
      </c>
      <c r="H91" s="97" t="str">
        <f ca="1">IFERROR(IF(PréstamoNoPagado*PréstamoPagado,SaldoFinal,""), "")</f>
        <v/>
      </c>
    </row>
    <row r="92" spans="2:8" ht="20.100000000000001" customHeight="1" x14ac:dyDescent="0.3">
      <c r="B92" s="105" t="str">
        <f ca="1">IFERROR(IF(PréstamoNoPagado*PréstamoPagado,NúmeroDePago,""), "")</f>
        <v/>
      </c>
      <c r="C92" s="96" t="str">
        <f ca="1">IFERROR(IF(PréstamoNoPagado*PréstamoPagado,FechaDePago,""), "")</f>
        <v/>
      </c>
      <c r="D92" s="97" t="str">
        <f ca="1">IFERROR(IF(PréstamoNoPagado*PréstamoPagado,ValorPréstamo,""), "")</f>
        <v/>
      </c>
      <c r="E92" s="97" t="str">
        <f ca="1">IFERROR(IF(PréstamoNoPagado*PréstamoPagado,PagoMensual,""), "")</f>
        <v/>
      </c>
      <c r="F92" s="97" t="str">
        <f ca="1">IFERROR(IF(PréstamoNoPagado*PréstamoPagado,Capital,""), "")</f>
        <v/>
      </c>
      <c r="G92" s="97" t="str">
        <f ca="1">IFERROR(IF(PréstamoNoPagado*PréstamoPagado,AmortizaciónInterés,""), "")</f>
        <v/>
      </c>
      <c r="H92" s="97" t="str">
        <f ca="1">IFERROR(IF(PréstamoNoPagado*PréstamoPagado,SaldoFinal,""), "")</f>
        <v/>
      </c>
    </row>
    <row r="93" spans="2:8" ht="20.100000000000001" customHeight="1" x14ac:dyDescent="0.3">
      <c r="B93" s="105" t="str">
        <f ca="1">IFERROR(IF(PréstamoNoPagado*PréstamoPagado,NúmeroDePago,""), "")</f>
        <v/>
      </c>
      <c r="C93" s="96" t="str">
        <f ca="1">IFERROR(IF(PréstamoNoPagado*PréstamoPagado,FechaDePago,""), "")</f>
        <v/>
      </c>
      <c r="D93" s="97" t="str">
        <f ca="1">IFERROR(IF(PréstamoNoPagado*PréstamoPagado,ValorPréstamo,""), "")</f>
        <v/>
      </c>
      <c r="E93" s="97" t="str">
        <f ca="1">IFERROR(IF(PréstamoNoPagado*PréstamoPagado,PagoMensual,""), "")</f>
        <v/>
      </c>
      <c r="F93" s="97" t="str">
        <f ca="1">IFERROR(IF(PréstamoNoPagado*PréstamoPagado,Capital,""), "")</f>
        <v/>
      </c>
      <c r="G93" s="97" t="str">
        <f ca="1">IFERROR(IF(PréstamoNoPagado*PréstamoPagado,AmortizaciónInterés,""), "")</f>
        <v/>
      </c>
      <c r="H93" s="97" t="str">
        <f ca="1">IFERROR(IF(PréstamoNoPagado*PréstamoPagado,SaldoFinal,""), "")</f>
        <v/>
      </c>
    </row>
    <row r="94" spans="2:8" ht="20.100000000000001" customHeight="1" x14ac:dyDescent="0.3">
      <c r="B94" s="105" t="str">
        <f ca="1">IFERROR(IF(PréstamoNoPagado*PréstamoPagado,NúmeroDePago,""), "")</f>
        <v/>
      </c>
      <c r="C94" s="96" t="str">
        <f ca="1">IFERROR(IF(PréstamoNoPagado*PréstamoPagado,FechaDePago,""), "")</f>
        <v/>
      </c>
      <c r="D94" s="97" t="str">
        <f ca="1">IFERROR(IF(PréstamoNoPagado*PréstamoPagado,ValorPréstamo,""), "")</f>
        <v/>
      </c>
      <c r="E94" s="97" t="str">
        <f ca="1">IFERROR(IF(PréstamoNoPagado*PréstamoPagado,PagoMensual,""), "")</f>
        <v/>
      </c>
      <c r="F94" s="97" t="str">
        <f ca="1">IFERROR(IF(PréstamoNoPagado*PréstamoPagado,Capital,""), "")</f>
        <v/>
      </c>
      <c r="G94" s="97" t="str">
        <f ca="1">IFERROR(IF(PréstamoNoPagado*PréstamoPagado,AmortizaciónInterés,""), "")</f>
        <v/>
      </c>
      <c r="H94" s="97" t="str">
        <f ca="1">IFERROR(IF(PréstamoNoPagado*PréstamoPagado,SaldoFinal,""), "")</f>
        <v/>
      </c>
    </row>
    <row r="95" spans="2:8" ht="20.100000000000001" customHeight="1" x14ac:dyDescent="0.3">
      <c r="B95" s="105" t="str">
        <f ca="1">IFERROR(IF(PréstamoNoPagado*PréstamoPagado,NúmeroDePago,""), "")</f>
        <v/>
      </c>
      <c r="C95" s="96" t="str">
        <f ca="1">IFERROR(IF(PréstamoNoPagado*PréstamoPagado,FechaDePago,""), "")</f>
        <v/>
      </c>
      <c r="D95" s="97" t="str">
        <f ca="1">IFERROR(IF(PréstamoNoPagado*PréstamoPagado,ValorPréstamo,""), "")</f>
        <v/>
      </c>
      <c r="E95" s="97" t="str">
        <f ca="1">IFERROR(IF(PréstamoNoPagado*PréstamoPagado,PagoMensual,""), "")</f>
        <v/>
      </c>
      <c r="F95" s="97" t="str">
        <f ca="1">IFERROR(IF(PréstamoNoPagado*PréstamoPagado,Capital,""), "")</f>
        <v/>
      </c>
      <c r="G95" s="97" t="str">
        <f ca="1">IFERROR(IF(PréstamoNoPagado*PréstamoPagado,AmortizaciónInterés,""), "")</f>
        <v/>
      </c>
      <c r="H95" s="97" t="str">
        <f ca="1">IFERROR(IF(PréstamoNoPagado*PréstamoPagado,SaldoFinal,""), "")</f>
        <v/>
      </c>
    </row>
    <row r="96" spans="2:8" ht="20.100000000000001" customHeight="1" x14ac:dyDescent="0.3">
      <c r="B96" s="105" t="str">
        <f ca="1">IFERROR(IF(PréstamoNoPagado*PréstamoPagado,NúmeroDePago,""), "")</f>
        <v/>
      </c>
      <c r="C96" s="96" t="str">
        <f ca="1">IFERROR(IF(PréstamoNoPagado*PréstamoPagado,FechaDePago,""), "")</f>
        <v/>
      </c>
      <c r="D96" s="97" t="str">
        <f ca="1">IFERROR(IF(PréstamoNoPagado*PréstamoPagado,ValorPréstamo,""), "")</f>
        <v/>
      </c>
      <c r="E96" s="97" t="str">
        <f ca="1">IFERROR(IF(PréstamoNoPagado*PréstamoPagado,PagoMensual,""), "")</f>
        <v/>
      </c>
      <c r="F96" s="97" t="str">
        <f ca="1">IFERROR(IF(PréstamoNoPagado*PréstamoPagado,Capital,""), "")</f>
        <v/>
      </c>
      <c r="G96" s="97" t="str">
        <f ca="1">IFERROR(IF(PréstamoNoPagado*PréstamoPagado,AmortizaciónInterés,""), "")</f>
        <v/>
      </c>
      <c r="H96" s="97" t="str">
        <f ca="1">IFERROR(IF(PréstamoNoPagado*PréstamoPagado,SaldoFinal,""), "")</f>
        <v/>
      </c>
    </row>
    <row r="97" spans="2:8" ht="20.100000000000001" customHeight="1" x14ac:dyDescent="0.3">
      <c r="B97" s="105" t="str">
        <f ca="1">IFERROR(IF(PréstamoNoPagado*PréstamoPagado,NúmeroDePago,""), "")</f>
        <v/>
      </c>
      <c r="C97" s="96" t="str">
        <f ca="1">IFERROR(IF(PréstamoNoPagado*PréstamoPagado,FechaDePago,""), "")</f>
        <v/>
      </c>
      <c r="D97" s="97" t="str">
        <f ca="1">IFERROR(IF(PréstamoNoPagado*PréstamoPagado,ValorPréstamo,""), "")</f>
        <v/>
      </c>
      <c r="E97" s="97" t="str">
        <f ca="1">IFERROR(IF(PréstamoNoPagado*PréstamoPagado,PagoMensual,""), "")</f>
        <v/>
      </c>
      <c r="F97" s="97" t="str">
        <f ca="1">IFERROR(IF(PréstamoNoPagado*PréstamoPagado,Capital,""), "")</f>
        <v/>
      </c>
      <c r="G97" s="97" t="str">
        <f ca="1">IFERROR(IF(PréstamoNoPagado*PréstamoPagado,AmortizaciónInterés,""), "")</f>
        <v/>
      </c>
      <c r="H97" s="97" t="str">
        <f ca="1">IFERROR(IF(PréstamoNoPagado*PréstamoPagado,SaldoFinal,""), "")</f>
        <v/>
      </c>
    </row>
    <row r="98" spans="2:8" ht="20.100000000000001" customHeight="1" x14ac:dyDescent="0.3">
      <c r="B98" s="105" t="str">
        <f ca="1">IFERROR(IF(PréstamoNoPagado*PréstamoPagado,NúmeroDePago,""), "")</f>
        <v/>
      </c>
      <c r="C98" s="96" t="str">
        <f ca="1">IFERROR(IF(PréstamoNoPagado*PréstamoPagado,FechaDePago,""), "")</f>
        <v/>
      </c>
      <c r="D98" s="97" t="str">
        <f ca="1">IFERROR(IF(PréstamoNoPagado*PréstamoPagado,ValorPréstamo,""), "")</f>
        <v/>
      </c>
      <c r="E98" s="97" t="str">
        <f ca="1">IFERROR(IF(PréstamoNoPagado*PréstamoPagado,PagoMensual,""), "")</f>
        <v/>
      </c>
      <c r="F98" s="97" t="str">
        <f ca="1">IFERROR(IF(PréstamoNoPagado*PréstamoPagado,Capital,""), "")</f>
        <v/>
      </c>
      <c r="G98" s="97" t="str">
        <f ca="1">IFERROR(IF(PréstamoNoPagado*PréstamoPagado,AmortizaciónInterés,""), "")</f>
        <v/>
      </c>
      <c r="H98" s="97" t="str">
        <f ca="1">IFERROR(IF(PréstamoNoPagado*PréstamoPagado,SaldoFinal,""), "")</f>
        <v/>
      </c>
    </row>
    <row r="99" spans="2:8" ht="20.100000000000001" customHeight="1" x14ac:dyDescent="0.3">
      <c r="B99" s="105" t="str">
        <f ca="1">IFERROR(IF(PréstamoNoPagado*PréstamoPagado,NúmeroDePago,""), "")</f>
        <v/>
      </c>
      <c r="C99" s="96" t="str">
        <f ca="1">IFERROR(IF(PréstamoNoPagado*PréstamoPagado,FechaDePago,""), "")</f>
        <v/>
      </c>
      <c r="D99" s="97" t="str">
        <f ca="1">IFERROR(IF(PréstamoNoPagado*PréstamoPagado,ValorPréstamo,""), "")</f>
        <v/>
      </c>
      <c r="E99" s="97" t="str">
        <f ca="1">IFERROR(IF(PréstamoNoPagado*PréstamoPagado,PagoMensual,""), "")</f>
        <v/>
      </c>
      <c r="F99" s="97" t="str">
        <f ca="1">IFERROR(IF(PréstamoNoPagado*PréstamoPagado,Capital,""), "")</f>
        <v/>
      </c>
      <c r="G99" s="97" t="str">
        <f ca="1">IFERROR(IF(PréstamoNoPagado*PréstamoPagado,AmortizaciónInterés,""), "")</f>
        <v/>
      </c>
      <c r="H99" s="97" t="str">
        <f ca="1">IFERROR(IF(PréstamoNoPagado*PréstamoPagado,SaldoFinal,""), "")</f>
        <v/>
      </c>
    </row>
    <row r="100" spans="2:8" ht="20.100000000000001" customHeight="1" x14ac:dyDescent="0.3">
      <c r="B100" s="105" t="str">
        <f ca="1">IFERROR(IF(PréstamoNoPagado*PréstamoPagado,NúmeroDePago,""), "")</f>
        <v/>
      </c>
      <c r="C100" s="96" t="str">
        <f ca="1">IFERROR(IF(PréstamoNoPagado*PréstamoPagado,FechaDePago,""), "")</f>
        <v/>
      </c>
      <c r="D100" s="97" t="str">
        <f ca="1">IFERROR(IF(PréstamoNoPagado*PréstamoPagado,ValorPréstamo,""), "")</f>
        <v/>
      </c>
      <c r="E100" s="97" t="str">
        <f ca="1">IFERROR(IF(PréstamoNoPagado*PréstamoPagado,PagoMensual,""), "")</f>
        <v/>
      </c>
      <c r="F100" s="97" t="str">
        <f ca="1">IFERROR(IF(PréstamoNoPagado*PréstamoPagado,Capital,""), "")</f>
        <v/>
      </c>
      <c r="G100" s="97" t="str">
        <f ca="1">IFERROR(IF(PréstamoNoPagado*PréstamoPagado,AmortizaciónInterés,""), "")</f>
        <v/>
      </c>
      <c r="H100" s="97" t="str">
        <f ca="1">IFERROR(IF(PréstamoNoPagado*PréstamoPagado,SaldoFinal,""), "")</f>
        <v/>
      </c>
    </row>
    <row r="101" spans="2:8" ht="20.100000000000001" customHeight="1" x14ac:dyDescent="0.3">
      <c r="B101" s="105" t="str">
        <f ca="1">IFERROR(IF(PréstamoNoPagado*PréstamoPagado,NúmeroDePago,""), "")</f>
        <v/>
      </c>
      <c r="C101" s="96" t="str">
        <f ca="1">IFERROR(IF(PréstamoNoPagado*PréstamoPagado,FechaDePago,""), "")</f>
        <v/>
      </c>
      <c r="D101" s="97" t="str">
        <f ca="1">IFERROR(IF(PréstamoNoPagado*PréstamoPagado,ValorPréstamo,""), "")</f>
        <v/>
      </c>
      <c r="E101" s="97" t="str">
        <f ca="1">IFERROR(IF(PréstamoNoPagado*PréstamoPagado,PagoMensual,""), "")</f>
        <v/>
      </c>
      <c r="F101" s="97" t="str">
        <f ca="1">IFERROR(IF(PréstamoNoPagado*PréstamoPagado,Capital,""), "")</f>
        <v/>
      </c>
      <c r="G101" s="97" t="str">
        <f ca="1">IFERROR(IF(PréstamoNoPagado*PréstamoPagado,AmortizaciónInterés,""), "")</f>
        <v/>
      </c>
      <c r="H101" s="97" t="str">
        <f ca="1">IFERROR(IF(PréstamoNoPagado*PréstamoPagado,SaldoFinal,""), "")</f>
        <v/>
      </c>
    </row>
    <row r="102" spans="2:8" ht="20.100000000000001" customHeight="1" x14ac:dyDescent="0.3">
      <c r="B102" s="105" t="str">
        <f ca="1">IFERROR(IF(PréstamoNoPagado*PréstamoPagado,NúmeroDePago,""), "")</f>
        <v/>
      </c>
      <c r="C102" s="96" t="str">
        <f ca="1">IFERROR(IF(PréstamoNoPagado*PréstamoPagado,FechaDePago,""), "")</f>
        <v/>
      </c>
      <c r="D102" s="97" t="str">
        <f ca="1">IFERROR(IF(PréstamoNoPagado*PréstamoPagado,ValorPréstamo,""), "")</f>
        <v/>
      </c>
      <c r="E102" s="97" t="str">
        <f ca="1">IFERROR(IF(PréstamoNoPagado*PréstamoPagado,PagoMensual,""), "")</f>
        <v/>
      </c>
      <c r="F102" s="97" t="str">
        <f ca="1">IFERROR(IF(PréstamoNoPagado*PréstamoPagado,Capital,""), "")</f>
        <v/>
      </c>
      <c r="G102" s="97" t="str">
        <f ca="1">IFERROR(IF(PréstamoNoPagado*PréstamoPagado,AmortizaciónInterés,""), "")</f>
        <v/>
      </c>
      <c r="H102" s="97" t="str">
        <f ca="1">IFERROR(IF(PréstamoNoPagado*PréstamoPagado,SaldoFinal,""), "")</f>
        <v/>
      </c>
    </row>
    <row r="103" spans="2:8" ht="20.100000000000001" customHeight="1" x14ac:dyDescent="0.3">
      <c r="B103" s="105" t="str">
        <f ca="1">IFERROR(IF(PréstamoNoPagado*PréstamoPagado,NúmeroDePago,""), "")</f>
        <v/>
      </c>
      <c r="C103" s="96" t="str">
        <f ca="1">IFERROR(IF(PréstamoNoPagado*PréstamoPagado,FechaDePago,""), "")</f>
        <v/>
      </c>
      <c r="D103" s="97" t="str">
        <f ca="1">IFERROR(IF(PréstamoNoPagado*PréstamoPagado,ValorPréstamo,""), "")</f>
        <v/>
      </c>
      <c r="E103" s="97" t="str">
        <f ca="1">IFERROR(IF(PréstamoNoPagado*PréstamoPagado,PagoMensual,""), "")</f>
        <v/>
      </c>
      <c r="F103" s="97" t="str">
        <f ca="1">IFERROR(IF(PréstamoNoPagado*PréstamoPagado,Capital,""), "")</f>
        <v/>
      </c>
      <c r="G103" s="97" t="str">
        <f ca="1">IFERROR(IF(PréstamoNoPagado*PréstamoPagado,AmortizaciónInterés,""), "")</f>
        <v/>
      </c>
      <c r="H103" s="97" t="str">
        <f ca="1">IFERROR(IF(PréstamoNoPagado*PréstamoPagado,SaldoFinal,""), "")</f>
        <v/>
      </c>
    </row>
    <row r="104" spans="2:8" ht="20.100000000000001" customHeight="1" x14ac:dyDescent="0.3">
      <c r="B104" s="105" t="str">
        <f ca="1">IFERROR(IF(PréstamoNoPagado*PréstamoPagado,NúmeroDePago,""), "")</f>
        <v/>
      </c>
      <c r="C104" s="96" t="str">
        <f ca="1">IFERROR(IF(PréstamoNoPagado*PréstamoPagado,FechaDePago,""), "")</f>
        <v/>
      </c>
      <c r="D104" s="97" t="str">
        <f ca="1">IFERROR(IF(PréstamoNoPagado*PréstamoPagado,ValorPréstamo,""), "")</f>
        <v/>
      </c>
      <c r="E104" s="97" t="str">
        <f ca="1">IFERROR(IF(PréstamoNoPagado*PréstamoPagado,PagoMensual,""), "")</f>
        <v/>
      </c>
      <c r="F104" s="97" t="str">
        <f ca="1">IFERROR(IF(PréstamoNoPagado*PréstamoPagado,Capital,""), "")</f>
        <v/>
      </c>
      <c r="G104" s="97" t="str">
        <f ca="1">IFERROR(IF(PréstamoNoPagado*PréstamoPagado,AmortizaciónInterés,""), "")</f>
        <v/>
      </c>
      <c r="H104" s="97" t="str">
        <f ca="1">IFERROR(IF(PréstamoNoPagado*PréstamoPagado,SaldoFinal,""), "")</f>
        <v/>
      </c>
    </row>
    <row r="105" spans="2:8" ht="20.100000000000001" customHeight="1" x14ac:dyDescent="0.3">
      <c r="B105" s="105" t="str">
        <f ca="1">IFERROR(IF(PréstamoNoPagado*PréstamoPagado,NúmeroDePago,""), "")</f>
        <v/>
      </c>
      <c r="C105" s="96" t="str">
        <f ca="1">IFERROR(IF(PréstamoNoPagado*PréstamoPagado,FechaDePago,""), "")</f>
        <v/>
      </c>
      <c r="D105" s="97" t="str">
        <f ca="1">IFERROR(IF(PréstamoNoPagado*PréstamoPagado,ValorPréstamo,""), "")</f>
        <v/>
      </c>
      <c r="E105" s="97" t="str">
        <f ca="1">IFERROR(IF(PréstamoNoPagado*PréstamoPagado,PagoMensual,""), "")</f>
        <v/>
      </c>
      <c r="F105" s="97" t="str">
        <f ca="1">IFERROR(IF(PréstamoNoPagado*PréstamoPagado,Capital,""), "")</f>
        <v/>
      </c>
      <c r="G105" s="97" t="str">
        <f ca="1">IFERROR(IF(PréstamoNoPagado*PréstamoPagado,AmortizaciónInterés,""), "")</f>
        <v/>
      </c>
      <c r="H105" s="97" t="str">
        <f ca="1">IFERROR(IF(PréstamoNoPagado*PréstamoPagado,SaldoFinal,""), "")</f>
        <v/>
      </c>
    </row>
    <row r="106" spans="2:8" ht="20.100000000000001" customHeight="1" x14ac:dyDescent="0.3">
      <c r="B106" s="105" t="str">
        <f ca="1">IFERROR(IF(PréstamoNoPagado*PréstamoPagado,NúmeroDePago,""), "")</f>
        <v/>
      </c>
      <c r="C106" s="96" t="str">
        <f ca="1">IFERROR(IF(PréstamoNoPagado*PréstamoPagado,FechaDePago,""), "")</f>
        <v/>
      </c>
      <c r="D106" s="97" t="str">
        <f ca="1">IFERROR(IF(PréstamoNoPagado*PréstamoPagado,ValorPréstamo,""), "")</f>
        <v/>
      </c>
      <c r="E106" s="97" t="str">
        <f ca="1">IFERROR(IF(PréstamoNoPagado*PréstamoPagado,PagoMensual,""), "")</f>
        <v/>
      </c>
      <c r="F106" s="97" t="str">
        <f ca="1">IFERROR(IF(PréstamoNoPagado*PréstamoPagado,Capital,""), "")</f>
        <v/>
      </c>
      <c r="G106" s="97" t="str">
        <f ca="1">IFERROR(IF(PréstamoNoPagado*PréstamoPagado,AmortizaciónInterés,""), "")</f>
        <v/>
      </c>
      <c r="H106" s="97" t="str">
        <f ca="1">IFERROR(IF(PréstamoNoPagado*PréstamoPagado,SaldoFinal,""), "")</f>
        <v/>
      </c>
    </row>
    <row r="107" spans="2:8" ht="20.100000000000001" customHeight="1" x14ac:dyDescent="0.3">
      <c r="B107" s="105" t="str">
        <f ca="1">IFERROR(IF(PréstamoNoPagado*PréstamoPagado,NúmeroDePago,""), "")</f>
        <v/>
      </c>
      <c r="C107" s="96" t="str">
        <f ca="1">IFERROR(IF(PréstamoNoPagado*PréstamoPagado,FechaDePago,""), "")</f>
        <v/>
      </c>
      <c r="D107" s="97" t="str">
        <f ca="1">IFERROR(IF(PréstamoNoPagado*PréstamoPagado,ValorPréstamo,""), "")</f>
        <v/>
      </c>
      <c r="E107" s="97" t="str">
        <f ca="1">IFERROR(IF(PréstamoNoPagado*PréstamoPagado,PagoMensual,""), "")</f>
        <v/>
      </c>
      <c r="F107" s="97" t="str">
        <f ca="1">IFERROR(IF(PréstamoNoPagado*PréstamoPagado,Capital,""), "")</f>
        <v/>
      </c>
      <c r="G107" s="97" t="str">
        <f ca="1">IFERROR(IF(PréstamoNoPagado*PréstamoPagado,AmortizaciónInterés,""), "")</f>
        <v/>
      </c>
      <c r="H107" s="97" t="str">
        <f ca="1">IFERROR(IF(PréstamoNoPagado*PréstamoPagado,SaldoFinal,""), "")</f>
        <v/>
      </c>
    </row>
    <row r="108" spans="2:8" ht="20.100000000000001" customHeight="1" x14ac:dyDescent="0.3">
      <c r="B108" s="105" t="str">
        <f ca="1">IFERROR(IF(PréstamoNoPagado*PréstamoPagado,NúmeroDePago,""), "")</f>
        <v/>
      </c>
      <c r="C108" s="96" t="str">
        <f ca="1">IFERROR(IF(PréstamoNoPagado*PréstamoPagado,FechaDePago,""), "")</f>
        <v/>
      </c>
      <c r="D108" s="97" t="str">
        <f ca="1">IFERROR(IF(PréstamoNoPagado*PréstamoPagado,ValorPréstamo,""), "")</f>
        <v/>
      </c>
      <c r="E108" s="97" t="str">
        <f ca="1">IFERROR(IF(PréstamoNoPagado*PréstamoPagado,PagoMensual,""), "")</f>
        <v/>
      </c>
      <c r="F108" s="97" t="str">
        <f ca="1">IFERROR(IF(PréstamoNoPagado*PréstamoPagado,Capital,""), "")</f>
        <v/>
      </c>
      <c r="G108" s="97" t="str">
        <f ca="1">IFERROR(IF(PréstamoNoPagado*PréstamoPagado,AmortizaciónInterés,""), "")</f>
        <v/>
      </c>
      <c r="H108" s="97" t="str">
        <f ca="1">IFERROR(IF(PréstamoNoPagado*PréstamoPagado,SaldoFinal,""), "")</f>
        <v/>
      </c>
    </row>
    <row r="109" spans="2:8" ht="20.100000000000001" customHeight="1" x14ac:dyDescent="0.3">
      <c r="B109" s="105" t="str">
        <f ca="1">IFERROR(IF(PréstamoNoPagado*PréstamoPagado,NúmeroDePago,""), "")</f>
        <v/>
      </c>
      <c r="C109" s="96" t="str">
        <f ca="1">IFERROR(IF(PréstamoNoPagado*PréstamoPagado,FechaDePago,""), "")</f>
        <v/>
      </c>
      <c r="D109" s="97" t="str">
        <f ca="1">IFERROR(IF(PréstamoNoPagado*PréstamoPagado,ValorPréstamo,""), "")</f>
        <v/>
      </c>
      <c r="E109" s="97" t="str">
        <f ca="1">IFERROR(IF(PréstamoNoPagado*PréstamoPagado,PagoMensual,""), "")</f>
        <v/>
      </c>
      <c r="F109" s="97" t="str">
        <f ca="1">IFERROR(IF(PréstamoNoPagado*PréstamoPagado,Capital,""), "")</f>
        <v/>
      </c>
      <c r="G109" s="97" t="str">
        <f ca="1">IFERROR(IF(PréstamoNoPagado*PréstamoPagado,AmortizaciónInterés,""), "")</f>
        <v/>
      </c>
      <c r="H109" s="97" t="str">
        <f ca="1">IFERROR(IF(PréstamoNoPagado*PréstamoPagado,SaldoFinal,""), "")</f>
        <v/>
      </c>
    </row>
    <row r="110" spans="2:8" ht="20.100000000000001" customHeight="1" x14ac:dyDescent="0.3">
      <c r="B110" s="105" t="str">
        <f ca="1">IFERROR(IF(PréstamoNoPagado*PréstamoPagado,NúmeroDePago,""), "")</f>
        <v/>
      </c>
      <c r="C110" s="96" t="str">
        <f ca="1">IFERROR(IF(PréstamoNoPagado*PréstamoPagado,FechaDePago,""), "")</f>
        <v/>
      </c>
      <c r="D110" s="97" t="str">
        <f ca="1">IFERROR(IF(PréstamoNoPagado*PréstamoPagado,ValorPréstamo,""), "")</f>
        <v/>
      </c>
      <c r="E110" s="97" t="str">
        <f ca="1">IFERROR(IF(PréstamoNoPagado*PréstamoPagado,PagoMensual,""), "")</f>
        <v/>
      </c>
      <c r="F110" s="97" t="str">
        <f ca="1">IFERROR(IF(PréstamoNoPagado*PréstamoPagado,Capital,""), "")</f>
        <v/>
      </c>
      <c r="G110" s="97" t="str">
        <f ca="1">IFERROR(IF(PréstamoNoPagado*PréstamoPagado,AmortizaciónInterés,""), "")</f>
        <v/>
      </c>
      <c r="H110" s="97" t="str">
        <f ca="1">IFERROR(IF(PréstamoNoPagado*PréstamoPagado,SaldoFinal,""), "")</f>
        <v/>
      </c>
    </row>
    <row r="111" spans="2:8" ht="20.100000000000001" customHeight="1" x14ac:dyDescent="0.3">
      <c r="B111" s="105" t="str">
        <f ca="1">IFERROR(IF(PréstamoNoPagado*PréstamoPagado,NúmeroDePago,""), "")</f>
        <v/>
      </c>
      <c r="C111" s="96" t="str">
        <f ca="1">IFERROR(IF(PréstamoNoPagado*PréstamoPagado,FechaDePago,""), "")</f>
        <v/>
      </c>
      <c r="D111" s="97" t="str">
        <f ca="1">IFERROR(IF(PréstamoNoPagado*PréstamoPagado,ValorPréstamo,""), "")</f>
        <v/>
      </c>
      <c r="E111" s="97" t="str">
        <f ca="1">IFERROR(IF(PréstamoNoPagado*PréstamoPagado,PagoMensual,""), "")</f>
        <v/>
      </c>
      <c r="F111" s="97" t="str">
        <f ca="1">IFERROR(IF(PréstamoNoPagado*PréstamoPagado,Capital,""), "")</f>
        <v/>
      </c>
      <c r="G111" s="97" t="str">
        <f ca="1">IFERROR(IF(PréstamoNoPagado*PréstamoPagado,AmortizaciónInterés,""), "")</f>
        <v/>
      </c>
      <c r="H111" s="97" t="str">
        <f ca="1">IFERROR(IF(PréstamoNoPagado*PréstamoPagado,SaldoFinal,""), "")</f>
        <v/>
      </c>
    </row>
    <row r="112" spans="2:8" ht="20.100000000000001" customHeight="1" x14ac:dyDescent="0.3">
      <c r="B112" s="105" t="str">
        <f ca="1">IFERROR(IF(PréstamoNoPagado*PréstamoPagado,NúmeroDePago,""), "")</f>
        <v/>
      </c>
      <c r="C112" s="96" t="str">
        <f ca="1">IFERROR(IF(PréstamoNoPagado*PréstamoPagado,FechaDePago,""), "")</f>
        <v/>
      </c>
      <c r="D112" s="97" t="str">
        <f ca="1">IFERROR(IF(PréstamoNoPagado*PréstamoPagado,ValorPréstamo,""), "")</f>
        <v/>
      </c>
      <c r="E112" s="97" t="str">
        <f ca="1">IFERROR(IF(PréstamoNoPagado*PréstamoPagado,PagoMensual,""), "")</f>
        <v/>
      </c>
      <c r="F112" s="97" t="str">
        <f ca="1">IFERROR(IF(PréstamoNoPagado*PréstamoPagado,Capital,""), "")</f>
        <v/>
      </c>
      <c r="G112" s="97" t="str">
        <f ca="1">IFERROR(IF(PréstamoNoPagado*PréstamoPagado,AmortizaciónInterés,""), "")</f>
        <v/>
      </c>
      <c r="H112" s="97" t="str">
        <f ca="1">IFERROR(IF(PréstamoNoPagado*PréstamoPagado,SaldoFinal,""), "")</f>
        <v/>
      </c>
    </row>
    <row r="113" spans="2:8" ht="20.100000000000001" customHeight="1" x14ac:dyDescent="0.3">
      <c r="B113" s="105" t="str">
        <f ca="1">IFERROR(IF(PréstamoNoPagado*PréstamoPagado,NúmeroDePago,""), "")</f>
        <v/>
      </c>
      <c r="C113" s="96" t="str">
        <f ca="1">IFERROR(IF(PréstamoNoPagado*PréstamoPagado,FechaDePago,""), "")</f>
        <v/>
      </c>
      <c r="D113" s="97" t="str">
        <f ca="1">IFERROR(IF(PréstamoNoPagado*PréstamoPagado,ValorPréstamo,""), "")</f>
        <v/>
      </c>
      <c r="E113" s="97" t="str">
        <f ca="1">IFERROR(IF(PréstamoNoPagado*PréstamoPagado,PagoMensual,""), "")</f>
        <v/>
      </c>
      <c r="F113" s="97" t="str">
        <f ca="1">IFERROR(IF(PréstamoNoPagado*PréstamoPagado,Capital,""), "")</f>
        <v/>
      </c>
      <c r="G113" s="97" t="str">
        <f ca="1">IFERROR(IF(PréstamoNoPagado*PréstamoPagado,AmortizaciónInterés,""), "")</f>
        <v/>
      </c>
      <c r="H113" s="97" t="str">
        <f ca="1">IFERROR(IF(PréstamoNoPagado*PréstamoPagado,SaldoFinal,""), "")</f>
        <v/>
      </c>
    </row>
    <row r="114" spans="2:8" ht="20.100000000000001" customHeight="1" x14ac:dyDescent="0.3">
      <c r="B114" s="105" t="str">
        <f ca="1">IFERROR(IF(PréstamoNoPagado*PréstamoPagado,NúmeroDePago,""), "")</f>
        <v/>
      </c>
      <c r="C114" s="96" t="str">
        <f ca="1">IFERROR(IF(PréstamoNoPagado*PréstamoPagado,FechaDePago,""), "")</f>
        <v/>
      </c>
      <c r="D114" s="97" t="str">
        <f ca="1">IFERROR(IF(PréstamoNoPagado*PréstamoPagado,ValorPréstamo,""), "")</f>
        <v/>
      </c>
      <c r="E114" s="97" t="str">
        <f ca="1">IFERROR(IF(PréstamoNoPagado*PréstamoPagado,PagoMensual,""), "")</f>
        <v/>
      </c>
      <c r="F114" s="97" t="str">
        <f ca="1">IFERROR(IF(PréstamoNoPagado*PréstamoPagado,Capital,""), "")</f>
        <v/>
      </c>
      <c r="G114" s="97" t="str">
        <f ca="1">IFERROR(IF(PréstamoNoPagado*PréstamoPagado,AmortizaciónInterés,""), "")</f>
        <v/>
      </c>
      <c r="H114" s="97" t="str">
        <f ca="1">IFERROR(IF(PréstamoNoPagado*PréstamoPagado,SaldoFinal,""), "")</f>
        <v/>
      </c>
    </row>
    <row r="115" spans="2:8" ht="20.100000000000001" customHeight="1" x14ac:dyDescent="0.3">
      <c r="B115" s="105" t="str">
        <f ca="1">IFERROR(IF(PréstamoNoPagado*PréstamoPagado,NúmeroDePago,""), "")</f>
        <v/>
      </c>
      <c r="C115" s="96" t="str">
        <f ca="1">IFERROR(IF(PréstamoNoPagado*PréstamoPagado,FechaDePago,""), "")</f>
        <v/>
      </c>
      <c r="D115" s="97" t="str">
        <f ca="1">IFERROR(IF(PréstamoNoPagado*PréstamoPagado,ValorPréstamo,""), "")</f>
        <v/>
      </c>
      <c r="E115" s="97" t="str">
        <f ca="1">IFERROR(IF(PréstamoNoPagado*PréstamoPagado,PagoMensual,""), "")</f>
        <v/>
      </c>
      <c r="F115" s="97" t="str">
        <f ca="1">IFERROR(IF(PréstamoNoPagado*PréstamoPagado,Capital,""), "")</f>
        <v/>
      </c>
      <c r="G115" s="97" t="str">
        <f ca="1">IFERROR(IF(PréstamoNoPagado*PréstamoPagado,AmortizaciónInterés,""), "")</f>
        <v/>
      </c>
      <c r="H115" s="97" t="str">
        <f ca="1">IFERROR(IF(PréstamoNoPagado*PréstamoPagado,SaldoFinal,""), "")</f>
        <v/>
      </c>
    </row>
    <row r="116" spans="2:8" ht="20.100000000000001" customHeight="1" x14ac:dyDescent="0.3">
      <c r="B116" s="105" t="str">
        <f ca="1">IFERROR(IF(PréstamoNoPagado*PréstamoPagado,NúmeroDePago,""), "")</f>
        <v/>
      </c>
      <c r="C116" s="96" t="str">
        <f ca="1">IFERROR(IF(PréstamoNoPagado*PréstamoPagado,FechaDePago,""), "")</f>
        <v/>
      </c>
      <c r="D116" s="97" t="str">
        <f ca="1">IFERROR(IF(PréstamoNoPagado*PréstamoPagado,ValorPréstamo,""), "")</f>
        <v/>
      </c>
      <c r="E116" s="97" t="str">
        <f ca="1">IFERROR(IF(PréstamoNoPagado*PréstamoPagado,PagoMensual,""), "")</f>
        <v/>
      </c>
      <c r="F116" s="97" t="str">
        <f ca="1">IFERROR(IF(PréstamoNoPagado*PréstamoPagado,Capital,""), "")</f>
        <v/>
      </c>
      <c r="G116" s="97" t="str">
        <f ca="1">IFERROR(IF(PréstamoNoPagado*PréstamoPagado,AmortizaciónInterés,""), "")</f>
        <v/>
      </c>
      <c r="H116" s="97" t="str">
        <f ca="1">IFERROR(IF(PréstamoNoPagado*PréstamoPagado,SaldoFinal,""), "")</f>
        <v/>
      </c>
    </row>
    <row r="117" spans="2:8" ht="20.100000000000001" customHeight="1" x14ac:dyDescent="0.3">
      <c r="B117" s="105" t="str">
        <f ca="1">IFERROR(IF(PréstamoNoPagado*PréstamoPagado,NúmeroDePago,""), "")</f>
        <v/>
      </c>
      <c r="C117" s="96" t="str">
        <f ca="1">IFERROR(IF(PréstamoNoPagado*PréstamoPagado,FechaDePago,""), "")</f>
        <v/>
      </c>
      <c r="D117" s="97" t="str">
        <f ca="1">IFERROR(IF(PréstamoNoPagado*PréstamoPagado,ValorPréstamo,""), "")</f>
        <v/>
      </c>
      <c r="E117" s="97" t="str">
        <f ca="1">IFERROR(IF(PréstamoNoPagado*PréstamoPagado,PagoMensual,""), "")</f>
        <v/>
      </c>
      <c r="F117" s="97" t="str">
        <f ca="1">IFERROR(IF(PréstamoNoPagado*PréstamoPagado,Capital,""), "")</f>
        <v/>
      </c>
      <c r="G117" s="97" t="str">
        <f ca="1">IFERROR(IF(PréstamoNoPagado*PréstamoPagado,AmortizaciónInterés,""), "")</f>
        <v/>
      </c>
      <c r="H117" s="97" t="str">
        <f ca="1">IFERROR(IF(PréstamoNoPagado*PréstamoPagado,SaldoFinal,""), "")</f>
        <v/>
      </c>
    </row>
    <row r="118" spans="2:8" ht="20.100000000000001" customHeight="1" x14ac:dyDescent="0.3">
      <c r="B118" s="105" t="str">
        <f ca="1">IFERROR(IF(PréstamoNoPagado*PréstamoPagado,NúmeroDePago,""), "")</f>
        <v/>
      </c>
      <c r="C118" s="96" t="str">
        <f ca="1">IFERROR(IF(PréstamoNoPagado*PréstamoPagado,FechaDePago,""), "")</f>
        <v/>
      </c>
      <c r="D118" s="97" t="str">
        <f ca="1">IFERROR(IF(PréstamoNoPagado*PréstamoPagado,ValorPréstamo,""), "")</f>
        <v/>
      </c>
      <c r="E118" s="97" t="str">
        <f ca="1">IFERROR(IF(PréstamoNoPagado*PréstamoPagado,PagoMensual,""), "")</f>
        <v/>
      </c>
      <c r="F118" s="97" t="str">
        <f ca="1">IFERROR(IF(PréstamoNoPagado*PréstamoPagado,Capital,""), "")</f>
        <v/>
      </c>
      <c r="G118" s="97" t="str">
        <f ca="1">IFERROR(IF(PréstamoNoPagado*PréstamoPagado,AmortizaciónInterés,""), "")</f>
        <v/>
      </c>
      <c r="H118" s="97" t="str">
        <f ca="1">IFERROR(IF(PréstamoNoPagado*PréstamoPagado,SaldoFinal,""), "")</f>
        <v/>
      </c>
    </row>
    <row r="119" spans="2:8" ht="20.100000000000001" customHeight="1" x14ac:dyDescent="0.3">
      <c r="B119" s="105" t="str">
        <f ca="1">IFERROR(IF(PréstamoNoPagado*PréstamoPagado,NúmeroDePago,""), "")</f>
        <v/>
      </c>
      <c r="C119" s="96" t="str">
        <f ca="1">IFERROR(IF(PréstamoNoPagado*PréstamoPagado,FechaDePago,""), "")</f>
        <v/>
      </c>
      <c r="D119" s="97" t="str">
        <f ca="1">IFERROR(IF(PréstamoNoPagado*PréstamoPagado,ValorPréstamo,""), "")</f>
        <v/>
      </c>
      <c r="E119" s="97" t="str">
        <f ca="1">IFERROR(IF(PréstamoNoPagado*PréstamoPagado,PagoMensual,""), "")</f>
        <v/>
      </c>
      <c r="F119" s="97" t="str">
        <f ca="1">IFERROR(IF(PréstamoNoPagado*PréstamoPagado,Capital,""), "")</f>
        <v/>
      </c>
      <c r="G119" s="97" t="str">
        <f ca="1">IFERROR(IF(PréstamoNoPagado*PréstamoPagado,AmortizaciónInterés,""), "")</f>
        <v/>
      </c>
      <c r="H119" s="97" t="str">
        <f ca="1">IFERROR(IF(PréstamoNoPagado*PréstamoPagado,SaldoFinal,""), "")</f>
        <v/>
      </c>
    </row>
    <row r="120" spans="2:8" ht="20.100000000000001" customHeight="1" x14ac:dyDescent="0.3">
      <c r="B120" s="105" t="str">
        <f ca="1">IFERROR(IF(PréstamoNoPagado*PréstamoPagado,NúmeroDePago,""), "")</f>
        <v/>
      </c>
      <c r="C120" s="96" t="str">
        <f ca="1">IFERROR(IF(PréstamoNoPagado*PréstamoPagado,FechaDePago,""), "")</f>
        <v/>
      </c>
      <c r="D120" s="97" t="str">
        <f ca="1">IFERROR(IF(PréstamoNoPagado*PréstamoPagado,ValorPréstamo,""), "")</f>
        <v/>
      </c>
      <c r="E120" s="97" t="str">
        <f ca="1">IFERROR(IF(PréstamoNoPagado*PréstamoPagado,PagoMensual,""), "")</f>
        <v/>
      </c>
      <c r="F120" s="97" t="str">
        <f ca="1">IFERROR(IF(PréstamoNoPagado*PréstamoPagado,Capital,""), "")</f>
        <v/>
      </c>
      <c r="G120" s="97" t="str">
        <f ca="1">IFERROR(IF(PréstamoNoPagado*PréstamoPagado,AmortizaciónInterés,""), "")</f>
        <v/>
      </c>
      <c r="H120" s="97" t="str">
        <f ca="1">IFERROR(IF(PréstamoNoPagado*PréstamoPagado,SaldoFinal,""), "")</f>
        <v/>
      </c>
    </row>
    <row r="121" spans="2:8" ht="20.100000000000001" customHeight="1" x14ac:dyDescent="0.3">
      <c r="B121" s="105" t="str">
        <f ca="1">IFERROR(IF(PréstamoNoPagado*PréstamoPagado,NúmeroDePago,""), "")</f>
        <v/>
      </c>
      <c r="C121" s="96" t="str">
        <f ca="1">IFERROR(IF(PréstamoNoPagado*PréstamoPagado,FechaDePago,""), "")</f>
        <v/>
      </c>
      <c r="D121" s="97" t="str">
        <f ca="1">IFERROR(IF(PréstamoNoPagado*PréstamoPagado,ValorPréstamo,""), "")</f>
        <v/>
      </c>
      <c r="E121" s="97" t="str">
        <f ca="1">IFERROR(IF(PréstamoNoPagado*PréstamoPagado,PagoMensual,""), "")</f>
        <v/>
      </c>
      <c r="F121" s="97" t="str">
        <f ca="1">IFERROR(IF(PréstamoNoPagado*PréstamoPagado,Capital,""), "")</f>
        <v/>
      </c>
      <c r="G121" s="97" t="str">
        <f ca="1">IFERROR(IF(PréstamoNoPagado*PréstamoPagado,AmortizaciónInterés,""), "")</f>
        <v/>
      </c>
      <c r="H121" s="97" t="str">
        <f ca="1">IFERROR(IF(PréstamoNoPagado*PréstamoPagado,SaldoFinal,""), "")</f>
        <v/>
      </c>
    </row>
    <row r="122" spans="2:8" ht="20.100000000000001" customHeight="1" x14ac:dyDescent="0.3">
      <c r="B122" s="105" t="str">
        <f ca="1">IFERROR(IF(PréstamoNoPagado*PréstamoPagado,NúmeroDePago,""), "")</f>
        <v/>
      </c>
      <c r="C122" s="96" t="str">
        <f ca="1">IFERROR(IF(PréstamoNoPagado*PréstamoPagado,FechaDePago,""), "")</f>
        <v/>
      </c>
      <c r="D122" s="97" t="str">
        <f ca="1">IFERROR(IF(PréstamoNoPagado*PréstamoPagado,ValorPréstamo,""), "")</f>
        <v/>
      </c>
      <c r="E122" s="97" t="str">
        <f ca="1">IFERROR(IF(PréstamoNoPagado*PréstamoPagado,PagoMensual,""), "")</f>
        <v/>
      </c>
      <c r="F122" s="97" t="str">
        <f ca="1">IFERROR(IF(PréstamoNoPagado*PréstamoPagado,Capital,""), "")</f>
        <v/>
      </c>
      <c r="G122" s="97" t="str">
        <f ca="1">IFERROR(IF(PréstamoNoPagado*PréstamoPagado,AmortizaciónInterés,""), "")</f>
        <v/>
      </c>
      <c r="H122" s="97" t="str">
        <f ca="1">IFERROR(IF(PréstamoNoPagado*PréstamoPagado,SaldoFinal,""), "")</f>
        <v/>
      </c>
    </row>
    <row r="123" spans="2:8" ht="20.100000000000001" customHeight="1" x14ac:dyDescent="0.3">
      <c r="B123" s="105" t="str">
        <f ca="1">IFERROR(IF(PréstamoNoPagado*PréstamoPagado,NúmeroDePago,""), "")</f>
        <v/>
      </c>
      <c r="C123" s="96" t="str">
        <f ca="1">IFERROR(IF(PréstamoNoPagado*PréstamoPagado,FechaDePago,""), "")</f>
        <v/>
      </c>
      <c r="D123" s="97" t="str">
        <f ca="1">IFERROR(IF(PréstamoNoPagado*PréstamoPagado,ValorPréstamo,""), "")</f>
        <v/>
      </c>
      <c r="E123" s="97" t="str">
        <f ca="1">IFERROR(IF(PréstamoNoPagado*PréstamoPagado,PagoMensual,""), "")</f>
        <v/>
      </c>
      <c r="F123" s="97" t="str">
        <f ca="1">IFERROR(IF(PréstamoNoPagado*PréstamoPagado,Capital,""), "")</f>
        <v/>
      </c>
      <c r="G123" s="97" t="str">
        <f ca="1">IFERROR(IF(PréstamoNoPagado*PréstamoPagado,AmortizaciónInterés,""), "")</f>
        <v/>
      </c>
      <c r="H123" s="97" t="str">
        <f ca="1">IFERROR(IF(PréstamoNoPagado*PréstamoPagado,SaldoFinal,""), "")</f>
        <v/>
      </c>
    </row>
    <row r="124" spans="2:8" ht="20.100000000000001" customHeight="1" x14ac:dyDescent="0.3">
      <c r="B124" s="105" t="str">
        <f ca="1">IFERROR(IF(PréstamoNoPagado*PréstamoPagado,NúmeroDePago,""), "")</f>
        <v/>
      </c>
      <c r="C124" s="96" t="str">
        <f ca="1">IFERROR(IF(PréstamoNoPagado*PréstamoPagado,FechaDePago,""), "")</f>
        <v/>
      </c>
      <c r="D124" s="97" t="str">
        <f ca="1">IFERROR(IF(PréstamoNoPagado*PréstamoPagado,ValorPréstamo,""), "")</f>
        <v/>
      </c>
      <c r="E124" s="97" t="str">
        <f ca="1">IFERROR(IF(PréstamoNoPagado*PréstamoPagado,PagoMensual,""), "")</f>
        <v/>
      </c>
      <c r="F124" s="97" t="str">
        <f ca="1">IFERROR(IF(PréstamoNoPagado*PréstamoPagado,Capital,""), "")</f>
        <v/>
      </c>
      <c r="G124" s="97" t="str">
        <f ca="1">IFERROR(IF(PréstamoNoPagado*PréstamoPagado,AmortizaciónInterés,""), "")</f>
        <v/>
      </c>
      <c r="H124" s="97" t="str">
        <f ca="1">IFERROR(IF(PréstamoNoPagado*PréstamoPagado,SaldoFinal,""), "")</f>
        <v/>
      </c>
    </row>
    <row r="125" spans="2:8" ht="20.100000000000001" customHeight="1" x14ac:dyDescent="0.3">
      <c r="B125" s="105" t="str">
        <f ca="1">IFERROR(IF(PréstamoNoPagado*PréstamoPagado,NúmeroDePago,""), "")</f>
        <v/>
      </c>
      <c r="C125" s="96" t="str">
        <f ca="1">IFERROR(IF(PréstamoNoPagado*PréstamoPagado,FechaDePago,""), "")</f>
        <v/>
      </c>
      <c r="D125" s="97" t="str">
        <f ca="1">IFERROR(IF(PréstamoNoPagado*PréstamoPagado,ValorPréstamo,""), "")</f>
        <v/>
      </c>
      <c r="E125" s="97" t="str">
        <f ca="1">IFERROR(IF(PréstamoNoPagado*PréstamoPagado,PagoMensual,""), "")</f>
        <v/>
      </c>
      <c r="F125" s="97" t="str">
        <f ca="1">IFERROR(IF(PréstamoNoPagado*PréstamoPagado,Capital,""), "")</f>
        <v/>
      </c>
      <c r="G125" s="97" t="str">
        <f ca="1">IFERROR(IF(PréstamoNoPagado*PréstamoPagado,AmortizaciónInterés,""), "")</f>
        <v/>
      </c>
      <c r="H125" s="97" t="str">
        <f ca="1">IFERROR(IF(PréstamoNoPagado*PréstamoPagado,SaldoFinal,""), "")</f>
        <v/>
      </c>
    </row>
    <row r="126" spans="2:8" ht="20.100000000000001" customHeight="1" x14ac:dyDescent="0.3">
      <c r="B126" s="105" t="str">
        <f ca="1">IFERROR(IF(PréstamoNoPagado*PréstamoPagado,NúmeroDePago,""), "")</f>
        <v/>
      </c>
      <c r="C126" s="96" t="str">
        <f ca="1">IFERROR(IF(PréstamoNoPagado*PréstamoPagado,FechaDePago,""), "")</f>
        <v/>
      </c>
      <c r="D126" s="97" t="str">
        <f ca="1">IFERROR(IF(PréstamoNoPagado*PréstamoPagado,ValorPréstamo,""), "")</f>
        <v/>
      </c>
      <c r="E126" s="97" t="str">
        <f ca="1">IFERROR(IF(PréstamoNoPagado*PréstamoPagado,PagoMensual,""), "")</f>
        <v/>
      </c>
      <c r="F126" s="97" t="str">
        <f ca="1">IFERROR(IF(PréstamoNoPagado*PréstamoPagado,Capital,""), "")</f>
        <v/>
      </c>
      <c r="G126" s="97" t="str">
        <f ca="1">IFERROR(IF(PréstamoNoPagado*PréstamoPagado,AmortizaciónInterés,""), "")</f>
        <v/>
      </c>
      <c r="H126" s="97" t="str">
        <f ca="1">IFERROR(IF(PréstamoNoPagado*PréstamoPagado,SaldoFinal,""), "")</f>
        <v/>
      </c>
    </row>
    <row r="127" spans="2:8" ht="20.100000000000001" customHeight="1" x14ac:dyDescent="0.3">
      <c r="B127" s="105" t="str">
        <f ca="1">IFERROR(IF(PréstamoNoPagado*PréstamoPagado,NúmeroDePago,""), "")</f>
        <v/>
      </c>
      <c r="C127" s="96" t="str">
        <f ca="1">IFERROR(IF(PréstamoNoPagado*PréstamoPagado,FechaDePago,""), "")</f>
        <v/>
      </c>
      <c r="D127" s="97" t="str">
        <f ca="1">IFERROR(IF(PréstamoNoPagado*PréstamoPagado,ValorPréstamo,""), "")</f>
        <v/>
      </c>
      <c r="E127" s="97" t="str">
        <f ca="1">IFERROR(IF(PréstamoNoPagado*PréstamoPagado,PagoMensual,""), "")</f>
        <v/>
      </c>
      <c r="F127" s="97" t="str">
        <f ca="1">IFERROR(IF(PréstamoNoPagado*PréstamoPagado,Capital,""), "")</f>
        <v/>
      </c>
      <c r="G127" s="97" t="str">
        <f ca="1">IFERROR(IF(PréstamoNoPagado*PréstamoPagado,AmortizaciónInterés,""), "")</f>
        <v/>
      </c>
      <c r="H127" s="97" t="str">
        <f ca="1">IFERROR(IF(PréstamoNoPagado*PréstamoPagado,SaldoFinal,""), "")</f>
        <v/>
      </c>
    </row>
    <row r="128" spans="2:8" ht="20.100000000000001" customHeight="1" x14ac:dyDescent="0.3">
      <c r="B128" s="105" t="str">
        <f ca="1">IFERROR(IF(PréstamoNoPagado*PréstamoPagado,NúmeroDePago,""), "")</f>
        <v/>
      </c>
      <c r="C128" s="96" t="str">
        <f ca="1">IFERROR(IF(PréstamoNoPagado*PréstamoPagado,FechaDePago,""), "")</f>
        <v/>
      </c>
      <c r="D128" s="97" t="str">
        <f ca="1">IFERROR(IF(PréstamoNoPagado*PréstamoPagado,ValorPréstamo,""), "")</f>
        <v/>
      </c>
      <c r="E128" s="97" t="str">
        <f ca="1">IFERROR(IF(PréstamoNoPagado*PréstamoPagado,PagoMensual,""), "")</f>
        <v/>
      </c>
      <c r="F128" s="97" t="str">
        <f ca="1">IFERROR(IF(PréstamoNoPagado*PréstamoPagado,Capital,""), "")</f>
        <v/>
      </c>
      <c r="G128" s="97" t="str">
        <f ca="1">IFERROR(IF(PréstamoNoPagado*PréstamoPagado,AmortizaciónInterés,""), "")</f>
        <v/>
      </c>
      <c r="H128" s="97" t="str">
        <f ca="1">IFERROR(IF(PréstamoNoPagado*PréstamoPagado,SaldoFinal,""), "")</f>
        <v/>
      </c>
    </row>
    <row r="129" spans="2:8" ht="20.100000000000001" customHeight="1" x14ac:dyDescent="0.3">
      <c r="B129" s="105" t="str">
        <f ca="1">IFERROR(IF(PréstamoNoPagado*PréstamoPagado,NúmeroDePago,""), "")</f>
        <v/>
      </c>
      <c r="C129" s="96" t="str">
        <f ca="1">IFERROR(IF(PréstamoNoPagado*PréstamoPagado,FechaDePago,""), "")</f>
        <v/>
      </c>
      <c r="D129" s="97" t="str">
        <f ca="1">IFERROR(IF(PréstamoNoPagado*PréstamoPagado,ValorPréstamo,""), "")</f>
        <v/>
      </c>
      <c r="E129" s="97" t="str">
        <f ca="1">IFERROR(IF(PréstamoNoPagado*PréstamoPagado,PagoMensual,""), "")</f>
        <v/>
      </c>
      <c r="F129" s="97" t="str">
        <f ca="1">IFERROR(IF(PréstamoNoPagado*PréstamoPagado,Capital,""), "")</f>
        <v/>
      </c>
      <c r="G129" s="97" t="str">
        <f ca="1">IFERROR(IF(PréstamoNoPagado*PréstamoPagado,AmortizaciónInterés,""), "")</f>
        <v/>
      </c>
      <c r="H129" s="97" t="str">
        <f ca="1">IFERROR(IF(PréstamoNoPagado*PréstamoPagado,SaldoFinal,""), "")</f>
        <v/>
      </c>
    </row>
    <row r="130" spans="2:8" ht="20.100000000000001" customHeight="1" x14ac:dyDescent="0.3">
      <c r="B130" s="105" t="str">
        <f ca="1">IFERROR(IF(PréstamoNoPagado*PréstamoPagado,NúmeroDePago,""), "")</f>
        <v/>
      </c>
      <c r="C130" s="96" t="str">
        <f ca="1">IFERROR(IF(PréstamoNoPagado*PréstamoPagado,FechaDePago,""), "")</f>
        <v/>
      </c>
      <c r="D130" s="97" t="str">
        <f ca="1">IFERROR(IF(PréstamoNoPagado*PréstamoPagado,ValorPréstamo,""), "")</f>
        <v/>
      </c>
      <c r="E130" s="97" t="str">
        <f ca="1">IFERROR(IF(PréstamoNoPagado*PréstamoPagado,PagoMensual,""), "")</f>
        <v/>
      </c>
      <c r="F130" s="97" t="str">
        <f ca="1">IFERROR(IF(PréstamoNoPagado*PréstamoPagado,Capital,""), "")</f>
        <v/>
      </c>
      <c r="G130" s="97" t="str">
        <f ca="1">IFERROR(IF(PréstamoNoPagado*PréstamoPagado,AmortizaciónInterés,""), "")</f>
        <v/>
      </c>
      <c r="H130" s="97" t="str">
        <f ca="1">IFERROR(IF(PréstamoNoPagado*PréstamoPagado,SaldoFinal,""), "")</f>
        <v/>
      </c>
    </row>
    <row r="131" spans="2:8" ht="20.100000000000001" customHeight="1" x14ac:dyDescent="0.3">
      <c r="B131" s="105" t="str">
        <f ca="1">IFERROR(IF(PréstamoNoPagado*PréstamoPagado,NúmeroDePago,""), "")</f>
        <v/>
      </c>
      <c r="C131" s="96" t="str">
        <f ca="1">IFERROR(IF(PréstamoNoPagado*PréstamoPagado,FechaDePago,""), "")</f>
        <v/>
      </c>
      <c r="D131" s="97" t="str">
        <f ca="1">IFERROR(IF(PréstamoNoPagado*PréstamoPagado,ValorPréstamo,""), "")</f>
        <v/>
      </c>
      <c r="E131" s="97" t="str">
        <f ca="1">IFERROR(IF(PréstamoNoPagado*PréstamoPagado,PagoMensual,""), "")</f>
        <v/>
      </c>
      <c r="F131" s="97" t="str">
        <f ca="1">IFERROR(IF(PréstamoNoPagado*PréstamoPagado,Capital,""), "")</f>
        <v/>
      </c>
      <c r="G131" s="97" t="str">
        <f ca="1">IFERROR(IF(PréstamoNoPagado*PréstamoPagado,AmortizaciónInterés,""), "")</f>
        <v/>
      </c>
      <c r="H131" s="97" t="str">
        <f ca="1">IFERROR(IF(PréstamoNoPagado*PréstamoPagado,SaldoFinal,""), "")</f>
        <v/>
      </c>
    </row>
    <row r="132" spans="2:8" ht="20.100000000000001" customHeight="1" x14ac:dyDescent="0.3">
      <c r="B132" s="105" t="str">
        <f ca="1">IFERROR(IF(PréstamoNoPagado*PréstamoPagado,NúmeroDePago,""), "")</f>
        <v/>
      </c>
      <c r="C132" s="96" t="str">
        <f ca="1">IFERROR(IF(PréstamoNoPagado*PréstamoPagado,FechaDePago,""), "")</f>
        <v/>
      </c>
      <c r="D132" s="97" t="str">
        <f ca="1">IFERROR(IF(PréstamoNoPagado*PréstamoPagado,ValorPréstamo,""), "")</f>
        <v/>
      </c>
      <c r="E132" s="97" t="str">
        <f ca="1">IFERROR(IF(PréstamoNoPagado*PréstamoPagado,PagoMensual,""), "")</f>
        <v/>
      </c>
      <c r="F132" s="97" t="str">
        <f ca="1">IFERROR(IF(PréstamoNoPagado*PréstamoPagado,Capital,""), "")</f>
        <v/>
      </c>
      <c r="G132" s="97" t="str">
        <f ca="1">IFERROR(IF(PréstamoNoPagado*PréstamoPagado,AmortizaciónInterés,""), "")</f>
        <v/>
      </c>
      <c r="H132" s="97" t="str">
        <f ca="1">IFERROR(IF(PréstamoNoPagado*PréstamoPagado,SaldoFinal,""), "")</f>
        <v/>
      </c>
    </row>
    <row r="133" spans="2:8" ht="20.100000000000001" customHeight="1" x14ac:dyDescent="0.3">
      <c r="B133" s="105" t="str">
        <f ca="1">IFERROR(IF(PréstamoNoPagado*PréstamoPagado,NúmeroDePago,""), "")</f>
        <v/>
      </c>
      <c r="C133" s="96" t="str">
        <f ca="1">IFERROR(IF(PréstamoNoPagado*PréstamoPagado,FechaDePago,""), "")</f>
        <v/>
      </c>
      <c r="D133" s="97" t="str">
        <f ca="1">IFERROR(IF(PréstamoNoPagado*PréstamoPagado,ValorPréstamo,""), "")</f>
        <v/>
      </c>
      <c r="E133" s="97" t="str">
        <f ca="1">IFERROR(IF(PréstamoNoPagado*PréstamoPagado,PagoMensual,""), "")</f>
        <v/>
      </c>
      <c r="F133" s="97" t="str">
        <f ca="1">IFERROR(IF(PréstamoNoPagado*PréstamoPagado,Capital,""), "")</f>
        <v/>
      </c>
      <c r="G133" s="97" t="str">
        <f ca="1">IFERROR(IF(PréstamoNoPagado*PréstamoPagado,AmortizaciónInterés,""), "")</f>
        <v/>
      </c>
      <c r="H133" s="97" t="str">
        <f ca="1">IFERROR(IF(PréstamoNoPagado*PréstamoPagado,SaldoFinal,""), "")</f>
        <v/>
      </c>
    </row>
    <row r="134" spans="2:8" ht="20.100000000000001" customHeight="1" x14ac:dyDescent="0.3">
      <c r="B134" s="105" t="str">
        <f ca="1">IFERROR(IF(PréstamoNoPagado*PréstamoPagado,NúmeroDePago,""), "")</f>
        <v/>
      </c>
      <c r="C134" s="96" t="str">
        <f ca="1">IFERROR(IF(PréstamoNoPagado*PréstamoPagado,FechaDePago,""), "")</f>
        <v/>
      </c>
      <c r="D134" s="97" t="str">
        <f ca="1">IFERROR(IF(PréstamoNoPagado*PréstamoPagado,ValorPréstamo,""), "")</f>
        <v/>
      </c>
      <c r="E134" s="97" t="str">
        <f ca="1">IFERROR(IF(PréstamoNoPagado*PréstamoPagado,PagoMensual,""), "")</f>
        <v/>
      </c>
      <c r="F134" s="97" t="str">
        <f ca="1">IFERROR(IF(PréstamoNoPagado*PréstamoPagado,Capital,""), "")</f>
        <v/>
      </c>
      <c r="G134" s="97" t="str">
        <f ca="1">IFERROR(IF(PréstamoNoPagado*PréstamoPagado,AmortizaciónInterés,""), "")</f>
        <v/>
      </c>
      <c r="H134" s="97" t="str">
        <f ca="1">IFERROR(IF(PréstamoNoPagado*PréstamoPagado,SaldoFinal,""), "")</f>
        <v/>
      </c>
    </row>
    <row r="135" spans="2:8" ht="20.100000000000001" customHeight="1" x14ac:dyDescent="0.3">
      <c r="B135" s="105" t="str">
        <f ca="1">IFERROR(IF(PréstamoNoPagado*PréstamoPagado,NúmeroDePago,""), "")</f>
        <v/>
      </c>
      <c r="C135" s="96" t="str">
        <f ca="1">IFERROR(IF(PréstamoNoPagado*PréstamoPagado,FechaDePago,""), "")</f>
        <v/>
      </c>
      <c r="D135" s="97" t="str">
        <f ca="1">IFERROR(IF(PréstamoNoPagado*PréstamoPagado,ValorPréstamo,""), "")</f>
        <v/>
      </c>
      <c r="E135" s="97" t="str">
        <f ca="1">IFERROR(IF(PréstamoNoPagado*PréstamoPagado,PagoMensual,""), "")</f>
        <v/>
      </c>
      <c r="F135" s="97" t="str">
        <f ca="1">IFERROR(IF(PréstamoNoPagado*PréstamoPagado,Capital,""), "")</f>
        <v/>
      </c>
      <c r="G135" s="97" t="str">
        <f ca="1">IFERROR(IF(PréstamoNoPagado*PréstamoPagado,AmortizaciónInterés,""), "")</f>
        <v/>
      </c>
      <c r="H135" s="97" t="str">
        <f ca="1">IFERROR(IF(PréstamoNoPagado*PréstamoPagado,SaldoFinal,""), "")</f>
        <v/>
      </c>
    </row>
    <row r="136" spans="2:8" ht="20.100000000000001" customHeight="1" x14ac:dyDescent="0.3">
      <c r="B136" s="105" t="str">
        <f ca="1">IFERROR(IF(PréstamoNoPagado*PréstamoPagado,NúmeroDePago,""), "")</f>
        <v/>
      </c>
      <c r="C136" s="96" t="str">
        <f ca="1">IFERROR(IF(PréstamoNoPagado*PréstamoPagado,FechaDePago,""), "")</f>
        <v/>
      </c>
      <c r="D136" s="97" t="str">
        <f ca="1">IFERROR(IF(PréstamoNoPagado*PréstamoPagado,ValorPréstamo,""), "")</f>
        <v/>
      </c>
      <c r="E136" s="97" t="str">
        <f ca="1">IFERROR(IF(PréstamoNoPagado*PréstamoPagado,PagoMensual,""), "")</f>
        <v/>
      </c>
      <c r="F136" s="97" t="str">
        <f ca="1">IFERROR(IF(PréstamoNoPagado*PréstamoPagado,Capital,""), "")</f>
        <v/>
      </c>
      <c r="G136" s="97" t="str">
        <f ca="1">IFERROR(IF(PréstamoNoPagado*PréstamoPagado,AmortizaciónInterés,""), "")</f>
        <v/>
      </c>
      <c r="H136" s="97" t="str">
        <f ca="1">IFERROR(IF(PréstamoNoPagado*PréstamoPagado,SaldoFinal,""), "")</f>
        <v/>
      </c>
    </row>
    <row r="137" spans="2:8" ht="20.100000000000001" customHeight="1" x14ac:dyDescent="0.3">
      <c r="B137" s="105" t="str">
        <f ca="1">IFERROR(IF(PréstamoNoPagado*PréstamoPagado,NúmeroDePago,""), "")</f>
        <v/>
      </c>
      <c r="C137" s="96" t="str">
        <f ca="1">IFERROR(IF(PréstamoNoPagado*PréstamoPagado,FechaDePago,""), "")</f>
        <v/>
      </c>
      <c r="D137" s="97" t="str">
        <f ca="1">IFERROR(IF(PréstamoNoPagado*PréstamoPagado,ValorPréstamo,""), "")</f>
        <v/>
      </c>
      <c r="E137" s="97" t="str">
        <f ca="1">IFERROR(IF(PréstamoNoPagado*PréstamoPagado,PagoMensual,""), "")</f>
        <v/>
      </c>
      <c r="F137" s="97" t="str">
        <f ca="1">IFERROR(IF(PréstamoNoPagado*PréstamoPagado,Capital,""), "")</f>
        <v/>
      </c>
      <c r="G137" s="97" t="str">
        <f ca="1">IFERROR(IF(PréstamoNoPagado*PréstamoPagado,AmortizaciónInterés,""), "")</f>
        <v/>
      </c>
      <c r="H137" s="97" t="str">
        <f ca="1">IFERROR(IF(PréstamoNoPagado*PréstamoPagado,SaldoFinal,""), "")</f>
        <v/>
      </c>
    </row>
    <row r="138" spans="2:8" ht="20.100000000000001" customHeight="1" x14ac:dyDescent="0.3">
      <c r="B138" s="105" t="str">
        <f ca="1">IFERROR(IF(PréstamoNoPagado*PréstamoPagado,NúmeroDePago,""), "")</f>
        <v/>
      </c>
      <c r="C138" s="96" t="str">
        <f ca="1">IFERROR(IF(PréstamoNoPagado*PréstamoPagado,FechaDePago,""), "")</f>
        <v/>
      </c>
      <c r="D138" s="97" t="str">
        <f ca="1">IFERROR(IF(PréstamoNoPagado*PréstamoPagado,ValorPréstamo,""), "")</f>
        <v/>
      </c>
      <c r="E138" s="97" t="str">
        <f ca="1">IFERROR(IF(PréstamoNoPagado*PréstamoPagado,PagoMensual,""), "")</f>
        <v/>
      </c>
      <c r="F138" s="97" t="str">
        <f ca="1">IFERROR(IF(PréstamoNoPagado*PréstamoPagado,Capital,""), "")</f>
        <v/>
      </c>
      <c r="G138" s="97" t="str">
        <f ca="1">IFERROR(IF(PréstamoNoPagado*PréstamoPagado,AmortizaciónInterés,""), "")</f>
        <v/>
      </c>
      <c r="H138" s="97" t="str">
        <f ca="1">IFERROR(IF(PréstamoNoPagado*PréstamoPagado,SaldoFinal,""), "")</f>
        <v/>
      </c>
    </row>
    <row r="139" spans="2:8" ht="20.100000000000001" customHeight="1" x14ac:dyDescent="0.3">
      <c r="B139" s="105" t="str">
        <f ca="1">IFERROR(IF(PréstamoNoPagado*PréstamoPagado,NúmeroDePago,""), "")</f>
        <v/>
      </c>
      <c r="C139" s="96" t="str">
        <f ca="1">IFERROR(IF(PréstamoNoPagado*PréstamoPagado,FechaDePago,""), "")</f>
        <v/>
      </c>
      <c r="D139" s="97" t="str">
        <f ca="1">IFERROR(IF(PréstamoNoPagado*PréstamoPagado,ValorPréstamo,""), "")</f>
        <v/>
      </c>
      <c r="E139" s="97" t="str">
        <f ca="1">IFERROR(IF(PréstamoNoPagado*PréstamoPagado,PagoMensual,""), "")</f>
        <v/>
      </c>
      <c r="F139" s="97" t="str">
        <f ca="1">IFERROR(IF(PréstamoNoPagado*PréstamoPagado,Capital,""), "")</f>
        <v/>
      </c>
      <c r="G139" s="97" t="str">
        <f ca="1">IFERROR(IF(PréstamoNoPagado*PréstamoPagado,AmortizaciónInterés,""), "")</f>
        <v/>
      </c>
      <c r="H139" s="97" t="str">
        <f ca="1">IFERROR(IF(PréstamoNoPagado*PréstamoPagado,SaldoFinal,""), "")</f>
        <v/>
      </c>
    </row>
    <row r="140" spans="2:8" ht="20.100000000000001" customHeight="1" x14ac:dyDescent="0.3">
      <c r="B140" s="105" t="str">
        <f ca="1">IFERROR(IF(PréstamoNoPagado*PréstamoPagado,NúmeroDePago,""), "")</f>
        <v/>
      </c>
      <c r="C140" s="96" t="str">
        <f ca="1">IFERROR(IF(PréstamoNoPagado*PréstamoPagado,FechaDePago,""), "")</f>
        <v/>
      </c>
      <c r="D140" s="97" t="str">
        <f ca="1">IFERROR(IF(PréstamoNoPagado*PréstamoPagado,ValorPréstamo,""), "")</f>
        <v/>
      </c>
      <c r="E140" s="97" t="str">
        <f ca="1">IFERROR(IF(PréstamoNoPagado*PréstamoPagado,PagoMensual,""), "")</f>
        <v/>
      </c>
      <c r="F140" s="97" t="str">
        <f ca="1">IFERROR(IF(PréstamoNoPagado*PréstamoPagado,Capital,""), "")</f>
        <v/>
      </c>
      <c r="G140" s="97" t="str">
        <f ca="1">IFERROR(IF(PréstamoNoPagado*PréstamoPagado,AmortizaciónInterés,""), "")</f>
        <v/>
      </c>
      <c r="H140" s="97" t="str">
        <f ca="1">IFERROR(IF(PréstamoNoPagado*PréstamoPagado,SaldoFinal,""), "")</f>
        <v/>
      </c>
    </row>
    <row r="141" spans="2:8" ht="20.100000000000001" customHeight="1" x14ac:dyDescent="0.3">
      <c r="B141" s="105" t="str">
        <f ca="1">IFERROR(IF(PréstamoNoPagado*PréstamoPagado,NúmeroDePago,""), "")</f>
        <v/>
      </c>
      <c r="C141" s="96" t="str">
        <f ca="1">IFERROR(IF(PréstamoNoPagado*PréstamoPagado,FechaDePago,""), "")</f>
        <v/>
      </c>
      <c r="D141" s="97" t="str">
        <f ca="1">IFERROR(IF(PréstamoNoPagado*PréstamoPagado,ValorPréstamo,""), "")</f>
        <v/>
      </c>
      <c r="E141" s="97" t="str">
        <f ca="1">IFERROR(IF(PréstamoNoPagado*PréstamoPagado,PagoMensual,""), "")</f>
        <v/>
      </c>
      <c r="F141" s="97" t="str">
        <f ca="1">IFERROR(IF(PréstamoNoPagado*PréstamoPagado,Capital,""), "")</f>
        <v/>
      </c>
      <c r="G141" s="97" t="str">
        <f ca="1">IFERROR(IF(PréstamoNoPagado*PréstamoPagado,AmortizaciónInterés,""), "")</f>
        <v/>
      </c>
      <c r="H141" s="97" t="str">
        <f ca="1">IFERROR(IF(PréstamoNoPagado*PréstamoPagado,SaldoFinal,""), "")</f>
        <v/>
      </c>
    </row>
    <row r="142" spans="2:8" ht="20.100000000000001" customHeight="1" x14ac:dyDescent="0.3">
      <c r="B142" s="105" t="str">
        <f ca="1">IFERROR(IF(PréstamoNoPagado*PréstamoPagado,NúmeroDePago,""), "")</f>
        <v/>
      </c>
      <c r="C142" s="96" t="str">
        <f ca="1">IFERROR(IF(PréstamoNoPagado*PréstamoPagado,FechaDePago,""), "")</f>
        <v/>
      </c>
      <c r="D142" s="97" t="str">
        <f ca="1">IFERROR(IF(PréstamoNoPagado*PréstamoPagado,ValorPréstamo,""), "")</f>
        <v/>
      </c>
      <c r="E142" s="97" t="str">
        <f ca="1">IFERROR(IF(PréstamoNoPagado*PréstamoPagado,PagoMensual,""), "")</f>
        <v/>
      </c>
      <c r="F142" s="97" t="str">
        <f ca="1">IFERROR(IF(PréstamoNoPagado*PréstamoPagado,Capital,""), "")</f>
        <v/>
      </c>
      <c r="G142" s="97" t="str">
        <f ca="1">IFERROR(IF(PréstamoNoPagado*PréstamoPagado,AmortizaciónInterés,""), "")</f>
        <v/>
      </c>
      <c r="H142" s="97" t="str">
        <f ca="1">IFERROR(IF(PréstamoNoPagado*PréstamoPagado,SaldoFinal,""), "")</f>
        <v/>
      </c>
    </row>
    <row r="143" spans="2:8" ht="20.100000000000001" customHeight="1" x14ac:dyDescent="0.3">
      <c r="B143" s="105" t="str">
        <f ca="1">IFERROR(IF(PréstamoNoPagado*PréstamoPagado,NúmeroDePago,""), "")</f>
        <v/>
      </c>
      <c r="C143" s="96" t="str">
        <f ca="1">IFERROR(IF(PréstamoNoPagado*PréstamoPagado,FechaDePago,""), "")</f>
        <v/>
      </c>
      <c r="D143" s="97" t="str">
        <f ca="1">IFERROR(IF(PréstamoNoPagado*PréstamoPagado,ValorPréstamo,""), "")</f>
        <v/>
      </c>
      <c r="E143" s="97" t="str">
        <f ca="1">IFERROR(IF(PréstamoNoPagado*PréstamoPagado,PagoMensual,""), "")</f>
        <v/>
      </c>
      <c r="F143" s="97" t="str">
        <f ca="1">IFERROR(IF(PréstamoNoPagado*PréstamoPagado,Capital,""), "")</f>
        <v/>
      </c>
      <c r="G143" s="97" t="str">
        <f ca="1">IFERROR(IF(PréstamoNoPagado*PréstamoPagado,AmortizaciónInterés,""), "")</f>
        <v/>
      </c>
      <c r="H143" s="97" t="str">
        <f ca="1">IFERROR(IF(PréstamoNoPagado*PréstamoPagado,SaldoFinal,""), "")</f>
        <v/>
      </c>
    </row>
    <row r="144" spans="2:8" ht="20.100000000000001" customHeight="1" x14ac:dyDescent="0.3">
      <c r="B144" s="105" t="str">
        <f ca="1">IFERROR(IF(PréstamoNoPagado*PréstamoPagado,NúmeroDePago,""), "")</f>
        <v/>
      </c>
      <c r="C144" s="96" t="str">
        <f ca="1">IFERROR(IF(PréstamoNoPagado*PréstamoPagado,FechaDePago,""), "")</f>
        <v/>
      </c>
      <c r="D144" s="97" t="str">
        <f ca="1">IFERROR(IF(PréstamoNoPagado*PréstamoPagado,ValorPréstamo,""), "")</f>
        <v/>
      </c>
      <c r="E144" s="97" t="str">
        <f ca="1">IFERROR(IF(PréstamoNoPagado*PréstamoPagado,PagoMensual,""), "")</f>
        <v/>
      </c>
      <c r="F144" s="97" t="str">
        <f ca="1">IFERROR(IF(PréstamoNoPagado*PréstamoPagado,Capital,""), "")</f>
        <v/>
      </c>
      <c r="G144" s="97" t="str">
        <f ca="1">IFERROR(IF(PréstamoNoPagado*PréstamoPagado,AmortizaciónInterés,""), "")</f>
        <v/>
      </c>
      <c r="H144" s="97" t="str">
        <f ca="1">IFERROR(IF(PréstamoNoPagado*PréstamoPagado,SaldoFinal,""), "")</f>
        <v/>
      </c>
    </row>
    <row r="145" spans="2:8" ht="20.100000000000001" customHeight="1" x14ac:dyDescent="0.3">
      <c r="B145" s="105" t="str">
        <f ca="1">IFERROR(IF(PréstamoNoPagado*PréstamoPagado,NúmeroDePago,""), "")</f>
        <v/>
      </c>
      <c r="C145" s="96" t="str">
        <f ca="1">IFERROR(IF(PréstamoNoPagado*PréstamoPagado,FechaDePago,""), "")</f>
        <v/>
      </c>
      <c r="D145" s="97" t="str">
        <f ca="1">IFERROR(IF(PréstamoNoPagado*PréstamoPagado,ValorPréstamo,""), "")</f>
        <v/>
      </c>
      <c r="E145" s="97" t="str">
        <f ca="1">IFERROR(IF(PréstamoNoPagado*PréstamoPagado,PagoMensual,""), "")</f>
        <v/>
      </c>
      <c r="F145" s="97" t="str">
        <f ca="1">IFERROR(IF(PréstamoNoPagado*PréstamoPagado,Capital,""), "")</f>
        <v/>
      </c>
      <c r="G145" s="97" t="str">
        <f ca="1">IFERROR(IF(PréstamoNoPagado*PréstamoPagado,AmortizaciónInterés,""), "")</f>
        <v/>
      </c>
      <c r="H145" s="97" t="str">
        <f ca="1">IFERROR(IF(PréstamoNoPagado*PréstamoPagado,SaldoFinal,""), "")</f>
        <v/>
      </c>
    </row>
    <row r="146" spans="2:8" ht="20.100000000000001" customHeight="1" x14ac:dyDescent="0.3">
      <c r="B146" s="105" t="str">
        <f ca="1">IFERROR(IF(PréstamoNoPagado*PréstamoPagado,NúmeroDePago,""), "")</f>
        <v/>
      </c>
      <c r="C146" s="96" t="str">
        <f ca="1">IFERROR(IF(PréstamoNoPagado*PréstamoPagado,FechaDePago,""), "")</f>
        <v/>
      </c>
      <c r="D146" s="97" t="str">
        <f ca="1">IFERROR(IF(PréstamoNoPagado*PréstamoPagado,ValorPréstamo,""), "")</f>
        <v/>
      </c>
      <c r="E146" s="97" t="str">
        <f ca="1">IFERROR(IF(PréstamoNoPagado*PréstamoPagado,PagoMensual,""), "")</f>
        <v/>
      </c>
      <c r="F146" s="97" t="str">
        <f ca="1">IFERROR(IF(PréstamoNoPagado*PréstamoPagado,Capital,""), "")</f>
        <v/>
      </c>
      <c r="G146" s="97" t="str">
        <f ca="1">IFERROR(IF(PréstamoNoPagado*PréstamoPagado,AmortizaciónInterés,""), "")</f>
        <v/>
      </c>
      <c r="H146" s="97" t="str">
        <f ca="1">IFERROR(IF(PréstamoNoPagado*PréstamoPagado,SaldoFinal,""), "")</f>
        <v/>
      </c>
    </row>
    <row r="147" spans="2:8" ht="20.100000000000001" customHeight="1" x14ac:dyDescent="0.3">
      <c r="B147" s="105" t="str">
        <f ca="1">IFERROR(IF(PréstamoNoPagado*PréstamoPagado,NúmeroDePago,""), "")</f>
        <v/>
      </c>
      <c r="C147" s="96" t="str">
        <f ca="1">IFERROR(IF(PréstamoNoPagado*PréstamoPagado,FechaDePago,""), "")</f>
        <v/>
      </c>
      <c r="D147" s="97" t="str">
        <f ca="1">IFERROR(IF(PréstamoNoPagado*PréstamoPagado,ValorPréstamo,""), "")</f>
        <v/>
      </c>
      <c r="E147" s="97" t="str">
        <f ca="1">IFERROR(IF(PréstamoNoPagado*PréstamoPagado,PagoMensual,""), "")</f>
        <v/>
      </c>
      <c r="F147" s="97" t="str">
        <f ca="1">IFERROR(IF(PréstamoNoPagado*PréstamoPagado,Capital,""), "")</f>
        <v/>
      </c>
      <c r="G147" s="97" t="str">
        <f ca="1">IFERROR(IF(PréstamoNoPagado*PréstamoPagado,AmortizaciónInterés,""), "")</f>
        <v/>
      </c>
      <c r="H147" s="97" t="str">
        <f ca="1">IFERROR(IF(PréstamoNoPagado*PréstamoPagado,SaldoFinal,""), "")</f>
        <v/>
      </c>
    </row>
    <row r="148" spans="2:8" ht="20.100000000000001" customHeight="1" x14ac:dyDescent="0.3">
      <c r="B148" s="105" t="str">
        <f ca="1">IFERROR(IF(PréstamoNoPagado*PréstamoPagado,NúmeroDePago,""), "")</f>
        <v/>
      </c>
      <c r="C148" s="96" t="str">
        <f ca="1">IFERROR(IF(PréstamoNoPagado*PréstamoPagado,FechaDePago,""), "")</f>
        <v/>
      </c>
      <c r="D148" s="97" t="str">
        <f ca="1">IFERROR(IF(PréstamoNoPagado*PréstamoPagado,ValorPréstamo,""), "")</f>
        <v/>
      </c>
      <c r="E148" s="97" t="str">
        <f ca="1">IFERROR(IF(PréstamoNoPagado*PréstamoPagado,PagoMensual,""), "")</f>
        <v/>
      </c>
      <c r="F148" s="97" t="str">
        <f ca="1">IFERROR(IF(PréstamoNoPagado*PréstamoPagado,Capital,""), "")</f>
        <v/>
      </c>
      <c r="G148" s="97" t="str">
        <f ca="1">IFERROR(IF(PréstamoNoPagado*PréstamoPagado,AmortizaciónInterés,""), "")</f>
        <v/>
      </c>
      <c r="H148" s="97" t="str">
        <f ca="1">IFERROR(IF(PréstamoNoPagado*PréstamoPagado,SaldoFinal,""), "")</f>
        <v/>
      </c>
    </row>
    <row r="149" spans="2:8" ht="20.100000000000001" customHeight="1" x14ac:dyDescent="0.3">
      <c r="B149" s="105" t="str">
        <f ca="1">IFERROR(IF(PréstamoNoPagado*PréstamoPagado,NúmeroDePago,""), "")</f>
        <v/>
      </c>
      <c r="C149" s="96" t="str">
        <f ca="1">IFERROR(IF(PréstamoNoPagado*PréstamoPagado,FechaDePago,""), "")</f>
        <v/>
      </c>
      <c r="D149" s="97" t="str">
        <f ca="1">IFERROR(IF(PréstamoNoPagado*PréstamoPagado,ValorPréstamo,""), "")</f>
        <v/>
      </c>
      <c r="E149" s="97" t="str">
        <f ca="1">IFERROR(IF(PréstamoNoPagado*PréstamoPagado,PagoMensual,""), "")</f>
        <v/>
      </c>
      <c r="F149" s="97" t="str">
        <f ca="1">IFERROR(IF(PréstamoNoPagado*PréstamoPagado,Capital,""), "")</f>
        <v/>
      </c>
      <c r="G149" s="97" t="str">
        <f ca="1">IFERROR(IF(PréstamoNoPagado*PréstamoPagado,AmortizaciónInterés,""), "")</f>
        <v/>
      </c>
      <c r="H149" s="97" t="str">
        <f ca="1">IFERROR(IF(PréstamoNoPagado*PréstamoPagado,SaldoFinal,""), "")</f>
        <v/>
      </c>
    </row>
    <row r="150" spans="2:8" ht="20.100000000000001" customHeight="1" x14ac:dyDescent="0.3">
      <c r="B150" s="105" t="str">
        <f ca="1">IFERROR(IF(PréstamoNoPagado*PréstamoPagado,NúmeroDePago,""), "")</f>
        <v/>
      </c>
      <c r="C150" s="96" t="str">
        <f ca="1">IFERROR(IF(PréstamoNoPagado*PréstamoPagado,FechaDePago,""), "")</f>
        <v/>
      </c>
      <c r="D150" s="97" t="str">
        <f ca="1">IFERROR(IF(PréstamoNoPagado*PréstamoPagado,ValorPréstamo,""), "")</f>
        <v/>
      </c>
      <c r="E150" s="97" t="str">
        <f ca="1">IFERROR(IF(PréstamoNoPagado*PréstamoPagado,PagoMensual,""), "")</f>
        <v/>
      </c>
      <c r="F150" s="97" t="str">
        <f ca="1">IFERROR(IF(PréstamoNoPagado*PréstamoPagado,Capital,""), "")</f>
        <v/>
      </c>
      <c r="G150" s="97" t="str">
        <f ca="1">IFERROR(IF(PréstamoNoPagado*PréstamoPagado,AmortizaciónInterés,""), "")</f>
        <v/>
      </c>
      <c r="H150" s="97" t="str">
        <f ca="1">IFERROR(IF(PréstamoNoPagado*PréstamoPagado,SaldoFinal,""), "")</f>
        <v/>
      </c>
    </row>
    <row r="151" spans="2:8" ht="20.100000000000001" customHeight="1" x14ac:dyDescent="0.3">
      <c r="B151" s="105" t="str">
        <f ca="1">IFERROR(IF(PréstamoNoPagado*PréstamoPagado,NúmeroDePago,""), "")</f>
        <v/>
      </c>
      <c r="C151" s="96" t="str">
        <f ca="1">IFERROR(IF(PréstamoNoPagado*PréstamoPagado,FechaDePago,""), "")</f>
        <v/>
      </c>
      <c r="D151" s="97" t="str">
        <f ca="1">IFERROR(IF(PréstamoNoPagado*PréstamoPagado,ValorPréstamo,""), "")</f>
        <v/>
      </c>
      <c r="E151" s="97" t="str">
        <f ca="1">IFERROR(IF(PréstamoNoPagado*PréstamoPagado,PagoMensual,""), "")</f>
        <v/>
      </c>
      <c r="F151" s="97" t="str">
        <f ca="1">IFERROR(IF(PréstamoNoPagado*PréstamoPagado,Capital,""), "")</f>
        <v/>
      </c>
      <c r="G151" s="97" t="str">
        <f ca="1">IFERROR(IF(PréstamoNoPagado*PréstamoPagado,AmortizaciónInterés,""), "")</f>
        <v/>
      </c>
      <c r="H151" s="97" t="str">
        <f ca="1">IFERROR(IF(PréstamoNoPagado*PréstamoPagado,SaldoFinal,""), "")</f>
        <v/>
      </c>
    </row>
    <row r="152" spans="2:8" ht="20.100000000000001" customHeight="1" x14ac:dyDescent="0.3">
      <c r="B152" s="105" t="str">
        <f ca="1">IFERROR(IF(PréstamoNoPagado*PréstamoPagado,NúmeroDePago,""), "")</f>
        <v/>
      </c>
      <c r="C152" s="96" t="str">
        <f ca="1">IFERROR(IF(PréstamoNoPagado*PréstamoPagado,FechaDePago,""), "")</f>
        <v/>
      </c>
      <c r="D152" s="97" t="str">
        <f ca="1">IFERROR(IF(PréstamoNoPagado*PréstamoPagado,ValorPréstamo,""), "")</f>
        <v/>
      </c>
      <c r="E152" s="97" t="str">
        <f ca="1">IFERROR(IF(PréstamoNoPagado*PréstamoPagado,PagoMensual,""), "")</f>
        <v/>
      </c>
      <c r="F152" s="97" t="str">
        <f ca="1">IFERROR(IF(PréstamoNoPagado*PréstamoPagado,Capital,""), "")</f>
        <v/>
      </c>
      <c r="G152" s="97" t="str">
        <f ca="1">IFERROR(IF(PréstamoNoPagado*PréstamoPagado,AmortizaciónInterés,""), "")</f>
        <v/>
      </c>
      <c r="H152" s="97" t="str">
        <f ca="1">IFERROR(IF(PréstamoNoPagado*PréstamoPagado,SaldoFinal,""), "")</f>
        <v/>
      </c>
    </row>
    <row r="153" spans="2:8" ht="20.100000000000001" customHeight="1" x14ac:dyDescent="0.3">
      <c r="B153" s="105" t="str">
        <f ca="1">IFERROR(IF(PréstamoNoPagado*PréstamoPagado,NúmeroDePago,""), "")</f>
        <v/>
      </c>
      <c r="C153" s="96" t="str">
        <f ca="1">IFERROR(IF(PréstamoNoPagado*PréstamoPagado,FechaDePago,""), "")</f>
        <v/>
      </c>
      <c r="D153" s="97" t="str">
        <f ca="1">IFERROR(IF(PréstamoNoPagado*PréstamoPagado,ValorPréstamo,""), "")</f>
        <v/>
      </c>
      <c r="E153" s="97" t="str">
        <f ca="1">IFERROR(IF(PréstamoNoPagado*PréstamoPagado,PagoMensual,""), "")</f>
        <v/>
      </c>
      <c r="F153" s="97" t="str">
        <f ca="1">IFERROR(IF(PréstamoNoPagado*PréstamoPagado,Capital,""), "")</f>
        <v/>
      </c>
      <c r="G153" s="97" t="str">
        <f ca="1">IFERROR(IF(PréstamoNoPagado*PréstamoPagado,AmortizaciónInterés,""), "")</f>
        <v/>
      </c>
      <c r="H153" s="97" t="str">
        <f ca="1">IFERROR(IF(PréstamoNoPagado*PréstamoPagado,SaldoFinal,""), "")</f>
        <v/>
      </c>
    </row>
    <row r="154" spans="2:8" ht="20.100000000000001" customHeight="1" x14ac:dyDescent="0.3">
      <c r="B154" s="105" t="str">
        <f ca="1">IFERROR(IF(PréstamoNoPagado*PréstamoPagado,NúmeroDePago,""), "")</f>
        <v/>
      </c>
      <c r="C154" s="96" t="str">
        <f ca="1">IFERROR(IF(PréstamoNoPagado*PréstamoPagado,FechaDePago,""), "")</f>
        <v/>
      </c>
      <c r="D154" s="97" t="str">
        <f ca="1">IFERROR(IF(PréstamoNoPagado*PréstamoPagado,ValorPréstamo,""), "")</f>
        <v/>
      </c>
      <c r="E154" s="97" t="str">
        <f ca="1">IFERROR(IF(PréstamoNoPagado*PréstamoPagado,PagoMensual,""), "")</f>
        <v/>
      </c>
      <c r="F154" s="97" t="str">
        <f ca="1">IFERROR(IF(PréstamoNoPagado*PréstamoPagado,Capital,""), "")</f>
        <v/>
      </c>
      <c r="G154" s="97" t="str">
        <f ca="1">IFERROR(IF(PréstamoNoPagado*PréstamoPagado,AmortizaciónInterés,""), "")</f>
        <v/>
      </c>
      <c r="H154" s="97" t="str">
        <f ca="1">IFERROR(IF(PréstamoNoPagado*PréstamoPagado,SaldoFinal,""), "")</f>
        <v/>
      </c>
    </row>
    <row r="155" spans="2:8" ht="20.100000000000001" customHeight="1" x14ac:dyDescent="0.3">
      <c r="B155" s="105" t="str">
        <f ca="1">IFERROR(IF(PréstamoNoPagado*PréstamoPagado,NúmeroDePago,""), "")</f>
        <v/>
      </c>
      <c r="C155" s="96" t="str">
        <f ca="1">IFERROR(IF(PréstamoNoPagado*PréstamoPagado,FechaDePago,""), "")</f>
        <v/>
      </c>
      <c r="D155" s="97" t="str">
        <f ca="1">IFERROR(IF(PréstamoNoPagado*PréstamoPagado,ValorPréstamo,""), "")</f>
        <v/>
      </c>
      <c r="E155" s="97" t="str">
        <f ca="1">IFERROR(IF(PréstamoNoPagado*PréstamoPagado,PagoMensual,""), "")</f>
        <v/>
      </c>
      <c r="F155" s="97" t="str">
        <f ca="1">IFERROR(IF(PréstamoNoPagado*PréstamoPagado,Capital,""), "")</f>
        <v/>
      </c>
      <c r="G155" s="97" t="str">
        <f ca="1">IFERROR(IF(PréstamoNoPagado*PréstamoPagado,AmortizaciónInterés,""), "")</f>
        <v/>
      </c>
      <c r="H155" s="97" t="str">
        <f ca="1">IFERROR(IF(PréstamoNoPagado*PréstamoPagado,SaldoFinal,""), "")</f>
        <v/>
      </c>
    </row>
    <row r="156" spans="2:8" ht="20.100000000000001" customHeight="1" x14ac:dyDescent="0.3">
      <c r="B156" s="105" t="str">
        <f ca="1">IFERROR(IF(PréstamoNoPagado*PréstamoPagado,NúmeroDePago,""), "")</f>
        <v/>
      </c>
      <c r="C156" s="96" t="str">
        <f ca="1">IFERROR(IF(PréstamoNoPagado*PréstamoPagado,FechaDePago,""), "")</f>
        <v/>
      </c>
      <c r="D156" s="97" t="str">
        <f ca="1">IFERROR(IF(PréstamoNoPagado*PréstamoPagado,ValorPréstamo,""), "")</f>
        <v/>
      </c>
      <c r="E156" s="97" t="str">
        <f ca="1">IFERROR(IF(PréstamoNoPagado*PréstamoPagado,PagoMensual,""), "")</f>
        <v/>
      </c>
      <c r="F156" s="97" t="str">
        <f ca="1">IFERROR(IF(PréstamoNoPagado*PréstamoPagado,Capital,""), "")</f>
        <v/>
      </c>
      <c r="G156" s="97" t="str">
        <f ca="1">IFERROR(IF(PréstamoNoPagado*PréstamoPagado,AmortizaciónInterés,""), "")</f>
        <v/>
      </c>
      <c r="H156" s="97" t="str">
        <f ca="1">IFERROR(IF(PréstamoNoPagado*PréstamoPagado,SaldoFinal,""), "")</f>
        <v/>
      </c>
    </row>
    <row r="157" spans="2:8" ht="20.100000000000001" customHeight="1" x14ac:dyDescent="0.3">
      <c r="B157" s="105" t="str">
        <f ca="1">IFERROR(IF(PréstamoNoPagado*PréstamoPagado,NúmeroDePago,""), "")</f>
        <v/>
      </c>
      <c r="C157" s="96" t="str">
        <f ca="1">IFERROR(IF(PréstamoNoPagado*PréstamoPagado,FechaDePago,""), "")</f>
        <v/>
      </c>
      <c r="D157" s="97" t="str">
        <f ca="1">IFERROR(IF(PréstamoNoPagado*PréstamoPagado,ValorPréstamo,""), "")</f>
        <v/>
      </c>
      <c r="E157" s="97" t="str">
        <f ca="1">IFERROR(IF(PréstamoNoPagado*PréstamoPagado,PagoMensual,""), "")</f>
        <v/>
      </c>
      <c r="F157" s="97" t="str">
        <f ca="1">IFERROR(IF(PréstamoNoPagado*PréstamoPagado,Capital,""), "")</f>
        <v/>
      </c>
      <c r="G157" s="97" t="str">
        <f ca="1">IFERROR(IF(PréstamoNoPagado*PréstamoPagado,AmortizaciónInterés,""), "")</f>
        <v/>
      </c>
      <c r="H157" s="97" t="str">
        <f ca="1">IFERROR(IF(PréstamoNoPagado*PréstamoPagado,SaldoFinal,""), "")</f>
        <v/>
      </c>
    </row>
    <row r="158" spans="2:8" ht="20.100000000000001" customHeight="1" x14ac:dyDescent="0.3">
      <c r="B158" s="105" t="str">
        <f ca="1">IFERROR(IF(PréstamoNoPagado*PréstamoPagado,NúmeroDePago,""), "")</f>
        <v/>
      </c>
      <c r="C158" s="96" t="str">
        <f ca="1">IFERROR(IF(PréstamoNoPagado*PréstamoPagado,FechaDePago,""), "")</f>
        <v/>
      </c>
      <c r="D158" s="97" t="str">
        <f ca="1">IFERROR(IF(PréstamoNoPagado*PréstamoPagado,ValorPréstamo,""), "")</f>
        <v/>
      </c>
      <c r="E158" s="97" t="str">
        <f ca="1">IFERROR(IF(PréstamoNoPagado*PréstamoPagado,PagoMensual,""), "")</f>
        <v/>
      </c>
      <c r="F158" s="97" t="str">
        <f ca="1">IFERROR(IF(PréstamoNoPagado*PréstamoPagado,Capital,""), "")</f>
        <v/>
      </c>
      <c r="G158" s="97" t="str">
        <f ca="1">IFERROR(IF(PréstamoNoPagado*PréstamoPagado,AmortizaciónInterés,""), "")</f>
        <v/>
      </c>
      <c r="H158" s="97" t="str">
        <f ca="1">IFERROR(IF(PréstamoNoPagado*PréstamoPagado,SaldoFinal,""), "")</f>
        <v/>
      </c>
    </row>
    <row r="159" spans="2:8" ht="20.100000000000001" customHeight="1" x14ac:dyDescent="0.3">
      <c r="B159" s="105" t="str">
        <f ca="1">IFERROR(IF(PréstamoNoPagado*PréstamoPagado,NúmeroDePago,""), "")</f>
        <v/>
      </c>
      <c r="C159" s="96" t="str">
        <f ca="1">IFERROR(IF(PréstamoNoPagado*PréstamoPagado,FechaDePago,""), "")</f>
        <v/>
      </c>
      <c r="D159" s="97" t="str">
        <f ca="1">IFERROR(IF(PréstamoNoPagado*PréstamoPagado,ValorPréstamo,""), "")</f>
        <v/>
      </c>
      <c r="E159" s="97" t="str">
        <f ca="1">IFERROR(IF(PréstamoNoPagado*PréstamoPagado,PagoMensual,""), "")</f>
        <v/>
      </c>
      <c r="F159" s="97" t="str">
        <f ca="1">IFERROR(IF(PréstamoNoPagado*PréstamoPagado,Capital,""), "")</f>
        <v/>
      </c>
      <c r="G159" s="97" t="str">
        <f ca="1">IFERROR(IF(PréstamoNoPagado*PréstamoPagado,AmortizaciónInterés,""), "")</f>
        <v/>
      </c>
      <c r="H159" s="97" t="str">
        <f ca="1">IFERROR(IF(PréstamoNoPagado*PréstamoPagado,SaldoFinal,""), "")</f>
        <v/>
      </c>
    </row>
    <row r="160" spans="2:8" ht="20.100000000000001" customHeight="1" x14ac:dyDescent="0.3">
      <c r="B160" s="105" t="str">
        <f ca="1">IFERROR(IF(PréstamoNoPagado*PréstamoPagado,NúmeroDePago,""), "")</f>
        <v/>
      </c>
      <c r="C160" s="96" t="str">
        <f ca="1">IFERROR(IF(PréstamoNoPagado*PréstamoPagado,FechaDePago,""), "")</f>
        <v/>
      </c>
      <c r="D160" s="97" t="str">
        <f ca="1">IFERROR(IF(PréstamoNoPagado*PréstamoPagado,ValorPréstamo,""), "")</f>
        <v/>
      </c>
      <c r="E160" s="97" t="str">
        <f ca="1">IFERROR(IF(PréstamoNoPagado*PréstamoPagado,PagoMensual,""), "")</f>
        <v/>
      </c>
      <c r="F160" s="97" t="str">
        <f ca="1">IFERROR(IF(PréstamoNoPagado*PréstamoPagado,Capital,""), "")</f>
        <v/>
      </c>
      <c r="G160" s="97" t="str">
        <f ca="1">IFERROR(IF(PréstamoNoPagado*PréstamoPagado,AmortizaciónInterés,""), "")</f>
        <v/>
      </c>
      <c r="H160" s="97" t="str">
        <f ca="1">IFERROR(IF(PréstamoNoPagado*PréstamoPagado,SaldoFinal,""), "")</f>
        <v/>
      </c>
    </row>
    <row r="161" spans="2:8" ht="20.100000000000001" customHeight="1" x14ac:dyDescent="0.3">
      <c r="B161" s="105" t="str">
        <f ca="1">IFERROR(IF(PréstamoNoPagado*PréstamoPagado,NúmeroDePago,""), "")</f>
        <v/>
      </c>
      <c r="C161" s="96" t="str">
        <f ca="1">IFERROR(IF(PréstamoNoPagado*PréstamoPagado,FechaDePago,""), "")</f>
        <v/>
      </c>
      <c r="D161" s="97" t="str">
        <f ca="1">IFERROR(IF(PréstamoNoPagado*PréstamoPagado,ValorPréstamo,""), "")</f>
        <v/>
      </c>
      <c r="E161" s="97" t="str">
        <f ca="1">IFERROR(IF(PréstamoNoPagado*PréstamoPagado,PagoMensual,""), "")</f>
        <v/>
      </c>
      <c r="F161" s="97" t="str">
        <f ca="1">IFERROR(IF(PréstamoNoPagado*PréstamoPagado,Capital,""), "")</f>
        <v/>
      </c>
      <c r="G161" s="97" t="str">
        <f ca="1">IFERROR(IF(PréstamoNoPagado*PréstamoPagado,AmortizaciónInterés,""), "")</f>
        <v/>
      </c>
      <c r="H161" s="97" t="str">
        <f ca="1">IFERROR(IF(PréstamoNoPagado*PréstamoPagado,SaldoFinal,""), "")</f>
        <v/>
      </c>
    </row>
    <row r="162" spans="2:8" ht="20.100000000000001" customHeight="1" x14ac:dyDescent="0.3">
      <c r="B162" s="105" t="str">
        <f ca="1">IFERROR(IF(PréstamoNoPagado*PréstamoPagado,NúmeroDePago,""), "")</f>
        <v/>
      </c>
      <c r="C162" s="96" t="str">
        <f ca="1">IFERROR(IF(PréstamoNoPagado*PréstamoPagado,FechaDePago,""), "")</f>
        <v/>
      </c>
      <c r="D162" s="97" t="str">
        <f ca="1">IFERROR(IF(PréstamoNoPagado*PréstamoPagado,ValorPréstamo,""), "")</f>
        <v/>
      </c>
      <c r="E162" s="97" t="str">
        <f ca="1">IFERROR(IF(PréstamoNoPagado*PréstamoPagado,PagoMensual,""), "")</f>
        <v/>
      </c>
      <c r="F162" s="97" t="str">
        <f ca="1">IFERROR(IF(PréstamoNoPagado*PréstamoPagado,Capital,""), "")</f>
        <v/>
      </c>
      <c r="G162" s="97" t="str">
        <f ca="1">IFERROR(IF(PréstamoNoPagado*PréstamoPagado,AmortizaciónInterés,""), "")</f>
        <v/>
      </c>
      <c r="H162" s="97" t="str">
        <f ca="1">IFERROR(IF(PréstamoNoPagado*PréstamoPagado,SaldoFinal,""), "")</f>
        <v/>
      </c>
    </row>
    <row r="163" spans="2:8" ht="20.100000000000001" customHeight="1" x14ac:dyDescent="0.3">
      <c r="B163" s="105" t="str">
        <f ca="1">IFERROR(IF(PréstamoNoPagado*PréstamoPagado,NúmeroDePago,""), "")</f>
        <v/>
      </c>
      <c r="C163" s="96" t="str">
        <f ca="1">IFERROR(IF(PréstamoNoPagado*PréstamoPagado,FechaDePago,""), "")</f>
        <v/>
      </c>
      <c r="D163" s="97" t="str">
        <f ca="1">IFERROR(IF(PréstamoNoPagado*PréstamoPagado,ValorPréstamo,""), "")</f>
        <v/>
      </c>
      <c r="E163" s="97" t="str">
        <f ca="1">IFERROR(IF(PréstamoNoPagado*PréstamoPagado,PagoMensual,""), "")</f>
        <v/>
      </c>
      <c r="F163" s="97" t="str">
        <f ca="1">IFERROR(IF(PréstamoNoPagado*PréstamoPagado,Capital,""), "")</f>
        <v/>
      </c>
      <c r="G163" s="97" t="str">
        <f ca="1">IFERROR(IF(PréstamoNoPagado*PréstamoPagado,AmortizaciónInterés,""), "")</f>
        <v/>
      </c>
      <c r="H163" s="97" t="str">
        <f ca="1">IFERROR(IF(PréstamoNoPagado*PréstamoPagado,SaldoFinal,""), "")</f>
        <v/>
      </c>
    </row>
    <row r="164" spans="2:8" ht="20.100000000000001" customHeight="1" x14ac:dyDescent="0.3">
      <c r="B164" s="105" t="str">
        <f ca="1">IFERROR(IF(PréstamoNoPagado*PréstamoPagado,NúmeroDePago,""), "")</f>
        <v/>
      </c>
      <c r="C164" s="96" t="str">
        <f ca="1">IFERROR(IF(PréstamoNoPagado*PréstamoPagado,FechaDePago,""), "")</f>
        <v/>
      </c>
      <c r="D164" s="97" t="str">
        <f ca="1">IFERROR(IF(PréstamoNoPagado*PréstamoPagado,ValorPréstamo,""), "")</f>
        <v/>
      </c>
      <c r="E164" s="97" t="str">
        <f ca="1">IFERROR(IF(PréstamoNoPagado*PréstamoPagado,PagoMensual,""), "")</f>
        <v/>
      </c>
      <c r="F164" s="97" t="str">
        <f ca="1">IFERROR(IF(PréstamoNoPagado*PréstamoPagado,Capital,""), "")</f>
        <v/>
      </c>
      <c r="G164" s="97" t="str">
        <f ca="1">IFERROR(IF(PréstamoNoPagado*PréstamoPagado,AmortizaciónInterés,""), "")</f>
        <v/>
      </c>
      <c r="H164" s="97" t="str">
        <f ca="1">IFERROR(IF(PréstamoNoPagado*PréstamoPagado,SaldoFinal,""), "")</f>
        <v/>
      </c>
    </row>
    <row r="165" spans="2:8" ht="20.100000000000001" customHeight="1" x14ac:dyDescent="0.3">
      <c r="B165" s="105" t="str">
        <f ca="1">IFERROR(IF(PréstamoNoPagado*PréstamoPagado,NúmeroDePago,""), "")</f>
        <v/>
      </c>
      <c r="C165" s="96" t="str">
        <f ca="1">IFERROR(IF(PréstamoNoPagado*PréstamoPagado,FechaDePago,""), "")</f>
        <v/>
      </c>
      <c r="D165" s="97" t="str">
        <f ca="1">IFERROR(IF(PréstamoNoPagado*PréstamoPagado,ValorPréstamo,""), "")</f>
        <v/>
      </c>
      <c r="E165" s="97" t="str">
        <f ca="1">IFERROR(IF(PréstamoNoPagado*PréstamoPagado,PagoMensual,""), "")</f>
        <v/>
      </c>
      <c r="F165" s="97" t="str">
        <f ca="1">IFERROR(IF(PréstamoNoPagado*PréstamoPagado,Capital,""), "")</f>
        <v/>
      </c>
      <c r="G165" s="97" t="str">
        <f ca="1">IFERROR(IF(PréstamoNoPagado*PréstamoPagado,AmortizaciónInterés,""), "")</f>
        <v/>
      </c>
      <c r="H165" s="97" t="str">
        <f ca="1">IFERROR(IF(PréstamoNoPagado*PréstamoPagado,SaldoFinal,""), "")</f>
        <v/>
      </c>
    </row>
    <row r="166" spans="2:8" ht="20.100000000000001" customHeight="1" x14ac:dyDescent="0.3">
      <c r="B166" s="105" t="str">
        <f ca="1">IFERROR(IF(PréstamoNoPagado*PréstamoPagado,NúmeroDePago,""), "")</f>
        <v/>
      </c>
      <c r="C166" s="96" t="str">
        <f ca="1">IFERROR(IF(PréstamoNoPagado*PréstamoPagado,FechaDePago,""), "")</f>
        <v/>
      </c>
      <c r="D166" s="97" t="str">
        <f ca="1">IFERROR(IF(PréstamoNoPagado*PréstamoPagado,ValorPréstamo,""), "")</f>
        <v/>
      </c>
      <c r="E166" s="97" t="str">
        <f ca="1">IFERROR(IF(PréstamoNoPagado*PréstamoPagado,PagoMensual,""), "")</f>
        <v/>
      </c>
      <c r="F166" s="97" t="str">
        <f ca="1">IFERROR(IF(PréstamoNoPagado*PréstamoPagado,Capital,""), "")</f>
        <v/>
      </c>
      <c r="G166" s="97" t="str">
        <f ca="1">IFERROR(IF(PréstamoNoPagado*PréstamoPagado,AmortizaciónInterés,""), "")</f>
        <v/>
      </c>
      <c r="H166" s="97" t="str">
        <f ca="1">IFERROR(IF(PréstamoNoPagado*PréstamoPagado,SaldoFinal,""), "")</f>
        <v/>
      </c>
    </row>
    <row r="167" spans="2:8" ht="20.100000000000001" customHeight="1" x14ac:dyDescent="0.3">
      <c r="B167" s="105" t="str">
        <f ca="1">IFERROR(IF(PréstamoNoPagado*PréstamoPagado,NúmeroDePago,""), "")</f>
        <v/>
      </c>
      <c r="C167" s="96" t="str">
        <f ca="1">IFERROR(IF(PréstamoNoPagado*PréstamoPagado,FechaDePago,""), "")</f>
        <v/>
      </c>
      <c r="D167" s="97" t="str">
        <f ca="1">IFERROR(IF(PréstamoNoPagado*PréstamoPagado,ValorPréstamo,""), "")</f>
        <v/>
      </c>
      <c r="E167" s="97" t="str">
        <f ca="1">IFERROR(IF(PréstamoNoPagado*PréstamoPagado,PagoMensual,""), "")</f>
        <v/>
      </c>
      <c r="F167" s="97" t="str">
        <f ca="1">IFERROR(IF(PréstamoNoPagado*PréstamoPagado,Capital,""), "")</f>
        <v/>
      </c>
      <c r="G167" s="97" t="str">
        <f ca="1">IFERROR(IF(PréstamoNoPagado*PréstamoPagado,AmortizaciónInterés,""), "")</f>
        <v/>
      </c>
      <c r="H167" s="97" t="str">
        <f ca="1">IFERROR(IF(PréstamoNoPagado*PréstamoPagado,SaldoFinal,""), "")</f>
        <v/>
      </c>
    </row>
    <row r="168" spans="2:8" ht="20.100000000000001" customHeight="1" x14ac:dyDescent="0.3">
      <c r="B168" s="105" t="str">
        <f ca="1">IFERROR(IF(PréstamoNoPagado*PréstamoPagado,NúmeroDePago,""), "")</f>
        <v/>
      </c>
      <c r="C168" s="96" t="str">
        <f ca="1">IFERROR(IF(PréstamoNoPagado*PréstamoPagado,FechaDePago,""), "")</f>
        <v/>
      </c>
      <c r="D168" s="97" t="str">
        <f ca="1">IFERROR(IF(PréstamoNoPagado*PréstamoPagado,ValorPréstamo,""), "")</f>
        <v/>
      </c>
      <c r="E168" s="97" t="str">
        <f ca="1">IFERROR(IF(PréstamoNoPagado*PréstamoPagado,PagoMensual,""), "")</f>
        <v/>
      </c>
      <c r="F168" s="97" t="str">
        <f ca="1">IFERROR(IF(PréstamoNoPagado*PréstamoPagado,Capital,""), "")</f>
        <v/>
      </c>
      <c r="G168" s="97" t="str">
        <f ca="1">IFERROR(IF(PréstamoNoPagado*PréstamoPagado,AmortizaciónInterés,""), "")</f>
        <v/>
      </c>
      <c r="H168" s="97" t="str">
        <f ca="1">IFERROR(IF(PréstamoNoPagado*PréstamoPagado,SaldoFinal,""), "")</f>
        <v/>
      </c>
    </row>
    <row r="169" spans="2:8" ht="20.100000000000001" customHeight="1" x14ac:dyDescent="0.3">
      <c r="B169" s="105" t="str">
        <f ca="1">IFERROR(IF(PréstamoNoPagado*PréstamoPagado,NúmeroDePago,""), "")</f>
        <v/>
      </c>
      <c r="C169" s="96" t="str">
        <f ca="1">IFERROR(IF(PréstamoNoPagado*PréstamoPagado,FechaDePago,""), "")</f>
        <v/>
      </c>
      <c r="D169" s="97" t="str">
        <f ca="1">IFERROR(IF(PréstamoNoPagado*PréstamoPagado,ValorPréstamo,""), "")</f>
        <v/>
      </c>
      <c r="E169" s="97" t="str">
        <f ca="1">IFERROR(IF(PréstamoNoPagado*PréstamoPagado,PagoMensual,""), "")</f>
        <v/>
      </c>
      <c r="F169" s="97" t="str">
        <f ca="1">IFERROR(IF(PréstamoNoPagado*PréstamoPagado,Capital,""), "")</f>
        <v/>
      </c>
      <c r="G169" s="97" t="str">
        <f ca="1">IFERROR(IF(PréstamoNoPagado*PréstamoPagado,AmortizaciónInterés,""), "")</f>
        <v/>
      </c>
      <c r="H169" s="97" t="str">
        <f ca="1">IFERROR(IF(PréstamoNoPagado*PréstamoPagado,SaldoFinal,""), "")</f>
        <v/>
      </c>
    </row>
    <row r="170" spans="2:8" ht="20.100000000000001" customHeight="1" x14ac:dyDescent="0.3">
      <c r="B170" s="105" t="str">
        <f ca="1">IFERROR(IF(PréstamoNoPagado*PréstamoPagado,NúmeroDePago,""), "")</f>
        <v/>
      </c>
      <c r="C170" s="96" t="str">
        <f ca="1">IFERROR(IF(PréstamoNoPagado*PréstamoPagado,FechaDePago,""), "")</f>
        <v/>
      </c>
      <c r="D170" s="97" t="str">
        <f ca="1">IFERROR(IF(PréstamoNoPagado*PréstamoPagado,ValorPréstamo,""), "")</f>
        <v/>
      </c>
      <c r="E170" s="97" t="str">
        <f ca="1">IFERROR(IF(PréstamoNoPagado*PréstamoPagado,PagoMensual,""), "")</f>
        <v/>
      </c>
      <c r="F170" s="97" t="str">
        <f ca="1">IFERROR(IF(PréstamoNoPagado*PréstamoPagado,Capital,""), "")</f>
        <v/>
      </c>
      <c r="G170" s="97" t="str">
        <f ca="1">IFERROR(IF(PréstamoNoPagado*PréstamoPagado,AmortizaciónInterés,""), "")</f>
        <v/>
      </c>
      <c r="H170" s="97" t="str">
        <f ca="1">IFERROR(IF(PréstamoNoPagado*PréstamoPagado,SaldoFinal,""), "")</f>
        <v/>
      </c>
    </row>
    <row r="171" spans="2:8" ht="20.100000000000001" customHeight="1" x14ac:dyDescent="0.3">
      <c r="B171" s="105" t="str">
        <f ca="1">IFERROR(IF(PréstamoNoPagado*PréstamoPagado,NúmeroDePago,""), "")</f>
        <v/>
      </c>
      <c r="C171" s="96" t="str">
        <f ca="1">IFERROR(IF(PréstamoNoPagado*PréstamoPagado,FechaDePago,""), "")</f>
        <v/>
      </c>
      <c r="D171" s="97" t="str">
        <f ca="1">IFERROR(IF(PréstamoNoPagado*PréstamoPagado,ValorPréstamo,""), "")</f>
        <v/>
      </c>
      <c r="E171" s="97" t="str">
        <f ca="1">IFERROR(IF(PréstamoNoPagado*PréstamoPagado,PagoMensual,""), "")</f>
        <v/>
      </c>
      <c r="F171" s="97" t="str">
        <f ca="1">IFERROR(IF(PréstamoNoPagado*PréstamoPagado,Capital,""), "")</f>
        <v/>
      </c>
      <c r="G171" s="97" t="str">
        <f ca="1">IFERROR(IF(PréstamoNoPagado*PréstamoPagado,AmortizaciónInterés,""), "")</f>
        <v/>
      </c>
      <c r="H171" s="97" t="str">
        <f ca="1">IFERROR(IF(PréstamoNoPagado*PréstamoPagado,SaldoFinal,""), "")</f>
        <v/>
      </c>
    </row>
    <row r="172" spans="2:8" ht="20.100000000000001" customHeight="1" x14ac:dyDescent="0.3">
      <c r="B172" s="105" t="str">
        <f ca="1">IFERROR(IF(PréstamoNoPagado*PréstamoPagado,NúmeroDePago,""), "")</f>
        <v/>
      </c>
      <c r="C172" s="96" t="str">
        <f ca="1">IFERROR(IF(PréstamoNoPagado*PréstamoPagado,FechaDePago,""), "")</f>
        <v/>
      </c>
      <c r="D172" s="97" t="str">
        <f ca="1">IFERROR(IF(PréstamoNoPagado*PréstamoPagado,ValorPréstamo,""), "")</f>
        <v/>
      </c>
      <c r="E172" s="97" t="str">
        <f ca="1">IFERROR(IF(PréstamoNoPagado*PréstamoPagado,PagoMensual,""), "")</f>
        <v/>
      </c>
      <c r="F172" s="97" t="str">
        <f ca="1">IFERROR(IF(PréstamoNoPagado*PréstamoPagado,Capital,""), "")</f>
        <v/>
      </c>
      <c r="G172" s="97" t="str">
        <f ca="1">IFERROR(IF(PréstamoNoPagado*PréstamoPagado,AmortizaciónInterés,""), "")</f>
        <v/>
      </c>
      <c r="H172" s="97" t="str">
        <f ca="1">IFERROR(IF(PréstamoNoPagado*PréstamoPagado,SaldoFinal,""), "")</f>
        <v/>
      </c>
    </row>
    <row r="173" spans="2:8" ht="20.100000000000001" customHeight="1" x14ac:dyDescent="0.3">
      <c r="B173" s="105" t="str">
        <f ca="1">IFERROR(IF(PréstamoNoPagado*PréstamoPagado,NúmeroDePago,""), "")</f>
        <v/>
      </c>
      <c r="C173" s="96" t="str">
        <f ca="1">IFERROR(IF(PréstamoNoPagado*PréstamoPagado,FechaDePago,""), "")</f>
        <v/>
      </c>
      <c r="D173" s="97" t="str">
        <f ca="1">IFERROR(IF(PréstamoNoPagado*PréstamoPagado,ValorPréstamo,""), "")</f>
        <v/>
      </c>
      <c r="E173" s="97" t="str">
        <f ca="1">IFERROR(IF(PréstamoNoPagado*PréstamoPagado,PagoMensual,""), "")</f>
        <v/>
      </c>
      <c r="F173" s="97" t="str">
        <f ca="1">IFERROR(IF(PréstamoNoPagado*PréstamoPagado,Capital,""), "")</f>
        <v/>
      </c>
      <c r="G173" s="97" t="str">
        <f ca="1">IFERROR(IF(PréstamoNoPagado*PréstamoPagado,AmortizaciónInterés,""), "")</f>
        <v/>
      </c>
      <c r="H173" s="97" t="str">
        <f ca="1">IFERROR(IF(PréstamoNoPagado*PréstamoPagado,SaldoFinal,""), "")</f>
        <v/>
      </c>
    </row>
    <row r="174" spans="2:8" ht="20.100000000000001" customHeight="1" x14ac:dyDescent="0.3">
      <c r="B174" s="105" t="str">
        <f ca="1">IFERROR(IF(PréstamoNoPagado*PréstamoPagado,NúmeroDePago,""), "")</f>
        <v/>
      </c>
      <c r="C174" s="96" t="str">
        <f ca="1">IFERROR(IF(PréstamoNoPagado*PréstamoPagado,FechaDePago,""), "")</f>
        <v/>
      </c>
      <c r="D174" s="97" t="str">
        <f ca="1">IFERROR(IF(PréstamoNoPagado*PréstamoPagado,ValorPréstamo,""), "")</f>
        <v/>
      </c>
      <c r="E174" s="97" t="str">
        <f ca="1">IFERROR(IF(PréstamoNoPagado*PréstamoPagado,PagoMensual,""), "")</f>
        <v/>
      </c>
      <c r="F174" s="97" t="str">
        <f ca="1">IFERROR(IF(PréstamoNoPagado*PréstamoPagado,Capital,""), "")</f>
        <v/>
      </c>
      <c r="G174" s="97" t="str">
        <f ca="1">IFERROR(IF(PréstamoNoPagado*PréstamoPagado,AmortizaciónInterés,""), "")</f>
        <v/>
      </c>
      <c r="H174" s="97" t="str">
        <f ca="1">IFERROR(IF(PréstamoNoPagado*PréstamoPagado,SaldoFinal,""), "")</f>
        <v/>
      </c>
    </row>
    <row r="175" spans="2:8" ht="20.100000000000001" customHeight="1" x14ac:dyDescent="0.3">
      <c r="B175" s="105" t="str">
        <f ca="1">IFERROR(IF(PréstamoNoPagado*PréstamoPagado,NúmeroDePago,""), "")</f>
        <v/>
      </c>
      <c r="C175" s="96" t="str">
        <f ca="1">IFERROR(IF(PréstamoNoPagado*PréstamoPagado,FechaDePago,""), "")</f>
        <v/>
      </c>
      <c r="D175" s="97" t="str">
        <f ca="1">IFERROR(IF(PréstamoNoPagado*PréstamoPagado,ValorPréstamo,""), "")</f>
        <v/>
      </c>
      <c r="E175" s="97" t="str">
        <f ca="1">IFERROR(IF(PréstamoNoPagado*PréstamoPagado,PagoMensual,""), "")</f>
        <v/>
      </c>
      <c r="F175" s="97" t="str">
        <f ca="1">IFERROR(IF(PréstamoNoPagado*PréstamoPagado,Capital,""), "")</f>
        <v/>
      </c>
      <c r="G175" s="97" t="str">
        <f ca="1">IFERROR(IF(PréstamoNoPagado*PréstamoPagado,AmortizaciónInterés,""), "")</f>
        <v/>
      </c>
      <c r="H175" s="97" t="str">
        <f ca="1">IFERROR(IF(PréstamoNoPagado*PréstamoPagado,SaldoFinal,""), "")</f>
        <v/>
      </c>
    </row>
    <row r="176" spans="2:8" ht="20.100000000000001" customHeight="1" x14ac:dyDescent="0.3">
      <c r="B176" s="105" t="str">
        <f ca="1">IFERROR(IF(PréstamoNoPagado*PréstamoPagado,NúmeroDePago,""), "")</f>
        <v/>
      </c>
      <c r="C176" s="96" t="str">
        <f ca="1">IFERROR(IF(PréstamoNoPagado*PréstamoPagado,FechaDePago,""), "")</f>
        <v/>
      </c>
      <c r="D176" s="97" t="str">
        <f ca="1">IFERROR(IF(PréstamoNoPagado*PréstamoPagado,ValorPréstamo,""), "")</f>
        <v/>
      </c>
      <c r="E176" s="97" t="str">
        <f ca="1">IFERROR(IF(PréstamoNoPagado*PréstamoPagado,PagoMensual,""), "")</f>
        <v/>
      </c>
      <c r="F176" s="97" t="str">
        <f ca="1">IFERROR(IF(PréstamoNoPagado*PréstamoPagado,Capital,""), "")</f>
        <v/>
      </c>
      <c r="G176" s="97" t="str">
        <f ca="1">IFERROR(IF(PréstamoNoPagado*PréstamoPagado,AmortizaciónInterés,""), "")</f>
        <v/>
      </c>
      <c r="H176" s="97" t="str">
        <f ca="1">IFERROR(IF(PréstamoNoPagado*PréstamoPagado,SaldoFinal,""), "")</f>
        <v/>
      </c>
    </row>
    <row r="177" spans="2:8" ht="20.100000000000001" customHeight="1" x14ac:dyDescent="0.3">
      <c r="B177" s="105" t="str">
        <f ca="1">IFERROR(IF(PréstamoNoPagado*PréstamoPagado,NúmeroDePago,""), "")</f>
        <v/>
      </c>
      <c r="C177" s="96" t="str">
        <f ca="1">IFERROR(IF(PréstamoNoPagado*PréstamoPagado,FechaDePago,""), "")</f>
        <v/>
      </c>
      <c r="D177" s="97" t="str">
        <f ca="1">IFERROR(IF(PréstamoNoPagado*PréstamoPagado,ValorPréstamo,""), "")</f>
        <v/>
      </c>
      <c r="E177" s="97" t="str">
        <f ca="1">IFERROR(IF(PréstamoNoPagado*PréstamoPagado,PagoMensual,""), "")</f>
        <v/>
      </c>
      <c r="F177" s="97" t="str">
        <f ca="1">IFERROR(IF(PréstamoNoPagado*PréstamoPagado,Capital,""), "")</f>
        <v/>
      </c>
      <c r="G177" s="97" t="str">
        <f ca="1">IFERROR(IF(PréstamoNoPagado*PréstamoPagado,AmortizaciónInterés,""), "")</f>
        <v/>
      </c>
      <c r="H177" s="97" t="str">
        <f ca="1">IFERROR(IF(PréstamoNoPagado*PréstamoPagado,SaldoFinal,""), "")</f>
        <v/>
      </c>
    </row>
    <row r="178" spans="2:8" ht="20.100000000000001" customHeight="1" x14ac:dyDescent="0.3">
      <c r="B178" s="105" t="str">
        <f ca="1">IFERROR(IF(PréstamoNoPagado*PréstamoPagado,NúmeroDePago,""), "")</f>
        <v/>
      </c>
      <c r="C178" s="96" t="str">
        <f ca="1">IFERROR(IF(PréstamoNoPagado*PréstamoPagado,FechaDePago,""), "")</f>
        <v/>
      </c>
      <c r="D178" s="97" t="str">
        <f ca="1">IFERROR(IF(PréstamoNoPagado*PréstamoPagado,ValorPréstamo,""), "")</f>
        <v/>
      </c>
      <c r="E178" s="97" t="str">
        <f ca="1">IFERROR(IF(PréstamoNoPagado*PréstamoPagado,PagoMensual,""), "")</f>
        <v/>
      </c>
      <c r="F178" s="97" t="str">
        <f ca="1">IFERROR(IF(PréstamoNoPagado*PréstamoPagado,Capital,""), "")</f>
        <v/>
      </c>
      <c r="G178" s="97" t="str">
        <f ca="1">IFERROR(IF(PréstamoNoPagado*PréstamoPagado,AmortizaciónInterés,""), "")</f>
        <v/>
      </c>
      <c r="H178" s="97" t="str">
        <f ca="1">IFERROR(IF(PréstamoNoPagado*PréstamoPagado,SaldoFinal,""), "")</f>
        <v/>
      </c>
    </row>
    <row r="179" spans="2:8" ht="20.100000000000001" customHeight="1" x14ac:dyDescent="0.3">
      <c r="B179" s="105" t="str">
        <f ca="1">IFERROR(IF(PréstamoNoPagado*PréstamoPagado,NúmeroDePago,""), "")</f>
        <v/>
      </c>
      <c r="C179" s="96" t="str">
        <f ca="1">IFERROR(IF(PréstamoNoPagado*PréstamoPagado,FechaDePago,""), "")</f>
        <v/>
      </c>
      <c r="D179" s="97" t="str">
        <f ca="1">IFERROR(IF(PréstamoNoPagado*PréstamoPagado,ValorPréstamo,""), "")</f>
        <v/>
      </c>
      <c r="E179" s="97" t="str">
        <f ca="1">IFERROR(IF(PréstamoNoPagado*PréstamoPagado,PagoMensual,""), "")</f>
        <v/>
      </c>
      <c r="F179" s="97" t="str">
        <f ca="1">IFERROR(IF(PréstamoNoPagado*PréstamoPagado,Capital,""), "")</f>
        <v/>
      </c>
      <c r="G179" s="97" t="str">
        <f ca="1">IFERROR(IF(PréstamoNoPagado*PréstamoPagado,AmortizaciónInterés,""), "")</f>
        <v/>
      </c>
      <c r="H179" s="97" t="str">
        <f ca="1">IFERROR(IF(PréstamoNoPagado*PréstamoPagado,SaldoFinal,""), "")</f>
        <v/>
      </c>
    </row>
    <row r="180" spans="2:8" ht="20.100000000000001" customHeight="1" x14ac:dyDescent="0.3">
      <c r="B180" s="105" t="str">
        <f ca="1">IFERROR(IF(PréstamoNoPagado*PréstamoPagado,NúmeroDePago,""), "")</f>
        <v/>
      </c>
      <c r="C180" s="96" t="str">
        <f ca="1">IFERROR(IF(PréstamoNoPagado*PréstamoPagado,FechaDePago,""), "")</f>
        <v/>
      </c>
      <c r="D180" s="97" t="str">
        <f ca="1">IFERROR(IF(PréstamoNoPagado*PréstamoPagado,ValorPréstamo,""), "")</f>
        <v/>
      </c>
      <c r="E180" s="97" t="str">
        <f ca="1">IFERROR(IF(PréstamoNoPagado*PréstamoPagado,PagoMensual,""), "")</f>
        <v/>
      </c>
      <c r="F180" s="97" t="str">
        <f ca="1">IFERROR(IF(PréstamoNoPagado*PréstamoPagado,Capital,""), "")</f>
        <v/>
      </c>
      <c r="G180" s="97" t="str">
        <f ca="1">IFERROR(IF(PréstamoNoPagado*PréstamoPagado,AmortizaciónInterés,""), "")</f>
        <v/>
      </c>
      <c r="H180" s="97" t="str">
        <f ca="1">IFERROR(IF(PréstamoNoPagado*PréstamoPagado,SaldoFinal,""), "")</f>
        <v/>
      </c>
    </row>
    <row r="181" spans="2:8" ht="20.100000000000001" customHeight="1" x14ac:dyDescent="0.3">
      <c r="B181" s="105" t="str">
        <f ca="1">IFERROR(IF(PréstamoNoPagado*PréstamoPagado,NúmeroDePago,""), "")</f>
        <v/>
      </c>
      <c r="C181" s="96" t="str">
        <f ca="1">IFERROR(IF(PréstamoNoPagado*PréstamoPagado,FechaDePago,""), "")</f>
        <v/>
      </c>
      <c r="D181" s="97" t="str">
        <f ca="1">IFERROR(IF(PréstamoNoPagado*PréstamoPagado,ValorPréstamo,""), "")</f>
        <v/>
      </c>
      <c r="E181" s="97" t="str">
        <f ca="1">IFERROR(IF(PréstamoNoPagado*PréstamoPagado,PagoMensual,""), "")</f>
        <v/>
      </c>
      <c r="F181" s="97" t="str">
        <f ca="1">IFERROR(IF(PréstamoNoPagado*PréstamoPagado,Capital,""), "")</f>
        <v/>
      </c>
      <c r="G181" s="97" t="str">
        <f ca="1">IFERROR(IF(PréstamoNoPagado*PréstamoPagado,AmortizaciónInterés,""), "")</f>
        <v/>
      </c>
      <c r="H181" s="97" t="str">
        <f ca="1">IFERROR(IF(PréstamoNoPagado*PréstamoPagado,SaldoFinal,""), "")</f>
        <v/>
      </c>
    </row>
    <row r="182" spans="2:8" ht="20.100000000000001" customHeight="1" x14ac:dyDescent="0.3">
      <c r="B182" s="105" t="str">
        <f ca="1">IFERROR(IF(PréstamoNoPagado*PréstamoPagado,NúmeroDePago,""), "")</f>
        <v/>
      </c>
      <c r="C182" s="96" t="str">
        <f ca="1">IFERROR(IF(PréstamoNoPagado*PréstamoPagado,FechaDePago,""), "")</f>
        <v/>
      </c>
      <c r="D182" s="97" t="str">
        <f ca="1">IFERROR(IF(PréstamoNoPagado*PréstamoPagado,ValorPréstamo,""), "")</f>
        <v/>
      </c>
      <c r="E182" s="97" t="str">
        <f ca="1">IFERROR(IF(PréstamoNoPagado*PréstamoPagado,PagoMensual,""), "")</f>
        <v/>
      </c>
      <c r="F182" s="97" t="str">
        <f ca="1">IFERROR(IF(PréstamoNoPagado*PréstamoPagado,Capital,""), "")</f>
        <v/>
      </c>
      <c r="G182" s="97" t="str">
        <f ca="1">IFERROR(IF(PréstamoNoPagado*PréstamoPagado,AmortizaciónInterés,""), "")</f>
        <v/>
      </c>
      <c r="H182" s="97" t="str">
        <f ca="1">IFERROR(IF(PréstamoNoPagado*PréstamoPagado,SaldoFinal,""), "")</f>
        <v/>
      </c>
    </row>
    <row r="183" spans="2:8" ht="20.100000000000001" customHeight="1" x14ac:dyDescent="0.3">
      <c r="B183" s="105" t="str">
        <f ca="1">IFERROR(IF(PréstamoNoPagado*PréstamoPagado,NúmeroDePago,""), "")</f>
        <v/>
      </c>
      <c r="C183" s="96" t="str">
        <f ca="1">IFERROR(IF(PréstamoNoPagado*PréstamoPagado,FechaDePago,""), "")</f>
        <v/>
      </c>
      <c r="D183" s="97" t="str">
        <f ca="1">IFERROR(IF(PréstamoNoPagado*PréstamoPagado,ValorPréstamo,""), "")</f>
        <v/>
      </c>
      <c r="E183" s="97" t="str">
        <f ca="1">IFERROR(IF(PréstamoNoPagado*PréstamoPagado,PagoMensual,""), "")</f>
        <v/>
      </c>
      <c r="F183" s="97" t="str">
        <f ca="1">IFERROR(IF(PréstamoNoPagado*PréstamoPagado,Capital,""), "")</f>
        <v/>
      </c>
      <c r="G183" s="97" t="str">
        <f ca="1">IFERROR(IF(PréstamoNoPagado*PréstamoPagado,AmortizaciónInterés,""), "")</f>
        <v/>
      </c>
      <c r="H183" s="97" t="str">
        <f ca="1">IFERROR(IF(PréstamoNoPagado*PréstamoPagado,SaldoFinal,""), "")</f>
        <v/>
      </c>
    </row>
    <row r="184" spans="2:8" ht="20.100000000000001" customHeight="1" x14ac:dyDescent="0.3">
      <c r="B184" s="105" t="str">
        <f ca="1">IFERROR(IF(PréstamoNoPagado*PréstamoPagado,NúmeroDePago,""), "")</f>
        <v/>
      </c>
      <c r="C184" s="96" t="str">
        <f ca="1">IFERROR(IF(PréstamoNoPagado*PréstamoPagado,FechaDePago,""), "")</f>
        <v/>
      </c>
      <c r="D184" s="97" t="str">
        <f ca="1">IFERROR(IF(PréstamoNoPagado*PréstamoPagado,ValorPréstamo,""), "")</f>
        <v/>
      </c>
      <c r="E184" s="97" t="str">
        <f ca="1">IFERROR(IF(PréstamoNoPagado*PréstamoPagado,PagoMensual,""), "")</f>
        <v/>
      </c>
      <c r="F184" s="97" t="str">
        <f ca="1">IFERROR(IF(PréstamoNoPagado*PréstamoPagado,Capital,""), "")</f>
        <v/>
      </c>
      <c r="G184" s="97" t="str">
        <f ca="1">IFERROR(IF(PréstamoNoPagado*PréstamoPagado,AmortizaciónInterés,""), "")</f>
        <v/>
      </c>
      <c r="H184" s="97" t="str">
        <f ca="1">IFERROR(IF(PréstamoNoPagado*PréstamoPagado,SaldoFinal,""), "")</f>
        <v/>
      </c>
    </row>
    <row r="185" spans="2:8" ht="20.100000000000001" customHeight="1" x14ac:dyDescent="0.3">
      <c r="B185" s="105" t="str">
        <f ca="1">IFERROR(IF(PréstamoNoPagado*PréstamoPagado,NúmeroDePago,""), "")</f>
        <v/>
      </c>
      <c r="C185" s="96" t="str">
        <f ca="1">IFERROR(IF(PréstamoNoPagado*PréstamoPagado,FechaDePago,""), "")</f>
        <v/>
      </c>
      <c r="D185" s="97" t="str">
        <f ca="1">IFERROR(IF(PréstamoNoPagado*PréstamoPagado,ValorPréstamo,""), "")</f>
        <v/>
      </c>
      <c r="E185" s="97" t="str">
        <f ca="1">IFERROR(IF(PréstamoNoPagado*PréstamoPagado,PagoMensual,""), "")</f>
        <v/>
      </c>
      <c r="F185" s="97" t="str">
        <f ca="1">IFERROR(IF(PréstamoNoPagado*PréstamoPagado,Capital,""), "")</f>
        <v/>
      </c>
      <c r="G185" s="97" t="str">
        <f ca="1">IFERROR(IF(PréstamoNoPagado*PréstamoPagado,AmortizaciónInterés,""), "")</f>
        <v/>
      </c>
      <c r="H185" s="97" t="str">
        <f ca="1">IFERROR(IF(PréstamoNoPagado*PréstamoPagado,SaldoFinal,""), "")</f>
        <v/>
      </c>
    </row>
    <row r="186" spans="2:8" ht="20.100000000000001" customHeight="1" x14ac:dyDescent="0.3">
      <c r="B186" s="105" t="str">
        <f ca="1">IFERROR(IF(PréstamoNoPagado*PréstamoPagado,NúmeroDePago,""), "")</f>
        <v/>
      </c>
      <c r="C186" s="96" t="str">
        <f ca="1">IFERROR(IF(PréstamoNoPagado*PréstamoPagado,FechaDePago,""), "")</f>
        <v/>
      </c>
      <c r="D186" s="97" t="str">
        <f ca="1">IFERROR(IF(PréstamoNoPagado*PréstamoPagado,ValorPréstamo,""), "")</f>
        <v/>
      </c>
      <c r="E186" s="97" t="str">
        <f ca="1">IFERROR(IF(PréstamoNoPagado*PréstamoPagado,PagoMensual,""), "")</f>
        <v/>
      </c>
      <c r="F186" s="97" t="str">
        <f ca="1">IFERROR(IF(PréstamoNoPagado*PréstamoPagado,Capital,""), "")</f>
        <v/>
      </c>
      <c r="G186" s="97" t="str">
        <f ca="1">IFERROR(IF(PréstamoNoPagado*PréstamoPagado,AmortizaciónInterés,""), "")</f>
        <v/>
      </c>
      <c r="H186" s="97" t="str">
        <f ca="1">IFERROR(IF(PréstamoNoPagado*PréstamoPagado,SaldoFinal,""), "")</f>
        <v/>
      </c>
    </row>
    <row r="187" spans="2:8" ht="20.100000000000001" customHeight="1" x14ac:dyDescent="0.3">
      <c r="B187" s="105" t="str">
        <f ca="1">IFERROR(IF(PréstamoNoPagado*PréstamoPagado,NúmeroDePago,""), "")</f>
        <v/>
      </c>
      <c r="C187" s="96" t="str">
        <f ca="1">IFERROR(IF(PréstamoNoPagado*PréstamoPagado,FechaDePago,""), "")</f>
        <v/>
      </c>
      <c r="D187" s="97" t="str">
        <f ca="1">IFERROR(IF(PréstamoNoPagado*PréstamoPagado,ValorPréstamo,""), "")</f>
        <v/>
      </c>
      <c r="E187" s="97" t="str">
        <f ca="1">IFERROR(IF(PréstamoNoPagado*PréstamoPagado,PagoMensual,""), "")</f>
        <v/>
      </c>
      <c r="F187" s="97" t="str">
        <f ca="1">IFERROR(IF(PréstamoNoPagado*PréstamoPagado,Capital,""), "")</f>
        <v/>
      </c>
      <c r="G187" s="97" t="str">
        <f ca="1">IFERROR(IF(PréstamoNoPagado*PréstamoPagado,AmortizaciónInterés,""), "")</f>
        <v/>
      </c>
      <c r="H187" s="97" t="str">
        <f ca="1">IFERROR(IF(PréstamoNoPagado*PréstamoPagado,SaldoFinal,""), "")</f>
        <v/>
      </c>
    </row>
    <row r="188" spans="2:8" ht="20.100000000000001" customHeight="1" x14ac:dyDescent="0.3">
      <c r="B188" s="105" t="str">
        <f ca="1">IFERROR(IF(PréstamoNoPagado*PréstamoPagado,NúmeroDePago,""), "")</f>
        <v/>
      </c>
      <c r="C188" s="96" t="str">
        <f ca="1">IFERROR(IF(PréstamoNoPagado*PréstamoPagado,FechaDePago,""), "")</f>
        <v/>
      </c>
      <c r="D188" s="97" t="str">
        <f ca="1">IFERROR(IF(PréstamoNoPagado*PréstamoPagado,ValorPréstamo,""), "")</f>
        <v/>
      </c>
      <c r="E188" s="97" t="str">
        <f ca="1">IFERROR(IF(PréstamoNoPagado*PréstamoPagado,PagoMensual,""), "")</f>
        <v/>
      </c>
      <c r="F188" s="97" t="str">
        <f ca="1">IFERROR(IF(PréstamoNoPagado*PréstamoPagado,Capital,""), "")</f>
        <v/>
      </c>
      <c r="G188" s="97" t="str">
        <f ca="1">IFERROR(IF(PréstamoNoPagado*PréstamoPagado,AmortizaciónInterés,""), "")</f>
        <v/>
      </c>
      <c r="H188" s="97" t="str">
        <f ca="1">IFERROR(IF(PréstamoNoPagado*PréstamoPagado,SaldoFinal,""), "")</f>
        <v/>
      </c>
    </row>
    <row r="189" spans="2:8" ht="20.100000000000001" customHeight="1" x14ac:dyDescent="0.3">
      <c r="B189" s="105" t="str">
        <f ca="1">IFERROR(IF(PréstamoNoPagado*PréstamoPagado,NúmeroDePago,""), "")</f>
        <v/>
      </c>
      <c r="C189" s="96" t="str">
        <f ca="1">IFERROR(IF(PréstamoNoPagado*PréstamoPagado,FechaDePago,""), "")</f>
        <v/>
      </c>
      <c r="D189" s="97" t="str">
        <f ca="1">IFERROR(IF(PréstamoNoPagado*PréstamoPagado,ValorPréstamo,""), "")</f>
        <v/>
      </c>
      <c r="E189" s="97" t="str">
        <f ca="1">IFERROR(IF(PréstamoNoPagado*PréstamoPagado,PagoMensual,""), "")</f>
        <v/>
      </c>
      <c r="F189" s="97" t="str">
        <f ca="1">IFERROR(IF(PréstamoNoPagado*PréstamoPagado,Capital,""), "")</f>
        <v/>
      </c>
      <c r="G189" s="97" t="str">
        <f ca="1">IFERROR(IF(PréstamoNoPagado*PréstamoPagado,AmortizaciónInterés,""), "")</f>
        <v/>
      </c>
      <c r="H189" s="97" t="str">
        <f ca="1">IFERROR(IF(PréstamoNoPagado*PréstamoPagado,SaldoFinal,""), "")</f>
        <v/>
      </c>
    </row>
    <row r="190" spans="2:8" ht="20.100000000000001" customHeight="1" x14ac:dyDescent="0.3">
      <c r="B190" s="105" t="str">
        <f ca="1">IFERROR(IF(PréstamoNoPagado*PréstamoPagado,NúmeroDePago,""), "")</f>
        <v/>
      </c>
      <c r="C190" s="96" t="str">
        <f ca="1">IFERROR(IF(PréstamoNoPagado*PréstamoPagado,FechaDePago,""), "")</f>
        <v/>
      </c>
      <c r="D190" s="97" t="str">
        <f ca="1">IFERROR(IF(PréstamoNoPagado*PréstamoPagado,ValorPréstamo,""), "")</f>
        <v/>
      </c>
      <c r="E190" s="97" t="str">
        <f ca="1">IFERROR(IF(PréstamoNoPagado*PréstamoPagado,PagoMensual,""), "")</f>
        <v/>
      </c>
      <c r="F190" s="97" t="str">
        <f ca="1">IFERROR(IF(PréstamoNoPagado*PréstamoPagado,Capital,""), "")</f>
        <v/>
      </c>
      <c r="G190" s="97" t="str">
        <f ca="1">IFERROR(IF(PréstamoNoPagado*PréstamoPagado,AmortizaciónInterés,""), "")</f>
        <v/>
      </c>
      <c r="H190" s="97" t="str">
        <f ca="1">IFERROR(IF(PréstamoNoPagado*PréstamoPagado,SaldoFinal,""), "")</f>
        <v/>
      </c>
    </row>
    <row r="191" spans="2:8" ht="20.100000000000001" customHeight="1" x14ac:dyDescent="0.3">
      <c r="B191" s="105" t="str">
        <f ca="1">IFERROR(IF(PréstamoNoPagado*PréstamoPagado,NúmeroDePago,""), "")</f>
        <v/>
      </c>
      <c r="C191" s="96" t="str">
        <f ca="1">IFERROR(IF(PréstamoNoPagado*PréstamoPagado,FechaDePago,""), "")</f>
        <v/>
      </c>
      <c r="D191" s="97" t="str">
        <f ca="1">IFERROR(IF(PréstamoNoPagado*PréstamoPagado,ValorPréstamo,""), "")</f>
        <v/>
      </c>
      <c r="E191" s="97" t="str">
        <f ca="1">IFERROR(IF(PréstamoNoPagado*PréstamoPagado,PagoMensual,""), "")</f>
        <v/>
      </c>
      <c r="F191" s="97" t="str">
        <f ca="1">IFERROR(IF(PréstamoNoPagado*PréstamoPagado,Capital,""), "")</f>
        <v/>
      </c>
      <c r="G191" s="97" t="str">
        <f ca="1">IFERROR(IF(PréstamoNoPagado*PréstamoPagado,AmortizaciónInterés,""), "")</f>
        <v/>
      </c>
      <c r="H191" s="97" t="str">
        <f ca="1">IFERROR(IF(PréstamoNoPagado*PréstamoPagado,SaldoFinal,""), "")</f>
        <v/>
      </c>
    </row>
    <row r="192" spans="2:8" ht="20.100000000000001" customHeight="1" x14ac:dyDescent="0.3">
      <c r="B192" s="105" t="str">
        <f ca="1">IFERROR(IF(PréstamoNoPagado*PréstamoPagado,NúmeroDePago,""), "")</f>
        <v/>
      </c>
      <c r="C192" s="96" t="str">
        <f ca="1">IFERROR(IF(PréstamoNoPagado*PréstamoPagado,FechaDePago,""), "")</f>
        <v/>
      </c>
      <c r="D192" s="97" t="str">
        <f ca="1">IFERROR(IF(PréstamoNoPagado*PréstamoPagado,ValorPréstamo,""), "")</f>
        <v/>
      </c>
      <c r="E192" s="97" t="str">
        <f ca="1">IFERROR(IF(PréstamoNoPagado*PréstamoPagado,PagoMensual,""), "")</f>
        <v/>
      </c>
      <c r="F192" s="97" t="str">
        <f ca="1">IFERROR(IF(PréstamoNoPagado*PréstamoPagado,Capital,""), "")</f>
        <v/>
      </c>
      <c r="G192" s="97" t="str">
        <f ca="1">IFERROR(IF(PréstamoNoPagado*PréstamoPagado,AmortizaciónInterés,""), "")</f>
        <v/>
      </c>
      <c r="H192" s="97" t="str">
        <f ca="1">IFERROR(IF(PréstamoNoPagado*PréstamoPagado,SaldoFinal,""), "")</f>
        <v/>
      </c>
    </row>
    <row r="193" spans="2:8" ht="20.100000000000001" customHeight="1" x14ac:dyDescent="0.3">
      <c r="B193" s="105" t="str">
        <f ca="1">IFERROR(IF(PréstamoNoPagado*PréstamoPagado,NúmeroDePago,""), "")</f>
        <v/>
      </c>
      <c r="C193" s="96" t="str">
        <f ca="1">IFERROR(IF(PréstamoNoPagado*PréstamoPagado,FechaDePago,""), "")</f>
        <v/>
      </c>
      <c r="D193" s="97" t="str">
        <f ca="1">IFERROR(IF(PréstamoNoPagado*PréstamoPagado,ValorPréstamo,""), "")</f>
        <v/>
      </c>
      <c r="E193" s="97" t="str">
        <f ca="1">IFERROR(IF(PréstamoNoPagado*PréstamoPagado,PagoMensual,""), "")</f>
        <v/>
      </c>
      <c r="F193" s="97" t="str">
        <f ca="1">IFERROR(IF(PréstamoNoPagado*PréstamoPagado,Capital,""), "")</f>
        <v/>
      </c>
      <c r="G193" s="97" t="str">
        <f ca="1">IFERROR(IF(PréstamoNoPagado*PréstamoPagado,AmortizaciónInterés,""), "")</f>
        <v/>
      </c>
      <c r="H193" s="97" t="str">
        <f ca="1">IFERROR(IF(PréstamoNoPagado*PréstamoPagado,SaldoFinal,""), "")</f>
        <v/>
      </c>
    </row>
    <row r="194" spans="2:8" ht="20.100000000000001" customHeight="1" x14ac:dyDescent="0.3">
      <c r="B194" s="105" t="str">
        <f ca="1">IFERROR(IF(PréstamoNoPagado*PréstamoPagado,NúmeroDePago,""), "")</f>
        <v/>
      </c>
      <c r="C194" s="96" t="str">
        <f ca="1">IFERROR(IF(PréstamoNoPagado*PréstamoPagado,FechaDePago,""), "")</f>
        <v/>
      </c>
      <c r="D194" s="97" t="str">
        <f ca="1">IFERROR(IF(PréstamoNoPagado*PréstamoPagado,ValorPréstamo,""), "")</f>
        <v/>
      </c>
      <c r="E194" s="97" t="str">
        <f ca="1">IFERROR(IF(PréstamoNoPagado*PréstamoPagado,PagoMensual,""), "")</f>
        <v/>
      </c>
      <c r="F194" s="97" t="str">
        <f ca="1">IFERROR(IF(PréstamoNoPagado*PréstamoPagado,Capital,""), "")</f>
        <v/>
      </c>
      <c r="G194" s="97" t="str">
        <f ca="1">IFERROR(IF(PréstamoNoPagado*PréstamoPagado,AmortizaciónInterés,""), "")</f>
        <v/>
      </c>
      <c r="H194" s="97" t="str">
        <f ca="1">IFERROR(IF(PréstamoNoPagado*PréstamoPagado,SaldoFinal,""), "")</f>
        <v/>
      </c>
    </row>
    <row r="195" spans="2:8" ht="20.100000000000001" customHeight="1" x14ac:dyDescent="0.3">
      <c r="B195" s="105" t="str">
        <f ca="1">IFERROR(IF(PréstamoNoPagado*PréstamoPagado,NúmeroDePago,""), "")</f>
        <v/>
      </c>
      <c r="C195" s="96" t="str">
        <f ca="1">IFERROR(IF(PréstamoNoPagado*PréstamoPagado,FechaDePago,""), "")</f>
        <v/>
      </c>
      <c r="D195" s="97" t="str">
        <f ca="1">IFERROR(IF(PréstamoNoPagado*PréstamoPagado,ValorPréstamo,""), "")</f>
        <v/>
      </c>
      <c r="E195" s="97" t="str">
        <f ca="1">IFERROR(IF(PréstamoNoPagado*PréstamoPagado,PagoMensual,""), "")</f>
        <v/>
      </c>
      <c r="F195" s="97" t="str">
        <f ca="1">IFERROR(IF(PréstamoNoPagado*PréstamoPagado,Capital,""), "")</f>
        <v/>
      </c>
      <c r="G195" s="97" t="str">
        <f ca="1">IFERROR(IF(PréstamoNoPagado*PréstamoPagado,AmortizaciónInterés,""), "")</f>
        <v/>
      </c>
      <c r="H195" s="97" t="str">
        <f ca="1">IFERROR(IF(PréstamoNoPagado*PréstamoPagado,SaldoFinal,""), "")</f>
        <v/>
      </c>
    </row>
    <row r="196" spans="2:8" ht="20.100000000000001" customHeight="1" x14ac:dyDescent="0.3">
      <c r="B196" s="105" t="str">
        <f ca="1">IFERROR(IF(PréstamoNoPagado*PréstamoPagado,NúmeroDePago,""), "")</f>
        <v/>
      </c>
      <c r="C196" s="96" t="str">
        <f ca="1">IFERROR(IF(PréstamoNoPagado*PréstamoPagado,FechaDePago,""), "")</f>
        <v/>
      </c>
      <c r="D196" s="97" t="str">
        <f ca="1">IFERROR(IF(PréstamoNoPagado*PréstamoPagado,ValorPréstamo,""), "")</f>
        <v/>
      </c>
      <c r="E196" s="97" t="str">
        <f ca="1">IFERROR(IF(PréstamoNoPagado*PréstamoPagado,PagoMensual,""), "")</f>
        <v/>
      </c>
      <c r="F196" s="97" t="str">
        <f ca="1">IFERROR(IF(PréstamoNoPagado*PréstamoPagado,Capital,""), "")</f>
        <v/>
      </c>
      <c r="G196" s="97" t="str">
        <f ca="1">IFERROR(IF(PréstamoNoPagado*PréstamoPagado,AmortizaciónInterés,""), "")</f>
        <v/>
      </c>
      <c r="H196" s="97" t="str">
        <f ca="1">IFERROR(IF(PréstamoNoPagado*PréstamoPagado,SaldoFinal,""), "")</f>
        <v/>
      </c>
    </row>
    <row r="197" spans="2:8" ht="20.100000000000001" customHeight="1" x14ac:dyDescent="0.3">
      <c r="B197" s="105" t="str">
        <f ca="1">IFERROR(IF(PréstamoNoPagado*PréstamoPagado,NúmeroDePago,""), "")</f>
        <v/>
      </c>
      <c r="C197" s="96" t="str">
        <f ca="1">IFERROR(IF(PréstamoNoPagado*PréstamoPagado,FechaDePago,""), "")</f>
        <v/>
      </c>
      <c r="D197" s="97" t="str">
        <f ca="1">IFERROR(IF(PréstamoNoPagado*PréstamoPagado,ValorPréstamo,""), "")</f>
        <v/>
      </c>
      <c r="E197" s="97" t="str">
        <f ca="1">IFERROR(IF(PréstamoNoPagado*PréstamoPagado,PagoMensual,""), "")</f>
        <v/>
      </c>
      <c r="F197" s="97" t="str">
        <f ca="1">IFERROR(IF(PréstamoNoPagado*PréstamoPagado,Capital,""), "")</f>
        <v/>
      </c>
      <c r="G197" s="97" t="str">
        <f ca="1">IFERROR(IF(PréstamoNoPagado*PréstamoPagado,AmortizaciónInterés,""), "")</f>
        <v/>
      </c>
      <c r="H197" s="97" t="str">
        <f ca="1">IFERROR(IF(PréstamoNoPagado*PréstamoPagado,SaldoFinal,""), "")</f>
        <v/>
      </c>
    </row>
    <row r="198" spans="2:8" ht="20.100000000000001" customHeight="1" x14ac:dyDescent="0.3">
      <c r="B198" s="105" t="str">
        <f ca="1">IFERROR(IF(PréstamoNoPagado*PréstamoPagado,NúmeroDePago,""), "")</f>
        <v/>
      </c>
      <c r="C198" s="96" t="str">
        <f ca="1">IFERROR(IF(PréstamoNoPagado*PréstamoPagado,FechaDePago,""), "")</f>
        <v/>
      </c>
      <c r="D198" s="97" t="str">
        <f ca="1">IFERROR(IF(PréstamoNoPagado*PréstamoPagado,ValorPréstamo,""), "")</f>
        <v/>
      </c>
      <c r="E198" s="97" t="str">
        <f ca="1">IFERROR(IF(PréstamoNoPagado*PréstamoPagado,PagoMensual,""), "")</f>
        <v/>
      </c>
      <c r="F198" s="97" t="str">
        <f ca="1">IFERROR(IF(PréstamoNoPagado*PréstamoPagado,Capital,""), "")</f>
        <v/>
      </c>
      <c r="G198" s="97" t="str">
        <f ca="1">IFERROR(IF(PréstamoNoPagado*PréstamoPagado,AmortizaciónInterés,""), "")</f>
        <v/>
      </c>
      <c r="H198" s="97" t="str">
        <f ca="1">IFERROR(IF(PréstamoNoPagado*PréstamoPagado,SaldoFinal,""), "")</f>
        <v/>
      </c>
    </row>
    <row r="199" spans="2:8" ht="20.100000000000001" customHeight="1" x14ac:dyDescent="0.3">
      <c r="B199" s="105" t="str">
        <f ca="1">IFERROR(IF(PréstamoNoPagado*PréstamoPagado,NúmeroDePago,""), "")</f>
        <v/>
      </c>
      <c r="C199" s="96" t="str">
        <f ca="1">IFERROR(IF(PréstamoNoPagado*PréstamoPagado,FechaDePago,""), "")</f>
        <v/>
      </c>
      <c r="D199" s="97" t="str">
        <f ca="1">IFERROR(IF(PréstamoNoPagado*PréstamoPagado,ValorPréstamo,""), "")</f>
        <v/>
      </c>
      <c r="E199" s="97" t="str">
        <f ca="1">IFERROR(IF(PréstamoNoPagado*PréstamoPagado,PagoMensual,""), "")</f>
        <v/>
      </c>
      <c r="F199" s="97" t="str">
        <f ca="1">IFERROR(IF(PréstamoNoPagado*PréstamoPagado,Capital,""), "")</f>
        <v/>
      </c>
      <c r="G199" s="97" t="str">
        <f ca="1">IFERROR(IF(PréstamoNoPagado*PréstamoPagado,AmortizaciónInterés,""), "")</f>
        <v/>
      </c>
      <c r="H199" s="97" t="str">
        <f ca="1">IFERROR(IF(PréstamoNoPagado*PréstamoPagado,SaldoFinal,""), "")</f>
        <v/>
      </c>
    </row>
    <row r="200" spans="2:8" ht="20.100000000000001" customHeight="1" x14ac:dyDescent="0.3">
      <c r="B200" s="105" t="str">
        <f ca="1">IFERROR(IF(PréstamoNoPagado*PréstamoPagado,NúmeroDePago,""), "")</f>
        <v/>
      </c>
      <c r="C200" s="96" t="str">
        <f ca="1">IFERROR(IF(PréstamoNoPagado*PréstamoPagado,FechaDePago,""), "")</f>
        <v/>
      </c>
      <c r="D200" s="97" t="str">
        <f ca="1">IFERROR(IF(PréstamoNoPagado*PréstamoPagado,ValorPréstamo,""), "")</f>
        <v/>
      </c>
      <c r="E200" s="97" t="str">
        <f ca="1">IFERROR(IF(PréstamoNoPagado*PréstamoPagado,PagoMensual,""), "")</f>
        <v/>
      </c>
      <c r="F200" s="97" t="str">
        <f ca="1">IFERROR(IF(PréstamoNoPagado*PréstamoPagado,Capital,""), "")</f>
        <v/>
      </c>
      <c r="G200" s="97" t="str">
        <f ca="1">IFERROR(IF(PréstamoNoPagado*PréstamoPagado,AmortizaciónInterés,""), "")</f>
        <v/>
      </c>
      <c r="H200" s="97" t="str">
        <f ca="1">IFERROR(IF(PréstamoNoPagado*PréstamoPagado,SaldoFinal,""), "")</f>
        <v/>
      </c>
    </row>
    <row r="201" spans="2:8" ht="20.100000000000001" customHeight="1" x14ac:dyDescent="0.3">
      <c r="B201" s="105" t="str">
        <f ca="1">IFERROR(IF(PréstamoNoPagado*PréstamoPagado,NúmeroDePago,""), "")</f>
        <v/>
      </c>
      <c r="C201" s="96" t="str">
        <f ca="1">IFERROR(IF(PréstamoNoPagado*PréstamoPagado,FechaDePago,""), "")</f>
        <v/>
      </c>
      <c r="D201" s="97" t="str">
        <f ca="1">IFERROR(IF(PréstamoNoPagado*PréstamoPagado,ValorPréstamo,""), "")</f>
        <v/>
      </c>
      <c r="E201" s="97" t="str">
        <f ca="1">IFERROR(IF(PréstamoNoPagado*PréstamoPagado,PagoMensual,""), "")</f>
        <v/>
      </c>
      <c r="F201" s="97" t="str">
        <f ca="1">IFERROR(IF(PréstamoNoPagado*PréstamoPagado,Capital,""), "")</f>
        <v/>
      </c>
      <c r="G201" s="97" t="str">
        <f ca="1">IFERROR(IF(PréstamoNoPagado*PréstamoPagado,AmortizaciónInterés,""), "")</f>
        <v/>
      </c>
      <c r="H201" s="97" t="str">
        <f ca="1">IFERROR(IF(PréstamoNoPagado*PréstamoPagado,SaldoFinal,""), "")</f>
        <v/>
      </c>
    </row>
    <row r="202" spans="2:8" ht="20.100000000000001" customHeight="1" x14ac:dyDescent="0.3">
      <c r="B202" s="105" t="str">
        <f ca="1">IFERROR(IF(PréstamoNoPagado*PréstamoPagado,NúmeroDePago,""), "")</f>
        <v/>
      </c>
      <c r="C202" s="96" t="str">
        <f ca="1">IFERROR(IF(PréstamoNoPagado*PréstamoPagado,FechaDePago,""), "")</f>
        <v/>
      </c>
      <c r="D202" s="97" t="str">
        <f ca="1">IFERROR(IF(PréstamoNoPagado*PréstamoPagado,ValorPréstamo,""), "")</f>
        <v/>
      </c>
      <c r="E202" s="97" t="str">
        <f ca="1">IFERROR(IF(PréstamoNoPagado*PréstamoPagado,PagoMensual,""), "")</f>
        <v/>
      </c>
      <c r="F202" s="97" t="str">
        <f ca="1">IFERROR(IF(PréstamoNoPagado*PréstamoPagado,Capital,""), "")</f>
        <v/>
      </c>
      <c r="G202" s="97" t="str">
        <f ca="1">IFERROR(IF(PréstamoNoPagado*PréstamoPagado,AmortizaciónInterés,""), "")</f>
        <v/>
      </c>
      <c r="H202" s="97" t="str">
        <f ca="1">IFERROR(IF(PréstamoNoPagado*PréstamoPagado,SaldoFinal,""), "")</f>
        <v/>
      </c>
    </row>
    <row r="203" spans="2:8" ht="20.100000000000001" customHeight="1" x14ac:dyDescent="0.3">
      <c r="B203" s="105" t="str">
        <f ca="1">IFERROR(IF(PréstamoNoPagado*PréstamoPagado,NúmeroDePago,""), "")</f>
        <v/>
      </c>
      <c r="C203" s="96" t="str">
        <f ca="1">IFERROR(IF(PréstamoNoPagado*PréstamoPagado,FechaDePago,""), "")</f>
        <v/>
      </c>
      <c r="D203" s="97" t="str">
        <f ca="1">IFERROR(IF(PréstamoNoPagado*PréstamoPagado,ValorPréstamo,""), "")</f>
        <v/>
      </c>
      <c r="E203" s="97" t="str">
        <f ca="1">IFERROR(IF(PréstamoNoPagado*PréstamoPagado,PagoMensual,""), "")</f>
        <v/>
      </c>
      <c r="F203" s="97" t="str">
        <f ca="1">IFERROR(IF(PréstamoNoPagado*PréstamoPagado,Capital,""), "")</f>
        <v/>
      </c>
      <c r="G203" s="97" t="str">
        <f ca="1">IFERROR(IF(PréstamoNoPagado*PréstamoPagado,AmortizaciónInterés,""), "")</f>
        <v/>
      </c>
      <c r="H203" s="97" t="str">
        <f ca="1">IFERROR(IF(PréstamoNoPagado*PréstamoPagado,SaldoFinal,""), "")</f>
        <v/>
      </c>
    </row>
    <row r="204" spans="2:8" ht="20.100000000000001" customHeight="1" x14ac:dyDescent="0.3">
      <c r="B204" s="105" t="str">
        <f ca="1">IFERROR(IF(PréstamoNoPagado*PréstamoPagado,NúmeroDePago,""), "")</f>
        <v/>
      </c>
      <c r="C204" s="96" t="str">
        <f ca="1">IFERROR(IF(PréstamoNoPagado*PréstamoPagado,FechaDePago,""), "")</f>
        <v/>
      </c>
      <c r="D204" s="97" t="str">
        <f ca="1">IFERROR(IF(PréstamoNoPagado*PréstamoPagado,ValorPréstamo,""), "")</f>
        <v/>
      </c>
      <c r="E204" s="97" t="str">
        <f ca="1">IFERROR(IF(PréstamoNoPagado*PréstamoPagado,PagoMensual,""), "")</f>
        <v/>
      </c>
      <c r="F204" s="97" t="str">
        <f ca="1">IFERROR(IF(PréstamoNoPagado*PréstamoPagado,Capital,""), "")</f>
        <v/>
      </c>
      <c r="G204" s="97" t="str">
        <f ca="1">IFERROR(IF(PréstamoNoPagado*PréstamoPagado,AmortizaciónInterés,""), "")</f>
        <v/>
      </c>
      <c r="H204" s="97" t="str">
        <f ca="1">IFERROR(IF(PréstamoNoPagado*PréstamoPagado,SaldoFinal,""), "")</f>
        <v/>
      </c>
    </row>
    <row r="205" spans="2:8" ht="20.100000000000001" customHeight="1" x14ac:dyDescent="0.3">
      <c r="B205" s="105" t="str">
        <f ca="1">IFERROR(IF(PréstamoNoPagado*PréstamoPagado,NúmeroDePago,""), "")</f>
        <v/>
      </c>
      <c r="C205" s="96" t="str">
        <f ca="1">IFERROR(IF(PréstamoNoPagado*PréstamoPagado,FechaDePago,""), "")</f>
        <v/>
      </c>
      <c r="D205" s="97" t="str">
        <f ca="1">IFERROR(IF(PréstamoNoPagado*PréstamoPagado,ValorPréstamo,""), "")</f>
        <v/>
      </c>
      <c r="E205" s="97" t="str">
        <f ca="1">IFERROR(IF(PréstamoNoPagado*PréstamoPagado,PagoMensual,""), "")</f>
        <v/>
      </c>
      <c r="F205" s="97" t="str">
        <f ca="1">IFERROR(IF(PréstamoNoPagado*PréstamoPagado,Capital,""), "")</f>
        <v/>
      </c>
      <c r="G205" s="97" t="str">
        <f ca="1">IFERROR(IF(PréstamoNoPagado*PréstamoPagado,AmortizaciónInterés,""), "")</f>
        <v/>
      </c>
      <c r="H205" s="97" t="str">
        <f ca="1">IFERROR(IF(PréstamoNoPagado*PréstamoPagado,SaldoFinal,""), "")</f>
        <v/>
      </c>
    </row>
    <row r="206" spans="2:8" ht="20.100000000000001" customHeight="1" x14ac:dyDescent="0.3">
      <c r="B206" s="105" t="str">
        <f ca="1">IFERROR(IF(PréstamoNoPagado*PréstamoPagado,NúmeroDePago,""), "")</f>
        <v/>
      </c>
      <c r="C206" s="96" t="str">
        <f ca="1">IFERROR(IF(PréstamoNoPagado*PréstamoPagado,FechaDePago,""), "")</f>
        <v/>
      </c>
      <c r="D206" s="97" t="str">
        <f ca="1">IFERROR(IF(PréstamoNoPagado*PréstamoPagado,ValorPréstamo,""), "")</f>
        <v/>
      </c>
      <c r="E206" s="97" t="str">
        <f ca="1">IFERROR(IF(PréstamoNoPagado*PréstamoPagado,PagoMensual,""), "")</f>
        <v/>
      </c>
      <c r="F206" s="97" t="str">
        <f ca="1">IFERROR(IF(PréstamoNoPagado*PréstamoPagado,Capital,""), "")</f>
        <v/>
      </c>
      <c r="G206" s="97" t="str">
        <f ca="1">IFERROR(IF(PréstamoNoPagado*PréstamoPagado,AmortizaciónInterés,""), "")</f>
        <v/>
      </c>
      <c r="H206" s="97" t="str">
        <f ca="1">IFERROR(IF(PréstamoNoPagado*PréstamoPagado,SaldoFinal,""), "")</f>
        <v/>
      </c>
    </row>
    <row r="207" spans="2:8" ht="20.100000000000001" customHeight="1" x14ac:dyDescent="0.3">
      <c r="B207" s="105" t="str">
        <f ca="1">IFERROR(IF(PréstamoNoPagado*PréstamoPagado,NúmeroDePago,""), "")</f>
        <v/>
      </c>
      <c r="C207" s="96" t="str">
        <f ca="1">IFERROR(IF(PréstamoNoPagado*PréstamoPagado,FechaDePago,""), "")</f>
        <v/>
      </c>
      <c r="D207" s="97" t="str">
        <f ca="1">IFERROR(IF(PréstamoNoPagado*PréstamoPagado,ValorPréstamo,""), "")</f>
        <v/>
      </c>
      <c r="E207" s="97" t="str">
        <f ca="1">IFERROR(IF(PréstamoNoPagado*PréstamoPagado,PagoMensual,""), "")</f>
        <v/>
      </c>
      <c r="F207" s="97" t="str">
        <f ca="1">IFERROR(IF(PréstamoNoPagado*PréstamoPagado,Capital,""), "")</f>
        <v/>
      </c>
      <c r="G207" s="97" t="str">
        <f ca="1">IFERROR(IF(PréstamoNoPagado*PréstamoPagado,AmortizaciónInterés,""), "")</f>
        <v/>
      </c>
      <c r="H207" s="97" t="str">
        <f ca="1">IFERROR(IF(PréstamoNoPagado*PréstamoPagado,SaldoFinal,""), "")</f>
        <v/>
      </c>
    </row>
    <row r="208" spans="2:8" ht="20.100000000000001" customHeight="1" x14ac:dyDescent="0.3">
      <c r="B208" s="105" t="str">
        <f ca="1">IFERROR(IF(PréstamoNoPagado*PréstamoPagado,NúmeroDePago,""), "")</f>
        <v/>
      </c>
      <c r="C208" s="96" t="str">
        <f ca="1">IFERROR(IF(PréstamoNoPagado*PréstamoPagado,FechaDePago,""), "")</f>
        <v/>
      </c>
      <c r="D208" s="97" t="str">
        <f ca="1">IFERROR(IF(PréstamoNoPagado*PréstamoPagado,ValorPréstamo,""), "")</f>
        <v/>
      </c>
      <c r="E208" s="97" t="str">
        <f ca="1">IFERROR(IF(PréstamoNoPagado*PréstamoPagado,PagoMensual,""), "")</f>
        <v/>
      </c>
      <c r="F208" s="97" t="str">
        <f ca="1">IFERROR(IF(PréstamoNoPagado*PréstamoPagado,Capital,""), "")</f>
        <v/>
      </c>
      <c r="G208" s="97" t="str">
        <f ca="1">IFERROR(IF(PréstamoNoPagado*PréstamoPagado,AmortizaciónInterés,""), "")</f>
        <v/>
      </c>
      <c r="H208" s="97" t="str">
        <f ca="1">IFERROR(IF(PréstamoNoPagado*PréstamoPagado,SaldoFinal,""), "")</f>
        <v/>
      </c>
    </row>
    <row r="209" spans="2:8" ht="20.100000000000001" customHeight="1" x14ac:dyDescent="0.3">
      <c r="B209" s="105" t="str">
        <f ca="1">IFERROR(IF(PréstamoNoPagado*PréstamoPagado,NúmeroDePago,""), "")</f>
        <v/>
      </c>
      <c r="C209" s="96" t="str">
        <f ca="1">IFERROR(IF(PréstamoNoPagado*PréstamoPagado,FechaDePago,""), "")</f>
        <v/>
      </c>
      <c r="D209" s="97" t="str">
        <f ca="1">IFERROR(IF(PréstamoNoPagado*PréstamoPagado,ValorPréstamo,""), "")</f>
        <v/>
      </c>
      <c r="E209" s="97" t="str">
        <f ca="1">IFERROR(IF(PréstamoNoPagado*PréstamoPagado,PagoMensual,""), "")</f>
        <v/>
      </c>
      <c r="F209" s="97" t="str">
        <f ca="1">IFERROR(IF(PréstamoNoPagado*PréstamoPagado,Capital,""), "")</f>
        <v/>
      </c>
      <c r="G209" s="97" t="str">
        <f ca="1">IFERROR(IF(PréstamoNoPagado*PréstamoPagado,AmortizaciónInterés,""), "")</f>
        <v/>
      </c>
      <c r="H209" s="97" t="str">
        <f ca="1">IFERROR(IF(PréstamoNoPagado*PréstamoPagado,SaldoFinal,""), "")</f>
        <v/>
      </c>
    </row>
    <row r="210" spans="2:8" ht="20.100000000000001" customHeight="1" x14ac:dyDescent="0.3">
      <c r="B210" s="105" t="str">
        <f ca="1">IFERROR(IF(PréstamoNoPagado*PréstamoPagado,NúmeroDePago,""), "")</f>
        <v/>
      </c>
      <c r="C210" s="96" t="str">
        <f ca="1">IFERROR(IF(PréstamoNoPagado*PréstamoPagado,FechaDePago,""), "")</f>
        <v/>
      </c>
      <c r="D210" s="97" t="str">
        <f ca="1">IFERROR(IF(PréstamoNoPagado*PréstamoPagado,ValorPréstamo,""), "")</f>
        <v/>
      </c>
      <c r="E210" s="97" t="str">
        <f ca="1">IFERROR(IF(PréstamoNoPagado*PréstamoPagado,PagoMensual,""), "")</f>
        <v/>
      </c>
      <c r="F210" s="97" t="str">
        <f ca="1">IFERROR(IF(PréstamoNoPagado*PréstamoPagado,Capital,""), "")</f>
        <v/>
      </c>
      <c r="G210" s="97" t="str">
        <f ca="1">IFERROR(IF(PréstamoNoPagado*PréstamoPagado,AmortizaciónInterés,""), "")</f>
        <v/>
      </c>
      <c r="H210" s="97" t="str">
        <f ca="1">IFERROR(IF(PréstamoNoPagado*PréstamoPagado,SaldoFinal,""), "")</f>
        <v/>
      </c>
    </row>
    <row r="211" spans="2:8" ht="20.100000000000001" customHeight="1" x14ac:dyDescent="0.3">
      <c r="B211" s="105" t="str">
        <f ca="1">IFERROR(IF(PréstamoNoPagado*PréstamoPagado,NúmeroDePago,""), "")</f>
        <v/>
      </c>
      <c r="C211" s="96" t="str">
        <f ca="1">IFERROR(IF(PréstamoNoPagado*PréstamoPagado,FechaDePago,""), "")</f>
        <v/>
      </c>
      <c r="D211" s="97" t="str">
        <f ca="1">IFERROR(IF(PréstamoNoPagado*PréstamoPagado,ValorPréstamo,""), "")</f>
        <v/>
      </c>
      <c r="E211" s="97" t="str">
        <f ca="1">IFERROR(IF(PréstamoNoPagado*PréstamoPagado,PagoMensual,""), "")</f>
        <v/>
      </c>
      <c r="F211" s="97" t="str">
        <f ca="1">IFERROR(IF(PréstamoNoPagado*PréstamoPagado,Capital,""), "")</f>
        <v/>
      </c>
      <c r="G211" s="97" t="str">
        <f ca="1">IFERROR(IF(PréstamoNoPagado*PréstamoPagado,AmortizaciónInterés,""), "")</f>
        <v/>
      </c>
      <c r="H211" s="97" t="str">
        <f ca="1">IFERROR(IF(PréstamoNoPagado*PréstamoPagado,SaldoFinal,""), "")</f>
        <v/>
      </c>
    </row>
    <row r="212" spans="2:8" ht="20.100000000000001" customHeight="1" x14ac:dyDescent="0.3">
      <c r="B212" s="105" t="str">
        <f ca="1">IFERROR(IF(PréstamoNoPagado*PréstamoPagado,NúmeroDePago,""), "")</f>
        <v/>
      </c>
      <c r="C212" s="96" t="str">
        <f ca="1">IFERROR(IF(PréstamoNoPagado*PréstamoPagado,FechaDePago,""), "")</f>
        <v/>
      </c>
      <c r="D212" s="97" t="str">
        <f ca="1">IFERROR(IF(PréstamoNoPagado*PréstamoPagado,ValorPréstamo,""), "")</f>
        <v/>
      </c>
      <c r="E212" s="97" t="str">
        <f ca="1">IFERROR(IF(PréstamoNoPagado*PréstamoPagado,PagoMensual,""), "")</f>
        <v/>
      </c>
      <c r="F212" s="97" t="str">
        <f ca="1">IFERROR(IF(PréstamoNoPagado*PréstamoPagado,Capital,""), "")</f>
        <v/>
      </c>
      <c r="G212" s="97" t="str">
        <f ca="1">IFERROR(IF(PréstamoNoPagado*PréstamoPagado,AmortizaciónInterés,""), "")</f>
        <v/>
      </c>
      <c r="H212" s="97" t="str">
        <f ca="1">IFERROR(IF(PréstamoNoPagado*PréstamoPagado,SaldoFinal,""), "")</f>
        <v/>
      </c>
    </row>
    <row r="213" spans="2:8" ht="20.100000000000001" customHeight="1" x14ac:dyDescent="0.3">
      <c r="B213" s="105" t="str">
        <f ca="1">IFERROR(IF(PréstamoNoPagado*PréstamoPagado,NúmeroDePago,""), "")</f>
        <v/>
      </c>
      <c r="C213" s="96" t="str">
        <f ca="1">IFERROR(IF(PréstamoNoPagado*PréstamoPagado,FechaDePago,""), "")</f>
        <v/>
      </c>
      <c r="D213" s="97" t="str">
        <f ca="1">IFERROR(IF(PréstamoNoPagado*PréstamoPagado,ValorPréstamo,""), "")</f>
        <v/>
      </c>
      <c r="E213" s="97" t="str">
        <f ca="1">IFERROR(IF(PréstamoNoPagado*PréstamoPagado,PagoMensual,""), "")</f>
        <v/>
      </c>
      <c r="F213" s="97" t="str">
        <f ca="1">IFERROR(IF(PréstamoNoPagado*PréstamoPagado,Capital,""), "")</f>
        <v/>
      </c>
      <c r="G213" s="97" t="str">
        <f ca="1">IFERROR(IF(PréstamoNoPagado*PréstamoPagado,AmortizaciónInterés,""), "")</f>
        <v/>
      </c>
      <c r="H213" s="97" t="str">
        <f ca="1">IFERROR(IF(PréstamoNoPagado*PréstamoPagado,SaldoFinal,""), "")</f>
        <v/>
      </c>
    </row>
    <row r="214" spans="2:8" ht="20.100000000000001" customHeight="1" x14ac:dyDescent="0.3">
      <c r="B214" s="105" t="str">
        <f ca="1">IFERROR(IF(PréstamoNoPagado*PréstamoPagado,NúmeroDePago,""), "")</f>
        <v/>
      </c>
      <c r="C214" s="96" t="str">
        <f ca="1">IFERROR(IF(PréstamoNoPagado*PréstamoPagado,FechaDePago,""), "")</f>
        <v/>
      </c>
      <c r="D214" s="97" t="str">
        <f ca="1">IFERROR(IF(PréstamoNoPagado*PréstamoPagado,ValorPréstamo,""), "")</f>
        <v/>
      </c>
      <c r="E214" s="97" t="str">
        <f ca="1">IFERROR(IF(PréstamoNoPagado*PréstamoPagado,PagoMensual,""), "")</f>
        <v/>
      </c>
      <c r="F214" s="97" t="str">
        <f ca="1">IFERROR(IF(PréstamoNoPagado*PréstamoPagado,Capital,""), "")</f>
        <v/>
      </c>
      <c r="G214" s="97" t="str">
        <f ca="1">IFERROR(IF(PréstamoNoPagado*PréstamoPagado,AmortizaciónInterés,""), "")</f>
        <v/>
      </c>
      <c r="H214" s="97" t="str">
        <f ca="1">IFERROR(IF(PréstamoNoPagado*PréstamoPagado,SaldoFinal,""), "")</f>
        <v/>
      </c>
    </row>
    <row r="215" spans="2:8" ht="20.100000000000001" customHeight="1" x14ac:dyDescent="0.3">
      <c r="B215" s="105" t="str">
        <f ca="1">IFERROR(IF(PréstamoNoPagado*PréstamoPagado,NúmeroDePago,""), "")</f>
        <v/>
      </c>
      <c r="C215" s="96" t="str">
        <f ca="1">IFERROR(IF(PréstamoNoPagado*PréstamoPagado,FechaDePago,""), "")</f>
        <v/>
      </c>
      <c r="D215" s="97" t="str">
        <f ca="1">IFERROR(IF(PréstamoNoPagado*PréstamoPagado,ValorPréstamo,""), "")</f>
        <v/>
      </c>
      <c r="E215" s="97" t="str">
        <f ca="1">IFERROR(IF(PréstamoNoPagado*PréstamoPagado,PagoMensual,""), "")</f>
        <v/>
      </c>
      <c r="F215" s="97" t="str">
        <f ca="1">IFERROR(IF(PréstamoNoPagado*PréstamoPagado,Capital,""), "")</f>
        <v/>
      </c>
      <c r="G215" s="97" t="str">
        <f ca="1">IFERROR(IF(PréstamoNoPagado*PréstamoPagado,AmortizaciónInterés,""), "")</f>
        <v/>
      </c>
      <c r="H215" s="97" t="str">
        <f ca="1">IFERROR(IF(PréstamoNoPagado*PréstamoPagado,SaldoFinal,""), "")</f>
        <v/>
      </c>
    </row>
    <row r="216" spans="2:8" ht="20.100000000000001" customHeight="1" x14ac:dyDescent="0.3">
      <c r="B216" s="105" t="str">
        <f ca="1">IFERROR(IF(PréstamoNoPagado*PréstamoPagado,NúmeroDePago,""), "")</f>
        <v/>
      </c>
      <c r="C216" s="96" t="str">
        <f ca="1">IFERROR(IF(PréstamoNoPagado*PréstamoPagado,FechaDePago,""), "")</f>
        <v/>
      </c>
      <c r="D216" s="97" t="str">
        <f ca="1">IFERROR(IF(PréstamoNoPagado*PréstamoPagado,ValorPréstamo,""), "")</f>
        <v/>
      </c>
      <c r="E216" s="97" t="str">
        <f ca="1">IFERROR(IF(PréstamoNoPagado*PréstamoPagado,PagoMensual,""), "")</f>
        <v/>
      </c>
      <c r="F216" s="97" t="str">
        <f ca="1">IFERROR(IF(PréstamoNoPagado*PréstamoPagado,Capital,""), "")</f>
        <v/>
      </c>
      <c r="G216" s="97" t="str">
        <f ca="1">IFERROR(IF(PréstamoNoPagado*PréstamoPagado,AmortizaciónInterés,""), "")</f>
        <v/>
      </c>
      <c r="H216" s="97" t="str">
        <f ca="1">IFERROR(IF(PréstamoNoPagado*PréstamoPagado,SaldoFinal,""), "")</f>
        <v/>
      </c>
    </row>
    <row r="217" spans="2:8" ht="20.100000000000001" customHeight="1" x14ac:dyDescent="0.3">
      <c r="B217" s="105" t="str">
        <f ca="1">IFERROR(IF(PréstamoNoPagado*PréstamoPagado,NúmeroDePago,""), "")</f>
        <v/>
      </c>
      <c r="C217" s="96" t="str">
        <f ca="1">IFERROR(IF(PréstamoNoPagado*PréstamoPagado,FechaDePago,""), "")</f>
        <v/>
      </c>
      <c r="D217" s="97" t="str">
        <f ca="1">IFERROR(IF(PréstamoNoPagado*PréstamoPagado,ValorPréstamo,""), "")</f>
        <v/>
      </c>
      <c r="E217" s="97" t="str">
        <f ca="1">IFERROR(IF(PréstamoNoPagado*PréstamoPagado,PagoMensual,""), "")</f>
        <v/>
      </c>
      <c r="F217" s="97" t="str">
        <f ca="1">IFERROR(IF(PréstamoNoPagado*PréstamoPagado,Capital,""), "")</f>
        <v/>
      </c>
      <c r="G217" s="97" t="str">
        <f ca="1">IFERROR(IF(PréstamoNoPagado*PréstamoPagado,AmortizaciónInterés,""), "")</f>
        <v/>
      </c>
      <c r="H217" s="97" t="str">
        <f ca="1">IFERROR(IF(PréstamoNoPagado*PréstamoPagado,SaldoFinal,""), "")</f>
        <v/>
      </c>
    </row>
    <row r="218" spans="2:8" ht="20.100000000000001" customHeight="1" x14ac:dyDescent="0.3">
      <c r="B218" s="105" t="str">
        <f ca="1">IFERROR(IF(PréstamoNoPagado*PréstamoPagado,NúmeroDePago,""), "")</f>
        <v/>
      </c>
      <c r="C218" s="96" t="str">
        <f ca="1">IFERROR(IF(PréstamoNoPagado*PréstamoPagado,FechaDePago,""), "")</f>
        <v/>
      </c>
      <c r="D218" s="97" t="str">
        <f ca="1">IFERROR(IF(PréstamoNoPagado*PréstamoPagado,ValorPréstamo,""), "")</f>
        <v/>
      </c>
      <c r="E218" s="97" t="str">
        <f ca="1">IFERROR(IF(PréstamoNoPagado*PréstamoPagado,PagoMensual,""), "")</f>
        <v/>
      </c>
      <c r="F218" s="97" t="str">
        <f ca="1">IFERROR(IF(PréstamoNoPagado*PréstamoPagado,Capital,""), "")</f>
        <v/>
      </c>
      <c r="G218" s="97" t="str">
        <f ca="1">IFERROR(IF(PréstamoNoPagado*PréstamoPagado,AmortizaciónInterés,""), "")</f>
        <v/>
      </c>
      <c r="H218" s="97" t="str">
        <f ca="1">IFERROR(IF(PréstamoNoPagado*PréstamoPagado,SaldoFinal,""), "")</f>
        <v/>
      </c>
    </row>
    <row r="219" spans="2:8" ht="20.100000000000001" customHeight="1" x14ac:dyDescent="0.3">
      <c r="B219" s="105" t="str">
        <f ca="1">IFERROR(IF(PréstamoNoPagado*PréstamoPagado,NúmeroDePago,""), "")</f>
        <v/>
      </c>
      <c r="C219" s="96" t="str">
        <f ca="1">IFERROR(IF(PréstamoNoPagado*PréstamoPagado,FechaDePago,""), "")</f>
        <v/>
      </c>
      <c r="D219" s="97" t="str">
        <f ca="1">IFERROR(IF(PréstamoNoPagado*PréstamoPagado,ValorPréstamo,""), "")</f>
        <v/>
      </c>
      <c r="E219" s="97" t="str">
        <f ca="1">IFERROR(IF(PréstamoNoPagado*PréstamoPagado,PagoMensual,""), "")</f>
        <v/>
      </c>
      <c r="F219" s="97" t="str">
        <f ca="1">IFERROR(IF(PréstamoNoPagado*PréstamoPagado,Capital,""), "")</f>
        <v/>
      </c>
      <c r="G219" s="97" t="str">
        <f ca="1">IFERROR(IF(PréstamoNoPagado*PréstamoPagado,AmortizaciónInterés,""), "")</f>
        <v/>
      </c>
      <c r="H219" s="97" t="str">
        <f ca="1">IFERROR(IF(PréstamoNoPagado*PréstamoPagado,SaldoFinal,""), "")</f>
        <v/>
      </c>
    </row>
    <row r="220" spans="2:8" ht="20.100000000000001" customHeight="1" x14ac:dyDescent="0.3">
      <c r="B220" s="105" t="str">
        <f ca="1">IFERROR(IF(PréstamoNoPagado*PréstamoPagado,NúmeroDePago,""), "")</f>
        <v/>
      </c>
      <c r="C220" s="96" t="str">
        <f ca="1">IFERROR(IF(PréstamoNoPagado*PréstamoPagado,FechaDePago,""), "")</f>
        <v/>
      </c>
      <c r="D220" s="97" t="str">
        <f ca="1">IFERROR(IF(PréstamoNoPagado*PréstamoPagado,ValorPréstamo,""), "")</f>
        <v/>
      </c>
      <c r="E220" s="97" t="str">
        <f ca="1">IFERROR(IF(PréstamoNoPagado*PréstamoPagado,PagoMensual,""), "")</f>
        <v/>
      </c>
      <c r="F220" s="97" t="str">
        <f ca="1">IFERROR(IF(PréstamoNoPagado*PréstamoPagado,Capital,""), "")</f>
        <v/>
      </c>
      <c r="G220" s="97" t="str">
        <f ca="1">IFERROR(IF(PréstamoNoPagado*PréstamoPagado,AmortizaciónInterés,""), "")</f>
        <v/>
      </c>
      <c r="H220" s="97" t="str">
        <f ca="1">IFERROR(IF(PréstamoNoPagado*PréstamoPagado,SaldoFinal,""), "")</f>
        <v/>
      </c>
    </row>
    <row r="221" spans="2:8" ht="20.100000000000001" customHeight="1" x14ac:dyDescent="0.3">
      <c r="B221" s="105" t="str">
        <f ca="1">IFERROR(IF(PréstamoNoPagado*PréstamoPagado,NúmeroDePago,""), "")</f>
        <v/>
      </c>
      <c r="C221" s="96" t="str">
        <f ca="1">IFERROR(IF(PréstamoNoPagado*PréstamoPagado,FechaDePago,""), "")</f>
        <v/>
      </c>
      <c r="D221" s="97" t="str">
        <f ca="1">IFERROR(IF(PréstamoNoPagado*PréstamoPagado,ValorPréstamo,""), "")</f>
        <v/>
      </c>
      <c r="E221" s="97" t="str">
        <f ca="1">IFERROR(IF(PréstamoNoPagado*PréstamoPagado,PagoMensual,""), "")</f>
        <v/>
      </c>
      <c r="F221" s="97" t="str">
        <f ca="1">IFERROR(IF(PréstamoNoPagado*PréstamoPagado,Capital,""), "")</f>
        <v/>
      </c>
      <c r="G221" s="97" t="str">
        <f ca="1">IFERROR(IF(PréstamoNoPagado*PréstamoPagado,AmortizaciónInterés,""), "")</f>
        <v/>
      </c>
      <c r="H221" s="97" t="str">
        <f ca="1">IFERROR(IF(PréstamoNoPagado*PréstamoPagado,SaldoFinal,""), "")</f>
        <v/>
      </c>
    </row>
    <row r="222" spans="2:8" ht="20.100000000000001" customHeight="1" x14ac:dyDescent="0.3">
      <c r="B222" s="105" t="str">
        <f ca="1">IFERROR(IF(PréstamoNoPagado*PréstamoPagado,NúmeroDePago,""), "")</f>
        <v/>
      </c>
      <c r="C222" s="96" t="str">
        <f ca="1">IFERROR(IF(PréstamoNoPagado*PréstamoPagado,FechaDePago,""), "")</f>
        <v/>
      </c>
      <c r="D222" s="97" t="str">
        <f ca="1">IFERROR(IF(PréstamoNoPagado*PréstamoPagado,ValorPréstamo,""), "")</f>
        <v/>
      </c>
      <c r="E222" s="97" t="str">
        <f ca="1">IFERROR(IF(PréstamoNoPagado*PréstamoPagado,PagoMensual,""), "")</f>
        <v/>
      </c>
      <c r="F222" s="97" t="str">
        <f ca="1">IFERROR(IF(PréstamoNoPagado*PréstamoPagado,Capital,""), "")</f>
        <v/>
      </c>
      <c r="G222" s="97" t="str">
        <f ca="1">IFERROR(IF(PréstamoNoPagado*PréstamoPagado,AmortizaciónInterés,""), "")</f>
        <v/>
      </c>
      <c r="H222" s="97" t="str">
        <f ca="1">IFERROR(IF(PréstamoNoPagado*PréstamoPagado,SaldoFinal,""), "")</f>
        <v/>
      </c>
    </row>
    <row r="223" spans="2:8" ht="20.100000000000001" customHeight="1" x14ac:dyDescent="0.3">
      <c r="B223" s="105" t="str">
        <f ca="1">IFERROR(IF(PréstamoNoPagado*PréstamoPagado,NúmeroDePago,""), "")</f>
        <v/>
      </c>
      <c r="C223" s="96" t="str">
        <f ca="1">IFERROR(IF(PréstamoNoPagado*PréstamoPagado,FechaDePago,""), "")</f>
        <v/>
      </c>
      <c r="D223" s="97" t="str">
        <f ca="1">IFERROR(IF(PréstamoNoPagado*PréstamoPagado,ValorPréstamo,""), "")</f>
        <v/>
      </c>
      <c r="E223" s="97" t="str">
        <f ca="1">IFERROR(IF(PréstamoNoPagado*PréstamoPagado,PagoMensual,""), "")</f>
        <v/>
      </c>
      <c r="F223" s="97" t="str">
        <f ca="1">IFERROR(IF(PréstamoNoPagado*PréstamoPagado,Capital,""), "")</f>
        <v/>
      </c>
      <c r="G223" s="97" t="str">
        <f ca="1">IFERROR(IF(PréstamoNoPagado*PréstamoPagado,AmortizaciónInterés,""), "")</f>
        <v/>
      </c>
      <c r="H223" s="97" t="str">
        <f ca="1">IFERROR(IF(PréstamoNoPagado*PréstamoPagado,SaldoFinal,""), "")</f>
        <v/>
      </c>
    </row>
    <row r="224" spans="2:8" ht="20.100000000000001" customHeight="1" x14ac:dyDescent="0.3">
      <c r="B224" s="105" t="str">
        <f ca="1">IFERROR(IF(PréstamoNoPagado*PréstamoPagado,NúmeroDePago,""), "")</f>
        <v/>
      </c>
      <c r="C224" s="96" t="str">
        <f ca="1">IFERROR(IF(PréstamoNoPagado*PréstamoPagado,FechaDePago,""), "")</f>
        <v/>
      </c>
      <c r="D224" s="97" t="str">
        <f ca="1">IFERROR(IF(PréstamoNoPagado*PréstamoPagado,ValorPréstamo,""), "")</f>
        <v/>
      </c>
      <c r="E224" s="97" t="str">
        <f ca="1">IFERROR(IF(PréstamoNoPagado*PréstamoPagado,PagoMensual,""), "")</f>
        <v/>
      </c>
      <c r="F224" s="97" t="str">
        <f ca="1">IFERROR(IF(PréstamoNoPagado*PréstamoPagado,Capital,""), "")</f>
        <v/>
      </c>
      <c r="G224" s="97" t="str">
        <f ca="1">IFERROR(IF(PréstamoNoPagado*PréstamoPagado,AmortizaciónInterés,""), "")</f>
        <v/>
      </c>
      <c r="H224" s="97" t="str">
        <f ca="1">IFERROR(IF(PréstamoNoPagado*PréstamoPagado,SaldoFinal,""), "")</f>
        <v/>
      </c>
    </row>
    <row r="225" spans="2:8" ht="20.100000000000001" customHeight="1" x14ac:dyDescent="0.3">
      <c r="B225" s="105" t="str">
        <f ca="1">IFERROR(IF(PréstamoNoPagado*PréstamoPagado,NúmeroDePago,""), "")</f>
        <v/>
      </c>
      <c r="C225" s="96" t="str">
        <f ca="1">IFERROR(IF(PréstamoNoPagado*PréstamoPagado,FechaDePago,""), "")</f>
        <v/>
      </c>
      <c r="D225" s="97" t="str">
        <f ca="1">IFERROR(IF(PréstamoNoPagado*PréstamoPagado,ValorPréstamo,""), "")</f>
        <v/>
      </c>
      <c r="E225" s="97" t="str">
        <f ca="1">IFERROR(IF(PréstamoNoPagado*PréstamoPagado,PagoMensual,""), "")</f>
        <v/>
      </c>
      <c r="F225" s="97" t="str">
        <f ca="1">IFERROR(IF(PréstamoNoPagado*PréstamoPagado,Capital,""), "")</f>
        <v/>
      </c>
      <c r="G225" s="97" t="str">
        <f ca="1">IFERROR(IF(PréstamoNoPagado*PréstamoPagado,AmortizaciónInterés,""), "")</f>
        <v/>
      </c>
      <c r="H225" s="97" t="str">
        <f ca="1">IFERROR(IF(PréstamoNoPagado*PréstamoPagado,SaldoFinal,""), "")</f>
        <v/>
      </c>
    </row>
    <row r="226" spans="2:8" ht="20.100000000000001" customHeight="1" x14ac:dyDescent="0.3">
      <c r="B226" s="105" t="str">
        <f ca="1">IFERROR(IF(PréstamoNoPagado*PréstamoPagado,NúmeroDePago,""), "")</f>
        <v/>
      </c>
      <c r="C226" s="96" t="str">
        <f ca="1">IFERROR(IF(PréstamoNoPagado*PréstamoPagado,FechaDePago,""), "")</f>
        <v/>
      </c>
      <c r="D226" s="97" t="str">
        <f ca="1">IFERROR(IF(PréstamoNoPagado*PréstamoPagado,ValorPréstamo,""), "")</f>
        <v/>
      </c>
      <c r="E226" s="97" t="str">
        <f ca="1">IFERROR(IF(PréstamoNoPagado*PréstamoPagado,PagoMensual,""), "")</f>
        <v/>
      </c>
      <c r="F226" s="97" t="str">
        <f ca="1">IFERROR(IF(PréstamoNoPagado*PréstamoPagado,Capital,""), "")</f>
        <v/>
      </c>
      <c r="G226" s="97" t="str">
        <f ca="1">IFERROR(IF(PréstamoNoPagado*PréstamoPagado,AmortizaciónInterés,""), "")</f>
        <v/>
      </c>
      <c r="H226" s="97" t="str">
        <f ca="1">IFERROR(IF(PréstamoNoPagado*PréstamoPagado,SaldoFinal,""), "")</f>
        <v/>
      </c>
    </row>
    <row r="227" spans="2:8" ht="20.100000000000001" customHeight="1" x14ac:dyDescent="0.3">
      <c r="B227" s="105" t="str">
        <f ca="1">IFERROR(IF(PréstamoNoPagado*PréstamoPagado,NúmeroDePago,""), "")</f>
        <v/>
      </c>
      <c r="C227" s="96" t="str">
        <f ca="1">IFERROR(IF(PréstamoNoPagado*PréstamoPagado,FechaDePago,""), "")</f>
        <v/>
      </c>
      <c r="D227" s="97" t="str">
        <f ca="1">IFERROR(IF(PréstamoNoPagado*PréstamoPagado,ValorPréstamo,""), "")</f>
        <v/>
      </c>
      <c r="E227" s="97" t="str">
        <f ca="1">IFERROR(IF(PréstamoNoPagado*PréstamoPagado,PagoMensual,""), "")</f>
        <v/>
      </c>
      <c r="F227" s="97" t="str">
        <f ca="1">IFERROR(IF(PréstamoNoPagado*PréstamoPagado,Capital,""), "")</f>
        <v/>
      </c>
      <c r="G227" s="97" t="str">
        <f ca="1">IFERROR(IF(PréstamoNoPagado*PréstamoPagado,AmortizaciónInterés,""), "")</f>
        <v/>
      </c>
      <c r="H227" s="97" t="str">
        <f ca="1">IFERROR(IF(PréstamoNoPagado*PréstamoPagado,SaldoFinal,""), "")</f>
        <v/>
      </c>
    </row>
    <row r="228" spans="2:8" ht="20.100000000000001" customHeight="1" x14ac:dyDescent="0.3">
      <c r="B228" s="105" t="str">
        <f ca="1">IFERROR(IF(PréstamoNoPagado*PréstamoPagado,NúmeroDePago,""), "")</f>
        <v/>
      </c>
      <c r="C228" s="96" t="str">
        <f ca="1">IFERROR(IF(PréstamoNoPagado*PréstamoPagado,FechaDePago,""), "")</f>
        <v/>
      </c>
      <c r="D228" s="97" t="str">
        <f ca="1">IFERROR(IF(PréstamoNoPagado*PréstamoPagado,ValorPréstamo,""), "")</f>
        <v/>
      </c>
      <c r="E228" s="97" t="str">
        <f ca="1">IFERROR(IF(PréstamoNoPagado*PréstamoPagado,PagoMensual,""), "")</f>
        <v/>
      </c>
      <c r="F228" s="97" t="str">
        <f ca="1">IFERROR(IF(PréstamoNoPagado*PréstamoPagado,Capital,""), "")</f>
        <v/>
      </c>
      <c r="G228" s="97" t="str">
        <f ca="1">IFERROR(IF(PréstamoNoPagado*PréstamoPagado,AmortizaciónInterés,""), "")</f>
        <v/>
      </c>
      <c r="H228" s="97" t="str">
        <f ca="1">IFERROR(IF(PréstamoNoPagado*PréstamoPagado,SaldoFinal,""), "")</f>
        <v/>
      </c>
    </row>
    <row r="229" spans="2:8" ht="20.100000000000001" customHeight="1" x14ac:dyDescent="0.3">
      <c r="B229" s="105" t="str">
        <f ca="1">IFERROR(IF(PréstamoNoPagado*PréstamoPagado,NúmeroDePago,""), "")</f>
        <v/>
      </c>
      <c r="C229" s="96" t="str">
        <f ca="1">IFERROR(IF(PréstamoNoPagado*PréstamoPagado,FechaDePago,""), "")</f>
        <v/>
      </c>
      <c r="D229" s="97" t="str">
        <f ca="1">IFERROR(IF(PréstamoNoPagado*PréstamoPagado,ValorPréstamo,""), "")</f>
        <v/>
      </c>
      <c r="E229" s="97" t="str">
        <f ca="1">IFERROR(IF(PréstamoNoPagado*PréstamoPagado,PagoMensual,""), "")</f>
        <v/>
      </c>
      <c r="F229" s="97" t="str">
        <f ca="1">IFERROR(IF(PréstamoNoPagado*PréstamoPagado,Capital,""), "")</f>
        <v/>
      </c>
      <c r="G229" s="97" t="str">
        <f ca="1">IFERROR(IF(PréstamoNoPagado*PréstamoPagado,AmortizaciónInterés,""), "")</f>
        <v/>
      </c>
      <c r="H229" s="97" t="str">
        <f ca="1">IFERROR(IF(PréstamoNoPagado*PréstamoPagado,SaldoFinal,""), "")</f>
        <v/>
      </c>
    </row>
    <row r="230" spans="2:8" ht="20.100000000000001" customHeight="1" x14ac:dyDescent="0.3">
      <c r="B230" s="105" t="str">
        <f ca="1">IFERROR(IF(PréstamoNoPagado*PréstamoPagado,NúmeroDePago,""), "")</f>
        <v/>
      </c>
      <c r="C230" s="96" t="str">
        <f ca="1">IFERROR(IF(PréstamoNoPagado*PréstamoPagado,FechaDePago,""), "")</f>
        <v/>
      </c>
      <c r="D230" s="97" t="str">
        <f ca="1">IFERROR(IF(PréstamoNoPagado*PréstamoPagado,ValorPréstamo,""), "")</f>
        <v/>
      </c>
      <c r="E230" s="97" t="str">
        <f ca="1">IFERROR(IF(PréstamoNoPagado*PréstamoPagado,PagoMensual,""), "")</f>
        <v/>
      </c>
      <c r="F230" s="97" t="str">
        <f ca="1">IFERROR(IF(PréstamoNoPagado*PréstamoPagado,Capital,""), "")</f>
        <v/>
      </c>
      <c r="G230" s="97" t="str">
        <f ca="1">IFERROR(IF(PréstamoNoPagado*PréstamoPagado,AmortizaciónInterés,""), "")</f>
        <v/>
      </c>
      <c r="H230" s="97" t="str">
        <f ca="1">IFERROR(IF(PréstamoNoPagado*PréstamoPagado,SaldoFinal,""), "")</f>
        <v/>
      </c>
    </row>
    <row r="231" spans="2:8" ht="20.100000000000001" customHeight="1" x14ac:dyDescent="0.3">
      <c r="B231" s="105" t="str">
        <f ca="1">IFERROR(IF(PréstamoNoPagado*PréstamoPagado,NúmeroDePago,""), "")</f>
        <v/>
      </c>
      <c r="C231" s="96" t="str">
        <f ca="1">IFERROR(IF(PréstamoNoPagado*PréstamoPagado,FechaDePago,""), "")</f>
        <v/>
      </c>
      <c r="D231" s="97" t="str">
        <f ca="1">IFERROR(IF(PréstamoNoPagado*PréstamoPagado,ValorPréstamo,""), "")</f>
        <v/>
      </c>
      <c r="E231" s="97" t="str">
        <f ca="1">IFERROR(IF(PréstamoNoPagado*PréstamoPagado,PagoMensual,""), "")</f>
        <v/>
      </c>
      <c r="F231" s="97" t="str">
        <f ca="1">IFERROR(IF(PréstamoNoPagado*PréstamoPagado,Capital,""), "")</f>
        <v/>
      </c>
      <c r="G231" s="97" t="str">
        <f ca="1">IFERROR(IF(PréstamoNoPagado*PréstamoPagado,AmortizaciónInterés,""), "")</f>
        <v/>
      </c>
      <c r="H231" s="97" t="str">
        <f ca="1">IFERROR(IF(PréstamoNoPagado*PréstamoPagado,SaldoFinal,""), "")</f>
        <v/>
      </c>
    </row>
    <row r="232" spans="2:8" ht="20.100000000000001" customHeight="1" x14ac:dyDescent="0.3">
      <c r="B232" s="105" t="str">
        <f ca="1">IFERROR(IF(PréstamoNoPagado*PréstamoPagado,NúmeroDePago,""), "")</f>
        <v/>
      </c>
      <c r="C232" s="96" t="str">
        <f ca="1">IFERROR(IF(PréstamoNoPagado*PréstamoPagado,FechaDePago,""), "")</f>
        <v/>
      </c>
      <c r="D232" s="97" t="str">
        <f ca="1">IFERROR(IF(PréstamoNoPagado*PréstamoPagado,ValorPréstamo,""), "")</f>
        <v/>
      </c>
      <c r="E232" s="97" t="str">
        <f ca="1">IFERROR(IF(PréstamoNoPagado*PréstamoPagado,PagoMensual,""), "")</f>
        <v/>
      </c>
      <c r="F232" s="97" t="str">
        <f ca="1">IFERROR(IF(PréstamoNoPagado*PréstamoPagado,Capital,""), "")</f>
        <v/>
      </c>
      <c r="G232" s="97" t="str">
        <f ca="1">IFERROR(IF(PréstamoNoPagado*PréstamoPagado,AmortizaciónInterés,""), "")</f>
        <v/>
      </c>
      <c r="H232" s="97" t="str">
        <f ca="1">IFERROR(IF(PréstamoNoPagado*PréstamoPagado,SaldoFinal,""), "")</f>
        <v/>
      </c>
    </row>
    <row r="233" spans="2:8" ht="20.100000000000001" customHeight="1" x14ac:dyDescent="0.3">
      <c r="B233" s="105" t="str">
        <f ca="1">IFERROR(IF(PréstamoNoPagado*PréstamoPagado,NúmeroDePago,""), "")</f>
        <v/>
      </c>
      <c r="C233" s="96" t="str">
        <f ca="1">IFERROR(IF(PréstamoNoPagado*PréstamoPagado,FechaDePago,""), "")</f>
        <v/>
      </c>
      <c r="D233" s="97" t="str">
        <f ca="1">IFERROR(IF(PréstamoNoPagado*PréstamoPagado,ValorPréstamo,""), "")</f>
        <v/>
      </c>
      <c r="E233" s="97" t="str">
        <f ca="1">IFERROR(IF(PréstamoNoPagado*PréstamoPagado,PagoMensual,""), "")</f>
        <v/>
      </c>
      <c r="F233" s="97" t="str">
        <f ca="1">IFERROR(IF(PréstamoNoPagado*PréstamoPagado,Capital,""), "")</f>
        <v/>
      </c>
      <c r="G233" s="97" t="str">
        <f ca="1">IFERROR(IF(PréstamoNoPagado*PréstamoPagado,AmortizaciónInterés,""), "")</f>
        <v/>
      </c>
      <c r="H233" s="97" t="str">
        <f ca="1">IFERROR(IF(PréstamoNoPagado*PréstamoPagado,SaldoFinal,""), "")</f>
        <v/>
      </c>
    </row>
    <row r="234" spans="2:8" ht="20.100000000000001" customHeight="1" x14ac:dyDescent="0.3">
      <c r="B234" s="105" t="str">
        <f ca="1">IFERROR(IF(PréstamoNoPagado*PréstamoPagado,NúmeroDePago,""), "")</f>
        <v/>
      </c>
      <c r="C234" s="96" t="str">
        <f ca="1">IFERROR(IF(PréstamoNoPagado*PréstamoPagado,FechaDePago,""), "")</f>
        <v/>
      </c>
      <c r="D234" s="97" t="str">
        <f ca="1">IFERROR(IF(PréstamoNoPagado*PréstamoPagado,ValorPréstamo,""), "")</f>
        <v/>
      </c>
      <c r="E234" s="97" t="str">
        <f ca="1">IFERROR(IF(PréstamoNoPagado*PréstamoPagado,PagoMensual,""), "")</f>
        <v/>
      </c>
      <c r="F234" s="97" t="str">
        <f ca="1">IFERROR(IF(PréstamoNoPagado*PréstamoPagado,Capital,""), "")</f>
        <v/>
      </c>
      <c r="G234" s="97" t="str">
        <f ca="1">IFERROR(IF(PréstamoNoPagado*PréstamoPagado,AmortizaciónInterés,""), "")</f>
        <v/>
      </c>
      <c r="H234" s="97" t="str">
        <f ca="1">IFERROR(IF(PréstamoNoPagado*PréstamoPagado,SaldoFinal,""), "")</f>
        <v/>
      </c>
    </row>
    <row r="235" spans="2:8" ht="20.100000000000001" customHeight="1" x14ac:dyDescent="0.3">
      <c r="B235" s="105" t="str">
        <f ca="1">IFERROR(IF(PréstamoNoPagado*PréstamoPagado,NúmeroDePago,""), "")</f>
        <v/>
      </c>
      <c r="C235" s="96" t="str">
        <f ca="1">IFERROR(IF(PréstamoNoPagado*PréstamoPagado,FechaDePago,""), "")</f>
        <v/>
      </c>
      <c r="D235" s="97" t="str">
        <f ca="1">IFERROR(IF(PréstamoNoPagado*PréstamoPagado,ValorPréstamo,""), "")</f>
        <v/>
      </c>
      <c r="E235" s="97" t="str">
        <f ca="1">IFERROR(IF(PréstamoNoPagado*PréstamoPagado,PagoMensual,""), "")</f>
        <v/>
      </c>
      <c r="F235" s="97" t="str">
        <f ca="1">IFERROR(IF(PréstamoNoPagado*PréstamoPagado,Capital,""), "")</f>
        <v/>
      </c>
      <c r="G235" s="97" t="str">
        <f ca="1">IFERROR(IF(PréstamoNoPagado*PréstamoPagado,AmortizaciónInterés,""), "")</f>
        <v/>
      </c>
      <c r="H235" s="97" t="str">
        <f ca="1">IFERROR(IF(PréstamoNoPagado*PréstamoPagado,SaldoFinal,""), "")</f>
        <v/>
      </c>
    </row>
    <row r="236" spans="2:8" ht="20.100000000000001" customHeight="1" x14ac:dyDescent="0.3">
      <c r="B236" s="105" t="str">
        <f ca="1">IFERROR(IF(PréstamoNoPagado*PréstamoPagado,NúmeroDePago,""), "")</f>
        <v/>
      </c>
      <c r="C236" s="96" t="str">
        <f ca="1">IFERROR(IF(PréstamoNoPagado*PréstamoPagado,FechaDePago,""), "")</f>
        <v/>
      </c>
      <c r="D236" s="97" t="str">
        <f ca="1">IFERROR(IF(PréstamoNoPagado*PréstamoPagado,ValorPréstamo,""), "")</f>
        <v/>
      </c>
      <c r="E236" s="97" t="str">
        <f ca="1">IFERROR(IF(PréstamoNoPagado*PréstamoPagado,PagoMensual,""), "")</f>
        <v/>
      </c>
      <c r="F236" s="97" t="str">
        <f ca="1">IFERROR(IF(PréstamoNoPagado*PréstamoPagado,Capital,""), "")</f>
        <v/>
      </c>
      <c r="G236" s="97" t="str">
        <f ca="1">IFERROR(IF(PréstamoNoPagado*PréstamoPagado,AmortizaciónInterés,""), "")</f>
        <v/>
      </c>
      <c r="H236" s="97" t="str">
        <f ca="1">IFERROR(IF(PréstamoNoPagado*PréstamoPagado,SaldoFinal,""), "")</f>
        <v/>
      </c>
    </row>
    <row r="237" spans="2:8" ht="20.100000000000001" customHeight="1" x14ac:dyDescent="0.3">
      <c r="B237" s="105" t="str">
        <f ca="1">IFERROR(IF(PréstamoNoPagado*PréstamoPagado,NúmeroDePago,""), "")</f>
        <v/>
      </c>
      <c r="C237" s="96" t="str">
        <f ca="1">IFERROR(IF(PréstamoNoPagado*PréstamoPagado,FechaDePago,""), "")</f>
        <v/>
      </c>
      <c r="D237" s="97" t="str">
        <f ca="1">IFERROR(IF(PréstamoNoPagado*PréstamoPagado,ValorPréstamo,""), "")</f>
        <v/>
      </c>
      <c r="E237" s="97" t="str">
        <f ca="1">IFERROR(IF(PréstamoNoPagado*PréstamoPagado,PagoMensual,""), "")</f>
        <v/>
      </c>
      <c r="F237" s="97" t="str">
        <f ca="1">IFERROR(IF(PréstamoNoPagado*PréstamoPagado,Capital,""), "")</f>
        <v/>
      </c>
      <c r="G237" s="97" t="str">
        <f ca="1">IFERROR(IF(PréstamoNoPagado*PréstamoPagado,AmortizaciónInterés,""), "")</f>
        <v/>
      </c>
      <c r="H237" s="97" t="str">
        <f ca="1">IFERROR(IF(PréstamoNoPagado*PréstamoPagado,SaldoFinal,""), "")</f>
        <v/>
      </c>
    </row>
    <row r="238" spans="2:8" ht="20.100000000000001" customHeight="1" x14ac:dyDescent="0.3">
      <c r="B238" s="105" t="str">
        <f ca="1">IFERROR(IF(PréstamoNoPagado*PréstamoPagado,NúmeroDePago,""), "")</f>
        <v/>
      </c>
      <c r="C238" s="96" t="str">
        <f ca="1">IFERROR(IF(PréstamoNoPagado*PréstamoPagado,FechaDePago,""), "")</f>
        <v/>
      </c>
      <c r="D238" s="97" t="str">
        <f ca="1">IFERROR(IF(PréstamoNoPagado*PréstamoPagado,ValorPréstamo,""), "")</f>
        <v/>
      </c>
      <c r="E238" s="97" t="str">
        <f ca="1">IFERROR(IF(PréstamoNoPagado*PréstamoPagado,PagoMensual,""), "")</f>
        <v/>
      </c>
      <c r="F238" s="97" t="str">
        <f ca="1">IFERROR(IF(PréstamoNoPagado*PréstamoPagado,Capital,""), "")</f>
        <v/>
      </c>
      <c r="G238" s="97" t="str">
        <f ca="1">IFERROR(IF(PréstamoNoPagado*PréstamoPagado,AmortizaciónInterés,""), "")</f>
        <v/>
      </c>
      <c r="H238" s="97" t="str">
        <f ca="1">IFERROR(IF(PréstamoNoPagado*PréstamoPagado,SaldoFinal,""), "")</f>
        <v/>
      </c>
    </row>
    <row r="239" spans="2:8" ht="20.100000000000001" customHeight="1" x14ac:dyDescent="0.3">
      <c r="B239" s="105" t="str">
        <f ca="1">IFERROR(IF(PréstamoNoPagado*PréstamoPagado,NúmeroDePago,""), "")</f>
        <v/>
      </c>
      <c r="C239" s="96" t="str">
        <f ca="1">IFERROR(IF(PréstamoNoPagado*PréstamoPagado,FechaDePago,""), "")</f>
        <v/>
      </c>
      <c r="D239" s="97" t="str">
        <f ca="1">IFERROR(IF(PréstamoNoPagado*PréstamoPagado,ValorPréstamo,""), "")</f>
        <v/>
      </c>
      <c r="E239" s="97" t="str">
        <f ca="1">IFERROR(IF(PréstamoNoPagado*PréstamoPagado,PagoMensual,""), "")</f>
        <v/>
      </c>
      <c r="F239" s="97" t="str">
        <f ca="1">IFERROR(IF(PréstamoNoPagado*PréstamoPagado,Capital,""), "")</f>
        <v/>
      </c>
      <c r="G239" s="97" t="str">
        <f ca="1">IFERROR(IF(PréstamoNoPagado*PréstamoPagado,AmortizaciónInterés,""), "")</f>
        <v/>
      </c>
      <c r="H239" s="97" t="str">
        <f ca="1">IFERROR(IF(PréstamoNoPagado*PréstamoPagado,SaldoFinal,""), "")</f>
        <v/>
      </c>
    </row>
    <row r="240" spans="2:8" ht="20.100000000000001" customHeight="1" x14ac:dyDescent="0.3">
      <c r="B240" s="105" t="str">
        <f ca="1">IFERROR(IF(PréstamoNoPagado*PréstamoPagado,NúmeroDePago,""), "")</f>
        <v/>
      </c>
      <c r="C240" s="96" t="str">
        <f ca="1">IFERROR(IF(PréstamoNoPagado*PréstamoPagado,FechaDePago,""), "")</f>
        <v/>
      </c>
      <c r="D240" s="97" t="str">
        <f ca="1">IFERROR(IF(PréstamoNoPagado*PréstamoPagado,ValorPréstamo,""), "")</f>
        <v/>
      </c>
      <c r="E240" s="97" t="str">
        <f ca="1">IFERROR(IF(PréstamoNoPagado*PréstamoPagado,PagoMensual,""), "")</f>
        <v/>
      </c>
      <c r="F240" s="97" t="str">
        <f ca="1">IFERROR(IF(PréstamoNoPagado*PréstamoPagado,Capital,""), "")</f>
        <v/>
      </c>
      <c r="G240" s="97" t="str">
        <f ca="1">IFERROR(IF(PréstamoNoPagado*PréstamoPagado,AmortizaciónInterés,""), "")</f>
        <v/>
      </c>
      <c r="H240" s="97" t="str">
        <f ca="1">IFERROR(IF(PréstamoNoPagado*PréstamoPagado,SaldoFinal,""), "")</f>
        <v/>
      </c>
    </row>
    <row r="241" spans="2:8" ht="20.100000000000001" customHeight="1" x14ac:dyDescent="0.3">
      <c r="B241" s="105" t="str">
        <f ca="1">IFERROR(IF(PréstamoNoPagado*PréstamoPagado,NúmeroDePago,""), "")</f>
        <v/>
      </c>
      <c r="C241" s="96" t="str">
        <f ca="1">IFERROR(IF(PréstamoNoPagado*PréstamoPagado,FechaDePago,""), "")</f>
        <v/>
      </c>
      <c r="D241" s="97" t="str">
        <f ca="1">IFERROR(IF(PréstamoNoPagado*PréstamoPagado,ValorPréstamo,""), "")</f>
        <v/>
      </c>
      <c r="E241" s="97" t="str">
        <f ca="1">IFERROR(IF(PréstamoNoPagado*PréstamoPagado,PagoMensual,""), "")</f>
        <v/>
      </c>
      <c r="F241" s="97" t="str">
        <f ca="1">IFERROR(IF(PréstamoNoPagado*PréstamoPagado,Capital,""), "")</f>
        <v/>
      </c>
      <c r="G241" s="97" t="str">
        <f ca="1">IFERROR(IF(PréstamoNoPagado*PréstamoPagado,AmortizaciónInterés,""), "")</f>
        <v/>
      </c>
      <c r="H241" s="97" t="str">
        <f ca="1">IFERROR(IF(PréstamoNoPagado*PréstamoPagado,SaldoFinal,""), "")</f>
        <v/>
      </c>
    </row>
    <row r="242" spans="2:8" ht="20.100000000000001" customHeight="1" x14ac:dyDescent="0.3">
      <c r="B242" s="105" t="str">
        <f ca="1">IFERROR(IF(PréstamoNoPagado*PréstamoPagado,NúmeroDePago,""), "")</f>
        <v/>
      </c>
      <c r="C242" s="96" t="str">
        <f ca="1">IFERROR(IF(PréstamoNoPagado*PréstamoPagado,FechaDePago,""), "")</f>
        <v/>
      </c>
      <c r="D242" s="97" t="str">
        <f ca="1">IFERROR(IF(PréstamoNoPagado*PréstamoPagado,ValorPréstamo,""), "")</f>
        <v/>
      </c>
      <c r="E242" s="97" t="str">
        <f ca="1">IFERROR(IF(PréstamoNoPagado*PréstamoPagado,PagoMensual,""), "")</f>
        <v/>
      </c>
      <c r="F242" s="97" t="str">
        <f ca="1">IFERROR(IF(PréstamoNoPagado*PréstamoPagado,Capital,""), "")</f>
        <v/>
      </c>
      <c r="G242" s="97" t="str">
        <f ca="1">IFERROR(IF(PréstamoNoPagado*PréstamoPagado,AmortizaciónInterés,""), "")</f>
        <v/>
      </c>
      <c r="H242" s="97" t="str">
        <f ca="1">IFERROR(IF(PréstamoNoPagado*PréstamoPagado,SaldoFinal,""), "")</f>
        <v/>
      </c>
    </row>
    <row r="243" spans="2:8" ht="20.100000000000001" customHeight="1" x14ac:dyDescent="0.3">
      <c r="B243" s="105" t="str">
        <f ca="1">IFERROR(IF(PréstamoNoPagado*PréstamoPagado,NúmeroDePago,""), "")</f>
        <v/>
      </c>
      <c r="C243" s="96" t="str">
        <f ca="1">IFERROR(IF(PréstamoNoPagado*PréstamoPagado,FechaDePago,""), "")</f>
        <v/>
      </c>
      <c r="D243" s="97" t="str">
        <f ca="1">IFERROR(IF(PréstamoNoPagado*PréstamoPagado,ValorPréstamo,""), "")</f>
        <v/>
      </c>
      <c r="E243" s="97" t="str">
        <f ca="1">IFERROR(IF(PréstamoNoPagado*PréstamoPagado,PagoMensual,""), "")</f>
        <v/>
      </c>
      <c r="F243" s="97" t="str">
        <f ca="1">IFERROR(IF(PréstamoNoPagado*PréstamoPagado,Capital,""), "")</f>
        <v/>
      </c>
      <c r="G243" s="97" t="str">
        <f ca="1">IFERROR(IF(PréstamoNoPagado*PréstamoPagado,AmortizaciónInterés,""), "")</f>
        <v/>
      </c>
      <c r="H243" s="97" t="str">
        <f ca="1">IFERROR(IF(PréstamoNoPagado*PréstamoPagado,SaldoFinal,""), "")</f>
        <v/>
      </c>
    </row>
    <row r="244" spans="2:8" ht="20.100000000000001" customHeight="1" x14ac:dyDescent="0.3">
      <c r="B244" s="105" t="str">
        <f ca="1">IFERROR(IF(PréstamoNoPagado*PréstamoPagado,NúmeroDePago,""), "")</f>
        <v/>
      </c>
      <c r="C244" s="96" t="str">
        <f ca="1">IFERROR(IF(PréstamoNoPagado*PréstamoPagado,FechaDePago,""), "")</f>
        <v/>
      </c>
      <c r="D244" s="97" t="str">
        <f ca="1">IFERROR(IF(PréstamoNoPagado*PréstamoPagado,ValorPréstamo,""), "")</f>
        <v/>
      </c>
      <c r="E244" s="97" t="str">
        <f ca="1">IFERROR(IF(PréstamoNoPagado*PréstamoPagado,PagoMensual,""), "")</f>
        <v/>
      </c>
      <c r="F244" s="97" t="str">
        <f ca="1">IFERROR(IF(PréstamoNoPagado*PréstamoPagado,Capital,""), "")</f>
        <v/>
      </c>
      <c r="G244" s="97" t="str">
        <f ca="1">IFERROR(IF(PréstamoNoPagado*PréstamoPagado,AmortizaciónInterés,""), "")</f>
        <v/>
      </c>
      <c r="H244" s="97" t="str">
        <f ca="1">IFERROR(IF(PréstamoNoPagado*PréstamoPagado,SaldoFinal,""), "")</f>
        <v/>
      </c>
    </row>
    <row r="245" spans="2:8" ht="20.100000000000001" customHeight="1" x14ac:dyDescent="0.3">
      <c r="B245" s="105" t="str">
        <f ca="1">IFERROR(IF(PréstamoNoPagado*PréstamoPagado,NúmeroDePago,""), "")</f>
        <v/>
      </c>
      <c r="C245" s="96" t="str">
        <f ca="1">IFERROR(IF(PréstamoNoPagado*PréstamoPagado,FechaDePago,""), "")</f>
        <v/>
      </c>
      <c r="D245" s="97" t="str">
        <f ca="1">IFERROR(IF(PréstamoNoPagado*PréstamoPagado,ValorPréstamo,""), "")</f>
        <v/>
      </c>
      <c r="E245" s="97" t="str">
        <f ca="1">IFERROR(IF(PréstamoNoPagado*PréstamoPagado,PagoMensual,""), "")</f>
        <v/>
      </c>
      <c r="F245" s="97" t="str">
        <f ca="1">IFERROR(IF(PréstamoNoPagado*PréstamoPagado,Capital,""), "")</f>
        <v/>
      </c>
      <c r="G245" s="97" t="str">
        <f ca="1">IFERROR(IF(PréstamoNoPagado*PréstamoPagado,AmortizaciónInterés,""), "")</f>
        <v/>
      </c>
      <c r="H245" s="97" t="str">
        <f ca="1">IFERROR(IF(PréstamoNoPagado*PréstamoPagado,SaldoFinal,""), "")</f>
        <v/>
      </c>
    </row>
    <row r="246" spans="2:8" ht="20.100000000000001" customHeight="1" x14ac:dyDescent="0.3">
      <c r="B246" s="105" t="str">
        <f ca="1">IFERROR(IF(PréstamoNoPagado*PréstamoPagado,NúmeroDePago,""), "")</f>
        <v/>
      </c>
      <c r="C246" s="96" t="str">
        <f ca="1">IFERROR(IF(PréstamoNoPagado*PréstamoPagado,FechaDePago,""), "")</f>
        <v/>
      </c>
      <c r="D246" s="97" t="str">
        <f ca="1">IFERROR(IF(PréstamoNoPagado*PréstamoPagado,ValorPréstamo,""), "")</f>
        <v/>
      </c>
      <c r="E246" s="97" t="str">
        <f ca="1">IFERROR(IF(PréstamoNoPagado*PréstamoPagado,PagoMensual,""), "")</f>
        <v/>
      </c>
      <c r="F246" s="97" t="str">
        <f ca="1">IFERROR(IF(PréstamoNoPagado*PréstamoPagado,Capital,""), "")</f>
        <v/>
      </c>
      <c r="G246" s="97" t="str">
        <f ca="1">IFERROR(IF(PréstamoNoPagado*PréstamoPagado,AmortizaciónInterés,""), "")</f>
        <v/>
      </c>
      <c r="H246" s="97" t="str">
        <f ca="1">IFERROR(IF(PréstamoNoPagado*PréstamoPagado,SaldoFinal,""), "")</f>
        <v/>
      </c>
    </row>
    <row r="247" spans="2:8" ht="20.100000000000001" customHeight="1" x14ac:dyDescent="0.3">
      <c r="B247" s="105" t="str">
        <f ca="1">IFERROR(IF(PréstamoNoPagado*PréstamoPagado,NúmeroDePago,""), "")</f>
        <v/>
      </c>
      <c r="C247" s="96" t="str">
        <f ca="1">IFERROR(IF(PréstamoNoPagado*PréstamoPagado,FechaDePago,""), "")</f>
        <v/>
      </c>
      <c r="D247" s="97" t="str">
        <f ca="1">IFERROR(IF(PréstamoNoPagado*PréstamoPagado,ValorPréstamo,""), "")</f>
        <v/>
      </c>
      <c r="E247" s="97" t="str">
        <f ca="1">IFERROR(IF(PréstamoNoPagado*PréstamoPagado,PagoMensual,""), "")</f>
        <v/>
      </c>
      <c r="F247" s="97" t="str">
        <f ca="1">IFERROR(IF(PréstamoNoPagado*PréstamoPagado,Capital,""), "")</f>
        <v/>
      </c>
      <c r="G247" s="97" t="str">
        <f ca="1">IFERROR(IF(PréstamoNoPagado*PréstamoPagado,AmortizaciónInterés,""), "")</f>
        <v/>
      </c>
      <c r="H247" s="97" t="str">
        <f ca="1">IFERROR(IF(PréstamoNoPagado*PréstamoPagado,SaldoFinal,""), "")</f>
        <v/>
      </c>
    </row>
    <row r="248" spans="2:8" ht="20.100000000000001" customHeight="1" x14ac:dyDescent="0.3">
      <c r="B248" s="105" t="str">
        <f ca="1">IFERROR(IF(PréstamoNoPagado*PréstamoPagado,NúmeroDePago,""), "")</f>
        <v/>
      </c>
      <c r="C248" s="96" t="str">
        <f ca="1">IFERROR(IF(PréstamoNoPagado*PréstamoPagado,FechaDePago,""), "")</f>
        <v/>
      </c>
      <c r="D248" s="97" t="str">
        <f ca="1">IFERROR(IF(PréstamoNoPagado*PréstamoPagado,ValorPréstamo,""), "")</f>
        <v/>
      </c>
      <c r="E248" s="97" t="str">
        <f ca="1">IFERROR(IF(PréstamoNoPagado*PréstamoPagado,PagoMensual,""), "")</f>
        <v/>
      </c>
      <c r="F248" s="97" t="str">
        <f ca="1">IFERROR(IF(PréstamoNoPagado*PréstamoPagado,Capital,""), "")</f>
        <v/>
      </c>
      <c r="G248" s="97" t="str">
        <f ca="1">IFERROR(IF(PréstamoNoPagado*PréstamoPagado,AmortizaciónInterés,""), "")</f>
        <v/>
      </c>
      <c r="H248" s="97" t="str">
        <f ca="1">IFERROR(IF(PréstamoNoPagado*PréstamoPagado,SaldoFinal,""), "")</f>
        <v/>
      </c>
    </row>
    <row r="249" spans="2:8" ht="20.100000000000001" customHeight="1" x14ac:dyDescent="0.3">
      <c r="B249" s="105" t="str">
        <f ca="1">IFERROR(IF(PréstamoNoPagado*PréstamoPagado,NúmeroDePago,""), "")</f>
        <v/>
      </c>
      <c r="C249" s="96" t="str">
        <f ca="1">IFERROR(IF(PréstamoNoPagado*PréstamoPagado,FechaDePago,""), "")</f>
        <v/>
      </c>
      <c r="D249" s="97" t="str">
        <f ca="1">IFERROR(IF(PréstamoNoPagado*PréstamoPagado,ValorPréstamo,""), "")</f>
        <v/>
      </c>
      <c r="E249" s="97" t="str">
        <f ca="1">IFERROR(IF(PréstamoNoPagado*PréstamoPagado,PagoMensual,""), "")</f>
        <v/>
      </c>
      <c r="F249" s="97" t="str">
        <f ca="1">IFERROR(IF(PréstamoNoPagado*PréstamoPagado,Capital,""), "")</f>
        <v/>
      </c>
      <c r="G249" s="97" t="str">
        <f ca="1">IFERROR(IF(PréstamoNoPagado*PréstamoPagado,AmortizaciónInterés,""), "")</f>
        <v/>
      </c>
      <c r="H249" s="97" t="str">
        <f ca="1">IFERROR(IF(PréstamoNoPagado*PréstamoPagado,SaldoFinal,""), "")</f>
        <v/>
      </c>
    </row>
    <row r="250" spans="2:8" ht="20.100000000000001" customHeight="1" x14ac:dyDescent="0.3">
      <c r="B250" s="105" t="str">
        <f ca="1">IFERROR(IF(PréstamoNoPagado*PréstamoPagado,NúmeroDePago,""), "")</f>
        <v/>
      </c>
      <c r="C250" s="96" t="str">
        <f ca="1">IFERROR(IF(PréstamoNoPagado*PréstamoPagado,FechaDePago,""), "")</f>
        <v/>
      </c>
      <c r="D250" s="97" t="str">
        <f ca="1">IFERROR(IF(PréstamoNoPagado*PréstamoPagado,ValorPréstamo,""), "")</f>
        <v/>
      </c>
      <c r="E250" s="97" t="str">
        <f ca="1">IFERROR(IF(PréstamoNoPagado*PréstamoPagado,PagoMensual,""), "")</f>
        <v/>
      </c>
      <c r="F250" s="97" t="str">
        <f ca="1">IFERROR(IF(PréstamoNoPagado*PréstamoPagado,Capital,""), "")</f>
        <v/>
      </c>
      <c r="G250" s="97" t="str">
        <f ca="1">IFERROR(IF(PréstamoNoPagado*PréstamoPagado,AmortizaciónInterés,""), "")</f>
        <v/>
      </c>
      <c r="H250" s="97" t="str">
        <f ca="1">IFERROR(IF(PréstamoNoPagado*PréstamoPagado,SaldoFinal,""), "")</f>
        <v/>
      </c>
    </row>
    <row r="251" spans="2:8" ht="20.100000000000001" customHeight="1" x14ac:dyDescent="0.3">
      <c r="B251" s="105" t="str">
        <f ca="1">IFERROR(IF(PréstamoNoPagado*PréstamoPagado,NúmeroDePago,""), "")</f>
        <v/>
      </c>
      <c r="C251" s="96" t="str">
        <f ca="1">IFERROR(IF(PréstamoNoPagado*PréstamoPagado,FechaDePago,""), "")</f>
        <v/>
      </c>
      <c r="D251" s="97" t="str">
        <f ca="1">IFERROR(IF(PréstamoNoPagado*PréstamoPagado,ValorPréstamo,""), "")</f>
        <v/>
      </c>
      <c r="E251" s="97" t="str">
        <f ca="1">IFERROR(IF(PréstamoNoPagado*PréstamoPagado,PagoMensual,""), "")</f>
        <v/>
      </c>
      <c r="F251" s="97" t="str">
        <f ca="1">IFERROR(IF(PréstamoNoPagado*PréstamoPagado,Capital,""), "")</f>
        <v/>
      </c>
      <c r="G251" s="97" t="str">
        <f ca="1">IFERROR(IF(PréstamoNoPagado*PréstamoPagado,AmortizaciónInterés,""), "")</f>
        <v/>
      </c>
      <c r="H251" s="97" t="str">
        <f ca="1">IFERROR(IF(PréstamoNoPagado*PréstamoPagado,SaldoFinal,""), "")</f>
        <v/>
      </c>
    </row>
    <row r="252" spans="2:8" ht="20.100000000000001" customHeight="1" x14ac:dyDescent="0.3">
      <c r="B252" s="105" t="str">
        <f ca="1">IFERROR(IF(PréstamoNoPagado*PréstamoPagado,NúmeroDePago,""), "")</f>
        <v/>
      </c>
      <c r="C252" s="96" t="str">
        <f ca="1">IFERROR(IF(PréstamoNoPagado*PréstamoPagado,FechaDePago,""), "")</f>
        <v/>
      </c>
      <c r="D252" s="97" t="str">
        <f ca="1">IFERROR(IF(PréstamoNoPagado*PréstamoPagado,ValorPréstamo,""), "")</f>
        <v/>
      </c>
      <c r="E252" s="97" t="str">
        <f ca="1">IFERROR(IF(PréstamoNoPagado*PréstamoPagado,PagoMensual,""), "")</f>
        <v/>
      </c>
      <c r="F252" s="97" t="str">
        <f ca="1">IFERROR(IF(PréstamoNoPagado*PréstamoPagado,Capital,""), "")</f>
        <v/>
      </c>
      <c r="G252" s="97" t="str">
        <f ca="1">IFERROR(IF(PréstamoNoPagado*PréstamoPagado,AmortizaciónInterés,""), "")</f>
        <v/>
      </c>
      <c r="H252" s="97" t="str">
        <f ca="1">IFERROR(IF(PréstamoNoPagado*PréstamoPagado,SaldoFinal,""), "")</f>
        <v/>
      </c>
    </row>
    <row r="253" spans="2:8" ht="20.100000000000001" customHeight="1" x14ac:dyDescent="0.3">
      <c r="B253" s="105" t="str">
        <f ca="1">IFERROR(IF(PréstamoNoPagado*PréstamoPagado,NúmeroDePago,""), "")</f>
        <v/>
      </c>
      <c r="C253" s="96" t="str">
        <f ca="1">IFERROR(IF(PréstamoNoPagado*PréstamoPagado,FechaDePago,""), "")</f>
        <v/>
      </c>
      <c r="D253" s="97" t="str">
        <f ca="1">IFERROR(IF(PréstamoNoPagado*PréstamoPagado,ValorPréstamo,""), "")</f>
        <v/>
      </c>
      <c r="E253" s="97" t="str">
        <f ca="1">IFERROR(IF(PréstamoNoPagado*PréstamoPagado,PagoMensual,""), "")</f>
        <v/>
      </c>
      <c r="F253" s="97" t="str">
        <f ca="1">IFERROR(IF(PréstamoNoPagado*PréstamoPagado,Capital,""), "")</f>
        <v/>
      </c>
      <c r="G253" s="97" t="str">
        <f ca="1">IFERROR(IF(PréstamoNoPagado*PréstamoPagado,AmortizaciónInterés,""), "")</f>
        <v/>
      </c>
      <c r="H253" s="97" t="str">
        <f ca="1">IFERROR(IF(PréstamoNoPagado*PréstamoPagado,SaldoFinal,""), "")</f>
        <v/>
      </c>
    </row>
    <row r="254" spans="2:8" ht="20.100000000000001" customHeight="1" x14ac:dyDescent="0.3">
      <c r="B254" s="105" t="str">
        <f ca="1">IFERROR(IF(PréstamoNoPagado*PréstamoPagado,NúmeroDePago,""), "")</f>
        <v/>
      </c>
      <c r="C254" s="96" t="str">
        <f ca="1">IFERROR(IF(PréstamoNoPagado*PréstamoPagado,FechaDePago,""), "")</f>
        <v/>
      </c>
      <c r="D254" s="97" t="str">
        <f ca="1">IFERROR(IF(PréstamoNoPagado*PréstamoPagado,ValorPréstamo,""), "")</f>
        <v/>
      </c>
      <c r="E254" s="97" t="str">
        <f ca="1">IFERROR(IF(PréstamoNoPagado*PréstamoPagado,PagoMensual,""), "")</f>
        <v/>
      </c>
      <c r="F254" s="97" t="str">
        <f ca="1">IFERROR(IF(PréstamoNoPagado*PréstamoPagado,Capital,""), "")</f>
        <v/>
      </c>
      <c r="G254" s="97" t="str">
        <f ca="1">IFERROR(IF(PréstamoNoPagado*PréstamoPagado,AmortizaciónInterés,""), "")</f>
        <v/>
      </c>
      <c r="H254" s="97" t="str">
        <f ca="1">IFERROR(IF(PréstamoNoPagado*PréstamoPagado,SaldoFinal,""), "")</f>
        <v/>
      </c>
    </row>
    <row r="255" spans="2:8" ht="20.100000000000001" customHeight="1" x14ac:dyDescent="0.3">
      <c r="B255" s="105" t="str">
        <f ca="1">IFERROR(IF(PréstamoNoPagado*PréstamoPagado,NúmeroDePago,""), "")</f>
        <v/>
      </c>
      <c r="C255" s="96" t="str">
        <f ca="1">IFERROR(IF(PréstamoNoPagado*PréstamoPagado,FechaDePago,""), "")</f>
        <v/>
      </c>
      <c r="D255" s="97" t="str">
        <f ca="1">IFERROR(IF(PréstamoNoPagado*PréstamoPagado,ValorPréstamo,""), "")</f>
        <v/>
      </c>
      <c r="E255" s="97" t="str">
        <f ca="1">IFERROR(IF(PréstamoNoPagado*PréstamoPagado,PagoMensual,""), "")</f>
        <v/>
      </c>
      <c r="F255" s="97" t="str">
        <f ca="1">IFERROR(IF(PréstamoNoPagado*PréstamoPagado,Capital,""), "")</f>
        <v/>
      </c>
      <c r="G255" s="97" t="str">
        <f ca="1">IFERROR(IF(PréstamoNoPagado*PréstamoPagado,AmortizaciónInterés,""), "")</f>
        <v/>
      </c>
      <c r="H255" s="97" t="str">
        <f ca="1">IFERROR(IF(PréstamoNoPagado*PréstamoPagado,SaldoFinal,""), "")</f>
        <v/>
      </c>
    </row>
    <row r="256" spans="2:8" ht="20.100000000000001" customHeight="1" x14ac:dyDescent="0.3">
      <c r="B256" s="105" t="str">
        <f ca="1">IFERROR(IF(PréstamoNoPagado*PréstamoPagado,NúmeroDePago,""), "")</f>
        <v/>
      </c>
      <c r="C256" s="96" t="str">
        <f ca="1">IFERROR(IF(PréstamoNoPagado*PréstamoPagado,FechaDePago,""), "")</f>
        <v/>
      </c>
      <c r="D256" s="97" t="str">
        <f ca="1">IFERROR(IF(PréstamoNoPagado*PréstamoPagado,ValorPréstamo,""), "")</f>
        <v/>
      </c>
      <c r="E256" s="97" t="str">
        <f ca="1">IFERROR(IF(PréstamoNoPagado*PréstamoPagado,PagoMensual,""), "")</f>
        <v/>
      </c>
      <c r="F256" s="97" t="str">
        <f ca="1">IFERROR(IF(PréstamoNoPagado*PréstamoPagado,Capital,""), "")</f>
        <v/>
      </c>
      <c r="G256" s="97" t="str">
        <f ca="1">IFERROR(IF(PréstamoNoPagado*PréstamoPagado,AmortizaciónInterés,""), "")</f>
        <v/>
      </c>
      <c r="H256" s="97" t="str">
        <f ca="1">IFERROR(IF(PréstamoNoPagado*PréstamoPagado,SaldoFinal,""), "")</f>
        <v/>
      </c>
    </row>
    <row r="257" spans="2:8" ht="20.100000000000001" customHeight="1" x14ac:dyDescent="0.3">
      <c r="B257" s="105" t="str">
        <f ca="1">IFERROR(IF(PréstamoNoPagado*PréstamoPagado,NúmeroDePago,""), "")</f>
        <v/>
      </c>
      <c r="C257" s="96" t="str">
        <f ca="1">IFERROR(IF(PréstamoNoPagado*PréstamoPagado,FechaDePago,""), "")</f>
        <v/>
      </c>
      <c r="D257" s="97" t="str">
        <f ca="1">IFERROR(IF(PréstamoNoPagado*PréstamoPagado,ValorPréstamo,""), "")</f>
        <v/>
      </c>
      <c r="E257" s="97" t="str">
        <f ca="1">IFERROR(IF(PréstamoNoPagado*PréstamoPagado,PagoMensual,""), "")</f>
        <v/>
      </c>
      <c r="F257" s="97" t="str">
        <f ca="1">IFERROR(IF(PréstamoNoPagado*PréstamoPagado,Capital,""), "")</f>
        <v/>
      </c>
      <c r="G257" s="97" t="str">
        <f ca="1">IFERROR(IF(PréstamoNoPagado*PréstamoPagado,AmortizaciónInterés,""), "")</f>
        <v/>
      </c>
      <c r="H257" s="97" t="str">
        <f ca="1">IFERROR(IF(PréstamoNoPagado*PréstamoPagado,SaldoFinal,""), "")</f>
        <v/>
      </c>
    </row>
    <row r="258" spans="2:8" ht="20.100000000000001" customHeight="1" x14ac:dyDescent="0.3">
      <c r="B258" s="105" t="str">
        <f ca="1">IFERROR(IF(PréstamoNoPagado*PréstamoPagado,NúmeroDePago,""), "")</f>
        <v/>
      </c>
      <c r="C258" s="96" t="str">
        <f ca="1">IFERROR(IF(PréstamoNoPagado*PréstamoPagado,FechaDePago,""), "")</f>
        <v/>
      </c>
      <c r="D258" s="97" t="str">
        <f ca="1">IFERROR(IF(PréstamoNoPagado*PréstamoPagado,ValorPréstamo,""), "")</f>
        <v/>
      </c>
      <c r="E258" s="97" t="str">
        <f ca="1">IFERROR(IF(PréstamoNoPagado*PréstamoPagado,PagoMensual,""), "")</f>
        <v/>
      </c>
      <c r="F258" s="97" t="str">
        <f ca="1">IFERROR(IF(PréstamoNoPagado*PréstamoPagado,Capital,""), "")</f>
        <v/>
      </c>
      <c r="G258" s="97" t="str">
        <f ca="1">IFERROR(IF(PréstamoNoPagado*PréstamoPagado,AmortizaciónInterés,""), "")</f>
        <v/>
      </c>
      <c r="H258" s="97" t="str">
        <f ca="1">IFERROR(IF(PréstamoNoPagado*PréstamoPagado,SaldoFinal,""), "")</f>
        <v/>
      </c>
    </row>
    <row r="259" spans="2:8" ht="20.100000000000001" customHeight="1" x14ac:dyDescent="0.3">
      <c r="B259" s="105" t="str">
        <f ca="1">IFERROR(IF(PréstamoNoPagado*PréstamoPagado,NúmeroDePago,""), "")</f>
        <v/>
      </c>
      <c r="C259" s="96" t="str">
        <f ca="1">IFERROR(IF(PréstamoNoPagado*PréstamoPagado,FechaDePago,""), "")</f>
        <v/>
      </c>
      <c r="D259" s="97" t="str">
        <f ca="1">IFERROR(IF(PréstamoNoPagado*PréstamoPagado,ValorPréstamo,""), "")</f>
        <v/>
      </c>
      <c r="E259" s="97" t="str">
        <f ca="1">IFERROR(IF(PréstamoNoPagado*PréstamoPagado,PagoMensual,""), "")</f>
        <v/>
      </c>
      <c r="F259" s="97" t="str">
        <f ca="1">IFERROR(IF(PréstamoNoPagado*PréstamoPagado,Capital,""), "")</f>
        <v/>
      </c>
      <c r="G259" s="97" t="str">
        <f ca="1">IFERROR(IF(PréstamoNoPagado*PréstamoPagado,AmortizaciónInterés,""), "")</f>
        <v/>
      </c>
      <c r="H259" s="97" t="str">
        <f ca="1">IFERROR(IF(PréstamoNoPagado*PréstamoPagado,SaldoFinal,""), "")</f>
        <v/>
      </c>
    </row>
    <row r="260" spans="2:8" ht="20.100000000000001" customHeight="1" x14ac:dyDescent="0.3">
      <c r="B260" s="105" t="str">
        <f ca="1">IFERROR(IF(PréstamoNoPagado*PréstamoPagado,NúmeroDePago,""), "")</f>
        <v/>
      </c>
      <c r="C260" s="96" t="str">
        <f ca="1">IFERROR(IF(PréstamoNoPagado*PréstamoPagado,FechaDePago,""), "")</f>
        <v/>
      </c>
      <c r="D260" s="97" t="str">
        <f ca="1">IFERROR(IF(PréstamoNoPagado*PréstamoPagado,ValorPréstamo,""), "")</f>
        <v/>
      </c>
      <c r="E260" s="97" t="str">
        <f ca="1">IFERROR(IF(PréstamoNoPagado*PréstamoPagado,PagoMensual,""), "")</f>
        <v/>
      </c>
      <c r="F260" s="97" t="str">
        <f ca="1">IFERROR(IF(PréstamoNoPagado*PréstamoPagado,Capital,""), "")</f>
        <v/>
      </c>
      <c r="G260" s="97" t="str">
        <f ca="1">IFERROR(IF(PréstamoNoPagado*PréstamoPagado,AmortizaciónInterés,""), "")</f>
        <v/>
      </c>
      <c r="H260" s="97" t="str">
        <f ca="1">IFERROR(IF(PréstamoNoPagado*PréstamoPagado,SaldoFinal,""), "")</f>
        <v/>
      </c>
    </row>
    <row r="261" spans="2:8" ht="20.100000000000001" customHeight="1" x14ac:dyDescent="0.3">
      <c r="B261" s="105" t="str">
        <f ca="1">IFERROR(IF(PréstamoNoPagado*PréstamoPagado,NúmeroDePago,""), "")</f>
        <v/>
      </c>
      <c r="C261" s="96" t="str">
        <f ca="1">IFERROR(IF(PréstamoNoPagado*PréstamoPagado,FechaDePago,""), "")</f>
        <v/>
      </c>
      <c r="D261" s="97" t="str">
        <f ca="1">IFERROR(IF(PréstamoNoPagado*PréstamoPagado,ValorPréstamo,""), "")</f>
        <v/>
      </c>
      <c r="E261" s="97" t="str">
        <f ca="1">IFERROR(IF(PréstamoNoPagado*PréstamoPagado,PagoMensual,""), "")</f>
        <v/>
      </c>
      <c r="F261" s="97" t="str">
        <f ca="1">IFERROR(IF(PréstamoNoPagado*PréstamoPagado,Capital,""), "")</f>
        <v/>
      </c>
      <c r="G261" s="97" t="str">
        <f ca="1">IFERROR(IF(PréstamoNoPagado*PréstamoPagado,AmortizaciónInterés,""), "")</f>
        <v/>
      </c>
      <c r="H261" s="97" t="str">
        <f ca="1">IFERROR(IF(PréstamoNoPagado*PréstamoPagado,SaldoFinal,""), "")</f>
        <v/>
      </c>
    </row>
    <row r="262" spans="2:8" ht="20.100000000000001" customHeight="1" x14ac:dyDescent="0.3">
      <c r="B262" s="105" t="str">
        <f ca="1">IFERROR(IF(PréstamoNoPagado*PréstamoPagado,NúmeroDePago,""), "")</f>
        <v/>
      </c>
      <c r="C262" s="96" t="str">
        <f ca="1">IFERROR(IF(PréstamoNoPagado*PréstamoPagado,FechaDePago,""), "")</f>
        <v/>
      </c>
      <c r="D262" s="97" t="str">
        <f ca="1">IFERROR(IF(PréstamoNoPagado*PréstamoPagado,ValorPréstamo,""), "")</f>
        <v/>
      </c>
      <c r="E262" s="97" t="str">
        <f ca="1">IFERROR(IF(PréstamoNoPagado*PréstamoPagado,PagoMensual,""), "")</f>
        <v/>
      </c>
      <c r="F262" s="97" t="str">
        <f ca="1">IFERROR(IF(PréstamoNoPagado*PréstamoPagado,Capital,""), "")</f>
        <v/>
      </c>
      <c r="G262" s="97" t="str">
        <f ca="1">IFERROR(IF(PréstamoNoPagado*PréstamoPagado,AmortizaciónInterés,""), "")</f>
        <v/>
      </c>
      <c r="H262" s="97" t="str">
        <f ca="1">IFERROR(IF(PréstamoNoPagado*PréstamoPagado,SaldoFinal,""), "")</f>
        <v/>
      </c>
    </row>
    <row r="263" spans="2:8" ht="20.100000000000001" customHeight="1" x14ac:dyDescent="0.3">
      <c r="B263" s="105" t="str">
        <f ca="1">IFERROR(IF(PréstamoNoPagado*PréstamoPagado,NúmeroDePago,""), "")</f>
        <v/>
      </c>
      <c r="C263" s="96" t="str">
        <f ca="1">IFERROR(IF(PréstamoNoPagado*PréstamoPagado,FechaDePago,""), "")</f>
        <v/>
      </c>
      <c r="D263" s="97" t="str">
        <f ca="1">IFERROR(IF(PréstamoNoPagado*PréstamoPagado,ValorPréstamo,""), "")</f>
        <v/>
      </c>
      <c r="E263" s="97" t="str">
        <f ca="1">IFERROR(IF(PréstamoNoPagado*PréstamoPagado,PagoMensual,""), "")</f>
        <v/>
      </c>
      <c r="F263" s="97" t="str">
        <f ca="1">IFERROR(IF(PréstamoNoPagado*PréstamoPagado,Capital,""), "")</f>
        <v/>
      </c>
      <c r="G263" s="97" t="str">
        <f ca="1">IFERROR(IF(PréstamoNoPagado*PréstamoPagado,AmortizaciónInterés,""), "")</f>
        <v/>
      </c>
      <c r="H263" s="97" t="str">
        <f ca="1">IFERROR(IF(PréstamoNoPagado*PréstamoPagado,SaldoFinal,""), "")</f>
        <v/>
      </c>
    </row>
    <row r="264" spans="2:8" ht="20.100000000000001" customHeight="1" x14ac:dyDescent="0.3">
      <c r="B264" s="105" t="str">
        <f ca="1">IFERROR(IF(PréstamoNoPagado*PréstamoPagado,NúmeroDePago,""), "")</f>
        <v/>
      </c>
      <c r="C264" s="96" t="str">
        <f ca="1">IFERROR(IF(PréstamoNoPagado*PréstamoPagado,FechaDePago,""), "")</f>
        <v/>
      </c>
      <c r="D264" s="97" t="str">
        <f ca="1">IFERROR(IF(PréstamoNoPagado*PréstamoPagado,ValorPréstamo,""), "")</f>
        <v/>
      </c>
      <c r="E264" s="97" t="str">
        <f ca="1">IFERROR(IF(PréstamoNoPagado*PréstamoPagado,PagoMensual,""), "")</f>
        <v/>
      </c>
      <c r="F264" s="97" t="str">
        <f ca="1">IFERROR(IF(PréstamoNoPagado*PréstamoPagado,Capital,""), "")</f>
        <v/>
      </c>
      <c r="G264" s="97" t="str">
        <f ca="1">IFERROR(IF(PréstamoNoPagado*PréstamoPagado,AmortizaciónInterés,""), "")</f>
        <v/>
      </c>
      <c r="H264" s="97" t="str">
        <f ca="1">IFERROR(IF(PréstamoNoPagado*PréstamoPagado,SaldoFinal,""), "")</f>
        <v/>
      </c>
    </row>
    <row r="265" spans="2:8" ht="20.100000000000001" customHeight="1" x14ac:dyDescent="0.3">
      <c r="B265" s="105" t="str">
        <f ca="1">IFERROR(IF(PréstamoNoPagado*PréstamoPagado,NúmeroDePago,""), "")</f>
        <v/>
      </c>
      <c r="C265" s="96" t="str">
        <f ca="1">IFERROR(IF(PréstamoNoPagado*PréstamoPagado,FechaDePago,""), "")</f>
        <v/>
      </c>
      <c r="D265" s="97" t="str">
        <f ca="1">IFERROR(IF(PréstamoNoPagado*PréstamoPagado,ValorPréstamo,""), "")</f>
        <v/>
      </c>
      <c r="E265" s="97" t="str">
        <f ca="1">IFERROR(IF(PréstamoNoPagado*PréstamoPagado,PagoMensual,""), "")</f>
        <v/>
      </c>
      <c r="F265" s="97" t="str">
        <f ca="1">IFERROR(IF(PréstamoNoPagado*PréstamoPagado,Capital,""), "")</f>
        <v/>
      </c>
      <c r="G265" s="97" t="str">
        <f ca="1">IFERROR(IF(PréstamoNoPagado*PréstamoPagado,AmortizaciónInterés,""), "")</f>
        <v/>
      </c>
      <c r="H265" s="97" t="str">
        <f ca="1">IFERROR(IF(PréstamoNoPagado*PréstamoPagado,SaldoFinal,""), "")</f>
        <v/>
      </c>
    </row>
    <row r="266" spans="2:8" ht="20.100000000000001" customHeight="1" x14ac:dyDescent="0.3">
      <c r="B266" s="105" t="str">
        <f ca="1">IFERROR(IF(PréstamoNoPagado*PréstamoPagado,NúmeroDePago,""), "")</f>
        <v/>
      </c>
      <c r="C266" s="96" t="str">
        <f ca="1">IFERROR(IF(PréstamoNoPagado*PréstamoPagado,FechaDePago,""), "")</f>
        <v/>
      </c>
      <c r="D266" s="97" t="str">
        <f ca="1">IFERROR(IF(PréstamoNoPagado*PréstamoPagado,ValorPréstamo,""), "")</f>
        <v/>
      </c>
      <c r="E266" s="97" t="str">
        <f ca="1">IFERROR(IF(PréstamoNoPagado*PréstamoPagado,PagoMensual,""), "")</f>
        <v/>
      </c>
      <c r="F266" s="97" t="str">
        <f ca="1">IFERROR(IF(PréstamoNoPagado*PréstamoPagado,Capital,""), "")</f>
        <v/>
      </c>
      <c r="G266" s="97" t="str">
        <f ca="1">IFERROR(IF(PréstamoNoPagado*PréstamoPagado,AmortizaciónInterés,""), "")</f>
        <v/>
      </c>
      <c r="H266" s="97" t="str">
        <f ca="1">IFERROR(IF(PréstamoNoPagado*PréstamoPagado,SaldoFinal,""), "")</f>
        <v/>
      </c>
    </row>
    <row r="267" spans="2:8" ht="20.100000000000001" customHeight="1" x14ac:dyDescent="0.3">
      <c r="B267" s="105" t="str">
        <f ca="1">IFERROR(IF(PréstamoNoPagado*PréstamoPagado,NúmeroDePago,""), "")</f>
        <v/>
      </c>
      <c r="C267" s="96" t="str">
        <f ca="1">IFERROR(IF(PréstamoNoPagado*PréstamoPagado,FechaDePago,""), "")</f>
        <v/>
      </c>
      <c r="D267" s="97" t="str">
        <f ca="1">IFERROR(IF(PréstamoNoPagado*PréstamoPagado,ValorPréstamo,""), "")</f>
        <v/>
      </c>
      <c r="E267" s="97" t="str">
        <f ca="1">IFERROR(IF(PréstamoNoPagado*PréstamoPagado,PagoMensual,""), "")</f>
        <v/>
      </c>
      <c r="F267" s="97" t="str">
        <f ca="1">IFERROR(IF(PréstamoNoPagado*PréstamoPagado,Capital,""), "")</f>
        <v/>
      </c>
      <c r="G267" s="97" t="str">
        <f ca="1">IFERROR(IF(PréstamoNoPagado*PréstamoPagado,AmortizaciónInterés,""), "")</f>
        <v/>
      </c>
      <c r="H267" s="97" t="str">
        <f ca="1">IFERROR(IF(PréstamoNoPagado*PréstamoPagado,SaldoFinal,""), "")</f>
        <v/>
      </c>
    </row>
    <row r="268" spans="2:8" ht="20.100000000000001" customHeight="1" x14ac:dyDescent="0.3">
      <c r="B268" s="105" t="str">
        <f ca="1">IFERROR(IF(PréstamoNoPagado*PréstamoPagado,NúmeroDePago,""), "")</f>
        <v/>
      </c>
      <c r="C268" s="96" t="str">
        <f ca="1">IFERROR(IF(PréstamoNoPagado*PréstamoPagado,FechaDePago,""), "")</f>
        <v/>
      </c>
      <c r="D268" s="97" t="str">
        <f ca="1">IFERROR(IF(PréstamoNoPagado*PréstamoPagado,ValorPréstamo,""), "")</f>
        <v/>
      </c>
      <c r="E268" s="97" t="str">
        <f ca="1">IFERROR(IF(PréstamoNoPagado*PréstamoPagado,PagoMensual,""), "")</f>
        <v/>
      </c>
      <c r="F268" s="97" t="str">
        <f ca="1">IFERROR(IF(PréstamoNoPagado*PréstamoPagado,Capital,""), "")</f>
        <v/>
      </c>
      <c r="G268" s="97" t="str">
        <f ca="1">IFERROR(IF(PréstamoNoPagado*PréstamoPagado,AmortizaciónInterés,""), "")</f>
        <v/>
      </c>
      <c r="H268" s="97" t="str">
        <f ca="1">IFERROR(IF(PréstamoNoPagado*PréstamoPagado,SaldoFinal,""), "")</f>
        <v/>
      </c>
    </row>
    <row r="269" spans="2:8" ht="20.100000000000001" customHeight="1" x14ac:dyDescent="0.3">
      <c r="B269" s="105" t="str">
        <f ca="1">IFERROR(IF(PréstamoNoPagado*PréstamoPagado,NúmeroDePago,""), "")</f>
        <v/>
      </c>
      <c r="C269" s="96" t="str">
        <f ca="1">IFERROR(IF(PréstamoNoPagado*PréstamoPagado,FechaDePago,""), "")</f>
        <v/>
      </c>
      <c r="D269" s="97" t="str">
        <f ca="1">IFERROR(IF(PréstamoNoPagado*PréstamoPagado,ValorPréstamo,""), "")</f>
        <v/>
      </c>
      <c r="E269" s="97" t="str">
        <f ca="1">IFERROR(IF(PréstamoNoPagado*PréstamoPagado,PagoMensual,""), "")</f>
        <v/>
      </c>
      <c r="F269" s="97" t="str">
        <f ca="1">IFERROR(IF(PréstamoNoPagado*PréstamoPagado,Capital,""), "")</f>
        <v/>
      </c>
      <c r="G269" s="97" t="str">
        <f ca="1">IFERROR(IF(PréstamoNoPagado*PréstamoPagado,AmortizaciónInterés,""), "")</f>
        <v/>
      </c>
      <c r="H269" s="97" t="str">
        <f ca="1">IFERROR(IF(PréstamoNoPagado*PréstamoPagado,SaldoFinal,""), "")</f>
        <v/>
      </c>
    </row>
    <row r="270" spans="2:8" ht="20.100000000000001" customHeight="1" x14ac:dyDescent="0.3">
      <c r="B270" s="105" t="str">
        <f ca="1">IFERROR(IF(PréstamoNoPagado*PréstamoPagado,NúmeroDePago,""), "")</f>
        <v/>
      </c>
      <c r="C270" s="96" t="str">
        <f ca="1">IFERROR(IF(PréstamoNoPagado*PréstamoPagado,FechaDePago,""), "")</f>
        <v/>
      </c>
      <c r="D270" s="97" t="str">
        <f ca="1">IFERROR(IF(PréstamoNoPagado*PréstamoPagado,ValorPréstamo,""), "")</f>
        <v/>
      </c>
      <c r="E270" s="97" t="str">
        <f ca="1">IFERROR(IF(PréstamoNoPagado*PréstamoPagado,PagoMensual,""), "")</f>
        <v/>
      </c>
      <c r="F270" s="97" t="str">
        <f ca="1">IFERROR(IF(PréstamoNoPagado*PréstamoPagado,Capital,""), "")</f>
        <v/>
      </c>
      <c r="G270" s="97" t="str">
        <f ca="1">IFERROR(IF(PréstamoNoPagado*PréstamoPagado,AmortizaciónInterés,""), "")</f>
        <v/>
      </c>
      <c r="H270" s="97" t="str">
        <f ca="1">IFERROR(IF(PréstamoNoPagado*PréstamoPagado,SaldoFinal,""), "")</f>
        <v/>
      </c>
    </row>
    <row r="271" spans="2:8" ht="20.100000000000001" customHeight="1" x14ac:dyDescent="0.3">
      <c r="B271" s="105" t="str">
        <f ca="1">IFERROR(IF(PréstamoNoPagado*PréstamoPagado,NúmeroDePago,""), "")</f>
        <v/>
      </c>
      <c r="C271" s="96" t="str">
        <f ca="1">IFERROR(IF(PréstamoNoPagado*PréstamoPagado,FechaDePago,""), "")</f>
        <v/>
      </c>
      <c r="D271" s="97" t="str">
        <f ca="1">IFERROR(IF(PréstamoNoPagado*PréstamoPagado,ValorPréstamo,""), "")</f>
        <v/>
      </c>
      <c r="E271" s="97" t="str">
        <f ca="1">IFERROR(IF(PréstamoNoPagado*PréstamoPagado,PagoMensual,""), "")</f>
        <v/>
      </c>
      <c r="F271" s="97" t="str">
        <f ca="1">IFERROR(IF(PréstamoNoPagado*PréstamoPagado,Capital,""), "")</f>
        <v/>
      </c>
      <c r="G271" s="97" t="str">
        <f ca="1">IFERROR(IF(PréstamoNoPagado*PréstamoPagado,AmortizaciónInterés,""), "")</f>
        <v/>
      </c>
      <c r="H271" s="97" t="str">
        <f ca="1">IFERROR(IF(PréstamoNoPagado*PréstamoPagado,SaldoFinal,""), "")</f>
        <v/>
      </c>
    </row>
    <row r="272" spans="2:8" ht="20.100000000000001" customHeight="1" x14ac:dyDescent="0.3">
      <c r="B272" s="105" t="str">
        <f ca="1">IFERROR(IF(PréstamoNoPagado*PréstamoPagado,NúmeroDePago,""), "")</f>
        <v/>
      </c>
      <c r="C272" s="96" t="str">
        <f ca="1">IFERROR(IF(PréstamoNoPagado*PréstamoPagado,FechaDePago,""), "")</f>
        <v/>
      </c>
      <c r="D272" s="97" t="str">
        <f ca="1">IFERROR(IF(PréstamoNoPagado*PréstamoPagado,ValorPréstamo,""), "")</f>
        <v/>
      </c>
      <c r="E272" s="97" t="str">
        <f ca="1">IFERROR(IF(PréstamoNoPagado*PréstamoPagado,PagoMensual,""), "")</f>
        <v/>
      </c>
      <c r="F272" s="97" t="str">
        <f ca="1">IFERROR(IF(PréstamoNoPagado*PréstamoPagado,Capital,""), "")</f>
        <v/>
      </c>
      <c r="G272" s="97" t="str">
        <f ca="1">IFERROR(IF(PréstamoNoPagado*PréstamoPagado,AmortizaciónInterés,""), "")</f>
        <v/>
      </c>
      <c r="H272" s="97" t="str">
        <f ca="1">IFERROR(IF(PréstamoNoPagado*PréstamoPagado,SaldoFinal,""), "")</f>
        <v/>
      </c>
    </row>
    <row r="273" spans="2:8" ht="20.100000000000001" customHeight="1" x14ac:dyDescent="0.3">
      <c r="B273" s="105" t="str">
        <f ca="1">IFERROR(IF(PréstamoNoPagado*PréstamoPagado,NúmeroDePago,""), "")</f>
        <v/>
      </c>
      <c r="C273" s="96" t="str">
        <f ca="1">IFERROR(IF(PréstamoNoPagado*PréstamoPagado,FechaDePago,""), "")</f>
        <v/>
      </c>
      <c r="D273" s="97" t="str">
        <f ca="1">IFERROR(IF(PréstamoNoPagado*PréstamoPagado,ValorPréstamo,""), "")</f>
        <v/>
      </c>
      <c r="E273" s="97" t="str">
        <f ca="1">IFERROR(IF(PréstamoNoPagado*PréstamoPagado,PagoMensual,""), "")</f>
        <v/>
      </c>
      <c r="F273" s="97" t="str">
        <f ca="1">IFERROR(IF(PréstamoNoPagado*PréstamoPagado,Capital,""), "")</f>
        <v/>
      </c>
      <c r="G273" s="97" t="str">
        <f ca="1">IFERROR(IF(PréstamoNoPagado*PréstamoPagado,AmortizaciónInterés,""), "")</f>
        <v/>
      </c>
      <c r="H273" s="97" t="str">
        <f ca="1">IFERROR(IF(PréstamoNoPagado*PréstamoPagado,SaldoFinal,""), "")</f>
        <v/>
      </c>
    </row>
    <row r="274" spans="2:8" ht="20.100000000000001" customHeight="1" x14ac:dyDescent="0.3">
      <c r="B274" s="105" t="str">
        <f ca="1">IFERROR(IF(PréstamoNoPagado*PréstamoPagado,NúmeroDePago,""), "")</f>
        <v/>
      </c>
      <c r="C274" s="96" t="str">
        <f ca="1">IFERROR(IF(PréstamoNoPagado*PréstamoPagado,FechaDePago,""), "")</f>
        <v/>
      </c>
      <c r="D274" s="97" t="str">
        <f ca="1">IFERROR(IF(PréstamoNoPagado*PréstamoPagado,ValorPréstamo,""), "")</f>
        <v/>
      </c>
      <c r="E274" s="97" t="str">
        <f ca="1">IFERROR(IF(PréstamoNoPagado*PréstamoPagado,PagoMensual,""), "")</f>
        <v/>
      </c>
      <c r="F274" s="97" t="str">
        <f ca="1">IFERROR(IF(PréstamoNoPagado*PréstamoPagado,Capital,""), "")</f>
        <v/>
      </c>
      <c r="G274" s="97" t="str">
        <f ca="1">IFERROR(IF(PréstamoNoPagado*PréstamoPagado,AmortizaciónInterés,""), "")</f>
        <v/>
      </c>
      <c r="H274" s="97" t="str">
        <f ca="1">IFERROR(IF(PréstamoNoPagado*PréstamoPagado,SaldoFinal,""), "")</f>
        <v/>
      </c>
    </row>
    <row r="275" spans="2:8" ht="20.100000000000001" customHeight="1" x14ac:dyDescent="0.3">
      <c r="B275" s="105" t="str">
        <f ca="1">IFERROR(IF(PréstamoNoPagado*PréstamoPagado,NúmeroDePago,""), "")</f>
        <v/>
      </c>
      <c r="C275" s="96" t="str">
        <f ca="1">IFERROR(IF(PréstamoNoPagado*PréstamoPagado,FechaDePago,""), "")</f>
        <v/>
      </c>
      <c r="D275" s="97" t="str">
        <f ca="1">IFERROR(IF(PréstamoNoPagado*PréstamoPagado,ValorPréstamo,""), "")</f>
        <v/>
      </c>
      <c r="E275" s="97" t="str">
        <f ca="1">IFERROR(IF(PréstamoNoPagado*PréstamoPagado,PagoMensual,""), "")</f>
        <v/>
      </c>
      <c r="F275" s="97" t="str">
        <f ca="1">IFERROR(IF(PréstamoNoPagado*PréstamoPagado,Capital,""), "")</f>
        <v/>
      </c>
      <c r="G275" s="97" t="str">
        <f ca="1">IFERROR(IF(PréstamoNoPagado*PréstamoPagado,AmortizaciónInterés,""), "")</f>
        <v/>
      </c>
      <c r="H275" s="97" t="str">
        <f ca="1">IFERROR(IF(PréstamoNoPagado*PréstamoPagado,SaldoFinal,""), "")</f>
        <v/>
      </c>
    </row>
    <row r="276" spans="2:8" ht="20.100000000000001" customHeight="1" x14ac:dyDescent="0.3">
      <c r="B276" s="105" t="str">
        <f ca="1">IFERROR(IF(PréstamoNoPagado*PréstamoPagado,NúmeroDePago,""), "")</f>
        <v/>
      </c>
      <c r="C276" s="96" t="str">
        <f ca="1">IFERROR(IF(PréstamoNoPagado*PréstamoPagado,FechaDePago,""), "")</f>
        <v/>
      </c>
      <c r="D276" s="97" t="str">
        <f ca="1">IFERROR(IF(PréstamoNoPagado*PréstamoPagado,ValorPréstamo,""), "")</f>
        <v/>
      </c>
      <c r="E276" s="97" t="str">
        <f ca="1">IFERROR(IF(PréstamoNoPagado*PréstamoPagado,PagoMensual,""), "")</f>
        <v/>
      </c>
      <c r="F276" s="97" t="str">
        <f ca="1">IFERROR(IF(PréstamoNoPagado*PréstamoPagado,Capital,""), "")</f>
        <v/>
      </c>
      <c r="G276" s="97" t="str">
        <f ca="1">IFERROR(IF(PréstamoNoPagado*PréstamoPagado,AmortizaciónInterés,""), "")</f>
        <v/>
      </c>
      <c r="H276" s="97" t="str">
        <f ca="1">IFERROR(IF(PréstamoNoPagado*PréstamoPagado,SaldoFinal,""), "")</f>
        <v/>
      </c>
    </row>
    <row r="277" spans="2:8" ht="20.100000000000001" customHeight="1" x14ac:dyDescent="0.3">
      <c r="B277" s="105" t="str">
        <f ca="1">IFERROR(IF(PréstamoNoPagado*PréstamoPagado,NúmeroDePago,""), "")</f>
        <v/>
      </c>
      <c r="C277" s="96" t="str">
        <f ca="1">IFERROR(IF(PréstamoNoPagado*PréstamoPagado,FechaDePago,""), "")</f>
        <v/>
      </c>
      <c r="D277" s="97" t="str">
        <f ca="1">IFERROR(IF(PréstamoNoPagado*PréstamoPagado,ValorPréstamo,""), "")</f>
        <v/>
      </c>
      <c r="E277" s="97" t="str">
        <f ca="1">IFERROR(IF(PréstamoNoPagado*PréstamoPagado,PagoMensual,""), "")</f>
        <v/>
      </c>
      <c r="F277" s="97" t="str">
        <f ca="1">IFERROR(IF(PréstamoNoPagado*PréstamoPagado,Capital,""), "")</f>
        <v/>
      </c>
      <c r="G277" s="97" t="str">
        <f ca="1">IFERROR(IF(PréstamoNoPagado*PréstamoPagado,AmortizaciónInterés,""), "")</f>
        <v/>
      </c>
      <c r="H277" s="97" t="str">
        <f ca="1">IFERROR(IF(PréstamoNoPagado*PréstamoPagado,SaldoFinal,""), "")</f>
        <v/>
      </c>
    </row>
    <row r="278" spans="2:8" ht="20.100000000000001" customHeight="1" x14ac:dyDescent="0.3">
      <c r="B278" s="105" t="str">
        <f ca="1">IFERROR(IF(PréstamoNoPagado*PréstamoPagado,NúmeroDePago,""), "")</f>
        <v/>
      </c>
      <c r="C278" s="96" t="str">
        <f ca="1">IFERROR(IF(PréstamoNoPagado*PréstamoPagado,FechaDePago,""), "")</f>
        <v/>
      </c>
      <c r="D278" s="97" t="str">
        <f ca="1">IFERROR(IF(PréstamoNoPagado*PréstamoPagado,ValorPréstamo,""), "")</f>
        <v/>
      </c>
      <c r="E278" s="97" t="str">
        <f ca="1">IFERROR(IF(PréstamoNoPagado*PréstamoPagado,PagoMensual,""), "")</f>
        <v/>
      </c>
      <c r="F278" s="97" t="str">
        <f ca="1">IFERROR(IF(PréstamoNoPagado*PréstamoPagado,Capital,""), "")</f>
        <v/>
      </c>
      <c r="G278" s="97" t="str">
        <f ca="1">IFERROR(IF(PréstamoNoPagado*PréstamoPagado,AmortizaciónInterés,""), "")</f>
        <v/>
      </c>
      <c r="H278" s="97" t="str">
        <f ca="1">IFERROR(IF(PréstamoNoPagado*PréstamoPagado,SaldoFinal,""), "")</f>
        <v/>
      </c>
    </row>
    <row r="279" spans="2:8" ht="20.100000000000001" customHeight="1" x14ac:dyDescent="0.3">
      <c r="B279" s="105" t="str">
        <f ca="1">IFERROR(IF(PréstamoNoPagado*PréstamoPagado,NúmeroDePago,""), "")</f>
        <v/>
      </c>
      <c r="C279" s="96" t="str">
        <f ca="1">IFERROR(IF(PréstamoNoPagado*PréstamoPagado,FechaDePago,""), "")</f>
        <v/>
      </c>
      <c r="D279" s="97" t="str">
        <f ca="1">IFERROR(IF(PréstamoNoPagado*PréstamoPagado,ValorPréstamo,""), "")</f>
        <v/>
      </c>
      <c r="E279" s="97" t="str">
        <f ca="1">IFERROR(IF(PréstamoNoPagado*PréstamoPagado,PagoMensual,""), "")</f>
        <v/>
      </c>
      <c r="F279" s="97" t="str">
        <f ca="1">IFERROR(IF(PréstamoNoPagado*PréstamoPagado,Capital,""), "")</f>
        <v/>
      </c>
      <c r="G279" s="97" t="str">
        <f ca="1">IFERROR(IF(PréstamoNoPagado*PréstamoPagado,AmortizaciónInterés,""), "")</f>
        <v/>
      </c>
      <c r="H279" s="97" t="str">
        <f ca="1">IFERROR(IF(PréstamoNoPagado*PréstamoPagado,SaldoFinal,""), "")</f>
        <v/>
      </c>
    </row>
    <row r="280" spans="2:8" ht="20.100000000000001" customHeight="1" x14ac:dyDescent="0.3">
      <c r="B280" s="105" t="str">
        <f ca="1">IFERROR(IF(PréstamoNoPagado*PréstamoPagado,NúmeroDePago,""), "")</f>
        <v/>
      </c>
      <c r="C280" s="96" t="str">
        <f ca="1">IFERROR(IF(PréstamoNoPagado*PréstamoPagado,FechaDePago,""), "")</f>
        <v/>
      </c>
      <c r="D280" s="97" t="str">
        <f ca="1">IFERROR(IF(PréstamoNoPagado*PréstamoPagado,ValorPréstamo,""), "")</f>
        <v/>
      </c>
      <c r="E280" s="97" t="str">
        <f ca="1">IFERROR(IF(PréstamoNoPagado*PréstamoPagado,PagoMensual,""), "")</f>
        <v/>
      </c>
      <c r="F280" s="97" t="str">
        <f ca="1">IFERROR(IF(PréstamoNoPagado*PréstamoPagado,Capital,""), "")</f>
        <v/>
      </c>
      <c r="G280" s="97" t="str">
        <f ca="1">IFERROR(IF(PréstamoNoPagado*PréstamoPagado,AmortizaciónInterés,""), "")</f>
        <v/>
      </c>
      <c r="H280" s="97" t="str">
        <f ca="1">IFERROR(IF(PréstamoNoPagado*PréstamoPagado,SaldoFinal,""), "")</f>
        <v/>
      </c>
    </row>
    <row r="281" spans="2:8" ht="20.100000000000001" customHeight="1" x14ac:dyDescent="0.3">
      <c r="B281" s="105" t="str">
        <f ca="1">IFERROR(IF(PréstamoNoPagado*PréstamoPagado,NúmeroDePago,""), "")</f>
        <v/>
      </c>
      <c r="C281" s="96" t="str">
        <f ca="1">IFERROR(IF(PréstamoNoPagado*PréstamoPagado,FechaDePago,""), "")</f>
        <v/>
      </c>
      <c r="D281" s="97" t="str">
        <f ca="1">IFERROR(IF(PréstamoNoPagado*PréstamoPagado,ValorPréstamo,""), "")</f>
        <v/>
      </c>
      <c r="E281" s="97" t="str">
        <f ca="1">IFERROR(IF(PréstamoNoPagado*PréstamoPagado,PagoMensual,""), "")</f>
        <v/>
      </c>
      <c r="F281" s="97" t="str">
        <f ca="1">IFERROR(IF(PréstamoNoPagado*PréstamoPagado,Capital,""), "")</f>
        <v/>
      </c>
      <c r="G281" s="97" t="str">
        <f ca="1">IFERROR(IF(PréstamoNoPagado*PréstamoPagado,AmortizaciónInterés,""), "")</f>
        <v/>
      </c>
      <c r="H281" s="97" t="str">
        <f ca="1">IFERROR(IF(PréstamoNoPagado*PréstamoPagado,SaldoFinal,""), "")</f>
        <v/>
      </c>
    </row>
    <row r="282" spans="2:8" ht="20.100000000000001" customHeight="1" x14ac:dyDescent="0.3">
      <c r="B282" s="105" t="str">
        <f ca="1">IFERROR(IF(PréstamoNoPagado*PréstamoPagado,NúmeroDePago,""), "")</f>
        <v/>
      </c>
      <c r="C282" s="96" t="str">
        <f ca="1">IFERROR(IF(PréstamoNoPagado*PréstamoPagado,FechaDePago,""), "")</f>
        <v/>
      </c>
      <c r="D282" s="97" t="str">
        <f ca="1">IFERROR(IF(PréstamoNoPagado*PréstamoPagado,ValorPréstamo,""), "")</f>
        <v/>
      </c>
      <c r="E282" s="97" t="str">
        <f ca="1">IFERROR(IF(PréstamoNoPagado*PréstamoPagado,PagoMensual,""), "")</f>
        <v/>
      </c>
      <c r="F282" s="97" t="str">
        <f ca="1">IFERROR(IF(PréstamoNoPagado*PréstamoPagado,Capital,""), "")</f>
        <v/>
      </c>
      <c r="G282" s="97" t="str">
        <f ca="1">IFERROR(IF(PréstamoNoPagado*PréstamoPagado,AmortizaciónInterés,""), "")</f>
        <v/>
      </c>
      <c r="H282" s="97" t="str">
        <f ca="1">IFERROR(IF(PréstamoNoPagado*PréstamoPagado,SaldoFinal,""), "")</f>
        <v/>
      </c>
    </row>
    <row r="283" spans="2:8" ht="20.100000000000001" customHeight="1" x14ac:dyDescent="0.3">
      <c r="B283" s="105" t="str">
        <f ca="1">IFERROR(IF(PréstamoNoPagado*PréstamoPagado,NúmeroDePago,""), "")</f>
        <v/>
      </c>
      <c r="C283" s="96" t="str">
        <f ca="1">IFERROR(IF(PréstamoNoPagado*PréstamoPagado,FechaDePago,""), "")</f>
        <v/>
      </c>
      <c r="D283" s="97" t="str">
        <f ca="1">IFERROR(IF(PréstamoNoPagado*PréstamoPagado,ValorPréstamo,""), "")</f>
        <v/>
      </c>
      <c r="E283" s="97" t="str">
        <f ca="1">IFERROR(IF(PréstamoNoPagado*PréstamoPagado,PagoMensual,""), "")</f>
        <v/>
      </c>
      <c r="F283" s="97" t="str">
        <f ca="1">IFERROR(IF(PréstamoNoPagado*PréstamoPagado,Capital,""), "")</f>
        <v/>
      </c>
      <c r="G283" s="97" t="str">
        <f ca="1">IFERROR(IF(PréstamoNoPagado*PréstamoPagado,AmortizaciónInterés,""), "")</f>
        <v/>
      </c>
      <c r="H283" s="97" t="str">
        <f ca="1">IFERROR(IF(PréstamoNoPagado*PréstamoPagado,SaldoFinal,""), "")</f>
        <v/>
      </c>
    </row>
    <row r="284" spans="2:8" ht="20.100000000000001" customHeight="1" x14ac:dyDescent="0.3">
      <c r="B284" s="105" t="str">
        <f ca="1">IFERROR(IF(PréstamoNoPagado*PréstamoPagado,NúmeroDePago,""), "")</f>
        <v/>
      </c>
      <c r="C284" s="96" t="str">
        <f ca="1">IFERROR(IF(PréstamoNoPagado*PréstamoPagado,FechaDePago,""), "")</f>
        <v/>
      </c>
      <c r="D284" s="97" t="str">
        <f ca="1">IFERROR(IF(PréstamoNoPagado*PréstamoPagado,ValorPréstamo,""), "")</f>
        <v/>
      </c>
      <c r="E284" s="97" t="str">
        <f ca="1">IFERROR(IF(PréstamoNoPagado*PréstamoPagado,PagoMensual,""), "")</f>
        <v/>
      </c>
      <c r="F284" s="97" t="str">
        <f ca="1">IFERROR(IF(PréstamoNoPagado*PréstamoPagado,Capital,""), "")</f>
        <v/>
      </c>
      <c r="G284" s="97" t="str">
        <f ca="1">IFERROR(IF(PréstamoNoPagado*PréstamoPagado,AmortizaciónInterés,""), "")</f>
        <v/>
      </c>
      <c r="H284" s="97" t="str">
        <f ca="1">IFERROR(IF(PréstamoNoPagado*PréstamoPagado,SaldoFinal,""), "")</f>
        <v/>
      </c>
    </row>
    <row r="285" spans="2:8" ht="20.100000000000001" customHeight="1" x14ac:dyDescent="0.3">
      <c r="B285" s="105" t="str">
        <f ca="1">IFERROR(IF(PréstamoNoPagado*PréstamoPagado,NúmeroDePago,""), "")</f>
        <v/>
      </c>
      <c r="C285" s="96" t="str">
        <f ca="1">IFERROR(IF(PréstamoNoPagado*PréstamoPagado,FechaDePago,""), "")</f>
        <v/>
      </c>
      <c r="D285" s="97" t="str">
        <f ca="1">IFERROR(IF(PréstamoNoPagado*PréstamoPagado,ValorPréstamo,""), "")</f>
        <v/>
      </c>
      <c r="E285" s="97" t="str">
        <f ca="1">IFERROR(IF(PréstamoNoPagado*PréstamoPagado,PagoMensual,""), "")</f>
        <v/>
      </c>
      <c r="F285" s="97" t="str">
        <f ca="1">IFERROR(IF(PréstamoNoPagado*PréstamoPagado,Capital,""), "")</f>
        <v/>
      </c>
      <c r="G285" s="97" t="str">
        <f ca="1">IFERROR(IF(PréstamoNoPagado*PréstamoPagado,AmortizaciónInterés,""), "")</f>
        <v/>
      </c>
      <c r="H285" s="97" t="str">
        <f ca="1">IFERROR(IF(PréstamoNoPagado*PréstamoPagado,SaldoFinal,""), "")</f>
        <v/>
      </c>
    </row>
    <row r="286" spans="2:8" ht="20.100000000000001" customHeight="1" x14ac:dyDescent="0.3">
      <c r="B286" s="105" t="str">
        <f ca="1">IFERROR(IF(PréstamoNoPagado*PréstamoPagado,NúmeroDePago,""), "")</f>
        <v/>
      </c>
      <c r="C286" s="96" t="str">
        <f ca="1">IFERROR(IF(PréstamoNoPagado*PréstamoPagado,FechaDePago,""), "")</f>
        <v/>
      </c>
      <c r="D286" s="97" t="str">
        <f ca="1">IFERROR(IF(PréstamoNoPagado*PréstamoPagado,ValorPréstamo,""), "")</f>
        <v/>
      </c>
      <c r="E286" s="97" t="str">
        <f ca="1">IFERROR(IF(PréstamoNoPagado*PréstamoPagado,PagoMensual,""), "")</f>
        <v/>
      </c>
      <c r="F286" s="97" t="str">
        <f ca="1">IFERROR(IF(PréstamoNoPagado*PréstamoPagado,Capital,""), "")</f>
        <v/>
      </c>
      <c r="G286" s="97" t="str">
        <f ca="1">IFERROR(IF(PréstamoNoPagado*PréstamoPagado,AmortizaciónInterés,""), "")</f>
        <v/>
      </c>
      <c r="H286" s="97" t="str">
        <f ca="1">IFERROR(IF(PréstamoNoPagado*PréstamoPagado,SaldoFinal,""), "")</f>
        <v/>
      </c>
    </row>
    <row r="287" spans="2:8" ht="20.100000000000001" customHeight="1" x14ac:dyDescent="0.3">
      <c r="B287" s="105" t="str">
        <f ca="1">IFERROR(IF(PréstamoNoPagado*PréstamoPagado,NúmeroDePago,""), "")</f>
        <v/>
      </c>
      <c r="C287" s="96" t="str">
        <f ca="1">IFERROR(IF(PréstamoNoPagado*PréstamoPagado,FechaDePago,""), "")</f>
        <v/>
      </c>
      <c r="D287" s="97" t="str">
        <f ca="1">IFERROR(IF(PréstamoNoPagado*PréstamoPagado,ValorPréstamo,""), "")</f>
        <v/>
      </c>
      <c r="E287" s="97" t="str">
        <f ca="1">IFERROR(IF(PréstamoNoPagado*PréstamoPagado,PagoMensual,""), "")</f>
        <v/>
      </c>
      <c r="F287" s="97" t="str">
        <f ca="1">IFERROR(IF(PréstamoNoPagado*PréstamoPagado,Capital,""), "")</f>
        <v/>
      </c>
      <c r="G287" s="97" t="str">
        <f ca="1">IFERROR(IF(PréstamoNoPagado*PréstamoPagado,AmortizaciónInterés,""), "")</f>
        <v/>
      </c>
      <c r="H287" s="97" t="str">
        <f ca="1">IFERROR(IF(PréstamoNoPagado*PréstamoPagado,SaldoFinal,""), "")</f>
        <v/>
      </c>
    </row>
    <row r="288" spans="2:8" ht="20.100000000000001" customHeight="1" x14ac:dyDescent="0.3">
      <c r="B288" s="105" t="str">
        <f ca="1">IFERROR(IF(PréstamoNoPagado*PréstamoPagado,NúmeroDePago,""), "")</f>
        <v/>
      </c>
      <c r="C288" s="96" t="str">
        <f ca="1">IFERROR(IF(PréstamoNoPagado*PréstamoPagado,FechaDePago,""), "")</f>
        <v/>
      </c>
      <c r="D288" s="97" t="str">
        <f ca="1">IFERROR(IF(PréstamoNoPagado*PréstamoPagado,ValorPréstamo,""), "")</f>
        <v/>
      </c>
      <c r="E288" s="97" t="str">
        <f ca="1">IFERROR(IF(PréstamoNoPagado*PréstamoPagado,PagoMensual,""), "")</f>
        <v/>
      </c>
      <c r="F288" s="97" t="str">
        <f ca="1">IFERROR(IF(PréstamoNoPagado*PréstamoPagado,Capital,""), "")</f>
        <v/>
      </c>
      <c r="G288" s="97" t="str">
        <f ca="1">IFERROR(IF(PréstamoNoPagado*PréstamoPagado,AmortizaciónInterés,""), "")</f>
        <v/>
      </c>
      <c r="H288" s="97" t="str">
        <f ca="1">IFERROR(IF(PréstamoNoPagado*PréstamoPagado,SaldoFinal,""), "")</f>
        <v/>
      </c>
    </row>
    <row r="289" spans="2:8" ht="20.100000000000001" customHeight="1" x14ac:dyDescent="0.3">
      <c r="B289" s="105" t="str">
        <f ca="1">IFERROR(IF(PréstamoNoPagado*PréstamoPagado,NúmeroDePago,""), "")</f>
        <v/>
      </c>
      <c r="C289" s="96" t="str">
        <f ca="1">IFERROR(IF(PréstamoNoPagado*PréstamoPagado,FechaDePago,""), "")</f>
        <v/>
      </c>
      <c r="D289" s="97" t="str">
        <f ca="1">IFERROR(IF(PréstamoNoPagado*PréstamoPagado,ValorPréstamo,""), "")</f>
        <v/>
      </c>
      <c r="E289" s="97" t="str">
        <f ca="1">IFERROR(IF(PréstamoNoPagado*PréstamoPagado,PagoMensual,""), "")</f>
        <v/>
      </c>
      <c r="F289" s="97" t="str">
        <f ca="1">IFERROR(IF(PréstamoNoPagado*PréstamoPagado,Capital,""), "")</f>
        <v/>
      </c>
      <c r="G289" s="97" t="str">
        <f ca="1">IFERROR(IF(PréstamoNoPagado*PréstamoPagado,AmortizaciónInterés,""), "")</f>
        <v/>
      </c>
      <c r="H289" s="97" t="str">
        <f ca="1">IFERROR(IF(PréstamoNoPagado*PréstamoPagado,SaldoFinal,""), "")</f>
        <v/>
      </c>
    </row>
    <row r="290" spans="2:8" ht="20.100000000000001" customHeight="1" x14ac:dyDescent="0.3">
      <c r="B290" s="105" t="str">
        <f ca="1">IFERROR(IF(PréstamoNoPagado*PréstamoPagado,NúmeroDePago,""), "")</f>
        <v/>
      </c>
      <c r="C290" s="96" t="str">
        <f ca="1">IFERROR(IF(PréstamoNoPagado*PréstamoPagado,FechaDePago,""), "")</f>
        <v/>
      </c>
      <c r="D290" s="97" t="str">
        <f ca="1">IFERROR(IF(PréstamoNoPagado*PréstamoPagado,ValorPréstamo,""), "")</f>
        <v/>
      </c>
      <c r="E290" s="97" t="str">
        <f ca="1">IFERROR(IF(PréstamoNoPagado*PréstamoPagado,PagoMensual,""), "")</f>
        <v/>
      </c>
      <c r="F290" s="97" t="str">
        <f ca="1">IFERROR(IF(PréstamoNoPagado*PréstamoPagado,Capital,""), "")</f>
        <v/>
      </c>
      <c r="G290" s="97" t="str">
        <f ca="1">IFERROR(IF(PréstamoNoPagado*PréstamoPagado,AmortizaciónInterés,""), "")</f>
        <v/>
      </c>
      <c r="H290" s="97" t="str">
        <f ca="1">IFERROR(IF(PréstamoNoPagado*PréstamoPagado,SaldoFinal,""), "")</f>
        <v/>
      </c>
    </row>
    <row r="291" spans="2:8" ht="20.100000000000001" customHeight="1" x14ac:dyDescent="0.3">
      <c r="B291" s="105" t="str">
        <f ca="1">IFERROR(IF(PréstamoNoPagado*PréstamoPagado,NúmeroDePago,""), "")</f>
        <v/>
      </c>
      <c r="C291" s="96" t="str">
        <f ca="1">IFERROR(IF(PréstamoNoPagado*PréstamoPagado,FechaDePago,""), "")</f>
        <v/>
      </c>
      <c r="D291" s="97" t="str">
        <f ca="1">IFERROR(IF(PréstamoNoPagado*PréstamoPagado,ValorPréstamo,""), "")</f>
        <v/>
      </c>
      <c r="E291" s="97" t="str">
        <f ca="1">IFERROR(IF(PréstamoNoPagado*PréstamoPagado,PagoMensual,""), "")</f>
        <v/>
      </c>
      <c r="F291" s="97" t="str">
        <f ca="1">IFERROR(IF(PréstamoNoPagado*PréstamoPagado,Capital,""), "")</f>
        <v/>
      </c>
      <c r="G291" s="97" t="str">
        <f ca="1">IFERROR(IF(PréstamoNoPagado*PréstamoPagado,AmortizaciónInterés,""), "")</f>
        <v/>
      </c>
      <c r="H291" s="97" t="str">
        <f ca="1">IFERROR(IF(PréstamoNoPagado*PréstamoPagado,SaldoFinal,""), "")</f>
        <v/>
      </c>
    </row>
    <row r="292" spans="2:8" ht="20.100000000000001" customHeight="1" x14ac:dyDescent="0.3">
      <c r="B292" s="105" t="str">
        <f ca="1">IFERROR(IF(PréstamoNoPagado*PréstamoPagado,NúmeroDePago,""), "")</f>
        <v/>
      </c>
      <c r="C292" s="96" t="str">
        <f ca="1">IFERROR(IF(PréstamoNoPagado*PréstamoPagado,FechaDePago,""), "")</f>
        <v/>
      </c>
      <c r="D292" s="97" t="str">
        <f ca="1">IFERROR(IF(PréstamoNoPagado*PréstamoPagado,ValorPréstamo,""), "")</f>
        <v/>
      </c>
      <c r="E292" s="97" t="str">
        <f ca="1">IFERROR(IF(PréstamoNoPagado*PréstamoPagado,PagoMensual,""), "")</f>
        <v/>
      </c>
      <c r="F292" s="97" t="str">
        <f ca="1">IFERROR(IF(PréstamoNoPagado*PréstamoPagado,Capital,""), "")</f>
        <v/>
      </c>
      <c r="G292" s="97" t="str">
        <f ca="1">IFERROR(IF(PréstamoNoPagado*PréstamoPagado,AmortizaciónInterés,""), "")</f>
        <v/>
      </c>
      <c r="H292" s="97" t="str">
        <f ca="1">IFERROR(IF(PréstamoNoPagado*PréstamoPagado,SaldoFinal,""), "")</f>
        <v/>
      </c>
    </row>
    <row r="293" spans="2:8" ht="20.100000000000001" customHeight="1" x14ac:dyDescent="0.3">
      <c r="B293" s="105" t="str">
        <f ca="1">IFERROR(IF(PréstamoNoPagado*PréstamoPagado,NúmeroDePago,""), "")</f>
        <v/>
      </c>
      <c r="C293" s="96" t="str">
        <f ca="1">IFERROR(IF(PréstamoNoPagado*PréstamoPagado,FechaDePago,""), "")</f>
        <v/>
      </c>
      <c r="D293" s="97" t="str">
        <f ca="1">IFERROR(IF(PréstamoNoPagado*PréstamoPagado,ValorPréstamo,""), "")</f>
        <v/>
      </c>
      <c r="E293" s="97" t="str">
        <f ca="1">IFERROR(IF(PréstamoNoPagado*PréstamoPagado,PagoMensual,""), "")</f>
        <v/>
      </c>
      <c r="F293" s="97" t="str">
        <f ca="1">IFERROR(IF(PréstamoNoPagado*PréstamoPagado,Capital,""), "")</f>
        <v/>
      </c>
      <c r="G293" s="97" t="str">
        <f ca="1">IFERROR(IF(PréstamoNoPagado*PréstamoPagado,AmortizaciónInterés,""), "")</f>
        <v/>
      </c>
      <c r="H293" s="97" t="str">
        <f ca="1">IFERROR(IF(PréstamoNoPagado*PréstamoPagado,SaldoFinal,""), "")</f>
        <v/>
      </c>
    </row>
    <row r="294" spans="2:8" ht="20.100000000000001" customHeight="1" x14ac:dyDescent="0.3">
      <c r="B294" s="105" t="str">
        <f ca="1">IFERROR(IF(PréstamoNoPagado*PréstamoPagado,NúmeroDePago,""), "")</f>
        <v/>
      </c>
      <c r="C294" s="96" t="str">
        <f ca="1">IFERROR(IF(PréstamoNoPagado*PréstamoPagado,FechaDePago,""), "")</f>
        <v/>
      </c>
      <c r="D294" s="97" t="str">
        <f ca="1">IFERROR(IF(PréstamoNoPagado*PréstamoPagado,ValorPréstamo,""), "")</f>
        <v/>
      </c>
      <c r="E294" s="97" t="str">
        <f ca="1">IFERROR(IF(PréstamoNoPagado*PréstamoPagado,PagoMensual,""), "")</f>
        <v/>
      </c>
      <c r="F294" s="97" t="str">
        <f ca="1">IFERROR(IF(PréstamoNoPagado*PréstamoPagado,Capital,""), "")</f>
        <v/>
      </c>
      <c r="G294" s="97" t="str">
        <f ca="1">IFERROR(IF(PréstamoNoPagado*PréstamoPagado,AmortizaciónInterés,""), "")</f>
        <v/>
      </c>
      <c r="H294" s="97" t="str">
        <f ca="1">IFERROR(IF(PréstamoNoPagado*PréstamoPagado,SaldoFinal,""), "")</f>
        <v/>
      </c>
    </row>
    <row r="295" spans="2:8" ht="20.100000000000001" customHeight="1" x14ac:dyDescent="0.3">
      <c r="B295" s="105" t="str">
        <f ca="1">IFERROR(IF(PréstamoNoPagado*PréstamoPagado,NúmeroDePago,""), "")</f>
        <v/>
      </c>
      <c r="C295" s="96" t="str">
        <f ca="1">IFERROR(IF(PréstamoNoPagado*PréstamoPagado,FechaDePago,""), "")</f>
        <v/>
      </c>
      <c r="D295" s="97" t="str">
        <f ca="1">IFERROR(IF(PréstamoNoPagado*PréstamoPagado,ValorPréstamo,""), "")</f>
        <v/>
      </c>
      <c r="E295" s="97" t="str">
        <f ca="1">IFERROR(IF(PréstamoNoPagado*PréstamoPagado,PagoMensual,""), "")</f>
        <v/>
      </c>
      <c r="F295" s="97" t="str">
        <f ca="1">IFERROR(IF(PréstamoNoPagado*PréstamoPagado,Capital,""), "")</f>
        <v/>
      </c>
      <c r="G295" s="97" t="str">
        <f ca="1">IFERROR(IF(PréstamoNoPagado*PréstamoPagado,AmortizaciónInterés,""), "")</f>
        <v/>
      </c>
      <c r="H295" s="97" t="str">
        <f ca="1">IFERROR(IF(PréstamoNoPagado*PréstamoPagado,SaldoFinal,""), "")</f>
        <v/>
      </c>
    </row>
    <row r="296" spans="2:8" ht="20.100000000000001" customHeight="1" x14ac:dyDescent="0.3">
      <c r="B296" s="105" t="str">
        <f ca="1">IFERROR(IF(PréstamoNoPagado*PréstamoPagado,NúmeroDePago,""), "")</f>
        <v/>
      </c>
      <c r="C296" s="96" t="str">
        <f ca="1">IFERROR(IF(PréstamoNoPagado*PréstamoPagado,FechaDePago,""), "")</f>
        <v/>
      </c>
      <c r="D296" s="97" t="str">
        <f ca="1">IFERROR(IF(PréstamoNoPagado*PréstamoPagado,ValorPréstamo,""), "")</f>
        <v/>
      </c>
      <c r="E296" s="97" t="str">
        <f ca="1">IFERROR(IF(PréstamoNoPagado*PréstamoPagado,PagoMensual,""), "")</f>
        <v/>
      </c>
      <c r="F296" s="97" t="str">
        <f ca="1">IFERROR(IF(PréstamoNoPagado*PréstamoPagado,Capital,""), "")</f>
        <v/>
      </c>
      <c r="G296" s="97" t="str">
        <f ca="1">IFERROR(IF(PréstamoNoPagado*PréstamoPagado,AmortizaciónInterés,""), "")</f>
        <v/>
      </c>
      <c r="H296" s="97" t="str">
        <f ca="1">IFERROR(IF(PréstamoNoPagado*PréstamoPagado,SaldoFinal,""), "")</f>
        <v/>
      </c>
    </row>
    <row r="297" spans="2:8" ht="20.100000000000001" customHeight="1" x14ac:dyDescent="0.3">
      <c r="B297" s="105" t="str">
        <f ca="1">IFERROR(IF(PréstamoNoPagado*PréstamoPagado,NúmeroDePago,""), "")</f>
        <v/>
      </c>
      <c r="C297" s="96" t="str">
        <f ca="1">IFERROR(IF(PréstamoNoPagado*PréstamoPagado,FechaDePago,""), "")</f>
        <v/>
      </c>
      <c r="D297" s="97" t="str">
        <f ca="1">IFERROR(IF(PréstamoNoPagado*PréstamoPagado,ValorPréstamo,""), "")</f>
        <v/>
      </c>
      <c r="E297" s="97" t="str">
        <f ca="1">IFERROR(IF(PréstamoNoPagado*PréstamoPagado,PagoMensual,""), "")</f>
        <v/>
      </c>
      <c r="F297" s="97" t="str">
        <f ca="1">IFERROR(IF(PréstamoNoPagado*PréstamoPagado,Capital,""), "")</f>
        <v/>
      </c>
      <c r="G297" s="97" t="str">
        <f ca="1">IFERROR(IF(PréstamoNoPagado*PréstamoPagado,AmortizaciónInterés,""), "")</f>
        <v/>
      </c>
      <c r="H297" s="97" t="str">
        <f ca="1">IFERROR(IF(PréstamoNoPagado*PréstamoPagado,SaldoFinal,""), "")</f>
        <v/>
      </c>
    </row>
    <row r="298" spans="2:8" ht="20.100000000000001" customHeight="1" x14ac:dyDescent="0.3">
      <c r="B298" s="105" t="str">
        <f ca="1">IFERROR(IF(PréstamoNoPagado*PréstamoPagado,NúmeroDePago,""), "")</f>
        <v/>
      </c>
      <c r="C298" s="96" t="str">
        <f ca="1">IFERROR(IF(PréstamoNoPagado*PréstamoPagado,FechaDePago,""), "")</f>
        <v/>
      </c>
      <c r="D298" s="97" t="str">
        <f ca="1">IFERROR(IF(PréstamoNoPagado*PréstamoPagado,ValorPréstamo,""), "")</f>
        <v/>
      </c>
      <c r="E298" s="97" t="str">
        <f ca="1">IFERROR(IF(PréstamoNoPagado*PréstamoPagado,PagoMensual,""), "")</f>
        <v/>
      </c>
      <c r="F298" s="97" t="str">
        <f ca="1">IFERROR(IF(PréstamoNoPagado*PréstamoPagado,Capital,""), "")</f>
        <v/>
      </c>
      <c r="G298" s="97" t="str">
        <f ca="1">IFERROR(IF(PréstamoNoPagado*PréstamoPagado,AmortizaciónInterés,""), "")</f>
        <v/>
      </c>
      <c r="H298" s="97" t="str">
        <f ca="1">IFERROR(IF(PréstamoNoPagado*PréstamoPagado,SaldoFinal,""), "")</f>
        <v/>
      </c>
    </row>
    <row r="299" spans="2:8" ht="20.100000000000001" customHeight="1" x14ac:dyDescent="0.3">
      <c r="B299" s="105" t="str">
        <f ca="1">IFERROR(IF(PréstamoNoPagado*PréstamoPagado,NúmeroDePago,""), "")</f>
        <v/>
      </c>
      <c r="C299" s="96" t="str">
        <f ca="1">IFERROR(IF(PréstamoNoPagado*PréstamoPagado,FechaDePago,""), "")</f>
        <v/>
      </c>
      <c r="D299" s="97" t="str">
        <f ca="1">IFERROR(IF(PréstamoNoPagado*PréstamoPagado,ValorPréstamo,""), "")</f>
        <v/>
      </c>
      <c r="E299" s="97" t="str">
        <f ca="1">IFERROR(IF(PréstamoNoPagado*PréstamoPagado,PagoMensual,""), "")</f>
        <v/>
      </c>
      <c r="F299" s="97" t="str">
        <f ca="1">IFERROR(IF(PréstamoNoPagado*PréstamoPagado,Capital,""), "")</f>
        <v/>
      </c>
      <c r="G299" s="97" t="str">
        <f ca="1">IFERROR(IF(PréstamoNoPagado*PréstamoPagado,AmortizaciónInterés,""), "")</f>
        <v/>
      </c>
      <c r="H299" s="97" t="str">
        <f ca="1">IFERROR(IF(PréstamoNoPagado*PréstamoPagado,SaldoFinal,""), "")</f>
        <v/>
      </c>
    </row>
    <row r="300" spans="2:8" ht="20.100000000000001" customHeight="1" x14ac:dyDescent="0.3">
      <c r="B300" s="105" t="str">
        <f ca="1">IFERROR(IF(PréstamoNoPagado*PréstamoPagado,NúmeroDePago,""), "")</f>
        <v/>
      </c>
      <c r="C300" s="96" t="str">
        <f ca="1">IFERROR(IF(PréstamoNoPagado*PréstamoPagado,FechaDePago,""), "")</f>
        <v/>
      </c>
      <c r="D300" s="97" t="str">
        <f ca="1">IFERROR(IF(PréstamoNoPagado*PréstamoPagado,ValorPréstamo,""), "")</f>
        <v/>
      </c>
      <c r="E300" s="97" t="str">
        <f ca="1">IFERROR(IF(PréstamoNoPagado*PréstamoPagado,PagoMensual,""), "")</f>
        <v/>
      </c>
      <c r="F300" s="97" t="str">
        <f ca="1">IFERROR(IF(PréstamoNoPagado*PréstamoPagado,Capital,""), "")</f>
        <v/>
      </c>
      <c r="G300" s="97" t="str">
        <f ca="1">IFERROR(IF(PréstamoNoPagado*PréstamoPagado,AmortizaciónInterés,""), "")</f>
        <v/>
      </c>
      <c r="H300" s="97" t="str">
        <f ca="1">IFERROR(IF(PréstamoNoPagado*PréstamoPagado,SaldoFinal,""), "")</f>
        <v/>
      </c>
    </row>
    <row r="301" spans="2:8" ht="20.100000000000001" customHeight="1" x14ac:dyDescent="0.3">
      <c r="B301" s="105" t="str">
        <f ca="1">IFERROR(IF(PréstamoNoPagado*PréstamoPagado,NúmeroDePago,""), "")</f>
        <v/>
      </c>
      <c r="C301" s="96" t="str">
        <f ca="1">IFERROR(IF(PréstamoNoPagado*PréstamoPagado,FechaDePago,""), "")</f>
        <v/>
      </c>
      <c r="D301" s="97" t="str">
        <f ca="1">IFERROR(IF(PréstamoNoPagado*PréstamoPagado,ValorPréstamo,""), "")</f>
        <v/>
      </c>
      <c r="E301" s="97" t="str">
        <f ca="1">IFERROR(IF(PréstamoNoPagado*PréstamoPagado,PagoMensual,""), "")</f>
        <v/>
      </c>
      <c r="F301" s="97" t="str">
        <f ca="1">IFERROR(IF(PréstamoNoPagado*PréstamoPagado,Capital,""), "")</f>
        <v/>
      </c>
      <c r="G301" s="97" t="str">
        <f ca="1">IFERROR(IF(PréstamoNoPagado*PréstamoPagado,AmortizaciónInterés,""), "")</f>
        <v/>
      </c>
      <c r="H301" s="97" t="str">
        <f ca="1">IFERROR(IF(PréstamoNoPagado*PréstamoPagado,SaldoFinal,""), "")</f>
        <v/>
      </c>
    </row>
    <row r="302" spans="2:8" ht="20.100000000000001" customHeight="1" x14ac:dyDescent="0.3">
      <c r="B302" s="105" t="str">
        <f ca="1">IFERROR(IF(PréstamoNoPagado*PréstamoPagado,NúmeroDePago,""), "")</f>
        <v/>
      </c>
      <c r="C302" s="96" t="str">
        <f ca="1">IFERROR(IF(PréstamoNoPagado*PréstamoPagado,FechaDePago,""), "")</f>
        <v/>
      </c>
      <c r="D302" s="97" t="str">
        <f ca="1">IFERROR(IF(PréstamoNoPagado*PréstamoPagado,ValorPréstamo,""), "")</f>
        <v/>
      </c>
      <c r="E302" s="97" t="str">
        <f ca="1">IFERROR(IF(PréstamoNoPagado*PréstamoPagado,PagoMensual,""), "")</f>
        <v/>
      </c>
      <c r="F302" s="97" t="str">
        <f ca="1">IFERROR(IF(PréstamoNoPagado*PréstamoPagado,Capital,""), "")</f>
        <v/>
      </c>
      <c r="G302" s="97" t="str">
        <f ca="1">IFERROR(IF(PréstamoNoPagado*PréstamoPagado,AmortizaciónInterés,""), "")</f>
        <v/>
      </c>
      <c r="H302" s="97" t="str">
        <f ca="1">IFERROR(IF(PréstamoNoPagado*PréstamoPagado,SaldoFinal,""), "")</f>
        <v/>
      </c>
    </row>
    <row r="303" spans="2:8" ht="20.100000000000001" customHeight="1" x14ac:dyDescent="0.3">
      <c r="B303" s="105" t="str">
        <f ca="1">IFERROR(IF(PréstamoNoPagado*PréstamoPagado,NúmeroDePago,""), "")</f>
        <v/>
      </c>
      <c r="C303" s="96" t="str">
        <f ca="1">IFERROR(IF(PréstamoNoPagado*PréstamoPagado,FechaDePago,""), "")</f>
        <v/>
      </c>
      <c r="D303" s="97" t="str">
        <f ca="1">IFERROR(IF(PréstamoNoPagado*PréstamoPagado,ValorPréstamo,""), "")</f>
        <v/>
      </c>
      <c r="E303" s="97" t="str">
        <f ca="1">IFERROR(IF(PréstamoNoPagado*PréstamoPagado,PagoMensual,""), "")</f>
        <v/>
      </c>
      <c r="F303" s="97" t="str">
        <f ca="1">IFERROR(IF(PréstamoNoPagado*PréstamoPagado,Capital,""), "")</f>
        <v/>
      </c>
      <c r="G303" s="97" t="str">
        <f ca="1">IFERROR(IF(PréstamoNoPagado*PréstamoPagado,AmortizaciónInterés,""), "")</f>
        <v/>
      </c>
      <c r="H303" s="97" t="str">
        <f ca="1">IFERROR(IF(PréstamoNoPagado*PréstamoPagado,SaldoFinal,""), "")</f>
        <v/>
      </c>
    </row>
    <row r="304" spans="2:8" ht="20.100000000000001" customHeight="1" x14ac:dyDescent="0.3">
      <c r="B304" s="105" t="str">
        <f ca="1">IFERROR(IF(PréstamoNoPagado*PréstamoPagado,NúmeroDePago,""), "")</f>
        <v/>
      </c>
      <c r="C304" s="96" t="str">
        <f ca="1">IFERROR(IF(PréstamoNoPagado*PréstamoPagado,FechaDePago,""), "")</f>
        <v/>
      </c>
      <c r="D304" s="97" t="str">
        <f ca="1">IFERROR(IF(PréstamoNoPagado*PréstamoPagado,ValorPréstamo,""), "")</f>
        <v/>
      </c>
      <c r="E304" s="97" t="str">
        <f ca="1">IFERROR(IF(PréstamoNoPagado*PréstamoPagado,PagoMensual,""), "")</f>
        <v/>
      </c>
      <c r="F304" s="97" t="str">
        <f ca="1">IFERROR(IF(PréstamoNoPagado*PréstamoPagado,Capital,""), "")</f>
        <v/>
      </c>
      <c r="G304" s="97" t="str">
        <f ca="1">IFERROR(IF(PréstamoNoPagado*PréstamoPagado,AmortizaciónInterés,""), "")</f>
        <v/>
      </c>
      <c r="H304" s="97" t="str">
        <f ca="1">IFERROR(IF(PréstamoNoPagado*PréstamoPagado,SaldoFinal,""), "")</f>
        <v/>
      </c>
    </row>
    <row r="305" spans="2:8" ht="20.100000000000001" customHeight="1" x14ac:dyDescent="0.3">
      <c r="B305" s="105" t="str">
        <f ca="1">IFERROR(IF(PréstamoNoPagado*PréstamoPagado,NúmeroDePago,""), "")</f>
        <v/>
      </c>
      <c r="C305" s="96" t="str">
        <f ca="1">IFERROR(IF(PréstamoNoPagado*PréstamoPagado,FechaDePago,""), "")</f>
        <v/>
      </c>
      <c r="D305" s="97" t="str">
        <f ca="1">IFERROR(IF(PréstamoNoPagado*PréstamoPagado,ValorPréstamo,""), "")</f>
        <v/>
      </c>
      <c r="E305" s="97" t="str">
        <f ca="1">IFERROR(IF(PréstamoNoPagado*PréstamoPagado,PagoMensual,""), "")</f>
        <v/>
      </c>
      <c r="F305" s="97" t="str">
        <f ca="1">IFERROR(IF(PréstamoNoPagado*PréstamoPagado,Capital,""), "")</f>
        <v/>
      </c>
      <c r="G305" s="97" t="str">
        <f ca="1">IFERROR(IF(PréstamoNoPagado*PréstamoPagado,AmortizaciónInterés,""), "")</f>
        <v/>
      </c>
      <c r="H305" s="97" t="str">
        <f ca="1">IFERROR(IF(PréstamoNoPagado*PréstamoPagado,SaldoFinal,""), "")</f>
        <v/>
      </c>
    </row>
    <row r="306" spans="2:8" ht="20.100000000000001" customHeight="1" x14ac:dyDescent="0.3">
      <c r="B306" s="105" t="str">
        <f ca="1">IFERROR(IF(PréstamoNoPagado*PréstamoPagado,NúmeroDePago,""), "")</f>
        <v/>
      </c>
      <c r="C306" s="96" t="str">
        <f ca="1">IFERROR(IF(PréstamoNoPagado*PréstamoPagado,FechaDePago,""), "")</f>
        <v/>
      </c>
      <c r="D306" s="97" t="str">
        <f ca="1">IFERROR(IF(PréstamoNoPagado*PréstamoPagado,ValorPréstamo,""), "")</f>
        <v/>
      </c>
      <c r="E306" s="97" t="str">
        <f ca="1">IFERROR(IF(PréstamoNoPagado*PréstamoPagado,PagoMensual,""), "")</f>
        <v/>
      </c>
      <c r="F306" s="97" t="str">
        <f ca="1">IFERROR(IF(PréstamoNoPagado*PréstamoPagado,Capital,""), "")</f>
        <v/>
      </c>
      <c r="G306" s="97" t="str">
        <f ca="1">IFERROR(IF(PréstamoNoPagado*PréstamoPagado,AmortizaciónInterés,""), "")</f>
        <v/>
      </c>
      <c r="H306" s="97" t="str">
        <f ca="1">IFERROR(IF(PréstamoNoPagado*PréstamoPagado,SaldoFinal,""), "")</f>
        <v/>
      </c>
    </row>
    <row r="307" spans="2:8" ht="20.100000000000001" customHeight="1" x14ac:dyDescent="0.3">
      <c r="B307" s="105" t="str">
        <f ca="1">IFERROR(IF(PréstamoNoPagado*PréstamoPagado,NúmeroDePago,""), "")</f>
        <v/>
      </c>
      <c r="C307" s="96" t="str">
        <f ca="1">IFERROR(IF(PréstamoNoPagado*PréstamoPagado,FechaDePago,""), "")</f>
        <v/>
      </c>
      <c r="D307" s="97" t="str">
        <f ca="1">IFERROR(IF(PréstamoNoPagado*PréstamoPagado,ValorPréstamo,""), "")</f>
        <v/>
      </c>
      <c r="E307" s="97" t="str">
        <f ca="1">IFERROR(IF(PréstamoNoPagado*PréstamoPagado,PagoMensual,""), "")</f>
        <v/>
      </c>
      <c r="F307" s="97" t="str">
        <f ca="1">IFERROR(IF(PréstamoNoPagado*PréstamoPagado,Capital,""), "")</f>
        <v/>
      </c>
      <c r="G307" s="97" t="str">
        <f ca="1">IFERROR(IF(PréstamoNoPagado*PréstamoPagado,AmortizaciónInterés,""), "")</f>
        <v/>
      </c>
      <c r="H307" s="97" t="str">
        <f ca="1">IFERROR(IF(PréstamoNoPagado*PréstamoPagado,SaldoFinal,""), "")</f>
        <v/>
      </c>
    </row>
    <row r="308" spans="2:8" ht="20.100000000000001" customHeight="1" x14ac:dyDescent="0.3">
      <c r="B308" s="105" t="str">
        <f ca="1">IFERROR(IF(PréstamoNoPagado*PréstamoPagado,NúmeroDePago,""), "")</f>
        <v/>
      </c>
      <c r="C308" s="96" t="str">
        <f ca="1">IFERROR(IF(PréstamoNoPagado*PréstamoPagado,FechaDePago,""), "")</f>
        <v/>
      </c>
      <c r="D308" s="97" t="str">
        <f ca="1">IFERROR(IF(PréstamoNoPagado*PréstamoPagado,ValorPréstamo,""), "")</f>
        <v/>
      </c>
      <c r="E308" s="97" t="str">
        <f ca="1">IFERROR(IF(PréstamoNoPagado*PréstamoPagado,PagoMensual,""), "")</f>
        <v/>
      </c>
      <c r="F308" s="97" t="str">
        <f ca="1">IFERROR(IF(PréstamoNoPagado*PréstamoPagado,Capital,""), "")</f>
        <v/>
      </c>
      <c r="G308" s="97" t="str">
        <f ca="1">IFERROR(IF(PréstamoNoPagado*PréstamoPagado,AmortizaciónInterés,""), "")</f>
        <v/>
      </c>
      <c r="H308" s="97" t="str">
        <f ca="1">IFERROR(IF(PréstamoNoPagado*PréstamoPagado,SaldoFinal,""), "")</f>
        <v/>
      </c>
    </row>
    <row r="309" spans="2:8" ht="20.100000000000001" customHeight="1" x14ac:dyDescent="0.3">
      <c r="B309" s="105" t="str">
        <f ca="1">IFERROR(IF(PréstamoNoPagado*PréstamoPagado,NúmeroDePago,""), "")</f>
        <v/>
      </c>
      <c r="C309" s="96" t="str">
        <f ca="1">IFERROR(IF(PréstamoNoPagado*PréstamoPagado,FechaDePago,""), "")</f>
        <v/>
      </c>
      <c r="D309" s="97" t="str">
        <f ca="1">IFERROR(IF(PréstamoNoPagado*PréstamoPagado,ValorPréstamo,""), "")</f>
        <v/>
      </c>
      <c r="E309" s="97" t="str">
        <f ca="1">IFERROR(IF(PréstamoNoPagado*PréstamoPagado,PagoMensual,""), "")</f>
        <v/>
      </c>
      <c r="F309" s="97" t="str">
        <f ca="1">IFERROR(IF(PréstamoNoPagado*PréstamoPagado,Capital,""), "")</f>
        <v/>
      </c>
      <c r="G309" s="97" t="str">
        <f ca="1">IFERROR(IF(PréstamoNoPagado*PréstamoPagado,AmortizaciónInterés,""), "")</f>
        <v/>
      </c>
      <c r="H309" s="97" t="str">
        <f ca="1">IFERROR(IF(PréstamoNoPagado*PréstamoPagado,SaldoFinal,""), "")</f>
        <v/>
      </c>
    </row>
    <row r="310" spans="2:8" ht="20.100000000000001" customHeight="1" x14ac:dyDescent="0.3">
      <c r="B310" s="105" t="str">
        <f ca="1">IFERROR(IF(PréstamoNoPagado*PréstamoPagado,NúmeroDePago,""), "")</f>
        <v/>
      </c>
      <c r="C310" s="96" t="str">
        <f ca="1">IFERROR(IF(PréstamoNoPagado*PréstamoPagado,FechaDePago,""), "")</f>
        <v/>
      </c>
      <c r="D310" s="97" t="str">
        <f ca="1">IFERROR(IF(PréstamoNoPagado*PréstamoPagado,ValorPréstamo,""), "")</f>
        <v/>
      </c>
      <c r="E310" s="97" t="str">
        <f ca="1">IFERROR(IF(PréstamoNoPagado*PréstamoPagado,PagoMensual,""), "")</f>
        <v/>
      </c>
      <c r="F310" s="97" t="str">
        <f ca="1">IFERROR(IF(PréstamoNoPagado*PréstamoPagado,Capital,""), "")</f>
        <v/>
      </c>
      <c r="G310" s="97" t="str">
        <f ca="1">IFERROR(IF(PréstamoNoPagado*PréstamoPagado,AmortizaciónInterés,""), "")</f>
        <v/>
      </c>
      <c r="H310" s="97" t="str">
        <f ca="1">IFERROR(IF(PréstamoNoPagado*PréstamoPagado,SaldoFinal,""), "")</f>
        <v/>
      </c>
    </row>
    <row r="311" spans="2:8" ht="20.100000000000001" customHeight="1" x14ac:dyDescent="0.3">
      <c r="B311" s="105" t="str">
        <f ca="1">IFERROR(IF(PréstamoNoPagado*PréstamoPagado,NúmeroDePago,""), "")</f>
        <v/>
      </c>
      <c r="C311" s="96" t="str">
        <f ca="1">IFERROR(IF(PréstamoNoPagado*PréstamoPagado,FechaDePago,""), "")</f>
        <v/>
      </c>
      <c r="D311" s="97" t="str">
        <f ca="1">IFERROR(IF(PréstamoNoPagado*PréstamoPagado,ValorPréstamo,""), "")</f>
        <v/>
      </c>
      <c r="E311" s="97" t="str">
        <f ca="1">IFERROR(IF(PréstamoNoPagado*PréstamoPagado,PagoMensual,""), "")</f>
        <v/>
      </c>
      <c r="F311" s="97" t="str">
        <f ca="1">IFERROR(IF(PréstamoNoPagado*PréstamoPagado,Capital,""), "")</f>
        <v/>
      </c>
      <c r="G311" s="97" t="str">
        <f ca="1">IFERROR(IF(PréstamoNoPagado*PréstamoPagado,AmortizaciónInterés,""), "")</f>
        <v/>
      </c>
      <c r="H311" s="97" t="str">
        <f ca="1">IFERROR(IF(PréstamoNoPagado*PréstamoPagado,SaldoFinal,""), "")</f>
        <v/>
      </c>
    </row>
    <row r="312" spans="2:8" ht="20.100000000000001" customHeight="1" x14ac:dyDescent="0.3">
      <c r="B312" s="105" t="str">
        <f ca="1">IFERROR(IF(PréstamoNoPagado*PréstamoPagado,NúmeroDePago,""), "")</f>
        <v/>
      </c>
      <c r="C312" s="96" t="str">
        <f ca="1">IFERROR(IF(PréstamoNoPagado*PréstamoPagado,FechaDePago,""), "")</f>
        <v/>
      </c>
      <c r="D312" s="97" t="str">
        <f ca="1">IFERROR(IF(PréstamoNoPagado*PréstamoPagado,ValorPréstamo,""), "")</f>
        <v/>
      </c>
      <c r="E312" s="97" t="str">
        <f ca="1">IFERROR(IF(PréstamoNoPagado*PréstamoPagado,PagoMensual,""), "")</f>
        <v/>
      </c>
      <c r="F312" s="97" t="str">
        <f ca="1">IFERROR(IF(PréstamoNoPagado*PréstamoPagado,Capital,""), "")</f>
        <v/>
      </c>
      <c r="G312" s="97" t="str">
        <f ca="1">IFERROR(IF(PréstamoNoPagado*PréstamoPagado,AmortizaciónInterés,""), "")</f>
        <v/>
      </c>
      <c r="H312" s="97" t="str">
        <f ca="1">IFERROR(IF(PréstamoNoPagado*PréstamoPagado,SaldoFinal,""), "")</f>
        <v/>
      </c>
    </row>
    <row r="313" spans="2:8" ht="20.100000000000001" customHeight="1" x14ac:dyDescent="0.3">
      <c r="B313" s="105" t="str">
        <f ca="1">IFERROR(IF(PréstamoNoPagado*PréstamoPagado,NúmeroDePago,""), "")</f>
        <v/>
      </c>
      <c r="C313" s="96" t="str">
        <f ca="1">IFERROR(IF(PréstamoNoPagado*PréstamoPagado,FechaDePago,""), "")</f>
        <v/>
      </c>
      <c r="D313" s="97" t="str">
        <f ca="1">IFERROR(IF(PréstamoNoPagado*PréstamoPagado,ValorPréstamo,""), "")</f>
        <v/>
      </c>
      <c r="E313" s="97" t="str">
        <f ca="1">IFERROR(IF(PréstamoNoPagado*PréstamoPagado,PagoMensual,""), "")</f>
        <v/>
      </c>
      <c r="F313" s="97" t="str">
        <f ca="1">IFERROR(IF(PréstamoNoPagado*PréstamoPagado,Capital,""), "")</f>
        <v/>
      </c>
      <c r="G313" s="97" t="str">
        <f ca="1">IFERROR(IF(PréstamoNoPagado*PréstamoPagado,AmortizaciónInterés,""), "")</f>
        <v/>
      </c>
      <c r="H313" s="97" t="str">
        <f ca="1">IFERROR(IF(PréstamoNoPagado*PréstamoPagado,SaldoFinal,""), "")</f>
        <v/>
      </c>
    </row>
    <row r="314" spans="2:8" ht="20.100000000000001" customHeight="1" x14ac:dyDescent="0.3">
      <c r="B314" s="105" t="str">
        <f ca="1">IFERROR(IF(PréstamoNoPagado*PréstamoPagado,NúmeroDePago,""), "")</f>
        <v/>
      </c>
      <c r="C314" s="96" t="str">
        <f ca="1">IFERROR(IF(PréstamoNoPagado*PréstamoPagado,FechaDePago,""), "")</f>
        <v/>
      </c>
      <c r="D314" s="97" t="str">
        <f ca="1">IFERROR(IF(PréstamoNoPagado*PréstamoPagado,ValorPréstamo,""), "")</f>
        <v/>
      </c>
      <c r="E314" s="97" t="str">
        <f ca="1">IFERROR(IF(PréstamoNoPagado*PréstamoPagado,PagoMensual,""), "")</f>
        <v/>
      </c>
      <c r="F314" s="97" t="str">
        <f ca="1">IFERROR(IF(PréstamoNoPagado*PréstamoPagado,Capital,""), "")</f>
        <v/>
      </c>
      <c r="G314" s="97" t="str">
        <f ca="1">IFERROR(IF(PréstamoNoPagado*PréstamoPagado,AmortizaciónInterés,""), "")</f>
        <v/>
      </c>
      <c r="H314" s="97" t="str">
        <f ca="1">IFERROR(IF(PréstamoNoPagado*PréstamoPagado,SaldoFinal,""), "")</f>
        <v/>
      </c>
    </row>
    <row r="315" spans="2:8" ht="20.100000000000001" customHeight="1" x14ac:dyDescent="0.3">
      <c r="B315" s="105" t="str">
        <f ca="1">IFERROR(IF(PréstamoNoPagado*PréstamoPagado,NúmeroDePago,""), "")</f>
        <v/>
      </c>
      <c r="C315" s="96" t="str">
        <f ca="1">IFERROR(IF(PréstamoNoPagado*PréstamoPagado,FechaDePago,""), "")</f>
        <v/>
      </c>
      <c r="D315" s="97" t="str">
        <f ca="1">IFERROR(IF(PréstamoNoPagado*PréstamoPagado,ValorPréstamo,""), "")</f>
        <v/>
      </c>
      <c r="E315" s="97" t="str">
        <f ca="1">IFERROR(IF(PréstamoNoPagado*PréstamoPagado,PagoMensual,""), "")</f>
        <v/>
      </c>
      <c r="F315" s="97" t="str">
        <f ca="1">IFERROR(IF(PréstamoNoPagado*PréstamoPagado,Capital,""), "")</f>
        <v/>
      </c>
      <c r="G315" s="97" t="str">
        <f ca="1">IFERROR(IF(PréstamoNoPagado*PréstamoPagado,AmortizaciónInterés,""), "")</f>
        <v/>
      </c>
      <c r="H315" s="97" t="str">
        <f ca="1">IFERROR(IF(PréstamoNoPagado*PréstamoPagado,SaldoFinal,""), "")</f>
        <v/>
      </c>
    </row>
    <row r="316" spans="2:8" ht="20.100000000000001" customHeight="1" x14ac:dyDescent="0.3">
      <c r="B316" s="105" t="str">
        <f ca="1">IFERROR(IF(PréstamoNoPagado*PréstamoPagado,NúmeroDePago,""), "")</f>
        <v/>
      </c>
      <c r="C316" s="96" t="str">
        <f ca="1">IFERROR(IF(PréstamoNoPagado*PréstamoPagado,FechaDePago,""), "")</f>
        <v/>
      </c>
      <c r="D316" s="97" t="str">
        <f ca="1">IFERROR(IF(PréstamoNoPagado*PréstamoPagado,ValorPréstamo,""), "")</f>
        <v/>
      </c>
      <c r="E316" s="97" t="str">
        <f ca="1">IFERROR(IF(PréstamoNoPagado*PréstamoPagado,PagoMensual,""), "")</f>
        <v/>
      </c>
      <c r="F316" s="97" t="str">
        <f ca="1">IFERROR(IF(PréstamoNoPagado*PréstamoPagado,Capital,""), "")</f>
        <v/>
      </c>
      <c r="G316" s="97" t="str">
        <f ca="1">IFERROR(IF(PréstamoNoPagado*PréstamoPagado,AmortizaciónInterés,""), "")</f>
        <v/>
      </c>
      <c r="H316" s="97" t="str">
        <f ca="1">IFERROR(IF(PréstamoNoPagado*PréstamoPagado,SaldoFinal,""), "")</f>
        <v/>
      </c>
    </row>
    <row r="317" spans="2:8" ht="20.100000000000001" customHeight="1" x14ac:dyDescent="0.3">
      <c r="B317" s="105" t="str">
        <f ca="1">IFERROR(IF(PréstamoNoPagado*PréstamoPagado,NúmeroDePago,""), "")</f>
        <v/>
      </c>
      <c r="C317" s="96" t="str">
        <f ca="1">IFERROR(IF(PréstamoNoPagado*PréstamoPagado,FechaDePago,""), "")</f>
        <v/>
      </c>
      <c r="D317" s="97" t="str">
        <f ca="1">IFERROR(IF(PréstamoNoPagado*PréstamoPagado,ValorPréstamo,""), "")</f>
        <v/>
      </c>
      <c r="E317" s="97" t="str">
        <f ca="1">IFERROR(IF(PréstamoNoPagado*PréstamoPagado,PagoMensual,""), "")</f>
        <v/>
      </c>
      <c r="F317" s="97" t="str">
        <f ca="1">IFERROR(IF(PréstamoNoPagado*PréstamoPagado,Capital,""), "")</f>
        <v/>
      </c>
      <c r="G317" s="97" t="str">
        <f ca="1">IFERROR(IF(PréstamoNoPagado*PréstamoPagado,AmortizaciónInterés,""), "")</f>
        <v/>
      </c>
      <c r="H317" s="97" t="str">
        <f ca="1">IFERROR(IF(PréstamoNoPagado*PréstamoPagado,SaldoFinal,""), "")</f>
        <v/>
      </c>
    </row>
    <row r="318" spans="2:8" ht="20.100000000000001" customHeight="1" x14ac:dyDescent="0.3">
      <c r="B318" s="105" t="str">
        <f ca="1">IFERROR(IF(PréstamoNoPagado*PréstamoPagado,NúmeroDePago,""), "")</f>
        <v/>
      </c>
      <c r="C318" s="96" t="str">
        <f ca="1">IFERROR(IF(PréstamoNoPagado*PréstamoPagado,FechaDePago,""), "")</f>
        <v/>
      </c>
      <c r="D318" s="97" t="str">
        <f ca="1">IFERROR(IF(PréstamoNoPagado*PréstamoPagado,ValorPréstamo,""), "")</f>
        <v/>
      </c>
      <c r="E318" s="97" t="str">
        <f ca="1">IFERROR(IF(PréstamoNoPagado*PréstamoPagado,PagoMensual,""), "")</f>
        <v/>
      </c>
      <c r="F318" s="97" t="str">
        <f ca="1">IFERROR(IF(PréstamoNoPagado*PréstamoPagado,Capital,""), "")</f>
        <v/>
      </c>
      <c r="G318" s="97" t="str">
        <f ca="1">IFERROR(IF(PréstamoNoPagado*PréstamoPagado,AmortizaciónInterés,""), "")</f>
        <v/>
      </c>
      <c r="H318" s="97" t="str">
        <f ca="1">IFERROR(IF(PréstamoNoPagado*PréstamoPagado,SaldoFinal,""), "")</f>
        <v/>
      </c>
    </row>
    <row r="319" spans="2:8" ht="20.100000000000001" customHeight="1" x14ac:dyDescent="0.3">
      <c r="B319" s="105" t="str">
        <f ca="1">IFERROR(IF(PréstamoNoPagado*PréstamoPagado,NúmeroDePago,""), "")</f>
        <v/>
      </c>
      <c r="C319" s="96" t="str">
        <f ca="1">IFERROR(IF(PréstamoNoPagado*PréstamoPagado,FechaDePago,""), "")</f>
        <v/>
      </c>
      <c r="D319" s="97" t="str">
        <f ca="1">IFERROR(IF(PréstamoNoPagado*PréstamoPagado,ValorPréstamo,""), "")</f>
        <v/>
      </c>
      <c r="E319" s="97" t="str">
        <f ca="1">IFERROR(IF(PréstamoNoPagado*PréstamoPagado,PagoMensual,""), "")</f>
        <v/>
      </c>
      <c r="F319" s="97" t="str">
        <f ca="1">IFERROR(IF(PréstamoNoPagado*PréstamoPagado,Capital,""), "")</f>
        <v/>
      </c>
      <c r="G319" s="97" t="str">
        <f ca="1">IFERROR(IF(PréstamoNoPagado*PréstamoPagado,AmortizaciónInterés,""), "")</f>
        <v/>
      </c>
      <c r="H319" s="97" t="str">
        <f ca="1">IFERROR(IF(PréstamoNoPagado*PréstamoPagado,SaldoFinal,""), "")</f>
        <v/>
      </c>
    </row>
    <row r="320" spans="2:8" ht="20.100000000000001" customHeight="1" x14ac:dyDescent="0.3">
      <c r="B320" s="105" t="str">
        <f ca="1">IFERROR(IF(PréstamoNoPagado*PréstamoPagado,NúmeroDePago,""), "")</f>
        <v/>
      </c>
      <c r="C320" s="96" t="str">
        <f ca="1">IFERROR(IF(PréstamoNoPagado*PréstamoPagado,FechaDePago,""), "")</f>
        <v/>
      </c>
      <c r="D320" s="97" t="str">
        <f ca="1">IFERROR(IF(PréstamoNoPagado*PréstamoPagado,ValorPréstamo,""), "")</f>
        <v/>
      </c>
      <c r="E320" s="97" t="str">
        <f ca="1">IFERROR(IF(PréstamoNoPagado*PréstamoPagado,PagoMensual,""), "")</f>
        <v/>
      </c>
      <c r="F320" s="97" t="str">
        <f ca="1">IFERROR(IF(PréstamoNoPagado*PréstamoPagado,Capital,""), "")</f>
        <v/>
      </c>
      <c r="G320" s="97" t="str">
        <f ca="1">IFERROR(IF(PréstamoNoPagado*PréstamoPagado,AmortizaciónInterés,""), "")</f>
        <v/>
      </c>
      <c r="H320" s="97" t="str">
        <f ca="1">IFERROR(IF(PréstamoNoPagado*PréstamoPagado,SaldoFinal,""), "")</f>
        <v/>
      </c>
    </row>
    <row r="321" spans="2:8" ht="20.100000000000001" customHeight="1" x14ac:dyDescent="0.3">
      <c r="B321" s="105" t="str">
        <f ca="1">IFERROR(IF(PréstamoNoPagado*PréstamoPagado,NúmeroDePago,""), "")</f>
        <v/>
      </c>
      <c r="C321" s="96" t="str">
        <f ca="1">IFERROR(IF(PréstamoNoPagado*PréstamoPagado,FechaDePago,""), "")</f>
        <v/>
      </c>
      <c r="D321" s="97" t="str">
        <f ca="1">IFERROR(IF(PréstamoNoPagado*PréstamoPagado,ValorPréstamo,""), "")</f>
        <v/>
      </c>
      <c r="E321" s="97" t="str">
        <f ca="1">IFERROR(IF(PréstamoNoPagado*PréstamoPagado,PagoMensual,""), "")</f>
        <v/>
      </c>
      <c r="F321" s="97" t="str">
        <f ca="1">IFERROR(IF(PréstamoNoPagado*PréstamoPagado,Capital,""), "")</f>
        <v/>
      </c>
      <c r="G321" s="97" t="str">
        <f ca="1">IFERROR(IF(PréstamoNoPagado*PréstamoPagado,AmortizaciónInterés,""), "")</f>
        <v/>
      </c>
      <c r="H321" s="97" t="str">
        <f ca="1">IFERROR(IF(PréstamoNoPagado*PréstamoPagado,SaldoFinal,""), "")</f>
        <v/>
      </c>
    </row>
    <row r="322" spans="2:8" ht="20.100000000000001" customHeight="1" x14ac:dyDescent="0.3">
      <c r="B322" s="105" t="str">
        <f ca="1">IFERROR(IF(PréstamoNoPagado*PréstamoPagado,NúmeroDePago,""), "")</f>
        <v/>
      </c>
      <c r="C322" s="96" t="str">
        <f ca="1">IFERROR(IF(PréstamoNoPagado*PréstamoPagado,FechaDePago,""), "")</f>
        <v/>
      </c>
      <c r="D322" s="97" t="str">
        <f ca="1">IFERROR(IF(PréstamoNoPagado*PréstamoPagado,ValorPréstamo,""), "")</f>
        <v/>
      </c>
      <c r="E322" s="97" t="str">
        <f ca="1">IFERROR(IF(PréstamoNoPagado*PréstamoPagado,PagoMensual,""), "")</f>
        <v/>
      </c>
      <c r="F322" s="97" t="str">
        <f ca="1">IFERROR(IF(PréstamoNoPagado*PréstamoPagado,Capital,""), "")</f>
        <v/>
      </c>
      <c r="G322" s="97" t="str">
        <f ca="1">IFERROR(IF(PréstamoNoPagado*PréstamoPagado,AmortizaciónInterés,""), "")</f>
        <v/>
      </c>
      <c r="H322" s="97" t="str">
        <f ca="1">IFERROR(IF(PréstamoNoPagado*PréstamoPagado,SaldoFinal,""), "")</f>
        <v/>
      </c>
    </row>
    <row r="323" spans="2:8" ht="20.100000000000001" customHeight="1" x14ac:dyDescent="0.3">
      <c r="B323" s="105" t="str">
        <f ca="1">IFERROR(IF(PréstamoNoPagado*PréstamoPagado,NúmeroDePago,""), "")</f>
        <v/>
      </c>
      <c r="C323" s="96" t="str">
        <f ca="1">IFERROR(IF(PréstamoNoPagado*PréstamoPagado,FechaDePago,""), "")</f>
        <v/>
      </c>
      <c r="D323" s="97" t="str">
        <f ca="1">IFERROR(IF(PréstamoNoPagado*PréstamoPagado,ValorPréstamo,""), "")</f>
        <v/>
      </c>
      <c r="E323" s="97" t="str">
        <f ca="1">IFERROR(IF(PréstamoNoPagado*PréstamoPagado,PagoMensual,""), "")</f>
        <v/>
      </c>
      <c r="F323" s="97" t="str">
        <f ca="1">IFERROR(IF(PréstamoNoPagado*PréstamoPagado,Capital,""), "")</f>
        <v/>
      </c>
      <c r="G323" s="97" t="str">
        <f ca="1">IFERROR(IF(PréstamoNoPagado*PréstamoPagado,AmortizaciónInterés,""), "")</f>
        <v/>
      </c>
      <c r="H323" s="97" t="str">
        <f ca="1">IFERROR(IF(PréstamoNoPagado*PréstamoPagado,SaldoFinal,""), "")</f>
        <v/>
      </c>
    </row>
    <row r="324" spans="2:8" ht="20.100000000000001" customHeight="1" x14ac:dyDescent="0.3">
      <c r="B324" s="105" t="str">
        <f ca="1">IFERROR(IF(PréstamoNoPagado*PréstamoPagado,NúmeroDePago,""), "")</f>
        <v/>
      </c>
      <c r="C324" s="96" t="str">
        <f ca="1">IFERROR(IF(PréstamoNoPagado*PréstamoPagado,FechaDePago,""), "")</f>
        <v/>
      </c>
      <c r="D324" s="97" t="str">
        <f ca="1">IFERROR(IF(PréstamoNoPagado*PréstamoPagado,ValorPréstamo,""), "")</f>
        <v/>
      </c>
      <c r="E324" s="97" t="str">
        <f ca="1">IFERROR(IF(PréstamoNoPagado*PréstamoPagado,PagoMensual,""), "")</f>
        <v/>
      </c>
      <c r="F324" s="97" t="str">
        <f ca="1">IFERROR(IF(PréstamoNoPagado*PréstamoPagado,Capital,""), "")</f>
        <v/>
      </c>
      <c r="G324" s="97" t="str">
        <f ca="1">IFERROR(IF(PréstamoNoPagado*PréstamoPagado,AmortizaciónInterés,""), "")</f>
        <v/>
      </c>
      <c r="H324" s="97" t="str">
        <f ca="1">IFERROR(IF(PréstamoNoPagado*PréstamoPagado,SaldoFinal,""), "")</f>
        <v/>
      </c>
    </row>
    <row r="325" spans="2:8" ht="20.100000000000001" customHeight="1" x14ac:dyDescent="0.3">
      <c r="B325" s="105" t="str">
        <f ca="1">IFERROR(IF(PréstamoNoPagado*PréstamoPagado,NúmeroDePago,""), "")</f>
        <v/>
      </c>
      <c r="C325" s="96" t="str">
        <f ca="1">IFERROR(IF(PréstamoNoPagado*PréstamoPagado,FechaDePago,""), "")</f>
        <v/>
      </c>
      <c r="D325" s="97" t="str">
        <f ca="1">IFERROR(IF(PréstamoNoPagado*PréstamoPagado,ValorPréstamo,""), "")</f>
        <v/>
      </c>
      <c r="E325" s="97" t="str">
        <f ca="1">IFERROR(IF(PréstamoNoPagado*PréstamoPagado,PagoMensual,""), "")</f>
        <v/>
      </c>
      <c r="F325" s="97" t="str">
        <f ca="1">IFERROR(IF(PréstamoNoPagado*PréstamoPagado,Capital,""), "")</f>
        <v/>
      </c>
      <c r="G325" s="97" t="str">
        <f ca="1">IFERROR(IF(PréstamoNoPagado*PréstamoPagado,AmortizaciónInterés,""), "")</f>
        <v/>
      </c>
      <c r="H325" s="97" t="str">
        <f ca="1">IFERROR(IF(PréstamoNoPagado*PréstamoPagado,SaldoFinal,""), "")</f>
        <v/>
      </c>
    </row>
    <row r="326" spans="2:8" ht="20.100000000000001" customHeight="1" x14ac:dyDescent="0.3">
      <c r="B326" s="105" t="str">
        <f ca="1">IFERROR(IF(PréstamoNoPagado*PréstamoPagado,NúmeroDePago,""), "")</f>
        <v/>
      </c>
      <c r="C326" s="96" t="str">
        <f ca="1">IFERROR(IF(PréstamoNoPagado*PréstamoPagado,FechaDePago,""), "")</f>
        <v/>
      </c>
      <c r="D326" s="97" t="str">
        <f ca="1">IFERROR(IF(PréstamoNoPagado*PréstamoPagado,ValorPréstamo,""), "")</f>
        <v/>
      </c>
      <c r="E326" s="97" t="str">
        <f ca="1">IFERROR(IF(PréstamoNoPagado*PréstamoPagado,PagoMensual,""), "")</f>
        <v/>
      </c>
      <c r="F326" s="97" t="str">
        <f ca="1">IFERROR(IF(PréstamoNoPagado*PréstamoPagado,Capital,""), "")</f>
        <v/>
      </c>
      <c r="G326" s="97" t="str">
        <f ca="1">IFERROR(IF(PréstamoNoPagado*PréstamoPagado,AmortizaciónInterés,""), "")</f>
        <v/>
      </c>
      <c r="H326" s="97" t="str">
        <f ca="1">IFERROR(IF(PréstamoNoPagado*PréstamoPagado,SaldoFinal,""), "")</f>
        <v/>
      </c>
    </row>
    <row r="327" spans="2:8" ht="20.100000000000001" customHeight="1" x14ac:dyDescent="0.3">
      <c r="B327" s="105" t="str">
        <f ca="1">IFERROR(IF(PréstamoNoPagado*PréstamoPagado,NúmeroDePago,""), "")</f>
        <v/>
      </c>
      <c r="C327" s="96" t="str">
        <f ca="1">IFERROR(IF(PréstamoNoPagado*PréstamoPagado,FechaDePago,""), "")</f>
        <v/>
      </c>
      <c r="D327" s="97" t="str">
        <f ca="1">IFERROR(IF(PréstamoNoPagado*PréstamoPagado,ValorPréstamo,""), "")</f>
        <v/>
      </c>
      <c r="E327" s="97" t="str">
        <f ca="1">IFERROR(IF(PréstamoNoPagado*PréstamoPagado,PagoMensual,""), "")</f>
        <v/>
      </c>
      <c r="F327" s="97" t="str">
        <f ca="1">IFERROR(IF(PréstamoNoPagado*PréstamoPagado,Capital,""), "")</f>
        <v/>
      </c>
      <c r="G327" s="97" t="str">
        <f ca="1">IFERROR(IF(PréstamoNoPagado*PréstamoPagado,AmortizaciónInterés,""), "")</f>
        <v/>
      </c>
      <c r="H327" s="97" t="str">
        <f ca="1">IFERROR(IF(PréstamoNoPagado*PréstamoPagado,SaldoFinal,""), "")</f>
        <v/>
      </c>
    </row>
    <row r="328" spans="2:8" ht="20.100000000000001" customHeight="1" x14ac:dyDescent="0.3">
      <c r="B328" s="105" t="str">
        <f ca="1">IFERROR(IF(PréstamoNoPagado*PréstamoPagado,NúmeroDePago,""), "")</f>
        <v/>
      </c>
      <c r="C328" s="96" t="str">
        <f ca="1">IFERROR(IF(PréstamoNoPagado*PréstamoPagado,FechaDePago,""), "")</f>
        <v/>
      </c>
      <c r="D328" s="97" t="str">
        <f ca="1">IFERROR(IF(PréstamoNoPagado*PréstamoPagado,ValorPréstamo,""), "")</f>
        <v/>
      </c>
      <c r="E328" s="97" t="str">
        <f ca="1">IFERROR(IF(PréstamoNoPagado*PréstamoPagado,PagoMensual,""), "")</f>
        <v/>
      </c>
      <c r="F328" s="97" t="str">
        <f ca="1">IFERROR(IF(PréstamoNoPagado*PréstamoPagado,Capital,""), "")</f>
        <v/>
      </c>
      <c r="G328" s="97" t="str">
        <f ca="1">IFERROR(IF(PréstamoNoPagado*PréstamoPagado,AmortizaciónInterés,""), "")</f>
        <v/>
      </c>
      <c r="H328" s="97" t="str">
        <f ca="1">IFERROR(IF(PréstamoNoPagado*PréstamoPagado,SaldoFinal,""), "")</f>
        <v/>
      </c>
    </row>
    <row r="329" spans="2:8" ht="20.100000000000001" customHeight="1" x14ac:dyDescent="0.3">
      <c r="B329" s="105" t="str">
        <f ca="1">IFERROR(IF(PréstamoNoPagado*PréstamoPagado,NúmeroDePago,""), "")</f>
        <v/>
      </c>
      <c r="C329" s="96" t="str">
        <f ca="1">IFERROR(IF(PréstamoNoPagado*PréstamoPagado,FechaDePago,""), "")</f>
        <v/>
      </c>
      <c r="D329" s="97" t="str">
        <f ca="1">IFERROR(IF(PréstamoNoPagado*PréstamoPagado,ValorPréstamo,""), "")</f>
        <v/>
      </c>
      <c r="E329" s="97" t="str">
        <f ca="1">IFERROR(IF(PréstamoNoPagado*PréstamoPagado,PagoMensual,""), "")</f>
        <v/>
      </c>
      <c r="F329" s="97" t="str">
        <f ca="1">IFERROR(IF(PréstamoNoPagado*PréstamoPagado,Capital,""), "")</f>
        <v/>
      </c>
      <c r="G329" s="97" t="str">
        <f ca="1">IFERROR(IF(PréstamoNoPagado*PréstamoPagado,AmortizaciónInterés,""), "")</f>
        <v/>
      </c>
      <c r="H329" s="97" t="str">
        <f ca="1">IFERROR(IF(PréstamoNoPagado*PréstamoPagado,SaldoFinal,""), "")</f>
        <v/>
      </c>
    </row>
    <row r="330" spans="2:8" ht="20.100000000000001" customHeight="1" x14ac:dyDescent="0.3">
      <c r="B330" s="105" t="str">
        <f ca="1">IFERROR(IF(PréstamoNoPagado*PréstamoPagado,NúmeroDePago,""), "")</f>
        <v/>
      </c>
      <c r="C330" s="96" t="str">
        <f ca="1">IFERROR(IF(PréstamoNoPagado*PréstamoPagado,FechaDePago,""), "")</f>
        <v/>
      </c>
      <c r="D330" s="97" t="str">
        <f ca="1">IFERROR(IF(PréstamoNoPagado*PréstamoPagado,ValorPréstamo,""), "")</f>
        <v/>
      </c>
      <c r="E330" s="97" t="str">
        <f ca="1">IFERROR(IF(PréstamoNoPagado*PréstamoPagado,PagoMensual,""), "")</f>
        <v/>
      </c>
      <c r="F330" s="97" t="str">
        <f ca="1">IFERROR(IF(PréstamoNoPagado*PréstamoPagado,Capital,""), "")</f>
        <v/>
      </c>
      <c r="G330" s="97" t="str">
        <f ca="1">IFERROR(IF(PréstamoNoPagado*PréstamoPagado,AmortizaciónInterés,""), "")</f>
        <v/>
      </c>
      <c r="H330" s="97" t="str">
        <f ca="1">IFERROR(IF(PréstamoNoPagado*PréstamoPagado,SaldoFinal,""), "")</f>
        <v/>
      </c>
    </row>
    <row r="331" spans="2:8" ht="20.100000000000001" customHeight="1" x14ac:dyDescent="0.3">
      <c r="B331" s="105" t="str">
        <f ca="1">IFERROR(IF(PréstamoNoPagado*PréstamoPagado,NúmeroDePago,""), "")</f>
        <v/>
      </c>
      <c r="C331" s="96" t="str">
        <f ca="1">IFERROR(IF(PréstamoNoPagado*PréstamoPagado,FechaDePago,""), "")</f>
        <v/>
      </c>
      <c r="D331" s="97" t="str">
        <f ca="1">IFERROR(IF(PréstamoNoPagado*PréstamoPagado,ValorPréstamo,""), "")</f>
        <v/>
      </c>
      <c r="E331" s="97" t="str">
        <f ca="1">IFERROR(IF(PréstamoNoPagado*PréstamoPagado,PagoMensual,""), "")</f>
        <v/>
      </c>
      <c r="F331" s="97" t="str">
        <f ca="1">IFERROR(IF(PréstamoNoPagado*PréstamoPagado,Capital,""), "")</f>
        <v/>
      </c>
      <c r="G331" s="97" t="str">
        <f ca="1">IFERROR(IF(PréstamoNoPagado*PréstamoPagado,AmortizaciónInterés,""), "")</f>
        <v/>
      </c>
      <c r="H331" s="97" t="str">
        <f ca="1">IFERROR(IF(PréstamoNoPagado*PréstamoPagado,SaldoFinal,""), "")</f>
        <v/>
      </c>
    </row>
    <row r="332" spans="2:8" ht="20.100000000000001" customHeight="1" x14ac:dyDescent="0.3">
      <c r="B332" s="105" t="str">
        <f ca="1">IFERROR(IF(PréstamoNoPagado*PréstamoPagado,NúmeroDePago,""), "")</f>
        <v/>
      </c>
      <c r="C332" s="96" t="str">
        <f ca="1">IFERROR(IF(PréstamoNoPagado*PréstamoPagado,FechaDePago,""), "")</f>
        <v/>
      </c>
      <c r="D332" s="97" t="str">
        <f ca="1">IFERROR(IF(PréstamoNoPagado*PréstamoPagado,ValorPréstamo,""), "")</f>
        <v/>
      </c>
      <c r="E332" s="97" t="str">
        <f ca="1">IFERROR(IF(PréstamoNoPagado*PréstamoPagado,PagoMensual,""), "")</f>
        <v/>
      </c>
      <c r="F332" s="97" t="str">
        <f ca="1">IFERROR(IF(PréstamoNoPagado*PréstamoPagado,Capital,""), "")</f>
        <v/>
      </c>
      <c r="G332" s="97" t="str">
        <f ca="1">IFERROR(IF(PréstamoNoPagado*PréstamoPagado,AmortizaciónInterés,""), "")</f>
        <v/>
      </c>
      <c r="H332" s="97" t="str">
        <f ca="1">IFERROR(IF(PréstamoNoPagado*PréstamoPagado,SaldoFinal,""), "")</f>
        <v/>
      </c>
    </row>
    <row r="333" spans="2:8" ht="20.100000000000001" customHeight="1" x14ac:dyDescent="0.3">
      <c r="B333" s="105" t="str">
        <f ca="1">IFERROR(IF(PréstamoNoPagado*PréstamoPagado,NúmeroDePago,""), "")</f>
        <v/>
      </c>
      <c r="C333" s="96" t="str">
        <f ca="1">IFERROR(IF(PréstamoNoPagado*PréstamoPagado,FechaDePago,""), "")</f>
        <v/>
      </c>
      <c r="D333" s="97" t="str">
        <f ca="1">IFERROR(IF(PréstamoNoPagado*PréstamoPagado,ValorPréstamo,""), "")</f>
        <v/>
      </c>
      <c r="E333" s="97" t="str">
        <f ca="1">IFERROR(IF(PréstamoNoPagado*PréstamoPagado,PagoMensual,""), "")</f>
        <v/>
      </c>
      <c r="F333" s="97" t="str">
        <f ca="1">IFERROR(IF(PréstamoNoPagado*PréstamoPagado,Capital,""), "")</f>
        <v/>
      </c>
      <c r="G333" s="97" t="str">
        <f ca="1">IFERROR(IF(PréstamoNoPagado*PréstamoPagado,AmortizaciónInterés,""), "")</f>
        <v/>
      </c>
      <c r="H333" s="97" t="str">
        <f ca="1">IFERROR(IF(PréstamoNoPagado*PréstamoPagado,SaldoFinal,""), "")</f>
        <v/>
      </c>
    </row>
    <row r="334" spans="2:8" ht="20.100000000000001" customHeight="1" x14ac:dyDescent="0.3">
      <c r="B334" s="105" t="str">
        <f ca="1">IFERROR(IF(PréstamoNoPagado*PréstamoPagado,NúmeroDePago,""), "")</f>
        <v/>
      </c>
      <c r="C334" s="96" t="str">
        <f ca="1">IFERROR(IF(PréstamoNoPagado*PréstamoPagado,FechaDePago,""), "")</f>
        <v/>
      </c>
      <c r="D334" s="97" t="str">
        <f ca="1">IFERROR(IF(PréstamoNoPagado*PréstamoPagado,ValorPréstamo,""), "")</f>
        <v/>
      </c>
      <c r="E334" s="97" t="str">
        <f ca="1">IFERROR(IF(PréstamoNoPagado*PréstamoPagado,PagoMensual,""), "")</f>
        <v/>
      </c>
      <c r="F334" s="97" t="str">
        <f ca="1">IFERROR(IF(PréstamoNoPagado*PréstamoPagado,Capital,""), "")</f>
        <v/>
      </c>
      <c r="G334" s="97" t="str">
        <f ca="1">IFERROR(IF(PréstamoNoPagado*PréstamoPagado,AmortizaciónInterés,""), "")</f>
        <v/>
      </c>
      <c r="H334" s="97" t="str">
        <f ca="1">IFERROR(IF(PréstamoNoPagado*PréstamoPagado,SaldoFinal,""), "")</f>
        <v/>
      </c>
    </row>
    <row r="335" spans="2:8" ht="20.100000000000001" customHeight="1" x14ac:dyDescent="0.3">
      <c r="B335" s="105" t="str">
        <f ca="1">IFERROR(IF(PréstamoNoPagado*PréstamoPagado,NúmeroDePago,""), "")</f>
        <v/>
      </c>
      <c r="C335" s="96" t="str">
        <f ca="1">IFERROR(IF(PréstamoNoPagado*PréstamoPagado,FechaDePago,""), "")</f>
        <v/>
      </c>
      <c r="D335" s="97" t="str">
        <f ca="1">IFERROR(IF(PréstamoNoPagado*PréstamoPagado,ValorPréstamo,""), "")</f>
        <v/>
      </c>
      <c r="E335" s="97" t="str">
        <f ca="1">IFERROR(IF(PréstamoNoPagado*PréstamoPagado,PagoMensual,""), "")</f>
        <v/>
      </c>
      <c r="F335" s="97" t="str">
        <f ca="1">IFERROR(IF(PréstamoNoPagado*PréstamoPagado,Capital,""), "")</f>
        <v/>
      </c>
      <c r="G335" s="97" t="str">
        <f ca="1">IFERROR(IF(PréstamoNoPagado*PréstamoPagado,AmortizaciónInterés,""), "")</f>
        <v/>
      </c>
      <c r="H335" s="97" t="str">
        <f ca="1">IFERROR(IF(PréstamoNoPagado*PréstamoPagado,SaldoFinal,""), "")</f>
        <v/>
      </c>
    </row>
    <row r="336" spans="2:8" ht="20.100000000000001" customHeight="1" x14ac:dyDescent="0.3">
      <c r="B336" s="105" t="str">
        <f ca="1">IFERROR(IF(PréstamoNoPagado*PréstamoPagado,NúmeroDePago,""), "")</f>
        <v/>
      </c>
      <c r="C336" s="96" t="str">
        <f ca="1">IFERROR(IF(PréstamoNoPagado*PréstamoPagado,FechaDePago,""), "")</f>
        <v/>
      </c>
      <c r="D336" s="97" t="str">
        <f ca="1">IFERROR(IF(PréstamoNoPagado*PréstamoPagado,ValorPréstamo,""), "")</f>
        <v/>
      </c>
      <c r="E336" s="97" t="str">
        <f ca="1">IFERROR(IF(PréstamoNoPagado*PréstamoPagado,PagoMensual,""), "")</f>
        <v/>
      </c>
      <c r="F336" s="97" t="str">
        <f ca="1">IFERROR(IF(PréstamoNoPagado*PréstamoPagado,Capital,""), "")</f>
        <v/>
      </c>
      <c r="G336" s="97" t="str">
        <f ca="1">IFERROR(IF(PréstamoNoPagado*PréstamoPagado,AmortizaciónInterés,""), "")</f>
        <v/>
      </c>
      <c r="H336" s="97" t="str">
        <f ca="1">IFERROR(IF(PréstamoNoPagado*PréstamoPagado,SaldoFinal,""), "")</f>
        <v/>
      </c>
    </row>
    <row r="337" spans="2:8" ht="20.100000000000001" customHeight="1" x14ac:dyDescent="0.3">
      <c r="B337" s="105" t="str">
        <f ca="1">IFERROR(IF(PréstamoNoPagado*PréstamoPagado,NúmeroDePago,""), "")</f>
        <v/>
      </c>
      <c r="C337" s="96" t="str">
        <f ca="1">IFERROR(IF(PréstamoNoPagado*PréstamoPagado,FechaDePago,""), "")</f>
        <v/>
      </c>
      <c r="D337" s="97" t="str">
        <f ca="1">IFERROR(IF(PréstamoNoPagado*PréstamoPagado,ValorPréstamo,""), "")</f>
        <v/>
      </c>
      <c r="E337" s="97" t="str">
        <f ca="1">IFERROR(IF(PréstamoNoPagado*PréstamoPagado,PagoMensual,""), "")</f>
        <v/>
      </c>
      <c r="F337" s="97" t="str">
        <f ca="1">IFERROR(IF(PréstamoNoPagado*PréstamoPagado,Capital,""), "")</f>
        <v/>
      </c>
      <c r="G337" s="97" t="str">
        <f ca="1">IFERROR(IF(PréstamoNoPagado*PréstamoPagado,AmortizaciónInterés,""), "")</f>
        <v/>
      </c>
      <c r="H337" s="97" t="str">
        <f ca="1">IFERROR(IF(PréstamoNoPagado*PréstamoPagado,SaldoFinal,""), "")</f>
        <v/>
      </c>
    </row>
    <row r="338" spans="2:8" ht="20.100000000000001" customHeight="1" x14ac:dyDescent="0.3">
      <c r="B338" s="105" t="str">
        <f ca="1">IFERROR(IF(PréstamoNoPagado*PréstamoPagado,NúmeroDePago,""), "")</f>
        <v/>
      </c>
      <c r="C338" s="96" t="str">
        <f ca="1">IFERROR(IF(PréstamoNoPagado*PréstamoPagado,FechaDePago,""), "")</f>
        <v/>
      </c>
      <c r="D338" s="97" t="str">
        <f ca="1">IFERROR(IF(PréstamoNoPagado*PréstamoPagado,ValorPréstamo,""), "")</f>
        <v/>
      </c>
      <c r="E338" s="97" t="str">
        <f ca="1">IFERROR(IF(PréstamoNoPagado*PréstamoPagado,PagoMensual,""), "")</f>
        <v/>
      </c>
      <c r="F338" s="97" t="str">
        <f ca="1">IFERROR(IF(PréstamoNoPagado*PréstamoPagado,Capital,""), "")</f>
        <v/>
      </c>
      <c r="G338" s="97" t="str">
        <f ca="1">IFERROR(IF(PréstamoNoPagado*PréstamoPagado,AmortizaciónInterés,""), "")</f>
        <v/>
      </c>
      <c r="H338" s="97" t="str">
        <f ca="1">IFERROR(IF(PréstamoNoPagado*PréstamoPagado,SaldoFinal,""), "")</f>
        <v/>
      </c>
    </row>
    <row r="339" spans="2:8" ht="20.100000000000001" customHeight="1" x14ac:dyDescent="0.3">
      <c r="B339" s="105" t="str">
        <f ca="1">IFERROR(IF(PréstamoNoPagado*PréstamoPagado,NúmeroDePago,""), "")</f>
        <v/>
      </c>
      <c r="C339" s="96" t="str">
        <f ca="1">IFERROR(IF(PréstamoNoPagado*PréstamoPagado,FechaDePago,""), "")</f>
        <v/>
      </c>
      <c r="D339" s="97" t="str">
        <f ca="1">IFERROR(IF(PréstamoNoPagado*PréstamoPagado,ValorPréstamo,""), "")</f>
        <v/>
      </c>
      <c r="E339" s="97" t="str">
        <f ca="1">IFERROR(IF(PréstamoNoPagado*PréstamoPagado,PagoMensual,""), "")</f>
        <v/>
      </c>
      <c r="F339" s="97" t="str">
        <f ca="1">IFERROR(IF(PréstamoNoPagado*PréstamoPagado,Capital,""), "")</f>
        <v/>
      </c>
      <c r="G339" s="97" t="str">
        <f ca="1">IFERROR(IF(PréstamoNoPagado*PréstamoPagado,AmortizaciónInterés,""), "")</f>
        <v/>
      </c>
      <c r="H339" s="97" t="str">
        <f ca="1">IFERROR(IF(PréstamoNoPagado*PréstamoPagado,SaldoFinal,""), "")</f>
        <v/>
      </c>
    </row>
    <row r="340" spans="2:8" ht="20.100000000000001" customHeight="1" x14ac:dyDescent="0.3">
      <c r="B340" s="105" t="str">
        <f ca="1">IFERROR(IF(PréstamoNoPagado*PréstamoPagado,NúmeroDePago,""), "")</f>
        <v/>
      </c>
      <c r="C340" s="96" t="str">
        <f ca="1">IFERROR(IF(PréstamoNoPagado*PréstamoPagado,FechaDePago,""), "")</f>
        <v/>
      </c>
      <c r="D340" s="97" t="str">
        <f ca="1">IFERROR(IF(PréstamoNoPagado*PréstamoPagado,ValorPréstamo,""), "")</f>
        <v/>
      </c>
      <c r="E340" s="97" t="str">
        <f ca="1">IFERROR(IF(PréstamoNoPagado*PréstamoPagado,PagoMensual,""), "")</f>
        <v/>
      </c>
      <c r="F340" s="97" t="str">
        <f ca="1">IFERROR(IF(PréstamoNoPagado*PréstamoPagado,Capital,""), "")</f>
        <v/>
      </c>
      <c r="G340" s="97" t="str">
        <f ca="1">IFERROR(IF(PréstamoNoPagado*PréstamoPagado,AmortizaciónInterés,""), "")</f>
        <v/>
      </c>
      <c r="H340" s="97" t="str">
        <f ca="1">IFERROR(IF(PréstamoNoPagado*PréstamoPagado,SaldoFinal,""), "")</f>
        <v/>
      </c>
    </row>
    <row r="341" spans="2:8" ht="20.100000000000001" customHeight="1" x14ac:dyDescent="0.3">
      <c r="B341" s="105" t="str">
        <f ca="1">IFERROR(IF(PréstamoNoPagado*PréstamoPagado,NúmeroDePago,""), "")</f>
        <v/>
      </c>
      <c r="C341" s="96" t="str">
        <f ca="1">IFERROR(IF(PréstamoNoPagado*PréstamoPagado,FechaDePago,""), "")</f>
        <v/>
      </c>
      <c r="D341" s="97" t="str">
        <f ca="1">IFERROR(IF(PréstamoNoPagado*PréstamoPagado,ValorPréstamo,""), "")</f>
        <v/>
      </c>
      <c r="E341" s="97" t="str">
        <f ca="1">IFERROR(IF(PréstamoNoPagado*PréstamoPagado,PagoMensual,""), "")</f>
        <v/>
      </c>
      <c r="F341" s="97" t="str">
        <f ca="1">IFERROR(IF(PréstamoNoPagado*PréstamoPagado,Capital,""), "")</f>
        <v/>
      </c>
      <c r="G341" s="97" t="str">
        <f ca="1">IFERROR(IF(PréstamoNoPagado*PréstamoPagado,AmortizaciónInterés,""), "")</f>
        <v/>
      </c>
      <c r="H341" s="97" t="str">
        <f ca="1">IFERROR(IF(PréstamoNoPagado*PréstamoPagado,SaldoFinal,""), "")</f>
        <v/>
      </c>
    </row>
    <row r="342" spans="2:8" ht="20.100000000000001" customHeight="1" x14ac:dyDescent="0.3">
      <c r="B342" s="105" t="str">
        <f ca="1">IFERROR(IF(PréstamoNoPagado*PréstamoPagado,NúmeroDePago,""), "")</f>
        <v/>
      </c>
      <c r="C342" s="96" t="str">
        <f ca="1">IFERROR(IF(PréstamoNoPagado*PréstamoPagado,FechaDePago,""), "")</f>
        <v/>
      </c>
      <c r="D342" s="97" t="str">
        <f ca="1">IFERROR(IF(PréstamoNoPagado*PréstamoPagado,ValorPréstamo,""), "")</f>
        <v/>
      </c>
      <c r="E342" s="97" t="str">
        <f ca="1">IFERROR(IF(PréstamoNoPagado*PréstamoPagado,PagoMensual,""), "")</f>
        <v/>
      </c>
      <c r="F342" s="97" t="str">
        <f ca="1">IFERROR(IF(PréstamoNoPagado*PréstamoPagado,Capital,""), "")</f>
        <v/>
      </c>
      <c r="G342" s="97" t="str">
        <f ca="1">IFERROR(IF(PréstamoNoPagado*PréstamoPagado,AmortizaciónInterés,""), "")</f>
        <v/>
      </c>
      <c r="H342" s="97" t="str">
        <f ca="1">IFERROR(IF(PréstamoNoPagado*PréstamoPagado,SaldoFinal,""), "")</f>
        <v/>
      </c>
    </row>
    <row r="343" spans="2:8" ht="20.100000000000001" customHeight="1" x14ac:dyDescent="0.3">
      <c r="B343" s="105" t="str">
        <f ca="1">IFERROR(IF(PréstamoNoPagado*PréstamoPagado,NúmeroDePago,""), "")</f>
        <v/>
      </c>
      <c r="C343" s="96" t="str">
        <f ca="1">IFERROR(IF(PréstamoNoPagado*PréstamoPagado,FechaDePago,""), "")</f>
        <v/>
      </c>
      <c r="D343" s="97" t="str">
        <f ca="1">IFERROR(IF(PréstamoNoPagado*PréstamoPagado,ValorPréstamo,""), "")</f>
        <v/>
      </c>
      <c r="E343" s="97" t="str">
        <f ca="1">IFERROR(IF(PréstamoNoPagado*PréstamoPagado,PagoMensual,""), "")</f>
        <v/>
      </c>
      <c r="F343" s="97" t="str">
        <f ca="1">IFERROR(IF(PréstamoNoPagado*PréstamoPagado,Capital,""), "")</f>
        <v/>
      </c>
      <c r="G343" s="97" t="str">
        <f ca="1">IFERROR(IF(PréstamoNoPagado*PréstamoPagado,AmortizaciónInterés,""), "")</f>
        <v/>
      </c>
      <c r="H343" s="97" t="str">
        <f ca="1">IFERROR(IF(PréstamoNoPagado*PréstamoPagado,SaldoFinal,""), "")</f>
        <v/>
      </c>
    </row>
    <row r="344" spans="2:8" ht="20.100000000000001" customHeight="1" x14ac:dyDescent="0.3">
      <c r="B344" s="105" t="str">
        <f ca="1">IFERROR(IF(PréstamoNoPagado*PréstamoPagado,NúmeroDePago,""), "")</f>
        <v/>
      </c>
      <c r="C344" s="96" t="str">
        <f ca="1">IFERROR(IF(PréstamoNoPagado*PréstamoPagado,FechaDePago,""), "")</f>
        <v/>
      </c>
      <c r="D344" s="97" t="str">
        <f ca="1">IFERROR(IF(PréstamoNoPagado*PréstamoPagado,ValorPréstamo,""), "")</f>
        <v/>
      </c>
      <c r="E344" s="97" t="str">
        <f ca="1">IFERROR(IF(PréstamoNoPagado*PréstamoPagado,PagoMensual,""), "")</f>
        <v/>
      </c>
      <c r="F344" s="97" t="str">
        <f ca="1">IFERROR(IF(PréstamoNoPagado*PréstamoPagado,Capital,""), "")</f>
        <v/>
      </c>
      <c r="G344" s="97" t="str">
        <f ca="1">IFERROR(IF(PréstamoNoPagado*PréstamoPagado,AmortizaciónInterés,""), "")</f>
        <v/>
      </c>
      <c r="H344" s="97" t="str">
        <f ca="1">IFERROR(IF(PréstamoNoPagado*PréstamoPagado,SaldoFinal,""), "")</f>
        <v/>
      </c>
    </row>
    <row r="345" spans="2:8" ht="20.100000000000001" customHeight="1" x14ac:dyDescent="0.3">
      <c r="B345" s="105" t="str">
        <f ca="1">IFERROR(IF(PréstamoNoPagado*PréstamoPagado,NúmeroDePago,""), "")</f>
        <v/>
      </c>
      <c r="C345" s="96" t="str">
        <f ca="1">IFERROR(IF(PréstamoNoPagado*PréstamoPagado,FechaDePago,""), "")</f>
        <v/>
      </c>
      <c r="D345" s="97" t="str">
        <f ca="1">IFERROR(IF(PréstamoNoPagado*PréstamoPagado,ValorPréstamo,""), "")</f>
        <v/>
      </c>
      <c r="E345" s="97" t="str">
        <f ca="1">IFERROR(IF(PréstamoNoPagado*PréstamoPagado,PagoMensual,""), "")</f>
        <v/>
      </c>
      <c r="F345" s="97" t="str">
        <f ca="1">IFERROR(IF(PréstamoNoPagado*PréstamoPagado,Capital,""), "")</f>
        <v/>
      </c>
      <c r="G345" s="97" t="str">
        <f ca="1">IFERROR(IF(PréstamoNoPagado*PréstamoPagado,AmortizaciónInterés,""), "")</f>
        <v/>
      </c>
      <c r="H345" s="97" t="str">
        <f ca="1">IFERROR(IF(PréstamoNoPagado*PréstamoPagado,SaldoFinal,""), "")</f>
        <v/>
      </c>
    </row>
    <row r="346" spans="2:8" ht="20.100000000000001" customHeight="1" x14ac:dyDescent="0.3">
      <c r="B346" s="105" t="str">
        <f ca="1">IFERROR(IF(PréstamoNoPagado*PréstamoPagado,NúmeroDePago,""), "")</f>
        <v/>
      </c>
      <c r="C346" s="96" t="str">
        <f ca="1">IFERROR(IF(PréstamoNoPagado*PréstamoPagado,FechaDePago,""), "")</f>
        <v/>
      </c>
      <c r="D346" s="97" t="str">
        <f ca="1">IFERROR(IF(PréstamoNoPagado*PréstamoPagado,ValorPréstamo,""), "")</f>
        <v/>
      </c>
      <c r="E346" s="97" t="str">
        <f ca="1">IFERROR(IF(PréstamoNoPagado*PréstamoPagado,PagoMensual,""), "")</f>
        <v/>
      </c>
      <c r="F346" s="97" t="str">
        <f ca="1">IFERROR(IF(PréstamoNoPagado*PréstamoPagado,Capital,""), "")</f>
        <v/>
      </c>
      <c r="G346" s="97" t="str">
        <f ca="1">IFERROR(IF(PréstamoNoPagado*PréstamoPagado,AmortizaciónInterés,""), "")</f>
        <v/>
      </c>
      <c r="H346" s="97" t="str">
        <f ca="1">IFERROR(IF(PréstamoNoPagado*PréstamoPagado,SaldoFinal,""), "")</f>
        <v/>
      </c>
    </row>
    <row r="347" spans="2:8" ht="20.100000000000001" customHeight="1" x14ac:dyDescent="0.3">
      <c r="B347" s="105" t="str">
        <f ca="1">IFERROR(IF(PréstamoNoPagado*PréstamoPagado,NúmeroDePago,""), "")</f>
        <v/>
      </c>
      <c r="C347" s="96" t="str">
        <f ca="1">IFERROR(IF(PréstamoNoPagado*PréstamoPagado,FechaDePago,""), "")</f>
        <v/>
      </c>
      <c r="D347" s="97" t="str">
        <f ca="1">IFERROR(IF(PréstamoNoPagado*PréstamoPagado,ValorPréstamo,""), "")</f>
        <v/>
      </c>
      <c r="E347" s="97" t="str">
        <f ca="1">IFERROR(IF(PréstamoNoPagado*PréstamoPagado,PagoMensual,""), "")</f>
        <v/>
      </c>
      <c r="F347" s="97" t="str">
        <f ca="1">IFERROR(IF(PréstamoNoPagado*PréstamoPagado,Capital,""), "")</f>
        <v/>
      </c>
      <c r="G347" s="97" t="str">
        <f ca="1">IFERROR(IF(PréstamoNoPagado*PréstamoPagado,AmortizaciónInterés,""), "")</f>
        <v/>
      </c>
      <c r="H347" s="97" t="str">
        <f ca="1">IFERROR(IF(PréstamoNoPagado*PréstamoPagado,SaldoFinal,""), "")</f>
        <v/>
      </c>
    </row>
    <row r="348" spans="2:8" ht="20.100000000000001" customHeight="1" x14ac:dyDescent="0.3">
      <c r="B348" s="105" t="str">
        <f ca="1">IFERROR(IF(PréstamoNoPagado*PréstamoPagado,NúmeroDePago,""), "")</f>
        <v/>
      </c>
      <c r="C348" s="96" t="str">
        <f ca="1">IFERROR(IF(PréstamoNoPagado*PréstamoPagado,FechaDePago,""), "")</f>
        <v/>
      </c>
      <c r="D348" s="97" t="str">
        <f ca="1">IFERROR(IF(PréstamoNoPagado*PréstamoPagado,ValorPréstamo,""), "")</f>
        <v/>
      </c>
      <c r="E348" s="97" t="str">
        <f ca="1">IFERROR(IF(PréstamoNoPagado*PréstamoPagado,PagoMensual,""), "")</f>
        <v/>
      </c>
      <c r="F348" s="97" t="str">
        <f ca="1">IFERROR(IF(PréstamoNoPagado*PréstamoPagado,Capital,""), "")</f>
        <v/>
      </c>
      <c r="G348" s="97" t="str">
        <f ca="1">IFERROR(IF(PréstamoNoPagado*PréstamoPagado,AmortizaciónInterés,""), "")</f>
        <v/>
      </c>
      <c r="H348" s="97" t="str">
        <f ca="1">IFERROR(IF(PréstamoNoPagado*PréstamoPagado,SaldoFinal,""), "")</f>
        <v/>
      </c>
    </row>
    <row r="349" spans="2:8" ht="20.100000000000001" customHeight="1" x14ac:dyDescent="0.3">
      <c r="B349" s="105" t="str">
        <f ca="1">IFERROR(IF(PréstamoNoPagado*PréstamoPagado,NúmeroDePago,""), "")</f>
        <v/>
      </c>
      <c r="C349" s="96" t="str">
        <f ca="1">IFERROR(IF(PréstamoNoPagado*PréstamoPagado,FechaDePago,""), "")</f>
        <v/>
      </c>
      <c r="D349" s="97" t="str">
        <f ca="1">IFERROR(IF(PréstamoNoPagado*PréstamoPagado,ValorPréstamo,""), "")</f>
        <v/>
      </c>
      <c r="E349" s="97" t="str">
        <f ca="1">IFERROR(IF(PréstamoNoPagado*PréstamoPagado,PagoMensual,""), "")</f>
        <v/>
      </c>
      <c r="F349" s="97" t="str">
        <f ca="1">IFERROR(IF(PréstamoNoPagado*PréstamoPagado,Capital,""), "")</f>
        <v/>
      </c>
      <c r="G349" s="97" t="str">
        <f ca="1">IFERROR(IF(PréstamoNoPagado*PréstamoPagado,AmortizaciónInterés,""), "")</f>
        <v/>
      </c>
      <c r="H349" s="97" t="str">
        <f ca="1">IFERROR(IF(PréstamoNoPagado*PréstamoPagado,SaldoFinal,""), "")</f>
        <v/>
      </c>
    </row>
    <row r="350" spans="2:8" ht="20.100000000000001" customHeight="1" x14ac:dyDescent="0.3">
      <c r="B350" s="105" t="str">
        <f ca="1">IFERROR(IF(PréstamoNoPagado*PréstamoPagado,NúmeroDePago,""), "")</f>
        <v/>
      </c>
      <c r="C350" s="96" t="str">
        <f ca="1">IFERROR(IF(PréstamoNoPagado*PréstamoPagado,FechaDePago,""), "")</f>
        <v/>
      </c>
      <c r="D350" s="97" t="str">
        <f ca="1">IFERROR(IF(PréstamoNoPagado*PréstamoPagado,ValorPréstamo,""), "")</f>
        <v/>
      </c>
      <c r="E350" s="97" t="str">
        <f ca="1">IFERROR(IF(PréstamoNoPagado*PréstamoPagado,PagoMensual,""), "")</f>
        <v/>
      </c>
      <c r="F350" s="97" t="str">
        <f ca="1">IFERROR(IF(PréstamoNoPagado*PréstamoPagado,Capital,""), "")</f>
        <v/>
      </c>
      <c r="G350" s="97" t="str">
        <f ca="1">IFERROR(IF(PréstamoNoPagado*PréstamoPagado,AmortizaciónInterés,""), "")</f>
        <v/>
      </c>
      <c r="H350" s="97" t="str">
        <f ca="1">IFERROR(IF(PréstamoNoPagado*PréstamoPagado,SaldoFinal,""), "")</f>
        <v/>
      </c>
    </row>
    <row r="351" spans="2:8" ht="20.100000000000001" customHeight="1" x14ac:dyDescent="0.3">
      <c r="B351" s="105" t="str">
        <f ca="1">IFERROR(IF(PréstamoNoPagado*PréstamoPagado,NúmeroDePago,""), "")</f>
        <v/>
      </c>
      <c r="C351" s="96" t="str">
        <f ca="1">IFERROR(IF(PréstamoNoPagado*PréstamoPagado,FechaDePago,""), "")</f>
        <v/>
      </c>
      <c r="D351" s="97" t="str">
        <f ca="1">IFERROR(IF(PréstamoNoPagado*PréstamoPagado,ValorPréstamo,""), "")</f>
        <v/>
      </c>
      <c r="E351" s="97" t="str">
        <f ca="1">IFERROR(IF(PréstamoNoPagado*PréstamoPagado,PagoMensual,""), "")</f>
        <v/>
      </c>
      <c r="F351" s="97" t="str">
        <f ca="1">IFERROR(IF(PréstamoNoPagado*PréstamoPagado,Capital,""), "")</f>
        <v/>
      </c>
      <c r="G351" s="97" t="str">
        <f ca="1">IFERROR(IF(PréstamoNoPagado*PréstamoPagado,AmortizaciónInterés,""), "")</f>
        <v/>
      </c>
      <c r="H351" s="97" t="str">
        <f ca="1">IFERROR(IF(PréstamoNoPagado*PréstamoPagado,SaldoFinal,""), "")</f>
        <v/>
      </c>
    </row>
    <row r="352" spans="2:8" ht="20.100000000000001" customHeight="1" x14ac:dyDescent="0.3">
      <c r="B352" s="105" t="str">
        <f ca="1">IFERROR(IF(PréstamoNoPagado*PréstamoPagado,NúmeroDePago,""), "")</f>
        <v/>
      </c>
      <c r="C352" s="96" t="str">
        <f ca="1">IFERROR(IF(PréstamoNoPagado*PréstamoPagado,FechaDePago,""), "")</f>
        <v/>
      </c>
      <c r="D352" s="97" t="str">
        <f ca="1">IFERROR(IF(PréstamoNoPagado*PréstamoPagado,ValorPréstamo,""), "")</f>
        <v/>
      </c>
      <c r="E352" s="97" t="str">
        <f ca="1">IFERROR(IF(PréstamoNoPagado*PréstamoPagado,PagoMensual,""), "")</f>
        <v/>
      </c>
      <c r="F352" s="97" t="str">
        <f ca="1">IFERROR(IF(PréstamoNoPagado*PréstamoPagado,Capital,""), "")</f>
        <v/>
      </c>
      <c r="G352" s="97" t="str">
        <f ca="1">IFERROR(IF(PréstamoNoPagado*PréstamoPagado,AmortizaciónInterés,""), "")</f>
        <v/>
      </c>
      <c r="H352" s="97" t="str">
        <f ca="1">IFERROR(IF(PréstamoNoPagado*PréstamoPagado,SaldoFinal,""), "")</f>
        <v/>
      </c>
    </row>
    <row r="353" spans="2:8" ht="20.100000000000001" customHeight="1" x14ac:dyDescent="0.3">
      <c r="B353" s="105" t="str">
        <f ca="1">IFERROR(IF(PréstamoNoPagado*PréstamoPagado,NúmeroDePago,""), "")</f>
        <v/>
      </c>
      <c r="C353" s="96" t="str">
        <f ca="1">IFERROR(IF(PréstamoNoPagado*PréstamoPagado,FechaDePago,""), "")</f>
        <v/>
      </c>
      <c r="D353" s="97" t="str">
        <f ca="1">IFERROR(IF(PréstamoNoPagado*PréstamoPagado,ValorPréstamo,""), "")</f>
        <v/>
      </c>
      <c r="E353" s="97" t="str">
        <f ca="1">IFERROR(IF(PréstamoNoPagado*PréstamoPagado,PagoMensual,""), "")</f>
        <v/>
      </c>
      <c r="F353" s="97" t="str">
        <f ca="1">IFERROR(IF(PréstamoNoPagado*PréstamoPagado,Capital,""), "")</f>
        <v/>
      </c>
      <c r="G353" s="97" t="str">
        <f ca="1">IFERROR(IF(PréstamoNoPagado*PréstamoPagado,AmortizaciónInterés,""), "")</f>
        <v/>
      </c>
      <c r="H353" s="97" t="str">
        <f ca="1">IFERROR(IF(PréstamoNoPagado*PréstamoPagado,SaldoFinal,""), "")</f>
        <v/>
      </c>
    </row>
    <row r="354" spans="2:8" ht="20.100000000000001" customHeight="1" x14ac:dyDescent="0.3">
      <c r="B354" s="105" t="str">
        <f ca="1">IFERROR(IF(PréstamoNoPagado*PréstamoPagado,NúmeroDePago,""), "")</f>
        <v/>
      </c>
      <c r="C354" s="96" t="str">
        <f ca="1">IFERROR(IF(PréstamoNoPagado*PréstamoPagado,FechaDePago,""), "")</f>
        <v/>
      </c>
      <c r="D354" s="97" t="str">
        <f ca="1">IFERROR(IF(PréstamoNoPagado*PréstamoPagado,ValorPréstamo,""), "")</f>
        <v/>
      </c>
      <c r="E354" s="97" t="str">
        <f ca="1">IFERROR(IF(PréstamoNoPagado*PréstamoPagado,PagoMensual,""), "")</f>
        <v/>
      </c>
      <c r="F354" s="97" t="str">
        <f ca="1">IFERROR(IF(PréstamoNoPagado*PréstamoPagado,Capital,""), "")</f>
        <v/>
      </c>
      <c r="G354" s="97" t="str">
        <f ca="1">IFERROR(IF(PréstamoNoPagado*PréstamoPagado,AmortizaciónInterés,""), "")</f>
        <v/>
      </c>
      <c r="H354" s="97" t="str">
        <f ca="1">IFERROR(IF(PréstamoNoPagado*PréstamoPagado,SaldoFinal,""), "")</f>
        <v/>
      </c>
    </row>
    <row r="355" spans="2:8" ht="20.100000000000001" customHeight="1" x14ac:dyDescent="0.3">
      <c r="B355" s="105" t="str">
        <f ca="1">IFERROR(IF(PréstamoNoPagado*PréstamoPagado,NúmeroDePago,""), "")</f>
        <v/>
      </c>
      <c r="C355" s="96" t="str">
        <f ca="1">IFERROR(IF(PréstamoNoPagado*PréstamoPagado,FechaDePago,""), "")</f>
        <v/>
      </c>
      <c r="D355" s="97" t="str">
        <f ca="1">IFERROR(IF(PréstamoNoPagado*PréstamoPagado,ValorPréstamo,""), "")</f>
        <v/>
      </c>
      <c r="E355" s="97" t="str">
        <f ca="1">IFERROR(IF(PréstamoNoPagado*PréstamoPagado,PagoMensual,""), "")</f>
        <v/>
      </c>
      <c r="F355" s="97" t="str">
        <f ca="1">IFERROR(IF(PréstamoNoPagado*PréstamoPagado,Capital,""), "")</f>
        <v/>
      </c>
      <c r="G355" s="97" t="str">
        <f ca="1">IFERROR(IF(PréstamoNoPagado*PréstamoPagado,AmortizaciónInterés,""), "")</f>
        <v/>
      </c>
      <c r="H355" s="97" t="str">
        <f ca="1">IFERROR(IF(PréstamoNoPagado*PréstamoPagado,SaldoFinal,""), "")</f>
        <v/>
      </c>
    </row>
    <row r="356" spans="2:8" ht="20.100000000000001" customHeight="1" x14ac:dyDescent="0.3">
      <c r="B356" s="105" t="str">
        <f ca="1">IFERROR(IF(PréstamoNoPagado*PréstamoPagado,NúmeroDePago,""), "")</f>
        <v/>
      </c>
      <c r="C356" s="96" t="str">
        <f ca="1">IFERROR(IF(PréstamoNoPagado*PréstamoPagado,FechaDePago,""), "")</f>
        <v/>
      </c>
      <c r="D356" s="97" t="str">
        <f ca="1">IFERROR(IF(PréstamoNoPagado*PréstamoPagado,ValorPréstamo,""), "")</f>
        <v/>
      </c>
      <c r="E356" s="97" t="str">
        <f ca="1">IFERROR(IF(PréstamoNoPagado*PréstamoPagado,PagoMensual,""), "")</f>
        <v/>
      </c>
      <c r="F356" s="97" t="str">
        <f ca="1">IFERROR(IF(PréstamoNoPagado*PréstamoPagado,Capital,""), "")</f>
        <v/>
      </c>
      <c r="G356" s="97" t="str">
        <f ca="1">IFERROR(IF(PréstamoNoPagado*PréstamoPagado,AmortizaciónInterés,""), "")</f>
        <v/>
      </c>
      <c r="H356" s="97" t="str">
        <f ca="1">IFERROR(IF(PréstamoNoPagado*PréstamoPagado,SaldoFinal,""), "")</f>
        <v/>
      </c>
    </row>
    <row r="357" spans="2:8" ht="20.100000000000001" customHeight="1" x14ac:dyDescent="0.3">
      <c r="B357" s="105" t="str">
        <f ca="1">IFERROR(IF(PréstamoNoPagado*PréstamoPagado,NúmeroDePago,""), "")</f>
        <v/>
      </c>
      <c r="C357" s="96" t="str">
        <f ca="1">IFERROR(IF(PréstamoNoPagado*PréstamoPagado,FechaDePago,""), "")</f>
        <v/>
      </c>
      <c r="D357" s="97" t="str">
        <f ca="1">IFERROR(IF(PréstamoNoPagado*PréstamoPagado,ValorPréstamo,""), "")</f>
        <v/>
      </c>
      <c r="E357" s="97" t="str">
        <f ca="1">IFERROR(IF(PréstamoNoPagado*PréstamoPagado,PagoMensual,""), "")</f>
        <v/>
      </c>
      <c r="F357" s="97" t="str">
        <f ca="1">IFERROR(IF(PréstamoNoPagado*PréstamoPagado,Capital,""), "")</f>
        <v/>
      </c>
      <c r="G357" s="97" t="str">
        <f ca="1">IFERROR(IF(PréstamoNoPagado*PréstamoPagado,AmortizaciónInterés,""), "")</f>
        <v/>
      </c>
      <c r="H357" s="97" t="str">
        <f ca="1">IFERROR(IF(PréstamoNoPagado*PréstamoPagado,SaldoFinal,""), "")</f>
        <v/>
      </c>
    </row>
    <row r="358" spans="2:8" ht="20.100000000000001" customHeight="1" x14ac:dyDescent="0.3">
      <c r="B358" s="105" t="str">
        <f ca="1">IFERROR(IF(PréstamoNoPagado*PréstamoPagado,NúmeroDePago,""), "")</f>
        <v/>
      </c>
      <c r="C358" s="96" t="str">
        <f ca="1">IFERROR(IF(PréstamoNoPagado*PréstamoPagado,FechaDePago,""), "")</f>
        <v/>
      </c>
      <c r="D358" s="97" t="str">
        <f ca="1">IFERROR(IF(PréstamoNoPagado*PréstamoPagado,ValorPréstamo,""), "")</f>
        <v/>
      </c>
      <c r="E358" s="97" t="str">
        <f ca="1">IFERROR(IF(PréstamoNoPagado*PréstamoPagado,PagoMensual,""), "")</f>
        <v/>
      </c>
      <c r="F358" s="97" t="str">
        <f ca="1">IFERROR(IF(PréstamoNoPagado*PréstamoPagado,Capital,""), "")</f>
        <v/>
      </c>
      <c r="G358" s="97" t="str">
        <f ca="1">IFERROR(IF(PréstamoNoPagado*PréstamoPagado,AmortizaciónInterés,""), "")</f>
        <v/>
      </c>
      <c r="H358" s="97" t="str">
        <f ca="1">IFERROR(IF(PréstamoNoPagado*PréstamoPagado,SaldoFinal,""), "")</f>
        <v/>
      </c>
    </row>
    <row r="359" spans="2:8" ht="20.100000000000001" customHeight="1" x14ac:dyDescent="0.3">
      <c r="B359" s="105" t="str">
        <f ca="1">IFERROR(IF(PréstamoNoPagado*PréstamoPagado,NúmeroDePago,""), "")</f>
        <v/>
      </c>
      <c r="C359" s="96" t="str">
        <f ca="1">IFERROR(IF(PréstamoNoPagado*PréstamoPagado,FechaDePago,""), "")</f>
        <v/>
      </c>
      <c r="D359" s="97" t="str">
        <f ca="1">IFERROR(IF(PréstamoNoPagado*PréstamoPagado,ValorPréstamo,""), "")</f>
        <v/>
      </c>
      <c r="E359" s="97" t="str">
        <f ca="1">IFERROR(IF(PréstamoNoPagado*PréstamoPagado,PagoMensual,""), "")</f>
        <v/>
      </c>
      <c r="F359" s="97" t="str">
        <f ca="1">IFERROR(IF(PréstamoNoPagado*PréstamoPagado,Capital,""), "")</f>
        <v/>
      </c>
      <c r="G359" s="97" t="str">
        <f ca="1">IFERROR(IF(PréstamoNoPagado*PréstamoPagado,AmortizaciónInterés,""), "")</f>
        <v/>
      </c>
      <c r="H359" s="97" t="str">
        <f ca="1">IFERROR(IF(PréstamoNoPagado*PréstamoPagado,SaldoFinal,""), "")</f>
        <v/>
      </c>
    </row>
    <row r="360" spans="2:8" ht="20.100000000000001" customHeight="1" x14ac:dyDescent="0.3">
      <c r="B360" s="105" t="str">
        <f ca="1">IFERROR(IF(PréstamoNoPagado*PréstamoPagado,NúmeroDePago,""), "")</f>
        <v/>
      </c>
      <c r="C360" s="96" t="str">
        <f ca="1">IFERROR(IF(PréstamoNoPagado*PréstamoPagado,FechaDePago,""), "")</f>
        <v/>
      </c>
      <c r="D360" s="97" t="str">
        <f ca="1">IFERROR(IF(PréstamoNoPagado*PréstamoPagado,ValorPréstamo,""), "")</f>
        <v/>
      </c>
      <c r="E360" s="97" t="str">
        <f ca="1">IFERROR(IF(PréstamoNoPagado*PréstamoPagado,PagoMensual,""), "")</f>
        <v/>
      </c>
      <c r="F360" s="97" t="str">
        <f ca="1">IFERROR(IF(PréstamoNoPagado*PréstamoPagado,Capital,""), "")</f>
        <v/>
      </c>
      <c r="G360" s="97" t="str">
        <f ca="1">IFERROR(IF(PréstamoNoPagado*PréstamoPagado,AmortizaciónInterés,""), "")</f>
        <v/>
      </c>
      <c r="H360" s="97" t="str">
        <f ca="1">IFERROR(IF(PréstamoNoPagado*PréstamoPagado,SaldoFinal,""), "")</f>
        <v/>
      </c>
    </row>
    <row r="361" spans="2:8" ht="20.100000000000001" customHeight="1" x14ac:dyDescent="0.3">
      <c r="B361" s="105" t="str">
        <f ca="1">IFERROR(IF(PréstamoNoPagado*PréstamoPagado,NúmeroDePago,""), "")</f>
        <v/>
      </c>
      <c r="C361" s="96" t="str">
        <f ca="1">IFERROR(IF(PréstamoNoPagado*PréstamoPagado,FechaDePago,""), "")</f>
        <v/>
      </c>
      <c r="D361" s="97" t="str">
        <f ca="1">IFERROR(IF(PréstamoNoPagado*PréstamoPagado,ValorPréstamo,""), "")</f>
        <v/>
      </c>
      <c r="E361" s="97" t="str">
        <f ca="1">IFERROR(IF(PréstamoNoPagado*PréstamoPagado,PagoMensual,""), "")</f>
        <v/>
      </c>
      <c r="F361" s="97" t="str">
        <f ca="1">IFERROR(IF(PréstamoNoPagado*PréstamoPagado,Capital,""), "")</f>
        <v/>
      </c>
      <c r="G361" s="97" t="str">
        <f ca="1">IFERROR(IF(PréstamoNoPagado*PréstamoPagado,AmortizaciónInterés,""), "")</f>
        <v/>
      </c>
      <c r="H361" s="97" t="str">
        <f ca="1">IFERROR(IF(PréstamoNoPagado*PréstamoPagado,SaldoFinal,""), "")</f>
        <v/>
      </c>
    </row>
    <row r="362" spans="2:8" ht="20.100000000000001" customHeight="1" x14ac:dyDescent="0.3">
      <c r="B362" s="105" t="str">
        <f ca="1">IFERROR(IF(PréstamoNoPagado*PréstamoPagado,NúmeroDePago,""), "")</f>
        <v/>
      </c>
      <c r="C362" s="96" t="str">
        <f ca="1">IFERROR(IF(PréstamoNoPagado*PréstamoPagado,FechaDePago,""), "")</f>
        <v/>
      </c>
      <c r="D362" s="97" t="str">
        <f ca="1">IFERROR(IF(PréstamoNoPagado*PréstamoPagado,ValorPréstamo,""), "")</f>
        <v/>
      </c>
      <c r="E362" s="97" t="str">
        <f ca="1">IFERROR(IF(PréstamoNoPagado*PréstamoPagado,PagoMensual,""), "")</f>
        <v/>
      </c>
      <c r="F362" s="97" t="str">
        <f ca="1">IFERROR(IF(PréstamoNoPagado*PréstamoPagado,Capital,""), "")</f>
        <v/>
      </c>
      <c r="G362" s="97" t="str">
        <f ca="1">IFERROR(IF(PréstamoNoPagado*PréstamoPagado,AmortizaciónInterés,""), "")</f>
        <v/>
      </c>
      <c r="H362" s="97" t="str">
        <f ca="1">IFERROR(IF(PréstamoNoPagado*PréstamoPagado,SaldoFinal,""), "")</f>
        <v/>
      </c>
    </row>
    <row r="363" spans="2:8" ht="20.100000000000001" customHeight="1" x14ac:dyDescent="0.3">
      <c r="B363" s="105" t="str">
        <f ca="1">IFERROR(IF(PréstamoNoPagado*PréstamoPagado,NúmeroDePago,""), "")</f>
        <v/>
      </c>
      <c r="C363" s="96" t="str">
        <f ca="1">IFERROR(IF(PréstamoNoPagado*PréstamoPagado,FechaDePago,""), "")</f>
        <v/>
      </c>
      <c r="D363" s="97" t="str">
        <f ca="1">IFERROR(IF(PréstamoNoPagado*PréstamoPagado,ValorPréstamo,""), "")</f>
        <v/>
      </c>
      <c r="E363" s="97" t="str">
        <f ca="1">IFERROR(IF(PréstamoNoPagado*PréstamoPagado,PagoMensual,""), "")</f>
        <v/>
      </c>
      <c r="F363" s="97" t="str">
        <f ca="1">IFERROR(IF(PréstamoNoPagado*PréstamoPagado,Capital,""), "")</f>
        <v/>
      </c>
      <c r="G363" s="97" t="str">
        <f ca="1">IFERROR(IF(PréstamoNoPagado*PréstamoPagado,AmortizaciónInterés,""), "")</f>
        <v/>
      </c>
      <c r="H363" s="97" t="str">
        <f ca="1">IFERROR(IF(PréstamoNoPagado*PréstamoPagado,SaldoFinal,""), "")</f>
        <v/>
      </c>
    </row>
    <row r="364" spans="2:8" ht="20.100000000000001" customHeight="1" x14ac:dyDescent="0.3">
      <c r="B364" s="105" t="str">
        <f ca="1">IFERROR(IF(PréstamoNoPagado*PréstamoPagado,NúmeroDePago,""), "")</f>
        <v/>
      </c>
      <c r="C364" s="96" t="str">
        <f ca="1">IFERROR(IF(PréstamoNoPagado*PréstamoPagado,FechaDePago,""), "")</f>
        <v/>
      </c>
      <c r="D364" s="97" t="str">
        <f ca="1">IFERROR(IF(PréstamoNoPagado*PréstamoPagado,ValorPréstamo,""), "")</f>
        <v/>
      </c>
      <c r="E364" s="97" t="str">
        <f ca="1">IFERROR(IF(PréstamoNoPagado*PréstamoPagado,PagoMensual,""), "")</f>
        <v/>
      </c>
      <c r="F364" s="97" t="str">
        <f ca="1">IFERROR(IF(PréstamoNoPagado*PréstamoPagado,Capital,""), "")</f>
        <v/>
      </c>
      <c r="G364" s="97" t="str">
        <f ca="1">IFERROR(IF(PréstamoNoPagado*PréstamoPagado,AmortizaciónInterés,""), "")</f>
        <v/>
      </c>
      <c r="H364" s="97" t="str">
        <f ca="1">IFERROR(IF(PréstamoNoPagado*PréstamoPagado,SaldoFinal,""), "")</f>
        <v/>
      </c>
    </row>
    <row r="365" spans="2:8" ht="20.100000000000001" customHeight="1" x14ac:dyDescent="0.3">
      <c r="B365" s="105" t="str">
        <f ca="1">IFERROR(IF(PréstamoNoPagado*PréstamoPagado,NúmeroDePago,""), "")</f>
        <v/>
      </c>
      <c r="C365" s="96" t="str">
        <f ca="1">IFERROR(IF(PréstamoNoPagado*PréstamoPagado,FechaDePago,""), "")</f>
        <v/>
      </c>
      <c r="D365" s="97" t="str">
        <f ca="1">IFERROR(IF(PréstamoNoPagado*PréstamoPagado,ValorPréstamo,""), "")</f>
        <v/>
      </c>
      <c r="E365" s="97" t="str">
        <f ca="1">IFERROR(IF(PréstamoNoPagado*PréstamoPagado,PagoMensual,""), "")</f>
        <v/>
      </c>
      <c r="F365" s="97" t="str">
        <f ca="1">IFERROR(IF(PréstamoNoPagado*PréstamoPagado,Capital,""), "")</f>
        <v/>
      </c>
      <c r="G365" s="97" t="str">
        <f ca="1">IFERROR(IF(PréstamoNoPagado*PréstamoPagado,AmortizaciónInterés,""), "")</f>
        <v/>
      </c>
      <c r="H365" s="97" t="str">
        <f ca="1">IFERROR(IF(PréstamoNoPagado*PréstamoPagado,SaldoFinal,""), "")</f>
        <v/>
      </c>
    </row>
    <row r="366" spans="2:8" ht="20.100000000000001" customHeight="1" x14ac:dyDescent="0.3">
      <c r="B366" s="105" t="str">
        <f ca="1">IFERROR(IF(PréstamoNoPagado*PréstamoPagado,NúmeroDePago,""), "")</f>
        <v/>
      </c>
      <c r="C366" s="96" t="str">
        <f ca="1">IFERROR(IF(PréstamoNoPagado*PréstamoPagado,FechaDePago,""), "")</f>
        <v/>
      </c>
      <c r="D366" s="97" t="str">
        <f ca="1">IFERROR(IF(PréstamoNoPagado*PréstamoPagado,ValorPréstamo,""), "")</f>
        <v/>
      </c>
      <c r="E366" s="97" t="str">
        <f ca="1">IFERROR(IF(PréstamoNoPagado*PréstamoPagado,PagoMensual,""), "")</f>
        <v/>
      </c>
      <c r="F366" s="97" t="str">
        <f ca="1">IFERROR(IF(PréstamoNoPagado*PréstamoPagado,Capital,""), "")</f>
        <v/>
      </c>
      <c r="G366" s="97" t="str">
        <f ca="1">IFERROR(IF(PréstamoNoPagado*PréstamoPagado,AmortizaciónInterés,""), "")</f>
        <v/>
      </c>
      <c r="H366" s="97" t="str">
        <f ca="1">IFERROR(IF(PréstamoNoPagado*PréstamoPagado,SaldoFinal,""), "")</f>
        <v/>
      </c>
    </row>
    <row r="367" spans="2:8" ht="20.100000000000001" customHeight="1" x14ac:dyDescent="0.3">
      <c r="B367" s="105" t="str">
        <f ca="1">IFERROR(IF(PréstamoNoPagado*PréstamoPagado,NúmeroDePago,""), "")</f>
        <v/>
      </c>
      <c r="C367" s="96" t="str">
        <f ca="1">IFERROR(IF(PréstamoNoPagado*PréstamoPagado,FechaDePago,""), "")</f>
        <v/>
      </c>
      <c r="D367" s="97" t="str">
        <f ca="1">IFERROR(IF(PréstamoNoPagado*PréstamoPagado,ValorPréstamo,""), "")</f>
        <v/>
      </c>
      <c r="E367" s="97" t="str">
        <f ca="1">IFERROR(IF(PréstamoNoPagado*PréstamoPagado,PagoMensual,""), "")</f>
        <v/>
      </c>
      <c r="F367" s="97" t="str">
        <f ca="1">IFERROR(IF(PréstamoNoPagado*PréstamoPagado,Capital,""), "")</f>
        <v/>
      </c>
      <c r="G367" s="97" t="str">
        <f ca="1">IFERROR(IF(PréstamoNoPagado*PréstamoPagado,AmortizaciónInterés,""), "")</f>
        <v/>
      </c>
      <c r="H367" s="97" t="str">
        <f ca="1">IFERROR(IF(PréstamoNoPagado*PréstamoPagado,SaldoFinal,""), "")</f>
        <v/>
      </c>
    </row>
    <row r="368" spans="2:8" ht="20.100000000000001" customHeight="1" x14ac:dyDescent="0.3">
      <c r="B368" s="105" t="str">
        <f ca="1">IFERROR(IF(PréstamoNoPagado*PréstamoPagado,NúmeroDePago,""), "")</f>
        <v/>
      </c>
      <c r="C368" s="96" t="str">
        <f ca="1">IFERROR(IF(PréstamoNoPagado*PréstamoPagado,FechaDePago,""), "")</f>
        <v/>
      </c>
      <c r="D368" s="97" t="str">
        <f ca="1">IFERROR(IF(PréstamoNoPagado*PréstamoPagado,ValorPréstamo,""), "")</f>
        <v/>
      </c>
      <c r="E368" s="97" t="str">
        <f ca="1">IFERROR(IF(PréstamoNoPagado*PréstamoPagado,PagoMensual,""), "")</f>
        <v/>
      </c>
      <c r="F368" s="97" t="str">
        <f ca="1">IFERROR(IF(PréstamoNoPagado*PréstamoPagado,Capital,""), "")</f>
        <v/>
      </c>
      <c r="G368" s="97" t="str">
        <f ca="1">IFERROR(IF(PréstamoNoPagado*PréstamoPagado,AmortizaciónInterés,""), "")</f>
        <v/>
      </c>
      <c r="H368" s="97" t="str">
        <f ca="1">IFERROR(IF(PréstamoNoPagado*PréstamoPagado,SaldoFinal,""), "")</f>
        <v/>
      </c>
    </row>
    <row r="369" spans="2:8" ht="20.100000000000001" customHeight="1" x14ac:dyDescent="0.3">
      <c r="B369" s="105" t="str">
        <f ca="1">IFERROR(IF(PréstamoNoPagado*PréstamoPagado,NúmeroDePago,""), "")</f>
        <v/>
      </c>
      <c r="C369" s="96" t="str">
        <f ca="1">IFERROR(IF(PréstamoNoPagado*PréstamoPagado,FechaDePago,""), "")</f>
        <v/>
      </c>
      <c r="D369" s="97" t="str">
        <f ca="1">IFERROR(IF(PréstamoNoPagado*PréstamoPagado,ValorPréstamo,""), "")</f>
        <v/>
      </c>
      <c r="E369" s="97" t="str">
        <f ca="1">IFERROR(IF(PréstamoNoPagado*PréstamoPagado,PagoMensual,""), "")</f>
        <v/>
      </c>
      <c r="F369" s="97" t="str">
        <f ca="1">IFERROR(IF(PréstamoNoPagado*PréstamoPagado,Capital,""), "")</f>
        <v/>
      </c>
      <c r="G369" s="97" t="str">
        <f ca="1">IFERROR(IF(PréstamoNoPagado*PréstamoPagado,AmortizaciónInterés,""), "")</f>
        <v/>
      </c>
      <c r="H369" s="97" t="str">
        <f ca="1">IFERROR(IF(PréstamoNoPagado*PréstamoPagado,SaldoFinal,""),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6" priority="4" stopIfTrue="1">
      <formula>NOT(PréstamoNoPagado)</formula>
    </cfRule>
    <cfRule type="expression" dxfId="5" priority="5" stopIfTrue="1">
      <formula>IF(ROW(B10)=ÚltimaFila,TRUE,FALSE)</formula>
    </cfRule>
  </conditionalFormatting>
  <conditionalFormatting sqref="B10:H369">
    <cfRule type="expression" dxfId="4" priority="1">
      <formula>$B10=""</formula>
    </cfRule>
  </conditionalFormatting>
  <conditionalFormatting sqref="C10:G369">
    <cfRule type="expression" dxfId="3" priority="2" stopIfTrue="1">
      <formula>NOT(PréstamoNoPagado)</formula>
    </cfRule>
    <cfRule type="expression" dxfId="2" priority="3" stopIfTrue="1">
      <formula>IF(ROW(C10)=ÚltimaFila,TRUE,FALSE)</formula>
    </cfRule>
  </conditionalFormatting>
  <conditionalFormatting sqref="H10:H369">
    <cfRule type="expression" dxfId="1" priority="6" stopIfTrue="1">
      <formula>NOT(PréstamoNoPagado)</formula>
    </cfRule>
    <cfRule type="expression" dxfId="0" priority="7" stopIfTrue="1">
      <formula>IF(ROW(H10)=ÚltimaFila,TRUE,FALSE)</formula>
    </cfRule>
  </conditionalFormatting>
  <dataValidations count="29">
    <dataValidation allowBlank="1" showErrorMessage="1" prompt="Cree una programación para la amortización de un préstamo con esta hoja de cálculo Calculadora de préstamos. El importe total de los intereses y el número total de pagos se calculan automáticamente." sqref="A2" xr:uid="{FB6D7ED6-A9EA-42FD-8374-381EB2F69C66}"/>
    <dataValidation allowBlank="1" showInputMessage="1" showErrorMessage="1" prompt="El título de esta hoja de cálculo se encuentra en esta celda. Escriba los valores del préstamo en las celdas D4 a D7. El resumen del préstamo, en las celdas H4 a H7, y la tabla del préstamo se actualizan automáticamente." sqref="B1:H1" xr:uid="{16FB7CDC-125D-4BA3-9AD3-E966054C5A99}"/>
    <dataValidation allowBlank="1" showInputMessage="1" showErrorMessage="1" prompt="Escriba los valores de préstamo en las celdas D4 a D7 para cada descripción en las siguientes celdas. El resumen del préstamo, en las celdas H4 a H7, y la tabla del préstamo se actualizan automáticamente." sqref="B3:D3" xr:uid="{7CBCA83B-AEB0-4B5D-B018-50E98365310B}"/>
    <dataValidation allowBlank="1" showInputMessage="1" showErrorMessage="1" prompt="El saldo final se calcula automáticamente en la columna con este encabezado" sqref="H9" xr:uid="{ED99EF4D-CD1A-4098-8E78-53A50CF02E20}"/>
    <dataValidation allowBlank="1" showInputMessage="1" showErrorMessage="1" prompt="El importe del interés se calcula automáticamente en esta columna, debajo de este encabezado." sqref="G9" xr:uid="{717B9385-E7C9-4543-96EE-529A858D610F}"/>
    <dataValidation allowBlank="1" showInputMessage="1" showErrorMessage="1" prompt="El importe del principal se calcula automáticamente en esta columna, debajo de este encabezado." sqref="F9" xr:uid="{C9CE0155-A594-400D-964B-845929588F86}"/>
    <dataValidation allowBlank="1" showInputMessage="1" showErrorMessage="1" prompt="El importe del pago se calcula automáticamente en esta columna, debajo de este encabezado." sqref="E9" xr:uid="{FA4DEC89-19F1-4F06-BB11-6D469EC2AA70}"/>
    <dataValidation allowBlank="1" showInputMessage="1" showErrorMessage="1" prompt="El saldo inicial se calcula automáticamente en esta columna, debajo de este encabezado." sqref="D9" xr:uid="{85B122B0-C952-44E8-833F-12E216AC6598}"/>
    <dataValidation allowBlank="1" showInputMessage="1" showErrorMessage="1" prompt="La fecha de los pagos se actualiza automáticamente en esta columna, debajo de este encabezado." sqref="C9" xr:uid="{536C2460-7490-4896-AE59-EB62E17F3211}"/>
    <dataValidation allowBlank="1" showInputMessage="1" showErrorMessage="1" prompt="El número de los pagos se actualiza automáticamente en esta columna, debajo de este encabezado." sqref="B9" xr:uid="{6C6DC3DE-63A1-4AEA-A26A-8BF7B71699D9}"/>
    <dataValidation allowBlank="1" showInputMessage="1" showErrorMessage="1" prompt="El número de pagos se calcula automáticamente en esta celda." sqref="H5" xr:uid="{75A79085-050A-4D27-AFF9-2B6D7CF05512}"/>
    <dataValidation allowBlank="1" showInputMessage="1" showErrorMessage="1" prompt="El importe total de los intereses se calcula automáticamente en esta celda." sqref="H6" xr:uid="{6CCA7DD1-8A94-4EB1-8515-DC81EECF0F8E}"/>
    <dataValidation allowBlank="1" showInputMessage="1" showErrorMessage="1" prompt="El coste total del préstamo se calcula automáticamente en esta celda." sqref="H7" xr:uid="{332395FC-8F7F-44A9-8CA3-75B0F8CA94F0}"/>
    <dataValidation allowBlank="1" showInputMessage="1" showErrorMessage="1" prompt="El coste total del préstamo se calcula automáticamente en la celda de la derecha." sqref="F7:G7" xr:uid="{A44E407C-C06D-4CC3-9C5D-8A9F1B8ABA4E}"/>
    <dataValidation allowBlank="1" showInputMessage="1" showErrorMessage="1" prompt="El importe total de los intereses se calcula automáticamente en la celda de la derecha." sqref="F6:G6" xr:uid="{49A3E416-C58C-4ADB-8CB6-63192A8DAA8E}"/>
    <dataValidation allowBlank="1" showInputMessage="1" showErrorMessage="1" prompt="El número de pagos se calcula automáticamente en la celda de la derecha." sqref="F5:G5" xr:uid="{5AE4E9DB-13AD-421F-B2A3-E1F6428B86F1}"/>
    <dataValidation allowBlank="1" showInputMessage="1" showErrorMessage="1" prompt="El pago mensual se calcula automáticamente en la celda de la derecha." sqref="F4:G4" xr:uid="{96CF2DB4-D0F3-49A1-9AAF-BD3BAF17054C}"/>
    <dataValidation allowBlank="1" showInputMessage="1" showErrorMessage="1" prompt="El pago mensual se calcula automáticamente en esta celda." sqref="H4" xr:uid="{2467FF50-EAAA-4EDA-9BEA-D03B65D07CBA}"/>
    <dataValidation allowBlank="1" showInputMessage="1" showErrorMessage="1" prompt="Escriba la fecha de inicio del préstamo en la celda de la derecha." sqref="B7:C7" xr:uid="{A96BBD2C-844D-4D60-8E3C-B15A22FF937D}"/>
    <dataValidation allowBlank="1" showInputMessage="1" showErrorMessage="1" prompt="Escriba la fecha de inicio del préstamo en esta celda." sqref="D7" xr:uid="{0F20D1C2-32F1-430D-BF22-38F8472AFD22}"/>
    <dataValidation allowBlank="1" showInputMessage="1" showErrorMessage="1" prompt="Escriba el periodo del préstamo en años en la celda de la derecha." sqref="B6:C6" xr:uid="{AE456B7B-47A8-44A0-9486-A75570678604}"/>
    <dataValidation allowBlank="1" showInputMessage="1" showErrorMessage="1" prompt="Escriba el periodo del préstamo en años en esta celda." sqref="D6" xr:uid="{D966ECC7-21C3-4E91-A7C6-BA0F4819614D}"/>
    <dataValidation allowBlank="1" showInputMessage="1" showErrorMessage="1" prompt="Escriba la tasa de interés anual en la celda de la derecha." sqref="B5:C5" xr:uid="{8FBDBD2E-7014-4B87-8701-088E6C36CD92}"/>
    <dataValidation allowBlank="1" showInputMessage="1" showErrorMessage="1" prompt="Escriba la tasa de interés anual en esta celda." sqref="D5" xr:uid="{E3990A77-9F7A-449D-8B37-0E7F99371B24}"/>
    <dataValidation allowBlank="1" showInputMessage="1" showErrorMessage="1" prompt="Escriba el importe del préstamo en la celda de la derecha." sqref="B4:C4" xr:uid="{B761A106-EA55-4073-94D3-ECFA92DCF47D}"/>
    <dataValidation allowBlank="1" showInputMessage="1" showErrorMessage="1" prompt="Escriba el importe del préstamo en esta celda." sqref="D4" xr:uid="{70180F39-B256-49FE-8320-3888A2C720F4}"/>
    <dataValidation allowBlank="1" showInputMessage="1" showErrorMessage="1" prompt="El resumen del préstamo se actualiza automáticamente en las siguientes celdas" sqref="F3" xr:uid="{CBCA26AA-207F-4CE6-9187-9C2A48E4245B}"/>
    <dataValidation allowBlank="1" showErrorMessage="1" prompt="El título de esta hoja de cálculo se encuentra en esta celda. Escriba los valores del préstamo en las celdas D3 a D6. El resumen del préstamo, en las celdas H3 a H6, y la tabla del préstamo se actualizan automáticamente" sqref="B2" xr:uid="{1FDF0917-D8A9-4270-98EB-832E19E3275F}"/>
    <dataValidation allowBlank="1" showInputMessage="1" showErrorMessage="1" prompt="Cree una programación para la amortización de un préstamo con esta hoja de cálculo Calculadora de préstamos. El importe total de los intereses y el número total de pagos se calculan automáticamente." sqref="A1" xr:uid="{706F8985-63E8-4536-8DF2-242D2A5A841D}"/>
  </dataValidations>
  <printOptions horizontalCentered="1"/>
  <pageMargins left="0.4" right="0.4" top="0.4" bottom="0.4" header="0.3" footer="0.3"/>
  <pageSetup paperSize="9" scale="10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89D9-6FE0-4AAA-9109-176CBB579B19}">
  <dimension ref="B2:AA40"/>
  <sheetViews>
    <sheetView topLeftCell="B1" workbookViewId="0">
      <selection activeCell="D21" sqref="D21"/>
    </sheetView>
  </sheetViews>
  <sheetFormatPr baseColWidth="10" defaultColWidth="11.44140625" defaultRowHeight="14.4" x14ac:dyDescent="0.3"/>
  <cols>
    <col min="2" max="2" width="31.44140625" bestFit="1" customWidth="1"/>
    <col min="3" max="3" width="14.44140625" bestFit="1" customWidth="1"/>
    <col min="4" max="4" width="9.21875" bestFit="1" customWidth="1"/>
    <col min="5" max="5" width="12.5546875" bestFit="1" customWidth="1"/>
    <col min="6" max="14" width="9.21875" bestFit="1" customWidth="1"/>
    <col min="15" max="15" width="7.5546875" bestFit="1" customWidth="1"/>
    <col min="16" max="27" width="7.21875" bestFit="1" customWidth="1"/>
  </cols>
  <sheetData>
    <row r="2" spans="2:6" x14ac:dyDescent="0.3">
      <c r="C2" t="s">
        <v>744</v>
      </c>
      <c r="D2" t="s">
        <v>745</v>
      </c>
      <c r="E2" t="s">
        <v>746</v>
      </c>
      <c r="F2" t="s">
        <v>747</v>
      </c>
    </row>
    <row r="3" spans="2:6" x14ac:dyDescent="0.3">
      <c r="B3" t="s">
        <v>629</v>
      </c>
      <c r="C3">
        <v>3800</v>
      </c>
      <c r="D3" s="10" t="e">
        <f>+#REF!</f>
        <v>#REF!</v>
      </c>
      <c r="E3" s="12" t="e">
        <f>+#REF!</f>
        <v>#REF!</v>
      </c>
      <c r="F3" s="12">
        <f>316854696/70000</f>
        <v>4526.4956571428575</v>
      </c>
    </row>
    <row r="4" spans="2:6" x14ac:dyDescent="0.3">
      <c r="B4" t="s">
        <v>748</v>
      </c>
      <c r="D4" s="10" t="e">
        <f>+#REF!</f>
        <v>#REF!</v>
      </c>
    </row>
    <row r="5" spans="2:6" x14ac:dyDescent="0.3">
      <c r="B5" t="s">
        <v>749</v>
      </c>
      <c r="D5" s="10" t="e">
        <f>+#REF!</f>
        <v>#REF!</v>
      </c>
    </row>
    <row r="6" spans="2:6" x14ac:dyDescent="0.3">
      <c r="B6" t="s">
        <v>597</v>
      </c>
      <c r="D6" s="10" t="e">
        <f>+#REF!+#REF!+#REF!+#REF!+#REF!+#REF!+#REF!</f>
        <v>#REF!</v>
      </c>
    </row>
    <row r="7" spans="2:6" x14ac:dyDescent="0.3">
      <c r="B7" t="s">
        <v>750</v>
      </c>
      <c r="D7" s="31" t="e">
        <f>+#REF!</f>
        <v>#REF!</v>
      </c>
    </row>
    <row r="8" spans="2:6" x14ac:dyDescent="0.3">
      <c r="B8" t="s">
        <v>751</v>
      </c>
      <c r="C8">
        <v>500</v>
      </c>
      <c r="D8" s="31" t="e">
        <f>+#REF!</f>
        <v>#REF!</v>
      </c>
    </row>
    <row r="9" spans="2:6" x14ac:dyDescent="0.3">
      <c r="B9" t="s">
        <v>752</v>
      </c>
      <c r="C9">
        <v>1500</v>
      </c>
      <c r="D9" s="31" t="e">
        <f>+D8+D6</f>
        <v>#REF!</v>
      </c>
    </row>
    <row r="16" spans="2:6" x14ac:dyDescent="0.3">
      <c r="B16" t="s">
        <v>753</v>
      </c>
      <c r="C16" s="16"/>
      <c r="D16" s="16"/>
    </row>
    <row r="17" spans="2:27" x14ac:dyDescent="0.3">
      <c r="B17" t="s">
        <v>754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  <c r="M17">
        <v>11</v>
      </c>
      <c r="N17">
        <v>12</v>
      </c>
      <c r="O17">
        <v>13</v>
      </c>
      <c r="P17">
        <v>14</v>
      </c>
      <c r="Q17">
        <v>15</v>
      </c>
      <c r="R17">
        <v>16</v>
      </c>
      <c r="S17">
        <v>17</v>
      </c>
      <c r="T17">
        <v>18</v>
      </c>
      <c r="U17">
        <v>19</v>
      </c>
      <c r="V17">
        <v>20</v>
      </c>
      <c r="W17">
        <v>21</v>
      </c>
      <c r="X17">
        <v>22</v>
      </c>
      <c r="Y17">
        <v>23</v>
      </c>
      <c r="Z17">
        <v>24</v>
      </c>
      <c r="AA17">
        <v>25</v>
      </c>
    </row>
    <row r="18" spans="2:27" x14ac:dyDescent="0.3">
      <c r="B18" t="s">
        <v>755</v>
      </c>
      <c r="C18" s="16">
        <v>0.98</v>
      </c>
      <c r="D18" s="16">
        <v>0.97799999999999998</v>
      </c>
      <c r="E18" s="16">
        <v>0.97699999999999998</v>
      </c>
      <c r="F18" s="16">
        <v>0.97599999999999998</v>
      </c>
      <c r="G18" s="16">
        <v>0.97499999999999998</v>
      </c>
      <c r="H18" s="16">
        <v>0.97</v>
      </c>
      <c r="I18" s="16">
        <v>0.96499999999999997</v>
      </c>
      <c r="J18" s="16">
        <v>0.96</v>
      </c>
      <c r="K18" s="16">
        <v>0.95499999999999996</v>
      </c>
      <c r="L18" s="16">
        <v>0.95</v>
      </c>
      <c r="M18" s="16">
        <v>0.94</v>
      </c>
      <c r="N18" s="16">
        <v>0.93</v>
      </c>
      <c r="O18" s="16">
        <v>0.92</v>
      </c>
      <c r="P18" s="16">
        <v>0.91</v>
      </c>
      <c r="Q18" s="16">
        <v>0.9</v>
      </c>
      <c r="R18" s="16">
        <v>0.89</v>
      </c>
      <c r="S18" s="16">
        <v>0.88</v>
      </c>
      <c r="T18" s="16">
        <v>0.87</v>
      </c>
      <c r="U18" s="16">
        <v>0.86</v>
      </c>
      <c r="V18" s="16">
        <v>0.85</v>
      </c>
      <c r="W18" s="16">
        <v>0.84499999999999997</v>
      </c>
      <c r="X18" s="16">
        <v>0.84</v>
      </c>
      <c r="Y18" s="16">
        <v>0.83499999999999996</v>
      </c>
      <c r="Z18" s="16">
        <v>0.83199999999999996</v>
      </c>
      <c r="AA18" s="16">
        <v>0.83099999999999996</v>
      </c>
    </row>
    <row r="19" spans="2:27" x14ac:dyDescent="0.3">
      <c r="B19" t="s">
        <v>756</v>
      </c>
      <c r="C19" s="16">
        <f>+C18</f>
        <v>0.98</v>
      </c>
      <c r="D19" s="40">
        <f t="shared" ref="D19:AA19" si="0">+C19-0.45%</f>
        <v>0.97550000000000003</v>
      </c>
      <c r="E19" s="40">
        <f t="shared" si="0"/>
        <v>0.97100000000000009</v>
      </c>
      <c r="F19" s="40">
        <f t="shared" si="0"/>
        <v>0.96650000000000014</v>
      </c>
      <c r="G19" s="40">
        <f t="shared" si="0"/>
        <v>0.96200000000000019</v>
      </c>
      <c r="H19" s="40">
        <f t="shared" si="0"/>
        <v>0.95750000000000024</v>
      </c>
      <c r="I19" s="40">
        <f t="shared" si="0"/>
        <v>0.95300000000000029</v>
      </c>
      <c r="J19" s="40">
        <f t="shared" si="0"/>
        <v>0.94850000000000034</v>
      </c>
      <c r="K19" s="40">
        <f t="shared" si="0"/>
        <v>0.94400000000000039</v>
      </c>
      <c r="L19" s="40">
        <f t="shared" si="0"/>
        <v>0.93950000000000045</v>
      </c>
      <c r="M19" s="40">
        <f t="shared" si="0"/>
        <v>0.9350000000000005</v>
      </c>
      <c r="N19" s="40">
        <f t="shared" si="0"/>
        <v>0.93050000000000055</v>
      </c>
      <c r="O19" s="40">
        <f t="shared" si="0"/>
        <v>0.9260000000000006</v>
      </c>
      <c r="P19" s="40">
        <f t="shared" si="0"/>
        <v>0.92150000000000065</v>
      </c>
      <c r="Q19" s="40">
        <f t="shared" si="0"/>
        <v>0.9170000000000007</v>
      </c>
      <c r="R19" s="40">
        <f t="shared" si="0"/>
        <v>0.91250000000000075</v>
      </c>
      <c r="S19" s="40">
        <f t="shared" si="0"/>
        <v>0.90800000000000081</v>
      </c>
      <c r="T19" s="40">
        <f t="shared" si="0"/>
        <v>0.90350000000000086</v>
      </c>
      <c r="U19" s="40">
        <f t="shared" si="0"/>
        <v>0.89900000000000091</v>
      </c>
      <c r="V19" s="40">
        <f t="shared" si="0"/>
        <v>0.89450000000000096</v>
      </c>
      <c r="W19" s="40">
        <f t="shared" si="0"/>
        <v>0.89000000000000101</v>
      </c>
      <c r="X19" s="40">
        <f t="shared" si="0"/>
        <v>0.88550000000000106</v>
      </c>
      <c r="Y19" s="40">
        <f t="shared" si="0"/>
        <v>0.88100000000000112</v>
      </c>
      <c r="Z19" s="40">
        <f t="shared" si="0"/>
        <v>0.87650000000000117</v>
      </c>
      <c r="AA19" s="40">
        <f t="shared" si="0"/>
        <v>0.87200000000000122</v>
      </c>
    </row>
    <row r="20" spans="2:27" x14ac:dyDescent="0.3">
      <c r="C20" s="16"/>
      <c r="D20" s="40"/>
    </row>
    <row r="21" spans="2:27" x14ac:dyDescent="0.3">
      <c r="C21" s="16"/>
      <c r="D21" s="40"/>
    </row>
    <row r="22" spans="2:27" x14ac:dyDescent="0.3">
      <c r="C22" s="16"/>
      <c r="D22" s="40"/>
    </row>
    <row r="23" spans="2:27" x14ac:dyDescent="0.3">
      <c r="C23" s="16"/>
      <c r="D23" s="40"/>
    </row>
    <row r="24" spans="2:27" x14ac:dyDescent="0.3">
      <c r="C24" s="16"/>
      <c r="D24" s="40"/>
    </row>
    <row r="25" spans="2:27" x14ac:dyDescent="0.3">
      <c r="C25" s="14">
        <f>+Producción!J3</f>
        <v>45658</v>
      </c>
      <c r="D25" s="14">
        <f>+Producción!K3</f>
        <v>45689</v>
      </c>
      <c r="E25" s="14">
        <f>+Producción!L3</f>
        <v>45717</v>
      </c>
      <c r="F25" s="14">
        <f>+Producción!M3</f>
        <v>45748</v>
      </c>
      <c r="G25" s="14">
        <f>+Producción!N3</f>
        <v>45778</v>
      </c>
      <c r="H25" s="14">
        <f>+Producción!O3</f>
        <v>45809</v>
      </c>
      <c r="I25" s="14">
        <f>+Producción!P3</f>
        <v>45839</v>
      </c>
      <c r="J25" s="14">
        <f>+Producción!Q3</f>
        <v>45870</v>
      </c>
      <c r="K25" s="14">
        <f>+Producción!R3</f>
        <v>45901</v>
      </c>
      <c r="L25" s="14">
        <f>+Producción!S3</f>
        <v>45931</v>
      </c>
      <c r="M25" s="14">
        <f>+Producción!T3</f>
        <v>45962</v>
      </c>
      <c r="N25" s="14">
        <f>+Producción!U3</f>
        <v>45992</v>
      </c>
      <c r="O25" s="14" t="s">
        <v>757</v>
      </c>
      <c r="P25" s="14"/>
    </row>
    <row r="26" spans="2:27" x14ac:dyDescent="0.3">
      <c r="B26" t="s">
        <v>758</v>
      </c>
      <c r="C26" s="10">
        <f>+Producción!J8</f>
        <v>2150.5786302000006</v>
      </c>
      <c r="D26" s="10">
        <f>+Producción!K8</f>
        <v>1982.6360400000001</v>
      </c>
      <c r="E26" s="10">
        <f>+Producción!L8</f>
        <v>2360.8296480999998</v>
      </c>
      <c r="F26" s="10">
        <f>+Producción!M8</f>
        <v>2144.5575689999996</v>
      </c>
      <c r="G26" s="10">
        <f>+Producción!N8</f>
        <v>2079.2997071</v>
      </c>
      <c r="H26" s="10">
        <f>+Producción!O8</f>
        <v>2090.0679030000001</v>
      </c>
      <c r="I26" s="10">
        <f>+Producción!P8</f>
        <v>2224.0865339000002</v>
      </c>
      <c r="J26" s="10">
        <f>+Producción!Q8</f>
        <v>2191.4520427799998</v>
      </c>
      <c r="K26" s="10">
        <f>+Producción!R8</f>
        <v>2050.8448751999999</v>
      </c>
      <c r="L26" s="10">
        <f>+Producción!S8</f>
        <v>1848.9862815599997</v>
      </c>
      <c r="M26" s="10">
        <f>+Producción!T8</f>
        <v>1767.0660480000001</v>
      </c>
      <c r="N26" s="10">
        <f>+Producción!U8</f>
        <v>1867.9423078799998</v>
      </c>
      <c r="O26" s="31">
        <f>+SUM(C26:N26)</f>
        <v>24758.347586719996</v>
      </c>
    </row>
    <row r="27" spans="2:27" x14ac:dyDescent="0.3">
      <c r="B27" t="s">
        <v>759</v>
      </c>
      <c r="C27" s="10">
        <v>1498</v>
      </c>
      <c r="D27" s="10">
        <v>1369</v>
      </c>
      <c r="E27" s="10">
        <v>1670</v>
      </c>
      <c r="F27" s="10">
        <v>1621</v>
      </c>
      <c r="G27" s="10">
        <v>1636</v>
      </c>
      <c r="H27" s="10">
        <v>1645</v>
      </c>
      <c r="I27" s="10">
        <v>1691</v>
      </c>
      <c r="J27" s="10">
        <v>1628</v>
      </c>
      <c r="K27" s="10">
        <v>1423</v>
      </c>
      <c r="L27" s="10">
        <v>1279</v>
      </c>
      <c r="M27" s="10">
        <v>1221</v>
      </c>
      <c r="N27" s="10">
        <v>1301</v>
      </c>
      <c r="O27" s="31">
        <f>+SUM(C27:N27)</f>
        <v>17982</v>
      </c>
    </row>
    <row r="28" spans="2:27" x14ac:dyDescent="0.3">
      <c r="B28" t="s">
        <v>760</v>
      </c>
      <c r="C28" s="31">
        <f>+C27-C26</f>
        <v>-652.57863020000059</v>
      </c>
      <c r="D28" s="31">
        <f t="shared" ref="D28:N28" si="1">+D27-D26</f>
        <v>-613.63604000000009</v>
      </c>
      <c r="E28" s="31">
        <f t="shared" si="1"/>
        <v>-690.82964809999976</v>
      </c>
      <c r="F28" s="31">
        <f t="shared" si="1"/>
        <v>-523.5575689999996</v>
      </c>
      <c r="G28" s="31">
        <f t="shared" si="1"/>
        <v>-443.29970709999998</v>
      </c>
      <c r="H28" s="31">
        <f t="shared" si="1"/>
        <v>-445.06790300000011</v>
      </c>
      <c r="I28" s="31">
        <f t="shared" si="1"/>
        <v>-533.08653390000018</v>
      </c>
      <c r="J28" s="31">
        <f t="shared" si="1"/>
        <v>-563.45204277999983</v>
      </c>
      <c r="K28" s="31">
        <f t="shared" si="1"/>
        <v>-627.84487519999993</v>
      </c>
      <c r="L28" s="31">
        <f t="shared" si="1"/>
        <v>-569.98628155999972</v>
      </c>
      <c r="M28" s="31">
        <f t="shared" si="1"/>
        <v>-546.06604800000014</v>
      </c>
      <c r="N28" s="31">
        <f t="shared" si="1"/>
        <v>-566.94230787999982</v>
      </c>
      <c r="O28" s="31">
        <f>+O27-O26</f>
        <v>-6776.3475867199959</v>
      </c>
    </row>
    <row r="29" spans="2:27" x14ac:dyDescent="0.3">
      <c r="C29" s="16"/>
      <c r="D29" s="40"/>
    </row>
    <row r="30" spans="2:27" x14ac:dyDescent="0.3">
      <c r="C30" s="16"/>
      <c r="D30" s="40"/>
    </row>
    <row r="31" spans="2:27" x14ac:dyDescent="0.3">
      <c r="C31" s="16"/>
      <c r="D31" s="40"/>
    </row>
    <row r="32" spans="2:27" x14ac:dyDescent="0.3">
      <c r="C32" s="16"/>
      <c r="D32" s="40"/>
    </row>
    <row r="33" spans="3:4" x14ac:dyDescent="0.3">
      <c r="C33" s="16"/>
      <c r="D33" s="40"/>
    </row>
    <row r="34" spans="3:4" x14ac:dyDescent="0.3">
      <c r="C34" s="16"/>
      <c r="D34" s="40"/>
    </row>
    <row r="35" spans="3:4" x14ac:dyDescent="0.3">
      <c r="C35" s="16"/>
      <c r="D35" s="40"/>
    </row>
    <row r="36" spans="3:4" x14ac:dyDescent="0.3">
      <c r="C36" s="16"/>
      <c r="D36" s="40"/>
    </row>
    <row r="37" spans="3:4" x14ac:dyDescent="0.3">
      <c r="C37" s="16"/>
      <c r="D37" s="40"/>
    </row>
    <row r="38" spans="3:4" x14ac:dyDescent="0.3">
      <c r="C38" s="16"/>
      <c r="D38" s="40"/>
    </row>
    <row r="39" spans="3:4" x14ac:dyDescent="0.3">
      <c r="C39" s="16"/>
      <c r="D39" s="40"/>
    </row>
    <row r="40" spans="3:4" x14ac:dyDescent="0.3">
      <c r="C40" s="16"/>
      <c r="D40" s="4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3CA9-6B78-408A-807F-08F3DBAA6C2D}">
  <dimension ref="A1:JA161"/>
  <sheetViews>
    <sheetView topLeftCell="Y1" workbookViewId="0">
      <selection activeCell="AE13" sqref="AE13"/>
    </sheetView>
  </sheetViews>
  <sheetFormatPr baseColWidth="10" defaultColWidth="11.44140625" defaultRowHeight="14.4" x14ac:dyDescent="0.3"/>
  <cols>
    <col min="1" max="1" width="25.5546875" bestFit="1" customWidth="1"/>
    <col min="2" max="2" width="20.44140625" bestFit="1" customWidth="1"/>
    <col min="3" max="3" width="16.44140625" bestFit="1" customWidth="1"/>
    <col min="4" max="4" width="8.44140625" bestFit="1" customWidth="1"/>
    <col min="5" max="52" width="14.44140625" bestFit="1" customWidth="1"/>
    <col min="53" max="106" width="12.5546875" bestFit="1" customWidth="1"/>
    <col min="107" max="107" width="14.44140625" bestFit="1" customWidth="1"/>
    <col min="108" max="109" width="12.5546875" bestFit="1" customWidth="1"/>
    <col min="110" max="110" width="14.44140625" bestFit="1" customWidth="1"/>
    <col min="111" max="112" width="12.5546875" bestFit="1" customWidth="1"/>
    <col min="113" max="113" width="14.44140625" bestFit="1" customWidth="1"/>
    <col min="114" max="115" width="12.5546875" bestFit="1" customWidth="1"/>
    <col min="116" max="116" width="14.44140625" bestFit="1" customWidth="1"/>
    <col min="117" max="118" width="12.5546875" bestFit="1" customWidth="1"/>
    <col min="119" max="119" width="14.44140625" bestFit="1" customWidth="1"/>
    <col min="120" max="121" width="12.5546875" bestFit="1" customWidth="1"/>
    <col min="122" max="122" width="14.44140625" bestFit="1" customWidth="1"/>
    <col min="123" max="124" width="12.5546875" bestFit="1" customWidth="1"/>
    <col min="125" max="125" width="14.44140625" bestFit="1" customWidth="1"/>
    <col min="126" max="127" width="12.5546875" bestFit="1" customWidth="1"/>
    <col min="128" max="128" width="14.44140625" bestFit="1" customWidth="1"/>
    <col min="129" max="130" width="12.5546875" bestFit="1" customWidth="1"/>
    <col min="131" max="131" width="14.44140625" bestFit="1" customWidth="1"/>
    <col min="132" max="133" width="12.5546875" bestFit="1" customWidth="1"/>
    <col min="134" max="134" width="14.44140625" bestFit="1" customWidth="1"/>
    <col min="135" max="136" width="12.5546875" bestFit="1" customWidth="1"/>
    <col min="137" max="137" width="14.44140625" bestFit="1" customWidth="1"/>
    <col min="138" max="139" width="12.5546875" bestFit="1" customWidth="1"/>
    <col min="140" max="140" width="14.44140625" bestFit="1" customWidth="1"/>
    <col min="141" max="142" width="12.5546875" bestFit="1" customWidth="1"/>
    <col min="143" max="143" width="14.44140625" bestFit="1" customWidth="1"/>
    <col min="144" max="145" width="12.5546875" bestFit="1" customWidth="1"/>
    <col min="146" max="146" width="14.44140625" bestFit="1" customWidth="1"/>
    <col min="147" max="148" width="12.5546875" bestFit="1" customWidth="1"/>
    <col min="149" max="149" width="14.44140625" bestFit="1" customWidth="1"/>
    <col min="150" max="151" width="12.5546875" bestFit="1" customWidth="1"/>
    <col min="152" max="152" width="14.44140625" bestFit="1" customWidth="1"/>
    <col min="153" max="154" width="12.5546875" bestFit="1" customWidth="1"/>
    <col min="155" max="155" width="14.44140625" bestFit="1" customWidth="1"/>
    <col min="156" max="157" width="12.5546875" bestFit="1" customWidth="1"/>
    <col min="158" max="158" width="14.44140625" bestFit="1" customWidth="1"/>
    <col min="159" max="160" width="12.5546875" bestFit="1" customWidth="1"/>
    <col min="161" max="161" width="14.44140625" bestFit="1" customWidth="1"/>
    <col min="162" max="163" width="12.5546875" bestFit="1" customWidth="1"/>
    <col min="164" max="164" width="14.44140625" bestFit="1" customWidth="1"/>
    <col min="165" max="166" width="12.5546875" bestFit="1" customWidth="1"/>
    <col min="167" max="167" width="14.44140625" bestFit="1" customWidth="1"/>
    <col min="168" max="169" width="12.5546875" bestFit="1" customWidth="1"/>
    <col min="170" max="170" width="14.44140625" bestFit="1" customWidth="1"/>
    <col min="171" max="172" width="12.5546875" bestFit="1" customWidth="1"/>
    <col min="173" max="173" width="14.44140625" bestFit="1" customWidth="1"/>
    <col min="174" max="175" width="12.5546875" bestFit="1" customWidth="1"/>
    <col min="176" max="176" width="14.44140625" bestFit="1" customWidth="1"/>
    <col min="177" max="178" width="12.5546875" bestFit="1" customWidth="1"/>
    <col min="179" max="179" width="14.44140625" bestFit="1" customWidth="1"/>
    <col min="180" max="181" width="12.5546875" bestFit="1" customWidth="1"/>
    <col min="182" max="182" width="14.44140625" bestFit="1" customWidth="1"/>
    <col min="183" max="184" width="12.5546875" bestFit="1" customWidth="1"/>
    <col min="185" max="185" width="14.44140625" bestFit="1" customWidth="1"/>
    <col min="186" max="187" width="12.5546875" bestFit="1" customWidth="1"/>
    <col min="188" max="188" width="14.44140625" bestFit="1" customWidth="1"/>
    <col min="189" max="190" width="12.5546875" bestFit="1" customWidth="1"/>
    <col min="191" max="191" width="14.44140625" bestFit="1" customWidth="1"/>
    <col min="192" max="193" width="12.5546875" bestFit="1" customWidth="1"/>
    <col min="194" max="194" width="14.44140625" bestFit="1" customWidth="1"/>
    <col min="195" max="196" width="12.5546875" bestFit="1" customWidth="1"/>
    <col min="197" max="197" width="14.44140625" bestFit="1" customWidth="1"/>
    <col min="198" max="199" width="12.5546875" bestFit="1" customWidth="1"/>
    <col min="200" max="200" width="14.44140625" bestFit="1" customWidth="1"/>
    <col min="201" max="202" width="12.5546875" bestFit="1" customWidth="1"/>
    <col min="203" max="203" width="14.44140625" bestFit="1" customWidth="1"/>
    <col min="204" max="205" width="12.5546875" bestFit="1" customWidth="1"/>
    <col min="206" max="206" width="14.44140625" bestFit="1" customWidth="1"/>
    <col min="207" max="208" width="12.5546875" bestFit="1" customWidth="1"/>
    <col min="209" max="209" width="14.44140625" bestFit="1" customWidth="1"/>
    <col min="210" max="211" width="12.5546875" bestFit="1" customWidth="1"/>
    <col min="212" max="212" width="14.44140625" bestFit="1" customWidth="1"/>
    <col min="213" max="214" width="12.5546875" bestFit="1" customWidth="1"/>
    <col min="215" max="215" width="14.44140625" bestFit="1" customWidth="1"/>
    <col min="216" max="217" width="12.5546875" bestFit="1" customWidth="1"/>
    <col min="218" max="218" width="14.44140625" bestFit="1" customWidth="1"/>
    <col min="219" max="220" width="12.5546875" bestFit="1" customWidth="1"/>
    <col min="221" max="221" width="14.44140625" bestFit="1" customWidth="1"/>
    <col min="222" max="223" width="12.5546875" bestFit="1" customWidth="1"/>
    <col min="224" max="224" width="14.44140625" bestFit="1" customWidth="1"/>
    <col min="225" max="226" width="12.5546875" bestFit="1" customWidth="1"/>
    <col min="227" max="227" width="14.44140625" bestFit="1" customWidth="1"/>
    <col min="228" max="229" width="12.5546875" bestFit="1" customWidth="1"/>
    <col min="230" max="230" width="14.44140625" bestFit="1" customWidth="1"/>
    <col min="231" max="232" width="12.5546875" bestFit="1" customWidth="1"/>
    <col min="233" max="233" width="14.44140625" bestFit="1" customWidth="1"/>
    <col min="234" max="235" width="12.5546875" bestFit="1" customWidth="1"/>
    <col min="236" max="236" width="14.44140625" bestFit="1" customWidth="1"/>
    <col min="237" max="238" width="12.5546875" bestFit="1" customWidth="1"/>
    <col min="239" max="239" width="14.44140625" bestFit="1" customWidth="1"/>
    <col min="240" max="241" width="12.5546875" bestFit="1" customWidth="1"/>
    <col min="242" max="242" width="14.44140625" bestFit="1" customWidth="1"/>
    <col min="243" max="244" width="12.5546875" bestFit="1" customWidth="1"/>
    <col min="245" max="245" width="12" bestFit="1" customWidth="1"/>
    <col min="246" max="249" width="13.44140625" bestFit="1" customWidth="1"/>
  </cols>
  <sheetData>
    <row r="1" spans="1:261" x14ac:dyDescent="0.3">
      <c r="A1" s="6" t="s">
        <v>761</v>
      </c>
      <c r="B1" s="6">
        <f>+Cálculos!D8</f>
        <v>15950</v>
      </c>
      <c r="C1" s="6"/>
      <c r="D1" s="6"/>
      <c r="E1" t="s">
        <v>37</v>
      </c>
    </row>
    <row r="2" spans="1:261" x14ac:dyDescent="0.3">
      <c r="B2" t="s">
        <v>11</v>
      </c>
      <c r="E2">
        <f>+YEAR(E3)</f>
        <v>2024</v>
      </c>
      <c r="F2">
        <f t="shared" ref="F2:BQ2" si="0">+YEAR(F3)</f>
        <v>2024</v>
      </c>
      <c r="G2">
        <f t="shared" si="0"/>
        <v>2024</v>
      </c>
      <c r="H2">
        <f t="shared" si="0"/>
        <v>2024</v>
      </c>
      <c r="I2">
        <f t="shared" si="0"/>
        <v>2024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2025</v>
      </c>
      <c r="U2">
        <f t="shared" si="0"/>
        <v>2025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2026</v>
      </c>
      <c r="AG2">
        <f t="shared" si="0"/>
        <v>2026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2027</v>
      </c>
      <c r="AS2">
        <f t="shared" si="0"/>
        <v>2027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2028</v>
      </c>
      <c r="BE2">
        <f t="shared" si="0"/>
        <v>2028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si="0"/>
        <v>2029</v>
      </c>
      <c r="BQ2">
        <f t="shared" si="0"/>
        <v>2029</v>
      </c>
      <c r="BR2">
        <f t="shared" ref="BR2:EC2" si="1">+YEAR(BR3)</f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2030</v>
      </c>
      <c r="CC2">
        <f t="shared" si="1"/>
        <v>2030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2031</v>
      </c>
      <c r="CO2">
        <f t="shared" si="1"/>
        <v>2031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2032</v>
      </c>
      <c r="DA2">
        <f t="shared" si="1"/>
        <v>2032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2033</v>
      </c>
      <c r="DM2">
        <f t="shared" si="1"/>
        <v>2033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2034</v>
      </c>
      <c r="DY2">
        <f t="shared" si="1"/>
        <v>2034</v>
      </c>
      <c r="DZ2">
        <f t="shared" si="1"/>
        <v>2035</v>
      </c>
      <c r="EA2">
        <f t="shared" si="1"/>
        <v>2035</v>
      </c>
      <c r="EB2">
        <f t="shared" si="1"/>
        <v>2035</v>
      </c>
      <c r="EC2">
        <f t="shared" si="1"/>
        <v>2035</v>
      </c>
      <c r="ED2">
        <f t="shared" ref="ED2:GO2" si="2">+YEAR(ED3)</f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2035</v>
      </c>
      <c r="EK2">
        <f t="shared" si="2"/>
        <v>2035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2036</v>
      </c>
      <c r="EW2">
        <f t="shared" si="2"/>
        <v>2036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2037</v>
      </c>
      <c r="FI2">
        <f t="shared" si="2"/>
        <v>2037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2038</v>
      </c>
      <c r="FU2">
        <f t="shared" si="2"/>
        <v>2038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2039</v>
      </c>
      <c r="GG2">
        <f t="shared" si="2"/>
        <v>2039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si="2"/>
        <v>2040</v>
      </c>
      <c r="GO2">
        <f t="shared" si="2"/>
        <v>2040</v>
      </c>
      <c r="GP2">
        <f t="shared" ref="GP2:IO2" si="3">+YEAR(GP3)</f>
        <v>2040</v>
      </c>
      <c r="GQ2">
        <f t="shared" si="3"/>
        <v>2040</v>
      </c>
      <c r="GR2">
        <f t="shared" si="3"/>
        <v>2040</v>
      </c>
      <c r="GS2">
        <f t="shared" si="3"/>
        <v>2040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2041</v>
      </c>
      <c r="HE2">
        <f t="shared" si="3"/>
        <v>2041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2042</v>
      </c>
      <c r="HQ2">
        <f t="shared" si="3"/>
        <v>2042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2043</v>
      </c>
      <c r="IC2">
        <f t="shared" si="3"/>
        <v>2043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  <c r="II2">
        <f t="shared" si="3"/>
        <v>2044</v>
      </c>
      <c r="IJ2">
        <f t="shared" si="3"/>
        <v>2044</v>
      </c>
      <c r="IK2">
        <f t="shared" si="3"/>
        <v>2044</v>
      </c>
      <c r="IL2">
        <f t="shared" si="3"/>
        <v>2044</v>
      </c>
      <c r="IM2">
        <f t="shared" si="3"/>
        <v>2044</v>
      </c>
      <c r="IN2">
        <f t="shared" si="3"/>
        <v>2044</v>
      </c>
      <c r="IO2">
        <f t="shared" si="3"/>
        <v>2044</v>
      </c>
    </row>
    <row r="3" spans="1:261" x14ac:dyDescent="0.3">
      <c r="A3" t="s">
        <v>762</v>
      </c>
      <c r="E3" s="14">
        <v>45505</v>
      </c>
      <c r="F3" s="14">
        <v>45536</v>
      </c>
      <c r="G3" s="14">
        <v>45566</v>
      </c>
      <c r="H3" s="14">
        <v>45597</v>
      </c>
      <c r="I3" s="14">
        <v>45627</v>
      </c>
      <c r="J3" s="14">
        <v>45658</v>
      </c>
      <c r="K3" s="14">
        <v>45689</v>
      </c>
      <c r="L3" s="14">
        <v>45717</v>
      </c>
      <c r="M3" s="14">
        <v>45748</v>
      </c>
      <c r="N3" s="14">
        <v>45778</v>
      </c>
      <c r="O3" s="14">
        <v>45809</v>
      </c>
      <c r="P3" s="14">
        <v>45839</v>
      </c>
      <c r="Q3" s="14">
        <v>45870</v>
      </c>
      <c r="R3" s="14">
        <v>45901</v>
      </c>
      <c r="S3" s="14">
        <v>45931</v>
      </c>
      <c r="T3" s="14">
        <v>45962</v>
      </c>
      <c r="U3" s="14">
        <v>45992</v>
      </c>
      <c r="V3" s="14">
        <v>46023</v>
      </c>
      <c r="W3" s="14">
        <v>46054</v>
      </c>
      <c r="X3" s="14">
        <v>46082</v>
      </c>
      <c r="Y3" s="14">
        <v>46113</v>
      </c>
      <c r="Z3" s="14">
        <v>46143</v>
      </c>
      <c r="AA3" s="14">
        <v>46174</v>
      </c>
      <c r="AB3" s="14">
        <v>46204</v>
      </c>
      <c r="AC3" s="14">
        <v>46235</v>
      </c>
      <c r="AD3" s="14">
        <v>46266</v>
      </c>
      <c r="AE3" s="14">
        <v>46296</v>
      </c>
      <c r="AF3" s="14">
        <v>46327</v>
      </c>
      <c r="AG3" s="14">
        <v>46357</v>
      </c>
      <c r="AH3" s="14">
        <v>46388</v>
      </c>
      <c r="AI3" s="14">
        <v>46419</v>
      </c>
      <c r="AJ3" s="14">
        <v>46447</v>
      </c>
      <c r="AK3" s="14">
        <v>46478</v>
      </c>
      <c r="AL3" s="14">
        <v>46508</v>
      </c>
      <c r="AM3" s="14">
        <v>46539</v>
      </c>
      <c r="AN3" s="14">
        <v>46569</v>
      </c>
      <c r="AO3" s="14">
        <v>46600</v>
      </c>
      <c r="AP3" s="14">
        <v>46631</v>
      </c>
      <c r="AQ3" s="14">
        <v>46661</v>
      </c>
      <c r="AR3" s="14">
        <v>46692</v>
      </c>
      <c r="AS3" s="14">
        <v>46722</v>
      </c>
      <c r="AT3" s="14">
        <v>46753</v>
      </c>
      <c r="AU3" s="14">
        <v>46784</v>
      </c>
      <c r="AV3" s="14">
        <v>46813</v>
      </c>
      <c r="AW3" s="14">
        <v>46844</v>
      </c>
      <c r="AX3" s="14">
        <v>46874</v>
      </c>
      <c r="AY3" s="14">
        <v>46905</v>
      </c>
      <c r="AZ3" s="14">
        <v>46935</v>
      </c>
      <c r="BA3" s="14">
        <v>46966</v>
      </c>
      <c r="BB3" s="14">
        <v>46997</v>
      </c>
      <c r="BC3" s="14">
        <v>47027</v>
      </c>
      <c r="BD3" s="14">
        <v>47058</v>
      </c>
      <c r="BE3" s="14">
        <v>47088</v>
      </c>
      <c r="BF3" s="14">
        <v>47119</v>
      </c>
      <c r="BG3" s="14">
        <v>47150</v>
      </c>
      <c r="BH3" s="14">
        <v>47178</v>
      </c>
      <c r="BI3" s="14">
        <v>47209</v>
      </c>
      <c r="BJ3" s="14">
        <v>47239</v>
      </c>
      <c r="BK3" s="14">
        <v>47270</v>
      </c>
      <c r="BL3" s="14">
        <v>47300</v>
      </c>
      <c r="BM3" s="14">
        <v>47331</v>
      </c>
      <c r="BN3" s="14">
        <v>47362</v>
      </c>
      <c r="BO3" s="14">
        <v>47392</v>
      </c>
      <c r="BP3" s="14">
        <v>47423</v>
      </c>
      <c r="BQ3" s="14">
        <v>47453</v>
      </c>
      <c r="BR3" s="14">
        <v>47484</v>
      </c>
      <c r="BS3" s="14">
        <v>47515</v>
      </c>
      <c r="BT3" s="14">
        <v>47543</v>
      </c>
      <c r="BU3" s="14">
        <v>47574</v>
      </c>
      <c r="BV3" s="14">
        <v>47604</v>
      </c>
      <c r="BW3" s="14">
        <v>47635</v>
      </c>
      <c r="BX3" s="14">
        <v>47665</v>
      </c>
      <c r="BY3" s="14">
        <v>47696</v>
      </c>
      <c r="BZ3" s="14">
        <v>47727</v>
      </c>
      <c r="CA3" s="14">
        <v>47757</v>
      </c>
      <c r="CB3" s="14">
        <v>47788</v>
      </c>
      <c r="CC3" s="14">
        <v>47818</v>
      </c>
      <c r="CD3" s="14">
        <v>47849</v>
      </c>
      <c r="CE3" s="14">
        <v>47880</v>
      </c>
      <c r="CF3" s="14">
        <v>47908</v>
      </c>
      <c r="CG3" s="14">
        <v>47939</v>
      </c>
      <c r="CH3" s="14">
        <v>47969</v>
      </c>
      <c r="CI3" s="14">
        <v>48000</v>
      </c>
      <c r="CJ3" s="14">
        <v>48030</v>
      </c>
      <c r="CK3" s="14">
        <v>48061</v>
      </c>
      <c r="CL3" s="14">
        <v>48092</v>
      </c>
      <c r="CM3" s="14">
        <v>48122</v>
      </c>
      <c r="CN3" s="14">
        <v>48153</v>
      </c>
      <c r="CO3" s="14">
        <v>48183</v>
      </c>
      <c r="CP3" s="14">
        <v>48214</v>
      </c>
      <c r="CQ3" s="14">
        <v>48245</v>
      </c>
      <c r="CR3" s="14">
        <v>48274</v>
      </c>
      <c r="CS3" s="14">
        <v>48305</v>
      </c>
      <c r="CT3" s="14">
        <v>48335</v>
      </c>
      <c r="CU3" s="14">
        <v>48366</v>
      </c>
      <c r="CV3" s="14">
        <v>48396</v>
      </c>
      <c r="CW3" s="14">
        <v>48427</v>
      </c>
      <c r="CX3" s="14">
        <v>48458</v>
      </c>
      <c r="CY3" s="14">
        <v>48488</v>
      </c>
      <c r="CZ3" s="14">
        <v>48519</v>
      </c>
      <c r="DA3" s="14">
        <v>48549</v>
      </c>
      <c r="DB3" s="14">
        <v>48580</v>
      </c>
      <c r="DC3" s="14">
        <v>48611</v>
      </c>
      <c r="DD3" s="14">
        <v>48639</v>
      </c>
      <c r="DE3" s="14">
        <v>48670</v>
      </c>
      <c r="DF3" s="14">
        <v>48700</v>
      </c>
      <c r="DG3" s="14">
        <v>48731</v>
      </c>
      <c r="DH3" s="14">
        <v>48761</v>
      </c>
      <c r="DI3" s="14">
        <v>48792</v>
      </c>
      <c r="DJ3" s="14">
        <v>48823</v>
      </c>
      <c r="DK3" s="14">
        <v>48853</v>
      </c>
      <c r="DL3" s="14">
        <v>48884</v>
      </c>
      <c r="DM3" s="14">
        <v>48914</v>
      </c>
      <c r="DN3" s="14">
        <v>48945</v>
      </c>
      <c r="DO3" s="14">
        <v>48976</v>
      </c>
      <c r="DP3" s="14">
        <v>49004</v>
      </c>
      <c r="DQ3" s="14">
        <v>49035</v>
      </c>
      <c r="DR3" s="14">
        <v>49065</v>
      </c>
      <c r="DS3" s="14">
        <v>49096</v>
      </c>
      <c r="DT3" s="14">
        <v>49126</v>
      </c>
      <c r="DU3" s="14">
        <v>49157</v>
      </c>
      <c r="DV3" s="14">
        <v>49188</v>
      </c>
      <c r="DW3" s="14">
        <v>49218</v>
      </c>
      <c r="DX3" s="14">
        <v>49249</v>
      </c>
      <c r="DY3" s="14">
        <v>49279</v>
      </c>
      <c r="DZ3" s="14">
        <v>49310</v>
      </c>
      <c r="EA3" s="14">
        <v>49341</v>
      </c>
      <c r="EB3" s="14">
        <v>49369</v>
      </c>
      <c r="EC3" s="14">
        <v>49400</v>
      </c>
      <c r="ED3" s="14">
        <v>49430</v>
      </c>
      <c r="EE3" s="14">
        <v>49461</v>
      </c>
      <c r="EF3" s="14">
        <v>49491</v>
      </c>
      <c r="EG3" s="14">
        <v>49522</v>
      </c>
      <c r="EH3" s="14">
        <v>49553</v>
      </c>
      <c r="EI3" s="14">
        <v>49583</v>
      </c>
      <c r="EJ3" s="14">
        <v>49614</v>
      </c>
      <c r="EK3" s="14">
        <v>49644</v>
      </c>
      <c r="EL3" s="14">
        <v>49675</v>
      </c>
      <c r="EM3" s="14">
        <v>49706</v>
      </c>
      <c r="EN3" s="14">
        <v>49735</v>
      </c>
      <c r="EO3" s="14">
        <v>49766</v>
      </c>
      <c r="EP3" s="14">
        <v>49796</v>
      </c>
      <c r="EQ3" s="14">
        <v>49827</v>
      </c>
      <c r="ER3" s="14">
        <v>49857</v>
      </c>
      <c r="ES3" s="14">
        <v>49888</v>
      </c>
      <c r="ET3" s="14">
        <v>49919</v>
      </c>
      <c r="EU3" s="14">
        <v>49949</v>
      </c>
      <c r="EV3" s="14">
        <v>49980</v>
      </c>
      <c r="EW3" s="14">
        <v>50010</v>
      </c>
      <c r="EX3" s="14">
        <v>50041</v>
      </c>
      <c r="EY3" s="14">
        <v>50072</v>
      </c>
      <c r="EZ3" s="14">
        <v>50100</v>
      </c>
      <c r="FA3" s="14">
        <v>50131</v>
      </c>
      <c r="FB3" s="14">
        <v>50161</v>
      </c>
      <c r="FC3" s="14">
        <v>50192</v>
      </c>
      <c r="FD3" s="14">
        <v>50222</v>
      </c>
      <c r="FE3" s="14">
        <v>50253</v>
      </c>
      <c r="FF3" s="14">
        <v>50284</v>
      </c>
      <c r="FG3" s="14">
        <v>50314</v>
      </c>
      <c r="FH3" s="14">
        <v>50345</v>
      </c>
      <c r="FI3" s="14">
        <v>50375</v>
      </c>
      <c r="FJ3" s="14">
        <v>50406</v>
      </c>
      <c r="FK3" s="14">
        <v>50437</v>
      </c>
      <c r="FL3" s="14">
        <v>50465</v>
      </c>
      <c r="FM3" s="14">
        <v>50496</v>
      </c>
      <c r="FN3" s="14">
        <v>50526</v>
      </c>
      <c r="FO3" s="14">
        <v>50557</v>
      </c>
      <c r="FP3" s="14">
        <v>50587</v>
      </c>
      <c r="FQ3" s="14">
        <v>50618</v>
      </c>
      <c r="FR3" s="14">
        <v>50649</v>
      </c>
      <c r="FS3" s="14">
        <v>50679</v>
      </c>
      <c r="FT3" s="14">
        <v>50710</v>
      </c>
      <c r="FU3" s="14">
        <v>50740</v>
      </c>
      <c r="FV3" s="14">
        <v>50771</v>
      </c>
      <c r="FW3" s="14">
        <v>50802</v>
      </c>
      <c r="FX3" s="14">
        <v>50830</v>
      </c>
      <c r="FY3" s="14">
        <v>50861</v>
      </c>
      <c r="FZ3" s="14">
        <v>50891</v>
      </c>
      <c r="GA3" s="14">
        <v>50922</v>
      </c>
      <c r="GB3" s="14">
        <v>50952</v>
      </c>
      <c r="GC3" s="14">
        <v>50983</v>
      </c>
      <c r="GD3" s="14">
        <v>51014</v>
      </c>
      <c r="GE3" s="14">
        <v>51044</v>
      </c>
      <c r="GF3" s="14">
        <v>51075</v>
      </c>
      <c r="GG3" s="14">
        <v>51105</v>
      </c>
      <c r="GH3" s="14">
        <v>51136</v>
      </c>
      <c r="GI3" s="14">
        <v>51167</v>
      </c>
      <c r="GJ3" s="14">
        <v>51196</v>
      </c>
      <c r="GK3" s="14">
        <v>51227</v>
      </c>
      <c r="GL3" s="14">
        <v>51257</v>
      </c>
      <c r="GM3" s="14">
        <v>51288</v>
      </c>
      <c r="GN3" s="14">
        <v>51318</v>
      </c>
      <c r="GO3" s="14">
        <v>51349</v>
      </c>
      <c r="GP3" s="14">
        <v>51380</v>
      </c>
      <c r="GQ3" s="14">
        <v>51410</v>
      </c>
      <c r="GR3" s="14">
        <v>51441</v>
      </c>
      <c r="GS3" s="14">
        <v>51471</v>
      </c>
      <c r="GT3" s="14">
        <v>51502</v>
      </c>
      <c r="GU3" s="14">
        <v>51533</v>
      </c>
      <c r="GV3" s="14">
        <v>51561</v>
      </c>
      <c r="GW3" s="14">
        <v>51592</v>
      </c>
      <c r="GX3" s="14">
        <v>51622</v>
      </c>
      <c r="GY3" s="14">
        <v>51653</v>
      </c>
      <c r="GZ3" s="14">
        <v>51683</v>
      </c>
      <c r="HA3" s="14">
        <v>51714</v>
      </c>
      <c r="HB3" s="14">
        <v>51745</v>
      </c>
      <c r="HC3" s="14">
        <v>51775</v>
      </c>
      <c r="HD3" s="14">
        <v>51806</v>
      </c>
      <c r="HE3" s="14">
        <v>51836</v>
      </c>
      <c r="HF3" s="14">
        <v>51867</v>
      </c>
      <c r="HG3" s="14">
        <v>51898</v>
      </c>
      <c r="HH3" s="14">
        <v>51926</v>
      </c>
      <c r="HI3" s="14">
        <v>51957</v>
      </c>
      <c r="HJ3" s="14">
        <v>51987</v>
      </c>
      <c r="HK3" s="14">
        <v>52018</v>
      </c>
      <c r="HL3" s="14">
        <v>52048</v>
      </c>
      <c r="HM3" s="14">
        <v>52079</v>
      </c>
      <c r="HN3" s="14">
        <v>52110</v>
      </c>
      <c r="HO3" s="14">
        <v>52140</v>
      </c>
      <c r="HP3" s="14">
        <v>52171</v>
      </c>
      <c r="HQ3" s="14">
        <v>52201</v>
      </c>
      <c r="HR3" s="14">
        <v>52232</v>
      </c>
      <c r="HS3" s="14">
        <v>52263</v>
      </c>
      <c r="HT3" s="14">
        <v>52291</v>
      </c>
      <c r="HU3" s="14">
        <v>52322</v>
      </c>
      <c r="HV3" s="14">
        <v>52352</v>
      </c>
      <c r="HW3" s="14">
        <v>52383</v>
      </c>
      <c r="HX3" s="14">
        <v>52413</v>
      </c>
      <c r="HY3" s="14">
        <v>52444</v>
      </c>
      <c r="HZ3" s="14">
        <v>52475</v>
      </c>
      <c r="IA3" s="14">
        <v>52505</v>
      </c>
      <c r="IB3" s="14">
        <v>52536</v>
      </c>
      <c r="IC3" s="14">
        <v>52566</v>
      </c>
      <c r="ID3" s="14">
        <v>52597</v>
      </c>
      <c r="IE3" s="14">
        <v>52628</v>
      </c>
      <c r="IF3" s="14">
        <v>52657</v>
      </c>
      <c r="IG3" s="14">
        <v>52688</v>
      </c>
      <c r="IH3" s="14">
        <v>52718</v>
      </c>
      <c r="II3" s="14">
        <v>52749</v>
      </c>
      <c r="IJ3" s="14">
        <v>52779</v>
      </c>
      <c r="IK3" s="14">
        <v>52810</v>
      </c>
      <c r="IL3" s="14">
        <v>52841</v>
      </c>
      <c r="IM3" s="14">
        <v>52871</v>
      </c>
      <c r="IN3" s="14">
        <v>52902</v>
      </c>
      <c r="IO3" s="14">
        <v>52932</v>
      </c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</row>
    <row r="4" spans="1:261" x14ac:dyDescent="0.3">
      <c r="A4" t="s">
        <v>7</v>
      </c>
      <c r="E4">
        <v>31</v>
      </c>
      <c r="F4">
        <v>30</v>
      </c>
      <c r="G4">
        <v>31</v>
      </c>
      <c r="H4">
        <v>30</v>
      </c>
      <c r="I4">
        <v>31</v>
      </c>
      <c r="J4">
        <v>31</v>
      </c>
      <c r="K4">
        <v>28</v>
      </c>
      <c r="L4">
        <v>31</v>
      </c>
      <c r="M4">
        <v>30</v>
      </c>
      <c r="N4">
        <v>31</v>
      </c>
      <c r="O4">
        <v>30</v>
      </c>
      <c r="P4">
        <v>31</v>
      </c>
      <c r="Q4">
        <v>31</v>
      </c>
      <c r="R4">
        <v>30</v>
      </c>
      <c r="S4">
        <v>31</v>
      </c>
      <c r="T4">
        <v>30</v>
      </c>
      <c r="U4">
        <v>31</v>
      </c>
      <c r="V4">
        <v>31</v>
      </c>
      <c r="W4">
        <v>28</v>
      </c>
      <c r="X4">
        <v>31</v>
      </c>
      <c r="Y4">
        <v>30</v>
      </c>
      <c r="Z4">
        <v>31</v>
      </c>
      <c r="AA4">
        <v>30</v>
      </c>
      <c r="AB4">
        <v>31</v>
      </c>
      <c r="AC4">
        <v>31</v>
      </c>
      <c r="AD4">
        <v>30</v>
      </c>
      <c r="AE4">
        <v>31</v>
      </c>
      <c r="AF4">
        <v>30</v>
      </c>
      <c r="AG4">
        <v>31</v>
      </c>
      <c r="AH4">
        <v>31</v>
      </c>
      <c r="AI4">
        <v>28</v>
      </c>
      <c r="AJ4">
        <v>31</v>
      </c>
      <c r="AK4">
        <v>30</v>
      </c>
      <c r="AL4">
        <v>31</v>
      </c>
      <c r="AM4">
        <v>30</v>
      </c>
      <c r="AN4">
        <v>31</v>
      </c>
      <c r="AO4">
        <v>31</v>
      </c>
      <c r="AP4">
        <v>30</v>
      </c>
      <c r="AQ4">
        <v>31</v>
      </c>
      <c r="AR4">
        <v>30</v>
      </c>
      <c r="AS4">
        <v>31</v>
      </c>
      <c r="AT4">
        <v>31</v>
      </c>
      <c r="AU4">
        <v>29</v>
      </c>
      <c r="AV4">
        <v>31</v>
      </c>
      <c r="AW4">
        <v>30</v>
      </c>
      <c r="AX4">
        <v>31</v>
      </c>
      <c r="AY4">
        <v>30</v>
      </c>
      <c r="AZ4">
        <v>31</v>
      </c>
      <c r="BA4">
        <v>31</v>
      </c>
      <c r="BB4">
        <v>30</v>
      </c>
      <c r="BC4">
        <v>31</v>
      </c>
      <c r="BD4">
        <v>30</v>
      </c>
      <c r="BE4">
        <v>31</v>
      </c>
      <c r="BF4">
        <v>31</v>
      </c>
      <c r="BG4">
        <v>28</v>
      </c>
      <c r="BH4">
        <v>31</v>
      </c>
      <c r="BI4">
        <v>30</v>
      </c>
      <c r="BJ4">
        <v>31</v>
      </c>
      <c r="BK4">
        <v>30</v>
      </c>
      <c r="BL4">
        <v>31</v>
      </c>
      <c r="BM4">
        <v>31</v>
      </c>
      <c r="BN4">
        <v>30</v>
      </c>
      <c r="BO4">
        <v>31</v>
      </c>
      <c r="BP4">
        <v>30</v>
      </c>
      <c r="BQ4">
        <v>31</v>
      </c>
      <c r="BR4">
        <v>31</v>
      </c>
      <c r="BS4">
        <v>28</v>
      </c>
      <c r="BT4">
        <v>31</v>
      </c>
      <c r="BU4">
        <v>30</v>
      </c>
      <c r="BV4">
        <v>31</v>
      </c>
      <c r="BW4">
        <v>30</v>
      </c>
      <c r="BX4">
        <v>31</v>
      </c>
      <c r="BY4">
        <v>31</v>
      </c>
      <c r="BZ4">
        <v>30</v>
      </c>
      <c r="CA4">
        <v>31</v>
      </c>
      <c r="CB4">
        <v>30</v>
      </c>
      <c r="CC4">
        <v>31</v>
      </c>
      <c r="CD4">
        <v>31</v>
      </c>
      <c r="CE4">
        <v>28</v>
      </c>
      <c r="CF4">
        <v>31</v>
      </c>
      <c r="CG4">
        <v>30</v>
      </c>
      <c r="CH4">
        <v>31</v>
      </c>
      <c r="CI4">
        <v>30</v>
      </c>
      <c r="CJ4">
        <v>31</v>
      </c>
      <c r="CK4">
        <v>31</v>
      </c>
      <c r="CL4">
        <v>30</v>
      </c>
      <c r="CM4">
        <v>31</v>
      </c>
      <c r="CN4">
        <v>30</v>
      </c>
      <c r="CO4">
        <v>31</v>
      </c>
      <c r="CP4">
        <v>31</v>
      </c>
      <c r="CQ4">
        <v>29</v>
      </c>
      <c r="CR4">
        <v>31</v>
      </c>
      <c r="CS4">
        <v>30</v>
      </c>
      <c r="CT4">
        <v>31</v>
      </c>
      <c r="CU4">
        <v>30</v>
      </c>
      <c r="CV4">
        <v>31</v>
      </c>
      <c r="CW4">
        <v>31</v>
      </c>
      <c r="CX4">
        <v>30</v>
      </c>
      <c r="CY4">
        <v>31</v>
      </c>
      <c r="CZ4">
        <v>30</v>
      </c>
      <c r="DA4">
        <v>31</v>
      </c>
      <c r="DB4">
        <v>31</v>
      </c>
      <c r="DC4">
        <v>28</v>
      </c>
      <c r="DD4">
        <v>31</v>
      </c>
      <c r="DE4">
        <v>30</v>
      </c>
      <c r="DF4">
        <v>31</v>
      </c>
      <c r="DG4">
        <v>30</v>
      </c>
      <c r="DH4">
        <v>31</v>
      </c>
      <c r="DI4">
        <v>31</v>
      </c>
      <c r="DJ4">
        <v>30</v>
      </c>
      <c r="DK4">
        <v>31</v>
      </c>
      <c r="DL4">
        <v>30</v>
      </c>
      <c r="DM4">
        <v>31</v>
      </c>
      <c r="DN4">
        <v>31</v>
      </c>
      <c r="DO4">
        <v>28</v>
      </c>
      <c r="DP4">
        <v>31</v>
      </c>
      <c r="DQ4">
        <v>30</v>
      </c>
      <c r="DR4">
        <v>31</v>
      </c>
      <c r="DS4">
        <v>30</v>
      </c>
      <c r="DT4">
        <v>31</v>
      </c>
      <c r="DU4">
        <v>31</v>
      </c>
      <c r="DV4">
        <v>31</v>
      </c>
      <c r="DW4">
        <v>31</v>
      </c>
      <c r="DX4">
        <v>31</v>
      </c>
      <c r="DY4">
        <v>31</v>
      </c>
      <c r="DZ4">
        <v>31</v>
      </c>
      <c r="EA4">
        <v>28</v>
      </c>
      <c r="EB4">
        <v>31</v>
      </c>
      <c r="EC4">
        <v>30</v>
      </c>
      <c r="ED4">
        <v>31</v>
      </c>
      <c r="EE4">
        <v>30</v>
      </c>
      <c r="EF4">
        <v>31</v>
      </c>
      <c r="EG4">
        <v>31</v>
      </c>
      <c r="EH4">
        <v>31</v>
      </c>
      <c r="EI4">
        <v>31</v>
      </c>
      <c r="EJ4">
        <v>31</v>
      </c>
      <c r="EK4">
        <v>31</v>
      </c>
      <c r="EL4">
        <v>31</v>
      </c>
      <c r="EM4">
        <v>29</v>
      </c>
      <c r="EN4">
        <v>31</v>
      </c>
      <c r="EO4">
        <v>30</v>
      </c>
      <c r="EP4">
        <v>31</v>
      </c>
      <c r="EQ4">
        <v>30</v>
      </c>
      <c r="ER4">
        <v>31</v>
      </c>
      <c r="ES4">
        <v>31</v>
      </c>
      <c r="ET4">
        <v>31</v>
      </c>
      <c r="EU4">
        <v>31</v>
      </c>
      <c r="EV4">
        <v>31</v>
      </c>
      <c r="EW4">
        <v>31</v>
      </c>
      <c r="EX4">
        <v>31</v>
      </c>
      <c r="EY4">
        <v>28</v>
      </c>
      <c r="EZ4">
        <v>31</v>
      </c>
      <c r="FA4">
        <v>30</v>
      </c>
      <c r="FB4">
        <v>31</v>
      </c>
      <c r="FC4">
        <v>30</v>
      </c>
      <c r="FD4">
        <v>31</v>
      </c>
      <c r="FE4">
        <v>31</v>
      </c>
      <c r="FF4">
        <v>31</v>
      </c>
      <c r="FG4">
        <v>31</v>
      </c>
      <c r="FH4">
        <v>31</v>
      </c>
      <c r="FI4">
        <v>31</v>
      </c>
      <c r="FJ4">
        <v>31</v>
      </c>
      <c r="FK4">
        <v>28</v>
      </c>
      <c r="FL4">
        <v>31</v>
      </c>
      <c r="FM4">
        <v>30</v>
      </c>
      <c r="FN4">
        <v>31</v>
      </c>
      <c r="FO4">
        <v>30</v>
      </c>
      <c r="FP4">
        <v>31</v>
      </c>
      <c r="FQ4">
        <v>31</v>
      </c>
      <c r="FR4">
        <v>31</v>
      </c>
      <c r="FS4">
        <v>31</v>
      </c>
      <c r="FT4">
        <v>31</v>
      </c>
      <c r="FU4">
        <v>31</v>
      </c>
      <c r="FV4">
        <v>31</v>
      </c>
      <c r="FW4">
        <v>28</v>
      </c>
      <c r="FX4">
        <v>31</v>
      </c>
      <c r="FY4">
        <v>30</v>
      </c>
      <c r="FZ4">
        <v>31</v>
      </c>
      <c r="GA4">
        <v>30</v>
      </c>
      <c r="GB4">
        <v>31</v>
      </c>
      <c r="GC4">
        <v>31</v>
      </c>
      <c r="GD4">
        <v>31</v>
      </c>
      <c r="GE4">
        <v>31</v>
      </c>
      <c r="GF4">
        <v>31</v>
      </c>
      <c r="GG4">
        <v>31</v>
      </c>
      <c r="GH4">
        <v>31</v>
      </c>
      <c r="GI4">
        <v>29</v>
      </c>
      <c r="GJ4">
        <v>31</v>
      </c>
      <c r="GK4">
        <v>30</v>
      </c>
      <c r="GL4">
        <v>31</v>
      </c>
      <c r="GM4">
        <v>30</v>
      </c>
      <c r="GN4">
        <v>31</v>
      </c>
      <c r="GO4">
        <v>31</v>
      </c>
      <c r="GP4">
        <v>31</v>
      </c>
      <c r="GQ4">
        <v>31</v>
      </c>
      <c r="GR4">
        <v>31</v>
      </c>
      <c r="GS4">
        <v>31</v>
      </c>
      <c r="GT4">
        <v>31</v>
      </c>
      <c r="GU4">
        <v>28</v>
      </c>
      <c r="GV4">
        <v>31</v>
      </c>
      <c r="GW4">
        <v>30</v>
      </c>
      <c r="GX4">
        <v>31</v>
      </c>
      <c r="GY4">
        <v>30</v>
      </c>
      <c r="GZ4">
        <v>31</v>
      </c>
      <c r="HA4">
        <v>31</v>
      </c>
      <c r="HB4">
        <v>31</v>
      </c>
      <c r="HC4">
        <v>31</v>
      </c>
      <c r="HD4">
        <v>31</v>
      </c>
      <c r="HE4">
        <v>31</v>
      </c>
      <c r="HF4">
        <v>31</v>
      </c>
      <c r="HG4">
        <v>28</v>
      </c>
      <c r="HH4">
        <v>31</v>
      </c>
      <c r="HI4">
        <v>30</v>
      </c>
      <c r="HJ4">
        <v>31</v>
      </c>
      <c r="HK4">
        <v>30</v>
      </c>
      <c r="HL4">
        <v>31</v>
      </c>
      <c r="HM4">
        <v>31</v>
      </c>
      <c r="HN4">
        <v>31</v>
      </c>
      <c r="HO4">
        <v>31</v>
      </c>
      <c r="HP4">
        <v>31</v>
      </c>
      <c r="HQ4">
        <v>31</v>
      </c>
      <c r="HR4">
        <v>31</v>
      </c>
      <c r="HS4">
        <v>28</v>
      </c>
      <c r="HT4">
        <v>31</v>
      </c>
      <c r="HU4">
        <v>30</v>
      </c>
      <c r="HV4">
        <v>31</v>
      </c>
      <c r="HW4">
        <v>30</v>
      </c>
      <c r="HX4">
        <v>31</v>
      </c>
      <c r="HY4">
        <v>31</v>
      </c>
      <c r="HZ4">
        <v>31</v>
      </c>
      <c r="IA4">
        <v>31</v>
      </c>
      <c r="IB4">
        <v>31</v>
      </c>
      <c r="IC4">
        <v>31</v>
      </c>
      <c r="ID4">
        <v>31</v>
      </c>
      <c r="IE4">
        <v>29</v>
      </c>
      <c r="IF4">
        <v>31</v>
      </c>
      <c r="IG4">
        <v>30</v>
      </c>
      <c r="IH4">
        <v>31</v>
      </c>
      <c r="II4">
        <v>30</v>
      </c>
      <c r="IJ4">
        <v>31</v>
      </c>
      <c r="IK4">
        <v>30.714285714285701</v>
      </c>
      <c r="IL4">
        <v>30.785714285714299</v>
      </c>
      <c r="IM4">
        <v>30.857142857142801</v>
      </c>
      <c r="IN4">
        <v>30.928571428571399</v>
      </c>
      <c r="IO4">
        <v>31</v>
      </c>
    </row>
    <row r="5" spans="1:261" x14ac:dyDescent="0.3">
      <c r="A5" t="s">
        <v>763</v>
      </c>
      <c r="E5" s="15">
        <f>+Comparativo!C18</f>
        <v>0.98</v>
      </c>
      <c r="F5" s="15">
        <f>+E5</f>
        <v>0.98</v>
      </c>
      <c r="G5" s="15">
        <f t="shared" ref="G5:O5" si="4">+F5</f>
        <v>0.98</v>
      </c>
      <c r="H5" s="15">
        <f t="shared" si="4"/>
        <v>0.98</v>
      </c>
      <c r="I5" s="15">
        <f t="shared" si="4"/>
        <v>0.98</v>
      </c>
      <c r="J5" s="15">
        <f t="shared" si="4"/>
        <v>0.98</v>
      </c>
      <c r="K5" s="15">
        <f t="shared" si="4"/>
        <v>0.98</v>
      </c>
      <c r="L5" s="15">
        <f t="shared" si="4"/>
        <v>0.98</v>
      </c>
      <c r="M5" s="15">
        <f t="shared" si="4"/>
        <v>0.98</v>
      </c>
      <c r="N5" s="15">
        <f t="shared" si="4"/>
        <v>0.98</v>
      </c>
      <c r="O5" s="15">
        <f t="shared" si="4"/>
        <v>0.98</v>
      </c>
      <c r="P5" s="15">
        <f>+O5</f>
        <v>0.98</v>
      </c>
      <c r="Q5" s="15">
        <f>+Comparativo!D18</f>
        <v>0.97799999999999998</v>
      </c>
      <c r="R5" s="15">
        <f>+Q5</f>
        <v>0.97799999999999998</v>
      </c>
      <c r="S5" s="15">
        <f t="shared" ref="S5:AB5" si="5">+R5</f>
        <v>0.97799999999999998</v>
      </c>
      <c r="T5" s="15">
        <f t="shared" si="5"/>
        <v>0.97799999999999998</v>
      </c>
      <c r="U5" s="15">
        <f t="shared" si="5"/>
        <v>0.97799999999999998</v>
      </c>
      <c r="V5" s="15">
        <f t="shared" si="5"/>
        <v>0.97799999999999998</v>
      </c>
      <c r="W5" s="15">
        <f t="shared" si="5"/>
        <v>0.97799999999999998</v>
      </c>
      <c r="X5" s="15">
        <f t="shared" si="5"/>
        <v>0.97799999999999998</v>
      </c>
      <c r="Y5" s="15">
        <f t="shared" si="5"/>
        <v>0.97799999999999998</v>
      </c>
      <c r="Z5" s="15">
        <f t="shared" si="5"/>
        <v>0.97799999999999998</v>
      </c>
      <c r="AA5" s="15">
        <f t="shared" si="5"/>
        <v>0.97799999999999998</v>
      </c>
      <c r="AB5" s="15">
        <f t="shared" si="5"/>
        <v>0.97799999999999998</v>
      </c>
      <c r="AC5" s="16">
        <f>+Comparativo!E18</f>
        <v>0.97699999999999998</v>
      </c>
      <c r="AD5" s="16">
        <f>+AC5</f>
        <v>0.97699999999999998</v>
      </c>
      <c r="AE5" s="16">
        <f t="shared" ref="AE5:AN5" si="6">+AD5</f>
        <v>0.97699999999999998</v>
      </c>
      <c r="AF5" s="16">
        <f t="shared" si="6"/>
        <v>0.97699999999999998</v>
      </c>
      <c r="AG5" s="16">
        <f t="shared" si="6"/>
        <v>0.97699999999999998</v>
      </c>
      <c r="AH5" s="16">
        <f t="shared" si="6"/>
        <v>0.97699999999999998</v>
      </c>
      <c r="AI5" s="16">
        <f t="shared" si="6"/>
        <v>0.97699999999999998</v>
      </c>
      <c r="AJ5" s="16">
        <f t="shared" si="6"/>
        <v>0.97699999999999998</v>
      </c>
      <c r="AK5" s="16">
        <f t="shared" si="6"/>
        <v>0.97699999999999998</v>
      </c>
      <c r="AL5" s="16">
        <f t="shared" si="6"/>
        <v>0.97699999999999998</v>
      </c>
      <c r="AM5" s="16">
        <f t="shared" si="6"/>
        <v>0.97699999999999998</v>
      </c>
      <c r="AN5" s="16">
        <f t="shared" si="6"/>
        <v>0.97699999999999998</v>
      </c>
      <c r="AO5" s="16">
        <f>+Comparativo!F18</f>
        <v>0.97599999999999998</v>
      </c>
      <c r="AP5" s="16">
        <f>+AO5</f>
        <v>0.97599999999999998</v>
      </c>
      <c r="AQ5" s="16">
        <f t="shared" ref="AQ5:AZ5" si="7">+AP5</f>
        <v>0.97599999999999998</v>
      </c>
      <c r="AR5" s="16">
        <f t="shared" si="7"/>
        <v>0.97599999999999998</v>
      </c>
      <c r="AS5" s="16">
        <f t="shared" si="7"/>
        <v>0.97599999999999998</v>
      </c>
      <c r="AT5" s="16">
        <f t="shared" si="7"/>
        <v>0.97599999999999998</v>
      </c>
      <c r="AU5" s="16">
        <f t="shared" si="7"/>
        <v>0.97599999999999998</v>
      </c>
      <c r="AV5" s="16">
        <f t="shared" si="7"/>
        <v>0.97599999999999998</v>
      </c>
      <c r="AW5" s="16">
        <f t="shared" si="7"/>
        <v>0.97599999999999998</v>
      </c>
      <c r="AX5" s="16">
        <f t="shared" si="7"/>
        <v>0.97599999999999998</v>
      </c>
      <c r="AY5" s="16">
        <f t="shared" si="7"/>
        <v>0.97599999999999998</v>
      </c>
      <c r="AZ5" s="16">
        <f t="shared" si="7"/>
        <v>0.97599999999999998</v>
      </c>
      <c r="BA5" s="16">
        <f>+Comparativo!G18</f>
        <v>0.97499999999999998</v>
      </c>
      <c r="BB5" s="16">
        <f>+BA5</f>
        <v>0.97499999999999998</v>
      </c>
      <c r="BC5" s="16">
        <f t="shared" ref="BC5:BL5" si="8">+BB5</f>
        <v>0.97499999999999998</v>
      </c>
      <c r="BD5" s="16">
        <f t="shared" si="8"/>
        <v>0.97499999999999998</v>
      </c>
      <c r="BE5" s="16">
        <f t="shared" si="8"/>
        <v>0.97499999999999998</v>
      </c>
      <c r="BF5" s="16">
        <f t="shared" si="8"/>
        <v>0.97499999999999998</v>
      </c>
      <c r="BG5" s="16">
        <f t="shared" si="8"/>
        <v>0.97499999999999998</v>
      </c>
      <c r="BH5" s="16">
        <f t="shared" si="8"/>
        <v>0.97499999999999998</v>
      </c>
      <c r="BI5" s="16">
        <f t="shared" si="8"/>
        <v>0.97499999999999998</v>
      </c>
      <c r="BJ5" s="16">
        <f t="shared" si="8"/>
        <v>0.97499999999999998</v>
      </c>
      <c r="BK5" s="16">
        <f t="shared" si="8"/>
        <v>0.97499999999999998</v>
      </c>
      <c r="BL5" s="16">
        <f t="shared" si="8"/>
        <v>0.97499999999999998</v>
      </c>
      <c r="BM5" s="16">
        <f>+Comparativo!H18</f>
        <v>0.97</v>
      </c>
      <c r="BN5" s="16">
        <f>+BM5</f>
        <v>0.97</v>
      </c>
      <c r="BO5" s="16">
        <f t="shared" ref="BO5:BX5" si="9">+BN5</f>
        <v>0.97</v>
      </c>
      <c r="BP5" s="16">
        <f t="shared" si="9"/>
        <v>0.97</v>
      </c>
      <c r="BQ5" s="16">
        <f t="shared" si="9"/>
        <v>0.97</v>
      </c>
      <c r="BR5" s="16">
        <f t="shared" si="9"/>
        <v>0.97</v>
      </c>
      <c r="BS5" s="16">
        <f t="shared" si="9"/>
        <v>0.97</v>
      </c>
      <c r="BT5" s="16">
        <f t="shared" si="9"/>
        <v>0.97</v>
      </c>
      <c r="BU5" s="16">
        <f t="shared" si="9"/>
        <v>0.97</v>
      </c>
      <c r="BV5" s="16">
        <f t="shared" si="9"/>
        <v>0.97</v>
      </c>
      <c r="BW5" s="16">
        <f t="shared" si="9"/>
        <v>0.97</v>
      </c>
      <c r="BX5" s="16">
        <f t="shared" si="9"/>
        <v>0.97</v>
      </c>
      <c r="BY5" s="16">
        <f>+Comparativo!I18</f>
        <v>0.96499999999999997</v>
      </c>
      <c r="BZ5" s="16">
        <f>+BY5</f>
        <v>0.96499999999999997</v>
      </c>
      <c r="CA5" s="16">
        <f t="shared" ref="CA5:CJ5" si="10">+BZ5</f>
        <v>0.96499999999999997</v>
      </c>
      <c r="CB5" s="16">
        <f t="shared" si="10"/>
        <v>0.96499999999999997</v>
      </c>
      <c r="CC5" s="16">
        <f t="shared" si="10"/>
        <v>0.96499999999999997</v>
      </c>
      <c r="CD5" s="16">
        <f t="shared" si="10"/>
        <v>0.96499999999999997</v>
      </c>
      <c r="CE5" s="16">
        <f t="shared" si="10"/>
        <v>0.96499999999999997</v>
      </c>
      <c r="CF5" s="16">
        <f t="shared" si="10"/>
        <v>0.96499999999999997</v>
      </c>
      <c r="CG5" s="16">
        <f t="shared" si="10"/>
        <v>0.96499999999999997</v>
      </c>
      <c r="CH5" s="16">
        <f t="shared" si="10"/>
        <v>0.96499999999999997</v>
      </c>
      <c r="CI5" s="16">
        <f t="shared" si="10"/>
        <v>0.96499999999999997</v>
      </c>
      <c r="CJ5" s="16">
        <f t="shared" si="10"/>
        <v>0.96499999999999997</v>
      </c>
      <c r="CK5" s="16">
        <f>+Comparativo!J18</f>
        <v>0.96</v>
      </c>
      <c r="CL5" s="16">
        <f>+CK5</f>
        <v>0.96</v>
      </c>
      <c r="CM5" s="16">
        <f t="shared" ref="CM5:CV5" si="11">+CL5</f>
        <v>0.96</v>
      </c>
      <c r="CN5" s="16">
        <f t="shared" si="11"/>
        <v>0.96</v>
      </c>
      <c r="CO5" s="16">
        <f t="shared" si="11"/>
        <v>0.96</v>
      </c>
      <c r="CP5" s="16">
        <f t="shared" si="11"/>
        <v>0.96</v>
      </c>
      <c r="CQ5" s="16">
        <f t="shared" si="11"/>
        <v>0.96</v>
      </c>
      <c r="CR5" s="16">
        <f t="shared" si="11"/>
        <v>0.96</v>
      </c>
      <c r="CS5" s="16">
        <f t="shared" si="11"/>
        <v>0.96</v>
      </c>
      <c r="CT5" s="16">
        <f t="shared" si="11"/>
        <v>0.96</v>
      </c>
      <c r="CU5" s="16">
        <f t="shared" si="11"/>
        <v>0.96</v>
      </c>
      <c r="CV5" s="16">
        <f t="shared" si="11"/>
        <v>0.96</v>
      </c>
      <c r="CW5" s="16">
        <f>+Comparativo!K18</f>
        <v>0.95499999999999996</v>
      </c>
      <c r="CX5" s="16">
        <f>+CW5</f>
        <v>0.95499999999999996</v>
      </c>
      <c r="CY5" s="16">
        <f t="shared" ref="CY5:DH5" si="12">+CX5</f>
        <v>0.95499999999999996</v>
      </c>
      <c r="CZ5" s="16">
        <f t="shared" si="12"/>
        <v>0.95499999999999996</v>
      </c>
      <c r="DA5" s="16">
        <f t="shared" si="12"/>
        <v>0.95499999999999996</v>
      </c>
      <c r="DB5" s="16">
        <f t="shared" si="12"/>
        <v>0.95499999999999996</v>
      </c>
      <c r="DC5" s="16">
        <f t="shared" si="12"/>
        <v>0.95499999999999996</v>
      </c>
      <c r="DD5" s="16">
        <f t="shared" si="12"/>
        <v>0.95499999999999996</v>
      </c>
      <c r="DE5" s="16">
        <f t="shared" si="12"/>
        <v>0.95499999999999996</v>
      </c>
      <c r="DF5" s="16">
        <f t="shared" si="12"/>
        <v>0.95499999999999996</v>
      </c>
      <c r="DG5" s="16">
        <f t="shared" si="12"/>
        <v>0.95499999999999996</v>
      </c>
      <c r="DH5" s="16">
        <f t="shared" si="12"/>
        <v>0.95499999999999996</v>
      </c>
      <c r="DI5" s="16">
        <f>+Comparativo!L18</f>
        <v>0.95</v>
      </c>
      <c r="DJ5" s="16">
        <f>+DI5</f>
        <v>0.95</v>
      </c>
      <c r="DK5" s="16">
        <f t="shared" ref="DK5:DT5" si="13">+DJ5</f>
        <v>0.95</v>
      </c>
      <c r="DL5" s="16">
        <f t="shared" si="13"/>
        <v>0.95</v>
      </c>
      <c r="DM5" s="16">
        <f t="shared" si="13"/>
        <v>0.95</v>
      </c>
      <c r="DN5" s="16">
        <f t="shared" si="13"/>
        <v>0.95</v>
      </c>
      <c r="DO5" s="16">
        <f t="shared" si="13"/>
        <v>0.95</v>
      </c>
      <c r="DP5" s="16">
        <f t="shared" si="13"/>
        <v>0.95</v>
      </c>
      <c r="DQ5" s="16">
        <f t="shared" si="13"/>
        <v>0.95</v>
      </c>
      <c r="DR5" s="16">
        <f t="shared" si="13"/>
        <v>0.95</v>
      </c>
      <c r="DS5" s="16">
        <f t="shared" si="13"/>
        <v>0.95</v>
      </c>
      <c r="DT5" s="16">
        <f t="shared" si="13"/>
        <v>0.95</v>
      </c>
      <c r="DU5" s="16">
        <f>+Comparativo!M18</f>
        <v>0.94</v>
      </c>
      <c r="DV5" s="16">
        <f>+DU5</f>
        <v>0.94</v>
      </c>
      <c r="DW5" s="16">
        <f t="shared" ref="DW5:EF5" si="14">+DV5</f>
        <v>0.94</v>
      </c>
      <c r="DX5" s="16">
        <f t="shared" si="14"/>
        <v>0.94</v>
      </c>
      <c r="DY5" s="16">
        <f t="shared" si="14"/>
        <v>0.94</v>
      </c>
      <c r="DZ5" s="16">
        <f t="shared" si="14"/>
        <v>0.94</v>
      </c>
      <c r="EA5" s="16">
        <f t="shared" si="14"/>
        <v>0.94</v>
      </c>
      <c r="EB5" s="16">
        <f t="shared" si="14"/>
        <v>0.94</v>
      </c>
      <c r="EC5" s="16">
        <f t="shared" si="14"/>
        <v>0.94</v>
      </c>
      <c r="ED5" s="16">
        <f t="shared" si="14"/>
        <v>0.94</v>
      </c>
      <c r="EE5" s="16">
        <f t="shared" si="14"/>
        <v>0.94</v>
      </c>
      <c r="EF5" s="16">
        <f t="shared" si="14"/>
        <v>0.94</v>
      </c>
      <c r="EG5" s="15">
        <f>+Comparativo!N18</f>
        <v>0.93</v>
      </c>
      <c r="EH5" s="15">
        <f>+EG5</f>
        <v>0.93</v>
      </c>
      <c r="EI5" s="15">
        <f t="shared" ref="EI5:ER5" si="15">+EH5</f>
        <v>0.93</v>
      </c>
      <c r="EJ5" s="15">
        <f t="shared" si="15"/>
        <v>0.93</v>
      </c>
      <c r="EK5" s="15">
        <f t="shared" si="15"/>
        <v>0.93</v>
      </c>
      <c r="EL5" s="15">
        <f t="shared" si="15"/>
        <v>0.93</v>
      </c>
      <c r="EM5" s="15">
        <f t="shared" si="15"/>
        <v>0.93</v>
      </c>
      <c r="EN5" s="15">
        <f t="shared" si="15"/>
        <v>0.93</v>
      </c>
      <c r="EO5" s="15">
        <f t="shared" si="15"/>
        <v>0.93</v>
      </c>
      <c r="EP5" s="15">
        <f t="shared" si="15"/>
        <v>0.93</v>
      </c>
      <c r="EQ5" s="15">
        <f t="shared" si="15"/>
        <v>0.93</v>
      </c>
      <c r="ER5" s="15">
        <f t="shared" si="15"/>
        <v>0.93</v>
      </c>
      <c r="ES5" s="9">
        <f>+Comparativo!O18</f>
        <v>0.92</v>
      </c>
      <c r="ET5" s="9">
        <f>+ES5</f>
        <v>0.92</v>
      </c>
      <c r="EU5" s="9">
        <f t="shared" ref="EU5:FD5" si="16">+ET5</f>
        <v>0.92</v>
      </c>
      <c r="EV5" s="9">
        <f t="shared" si="16"/>
        <v>0.92</v>
      </c>
      <c r="EW5" s="9">
        <f t="shared" si="16"/>
        <v>0.92</v>
      </c>
      <c r="EX5" s="9">
        <f t="shared" si="16"/>
        <v>0.92</v>
      </c>
      <c r="EY5" s="9">
        <f t="shared" si="16"/>
        <v>0.92</v>
      </c>
      <c r="EZ5" s="9">
        <f t="shared" si="16"/>
        <v>0.92</v>
      </c>
      <c r="FA5" s="9">
        <f t="shared" si="16"/>
        <v>0.92</v>
      </c>
      <c r="FB5" s="9">
        <f t="shared" si="16"/>
        <v>0.92</v>
      </c>
      <c r="FC5" s="9">
        <f t="shared" si="16"/>
        <v>0.92</v>
      </c>
      <c r="FD5" s="9">
        <f t="shared" si="16"/>
        <v>0.92</v>
      </c>
      <c r="FE5" s="15">
        <f>+Comparativo!P18</f>
        <v>0.91</v>
      </c>
      <c r="FF5" s="15">
        <f>+FE5</f>
        <v>0.91</v>
      </c>
      <c r="FG5" s="15">
        <f t="shared" ref="FG5:FP5" si="17">+FF5</f>
        <v>0.91</v>
      </c>
      <c r="FH5" s="15">
        <f t="shared" si="17"/>
        <v>0.91</v>
      </c>
      <c r="FI5" s="15">
        <f t="shared" si="17"/>
        <v>0.91</v>
      </c>
      <c r="FJ5" s="15">
        <f t="shared" si="17"/>
        <v>0.91</v>
      </c>
      <c r="FK5" s="15">
        <f t="shared" si="17"/>
        <v>0.91</v>
      </c>
      <c r="FL5" s="15">
        <f t="shared" si="17"/>
        <v>0.91</v>
      </c>
      <c r="FM5" s="15">
        <f t="shared" si="17"/>
        <v>0.91</v>
      </c>
      <c r="FN5" s="15">
        <f t="shared" si="17"/>
        <v>0.91</v>
      </c>
      <c r="FO5" s="15">
        <f t="shared" si="17"/>
        <v>0.91</v>
      </c>
      <c r="FP5" s="15">
        <f t="shared" si="17"/>
        <v>0.91</v>
      </c>
      <c r="FQ5" s="15">
        <f>+Comparativo!Q18</f>
        <v>0.9</v>
      </c>
      <c r="FR5" s="15">
        <f>+FQ5</f>
        <v>0.9</v>
      </c>
      <c r="FS5" s="15">
        <f t="shared" ref="FS5:GB5" si="18">+FR5</f>
        <v>0.9</v>
      </c>
      <c r="FT5" s="15">
        <f t="shared" si="18"/>
        <v>0.9</v>
      </c>
      <c r="FU5" s="15">
        <f t="shared" si="18"/>
        <v>0.9</v>
      </c>
      <c r="FV5" s="15">
        <f t="shared" si="18"/>
        <v>0.9</v>
      </c>
      <c r="FW5" s="15">
        <f t="shared" si="18"/>
        <v>0.9</v>
      </c>
      <c r="FX5" s="15">
        <f t="shared" si="18"/>
        <v>0.9</v>
      </c>
      <c r="FY5" s="15">
        <f t="shared" si="18"/>
        <v>0.9</v>
      </c>
      <c r="FZ5" s="15">
        <f t="shared" si="18"/>
        <v>0.9</v>
      </c>
      <c r="GA5" s="15">
        <f t="shared" si="18"/>
        <v>0.9</v>
      </c>
      <c r="GB5" s="15">
        <f t="shared" si="18"/>
        <v>0.9</v>
      </c>
      <c r="GC5" s="15">
        <f>+Comparativo!R18</f>
        <v>0.89</v>
      </c>
      <c r="GD5" s="15">
        <f>+GC5</f>
        <v>0.89</v>
      </c>
      <c r="GE5" s="15">
        <f t="shared" ref="GE5:GN5" si="19">+GD5</f>
        <v>0.89</v>
      </c>
      <c r="GF5" s="15">
        <f t="shared" si="19"/>
        <v>0.89</v>
      </c>
      <c r="GG5" s="15">
        <f t="shared" si="19"/>
        <v>0.89</v>
      </c>
      <c r="GH5" s="15">
        <f t="shared" si="19"/>
        <v>0.89</v>
      </c>
      <c r="GI5" s="15">
        <f t="shared" si="19"/>
        <v>0.89</v>
      </c>
      <c r="GJ5" s="15">
        <f t="shared" si="19"/>
        <v>0.89</v>
      </c>
      <c r="GK5" s="15">
        <f t="shared" si="19"/>
        <v>0.89</v>
      </c>
      <c r="GL5" s="15">
        <f t="shared" si="19"/>
        <v>0.89</v>
      </c>
      <c r="GM5" s="15">
        <f t="shared" si="19"/>
        <v>0.89</v>
      </c>
      <c r="GN5" s="15">
        <f t="shared" si="19"/>
        <v>0.89</v>
      </c>
      <c r="GO5" s="15">
        <f>+Comparativo!S18</f>
        <v>0.88</v>
      </c>
      <c r="GP5" s="15">
        <f>+GO5</f>
        <v>0.88</v>
      </c>
      <c r="GQ5" s="15">
        <f t="shared" ref="GQ5:GZ5" si="20">+GP5</f>
        <v>0.88</v>
      </c>
      <c r="GR5" s="15">
        <f t="shared" si="20"/>
        <v>0.88</v>
      </c>
      <c r="GS5" s="15">
        <f t="shared" si="20"/>
        <v>0.88</v>
      </c>
      <c r="GT5" s="15">
        <f t="shared" si="20"/>
        <v>0.88</v>
      </c>
      <c r="GU5" s="15">
        <f t="shared" si="20"/>
        <v>0.88</v>
      </c>
      <c r="GV5" s="15">
        <f t="shared" si="20"/>
        <v>0.88</v>
      </c>
      <c r="GW5" s="15">
        <f t="shared" si="20"/>
        <v>0.88</v>
      </c>
      <c r="GX5" s="15">
        <f t="shared" si="20"/>
        <v>0.88</v>
      </c>
      <c r="GY5" s="15">
        <f t="shared" si="20"/>
        <v>0.88</v>
      </c>
      <c r="GZ5" s="15">
        <f t="shared" si="20"/>
        <v>0.88</v>
      </c>
      <c r="HA5" s="15">
        <f>+Comparativo!T18</f>
        <v>0.87</v>
      </c>
      <c r="HB5" s="15">
        <f>+HA5</f>
        <v>0.87</v>
      </c>
      <c r="HC5" s="15">
        <f t="shared" ref="HC5:HL5" si="21">+HB5</f>
        <v>0.87</v>
      </c>
      <c r="HD5" s="15">
        <f t="shared" si="21"/>
        <v>0.87</v>
      </c>
      <c r="HE5" s="15">
        <f t="shared" si="21"/>
        <v>0.87</v>
      </c>
      <c r="HF5" s="15">
        <f t="shared" si="21"/>
        <v>0.87</v>
      </c>
      <c r="HG5" s="15">
        <f t="shared" si="21"/>
        <v>0.87</v>
      </c>
      <c r="HH5" s="15">
        <f t="shared" si="21"/>
        <v>0.87</v>
      </c>
      <c r="HI5" s="15">
        <f t="shared" si="21"/>
        <v>0.87</v>
      </c>
      <c r="HJ5" s="15">
        <f t="shared" si="21"/>
        <v>0.87</v>
      </c>
      <c r="HK5" s="15">
        <f t="shared" si="21"/>
        <v>0.87</v>
      </c>
      <c r="HL5" s="15">
        <f t="shared" si="21"/>
        <v>0.87</v>
      </c>
      <c r="HM5" s="15">
        <f>+Comparativo!U18</f>
        <v>0.86</v>
      </c>
      <c r="HN5" s="15">
        <f>+HM5</f>
        <v>0.86</v>
      </c>
      <c r="HO5" s="15">
        <f t="shared" ref="HO5:HX5" si="22">+HN5</f>
        <v>0.86</v>
      </c>
      <c r="HP5" s="15">
        <f t="shared" si="22"/>
        <v>0.86</v>
      </c>
      <c r="HQ5" s="15">
        <f t="shared" si="22"/>
        <v>0.86</v>
      </c>
      <c r="HR5" s="15">
        <f t="shared" si="22"/>
        <v>0.86</v>
      </c>
      <c r="HS5" s="15">
        <f t="shared" si="22"/>
        <v>0.86</v>
      </c>
      <c r="HT5" s="15">
        <f t="shared" si="22"/>
        <v>0.86</v>
      </c>
      <c r="HU5" s="15">
        <f t="shared" si="22"/>
        <v>0.86</v>
      </c>
      <c r="HV5" s="15">
        <f t="shared" si="22"/>
        <v>0.86</v>
      </c>
      <c r="HW5" s="15">
        <f t="shared" si="22"/>
        <v>0.86</v>
      </c>
      <c r="HX5" s="15">
        <f t="shared" si="22"/>
        <v>0.86</v>
      </c>
      <c r="HY5" s="15">
        <f>+Comparativo!V18</f>
        <v>0.85</v>
      </c>
      <c r="HZ5" s="15">
        <f>+HY5</f>
        <v>0.85</v>
      </c>
      <c r="IA5" s="15">
        <f t="shared" ref="IA5:IH5" si="23">+HZ5</f>
        <v>0.85</v>
      </c>
      <c r="IB5" s="15">
        <f t="shared" si="23"/>
        <v>0.85</v>
      </c>
      <c r="IC5" s="15">
        <f t="shared" si="23"/>
        <v>0.85</v>
      </c>
      <c r="ID5" s="15">
        <f t="shared" si="23"/>
        <v>0.85</v>
      </c>
      <c r="IE5" s="15">
        <f t="shared" si="23"/>
        <v>0.85</v>
      </c>
      <c r="IF5" s="15">
        <f t="shared" si="23"/>
        <v>0.85</v>
      </c>
      <c r="IG5" s="15">
        <f t="shared" si="23"/>
        <v>0.85</v>
      </c>
      <c r="IH5" s="15">
        <f t="shared" si="23"/>
        <v>0.85</v>
      </c>
      <c r="II5" s="15">
        <f>+IH5</f>
        <v>0.85</v>
      </c>
      <c r="IJ5" s="15">
        <f>+II5</f>
        <v>0.85</v>
      </c>
      <c r="IK5" s="15">
        <f t="shared" ref="IK5" si="24">+IJ5</f>
        <v>0.85</v>
      </c>
      <c r="IL5" s="15">
        <f t="shared" ref="IL5" si="25">+IK5</f>
        <v>0.85</v>
      </c>
      <c r="IM5" s="15">
        <f t="shared" ref="IM5" si="26">+IL5</f>
        <v>0.85</v>
      </c>
      <c r="IN5" s="15">
        <f t="shared" ref="IN5" si="27">+IM5</f>
        <v>0.85</v>
      </c>
      <c r="IO5" s="15">
        <f t="shared" ref="IO5" si="28">+IN5</f>
        <v>0.85</v>
      </c>
    </row>
    <row r="6" spans="1:261" x14ac:dyDescent="0.3">
      <c r="A6" t="s">
        <v>50</v>
      </c>
      <c r="E6" s="17">
        <f>+Datos2!H56</f>
        <v>5.46</v>
      </c>
      <c r="F6" s="17">
        <f>+Datos2!I56</f>
        <v>5.28</v>
      </c>
      <c r="G6" s="17">
        <f>+Datos2!J56</f>
        <v>4.84</v>
      </c>
      <c r="H6" s="17">
        <f>+Datos2!K56</f>
        <v>4.72</v>
      </c>
      <c r="I6" s="17">
        <f>+Datos2!L56</f>
        <v>5.22</v>
      </c>
      <c r="J6" s="17">
        <f>+Datos2!A56</f>
        <v>5.69</v>
      </c>
      <c r="K6" s="17">
        <f>+Datos2!B56</f>
        <v>6.04</v>
      </c>
      <c r="L6" s="17">
        <f>+Datos2!C56</f>
        <v>5.87</v>
      </c>
      <c r="M6" s="17">
        <f>+Datos2!D56</f>
        <v>5.51</v>
      </c>
      <c r="N6" s="17">
        <f>+Datos2!E56</f>
        <v>5.17</v>
      </c>
      <c r="O6" s="17">
        <f>+Datos2!F56</f>
        <v>5.37</v>
      </c>
      <c r="P6" s="17">
        <f>+Datos2!G56</f>
        <v>5.53</v>
      </c>
      <c r="Q6" s="17">
        <f>+E6</f>
        <v>5.46</v>
      </c>
      <c r="R6" s="17">
        <f t="shared" ref="R6:CC7" si="29">+F6</f>
        <v>5.28</v>
      </c>
      <c r="S6" s="17">
        <f t="shared" si="29"/>
        <v>4.84</v>
      </c>
      <c r="T6" s="17">
        <f t="shared" si="29"/>
        <v>4.72</v>
      </c>
      <c r="U6" s="17">
        <f t="shared" si="29"/>
        <v>5.22</v>
      </c>
      <c r="V6" s="17">
        <f t="shared" si="29"/>
        <v>5.69</v>
      </c>
      <c r="W6" s="17">
        <f t="shared" si="29"/>
        <v>6.04</v>
      </c>
      <c r="X6" s="17">
        <f t="shared" si="29"/>
        <v>5.87</v>
      </c>
      <c r="Y6" s="17">
        <f t="shared" si="29"/>
        <v>5.51</v>
      </c>
      <c r="Z6" s="17">
        <f t="shared" si="29"/>
        <v>5.17</v>
      </c>
      <c r="AA6" s="17">
        <f t="shared" si="29"/>
        <v>5.37</v>
      </c>
      <c r="AB6" s="17">
        <f t="shared" si="29"/>
        <v>5.53</v>
      </c>
      <c r="AC6" s="17">
        <f t="shared" si="29"/>
        <v>5.46</v>
      </c>
      <c r="AD6" s="17">
        <f t="shared" si="29"/>
        <v>5.28</v>
      </c>
      <c r="AE6" s="17">
        <f t="shared" si="29"/>
        <v>4.84</v>
      </c>
      <c r="AF6" s="17">
        <f t="shared" si="29"/>
        <v>4.72</v>
      </c>
      <c r="AG6" s="17">
        <f t="shared" si="29"/>
        <v>5.22</v>
      </c>
      <c r="AH6" s="17">
        <f t="shared" si="29"/>
        <v>5.69</v>
      </c>
      <c r="AI6" s="17">
        <f t="shared" si="29"/>
        <v>6.04</v>
      </c>
      <c r="AJ6" s="17">
        <f t="shared" si="29"/>
        <v>5.87</v>
      </c>
      <c r="AK6" s="17">
        <f t="shared" si="29"/>
        <v>5.51</v>
      </c>
      <c r="AL6" s="17">
        <f t="shared" si="29"/>
        <v>5.17</v>
      </c>
      <c r="AM6" s="17">
        <f t="shared" si="29"/>
        <v>5.37</v>
      </c>
      <c r="AN6" s="17">
        <f t="shared" si="29"/>
        <v>5.53</v>
      </c>
      <c r="AO6" s="17">
        <f t="shared" si="29"/>
        <v>5.46</v>
      </c>
      <c r="AP6" s="17">
        <f t="shared" si="29"/>
        <v>5.28</v>
      </c>
      <c r="AQ6" s="17">
        <f t="shared" si="29"/>
        <v>4.84</v>
      </c>
      <c r="AR6" s="17">
        <f t="shared" si="29"/>
        <v>4.72</v>
      </c>
      <c r="AS6" s="17">
        <f t="shared" si="29"/>
        <v>5.22</v>
      </c>
      <c r="AT6" s="17">
        <f t="shared" si="29"/>
        <v>5.69</v>
      </c>
      <c r="AU6" s="17">
        <f t="shared" si="29"/>
        <v>6.04</v>
      </c>
      <c r="AV6" s="17">
        <f t="shared" si="29"/>
        <v>5.87</v>
      </c>
      <c r="AW6" s="17">
        <f t="shared" si="29"/>
        <v>5.51</v>
      </c>
      <c r="AX6" s="17">
        <f t="shared" si="29"/>
        <v>5.17</v>
      </c>
      <c r="AY6" s="17">
        <f t="shared" si="29"/>
        <v>5.37</v>
      </c>
      <c r="AZ6" s="17">
        <f t="shared" si="29"/>
        <v>5.53</v>
      </c>
      <c r="BA6" s="17">
        <f t="shared" si="29"/>
        <v>5.46</v>
      </c>
      <c r="BB6" s="17">
        <f t="shared" si="29"/>
        <v>5.28</v>
      </c>
      <c r="BC6" s="17">
        <f t="shared" si="29"/>
        <v>4.84</v>
      </c>
      <c r="BD6" s="17">
        <f t="shared" si="29"/>
        <v>4.72</v>
      </c>
      <c r="BE6" s="17">
        <f t="shared" si="29"/>
        <v>5.22</v>
      </c>
      <c r="BF6" s="17">
        <f t="shared" si="29"/>
        <v>5.69</v>
      </c>
      <c r="BG6" s="17">
        <f t="shared" si="29"/>
        <v>6.04</v>
      </c>
      <c r="BH6" s="17">
        <f t="shared" si="29"/>
        <v>5.87</v>
      </c>
      <c r="BI6" s="17">
        <f t="shared" si="29"/>
        <v>5.51</v>
      </c>
      <c r="BJ6" s="17">
        <f t="shared" si="29"/>
        <v>5.17</v>
      </c>
      <c r="BK6" s="17">
        <f t="shared" si="29"/>
        <v>5.37</v>
      </c>
      <c r="BL6" s="17">
        <f t="shared" si="29"/>
        <v>5.53</v>
      </c>
      <c r="BM6" s="17">
        <f t="shared" si="29"/>
        <v>5.46</v>
      </c>
      <c r="BN6" s="17">
        <f t="shared" si="29"/>
        <v>5.28</v>
      </c>
      <c r="BO6" s="17">
        <f t="shared" si="29"/>
        <v>4.84</v>
      </c>
      <c r="BP6" s="17">
        <f t="shared" si="29"/>
        <v>4.72</v>
      </c>
      <c r="BQ6" s="17">
        <f t="shared" si="29"/>
        <v>5.22</v>
      </c>
      <c r="BR6" s="17">
        <f t="shared" si="29"/>
        <v>5.69</v>
      </c>
      <c r="BS6" s="17">
        <f t="shared" si="29"/>
        <v>6.04</v>
      </c>
      <c r="BT6" s="17">
        <f t="shared" si="29"/>
        <v>5.87</v>
      </c>
      <c r="BU6" s="17">
        <f t="shared" si="29"/>
        <v>5.51</v>
      </c>
      <c r="BV6" s="17">
        <f t="shared" si="29"/>
        <v>5.17</v>
      </c>
      <c r="BW6" s="17">
        <f t="shared" si="29"/>
        <v>5.37</v>
      </c>
      <c r="BX6" s="17">
        <f t="shared" si="29"/>
        <v>5.53</v>
      </c>
      <c r="BY6" s="17">
        <f t="shared" si="29"/>
        <v>5.46</v>
      </c>
      <c r="BZ6" s="17">
        <f t="shared" si="29"/>
        <v>5.28</v>
      </c>
      <c r="CA6" s="17">
        <f t="shared" si="29"/>
        <v>4.84</v>
      </c>
      <c r="CB6" s="17">
        <f t="shared" si="29"/>
        <v>4.72</v>
      </c>
      <c r="CC6" s="17">
        <f t="shared" si="29"/>
        <v>5.22</v>
      </c>
      <c r="CD6" s="17">
        <f t="shared" ref="CD6:EO7" si="30">+BR6</f>
        <v>5.69</v>
      </c>
      <c r="CE6" s="17">
        <f t="shared" si="30"/>
        <v>6.04</v>
      </c>
      <c r="CF6" s="17">
        <f t="shared" si="30"/>
        <v>5.87</v>
      </c>
      <c r="CG6" s="17">
        <f t="shared" si="30"/>
        <v>5.51</v>
      </c>
      <c r="CH6" s="17">
        <f t="shared" si="30"/>
        <v>5.17</v>
      </c>
      <c r="CI6" s="17">
        <f t="shared" si="30"/>
        <v>5.37</v>
      </c>
      <c r="CJ6" s="17">
        <f t="shared" si="30"/>
        <v>5.53</v>
      </c>
      <c r="CK6" s="17">
        <f t="shared" si="30"/>
        <v>5.46</v>
      </c>
      <c r="CL6" s="17">
        <f t="shared" si="30"/>
        <v>5.28</v>
      </c>
      <c r="CM6" s="17">
        <f t="shared" si="30"/>
        <v>4.84</v>
      </c>
      <c r="CN6" s="17">
        <f t="shared" si="30"/>
        <v>4.72</v>
      </c>
      <c r="CO6" s="17">
        <f t="shared" si="30"/>
        <v>5.22</v>
      </c>
      <c r="CP6" s="17">
        <f t="shared" si="30"/>
        <v>5.69</v>
      </c>
      <c r="CQ6" s="17">
        <f t="shared" si="30"/>
        <v>6.04</v>
      </c>
      <c r="CR6" s="17">
        <f t="shared" si="30"/>
        <v>5.87</v>
      </c>
      <c r="CS6" s="17">
        <f t="shared" si="30"/>
        <v>5.51</v>
      </c>
      <c r="CT6" s="17">
        <f t="shared" si="30"/>
        <v>5.17</v>
      </c>
      <c r="CU6" s="17">
        <f t="shared" si="30"/>
        <v>5.37</v>
      </c>
      <c r="CV6" s="17">
        <f t="shared" si="30"/>
        <v>5.53</v>
      </c>
      <c r="CW6" s="17">
        <f t="shared" si="30"/>
        <v>5.46</v>
      </c>
      <c r="CX6" s="17">
        <f t="shared" si="30"/>
        <v>5.28</v>
      </c>
      <c r="CY6" s="17">
        <f t="shared" si="30"/>
        <v>4.84</v>
      </c>
      <c r="CZ6" s="17">
        <f t="shared" si="30"/>
        <v>4.72</v>
      </c>
      <c r="DA6" s="17">
        <f t="shared" si="30"/>
        <v>5.22</v>
      </c>
      <c r="DB6" s="17">
        <f t="shared" si="30"/>
        <v>5.69</v>
      </c>
      <c r="DC6" s="17">
        <f t="shared" si="30"/>
        <v>6.04</v>
      </c>
      <c r="DD6" s="17">
        <f t="shared" si="30"/>
        <v>5.87</v>
      </c>
      <c r="DE6" s="17">
        <f t="shared" si="30"/>
        <v>5.51</v>
      </c>
      <c r="DF6" s="17">
        <f t="shared" si="30"/>
        <v>5.17</v>
      </c>
      <c r="DG6" s="17">
        <f t="shared" si="30"/>
        <v>5.37</v>
      </c>
      <c r="DH6" s="17">
        <f t="shared" si="30"/>
        <v>5.53</v>
      </c>
      <c r="DI6" s="17">
        <f t="shared" si="30"/>
        <v>5.46</v>
      </c>
      <c r="DJ6" s="17">
        <f t="shared" si="30"/>
        <v>5.28</v>
      </c>
      <c r="DK6" s="17">
        <f t="shared" si="30"/>
        <v>4.84</v>
      </c>
      <c r="DL6" s="17">
        <f t="shared" si="30"/>
        <v>4.72</v>
      </c>
      <c r="DM6" s="17">
        <f t="shared" si="30"/>
        <v>5.22</v>
      </c>
      <c r="DN6" s="17">
        <f t="shared" si="30"/>
        <v>5.69</v>
      </c>
      <c r="DO6" s="17">
        <f t="shared" si="30"/>
        <v>6.04</v>
      </c>
      <c r="DP6" s="17">
        <f t="shared" si="30"/>
        <v>5.87</v>
      </c>
      <c r="DQ6" s="17">
        <f t="shared" si="30"/>
        <v>5.51</v>
      </c>
      <c r="DR6" s="17">
        <f t="shared" si="30"/>
        <v>5.17</v>
      </c>
      <c r="DS6" s="17">
        <f t="shared" si="30"/>
        <v>5.37</v>
      </c>
      <c r="DT6" s="17">
        <f t="shared" si="30"/>
        <v>5.53</v>
      </c>
      <c r="DU6" s="17">
        <f t="shared" si="30"/>
        <v>5.46</v>
      </c>
      <c r="DV6" s="17">
        <f t="shared" si="30"/>
        <v>5.28</v>
      </c>
      <c r="DW6" s="17">
        <f t="shared" si="30"/>
        <v>4.84</v>
      </c>
      <c r="DX6" s="17">
        <f t="shared" si="30"/>
        <v>4.72</v>
      </c>
      <c r="DY6" s="17">
        <f t="shared" si="30"/>
        <v>5.22</v>
      </c>
      <c r="DZ6" s="17">
        <f t="shared" si="30"/>
        <v>5.69</v>
      </c>
      <c r="EA6" s="17">
        <f t="shared" si="30"/>
        <v>6.04</v>
      </c>
      <c r="EB6" s="17">
        <f t="shared" si="30"/>
        <v>5.87</v>
      </c>
      <c r="EC6" s="17">
        <f t="shared" si="30"/>
        <v>5.51</v>
      </c>
      <c r="ED6" s="17">
        <f t="shared" si="30"/>
        <v>5.17</v>
      </c>
      <c r="EE6" s="17">
        <f t="shared" si="30"/>
        <v>5.37</v>
      </c>
      <c r="EF6" s="17">
        <f t="shared" si="30"/>
        <v>5.53</v>
      </c>
      <c r="EG6" s="17">
        <f t="shared" si="30"/>
        <v>5.46</v>
      </c>
      <c r="EH6" s="17">
        <f t="shared" si="30"/>
        <v>5.28</v>
      </c>
      <c r="EI6" s="17">
        <f t="shared" si="30"/>
        <v>4.84</v>
      </c>
      <c r="EJ6" s="17">
        <f t="shared" si="30"/>
        <v>4.72</v>
      </c>
      <c r="EK6" s="17">
        <f t="shared" si="30"/>
        <v>5.22</v>
      </c>
      <c r="EL6" s="17">
        <f t="shared" si="30"/>
        <v>5.69</v>
      </c>
      <c r="EM6" s="17">
        <f t="shared" si="30"/>
        <v>6.04</v>
      </c>
      <c r="EN6" s="17">
        <f t="shared" si="30"/>
        <v>5.87</v>
      </c>
      <c r="EO6" s="17">
        <f t="shared" si="30"/>
        <v>5.51</v>
      </c>
      <c r="EP6" s="17">
        <f t="shared" ref="EP6:HA7" si="31">+ED6</f>
        <v>5.17</v>
      </c>
      <c r="EQ6" s="17">
        <f t="shared" si="31"/>
        <v>5.37</v>
      </c>
      <c r="ER6" s="17">
        <f t="shared" si="31"/>
        <v>5.53</v>
      </c>
      <c r="ES6" s="17">
        <f t="shared" si="31"/>
        <v>5.46</v>
      </c>
      <c r="ET6" s="17">
        <f t="shared" si="31"/>
        <v>5.28</v>
      </c>
      <c r="EU6" s="17">
        <f t="shared" si="31"/>
        <v>4.84</v>
      </c>
      <c r="EV6" s="17">
        <f t="shared" si="31"/>
        <v>4.72</v>
      </c>
      <c r="EW6" s="17">
        <f t="shared" si="31"/>
        <v>5.22</v>
      </c>
      <c r="EX6" s="17">
        <f t="shared" si="31"/>
        <v>5.69</v>
      </c>
      <c r="EY6" s="17">
        <f t="shared" si="31"/>
        <v>6.04</v>
      </c>
      <c r="EZ6" s="17">
        <f t="shared" si="31"/>
        <v>5.87</v>
      </c>
      <c r="FA6" s="17">
        <f t="shared" si="31"/>
        <v>5.51</v>
      </c>
      <c r="FB6" s="17">
        <f t="shared" si="31"/>
        <v>5.17</v>
      </c>
      <c r="FC6" s="17">
        <f t="shared" si="31"/>
        <v>5.37</v>
      </c>
      <c r="FD6" s="17">
        <f t="shared" si="31"/>
        <v>5.53</v>
      </c>
      <c r="FE6" s="17">
        <f t="shared" si="31"/>
        <v>5.46</v>
      </c>
      <c r="FF6" s="17">
        <f t="shared" si="31"/>
        <v>5.28</v>
      </c>
      <c r="FG6" s="17">
        <f t="shared" si="31"/>
        <v>4.84</v>
      </c>
      <c r="FH6" s="17">
        <f t="shared" si="31"/>
        <v>4.72</v>
      </c>
      <c r="FI6" s="17">
        <f t="shared" si="31"/>
        <v>5.22</v>
      </c>
      <c r="FJ6" s="17">
        <f t="shared" si="31"/>
        <v>5.69</v>
      </c>
      <c r="FK6" s="17">
        <f t="shared" si="31"/>
        <v>6.04</v>
      </c>
      <c r="FL6" s="17">
        <f t="shared" si="31"/>
        <v>5.87</v>
      </c>
      <c r="FM6" s="17">
        <f t="shared" si="31"/>
        <v>5.51</v>
      </c>
      <c r="FN6" s="17">
        <f t="shared" si="31"/>
        <v>5.17</v>
      </c>
      <c r="FO6" s="17">
        <f t="shared" si="31"/>
        <v>5.37</v>
      </c>
      <c r="FP6" s="17">
        <f t="shared" si="31"/>
        <v>5.53</v>
      </c>
      <c r="FQ6" s="17">
        <f t="shared" si="31"/>
        <v>5.46</v>
      </c>
      <c r="FR6" s="17">
        <f t="shared" si="31"/>
        <v>5.28</v>
      </c>
      <c r="FS6" s="17">
        <f t="shared" si="31"/>
        <v>4.84</v>
      </c>
      <c r="FT6" s="17">
        <f t="shared" si="31"/>
        <v>4.72</v>
      </c>
      <c r="FU6" s="17">
        <f t="shared" si="31"/>
        <v>5.22</v>
      </c>
      <c r="FV6" s="17">
        <f t="shared" si="31"/>
        <v>5.69</v>
      </c>
      <c r="FW6" s="17">
        <f t="shared" si="31"/>
        <v>6.04</v>
      </c>
      <c r="FX6" s="17">
        <f t="shared" si="31"/>
        <v>5.87</v>
      </c>
      <c r="FY6" s="17">
        <f t="shared" si="31"/>
        <v>5.51</v>
      </c>
      <c r="FZ6" s="17">
        <f t="shared" si="31"/>
        <v>5.17</v>
      </c>
      <c r="GA6" s="17">
        <f t="shared" si="31"/>
        <v>5.37</v>
      </c>
      <c r="GB6" s="17">
        <f t="shared" si="31"/>
        <v>5.53</v>
      </c>
      <c r="GC6" s="17">
        <f t="shared" si="31"/>
        <v>5.46</v>
      </c>
      <c r="GD6" s="17">
        <f t="shared" si="31"/>
        <v>5.28</v>
      </c>
      <c r="GE6" s="17">
        <f t="shared" si="31"/>
        <v>4.84</v>
      </c>
      <c r="GF6" s="17">
        <f t="shared" si="31"/>
        <v>4.72</v>
      </c>
      <c r="GG6" s="17">
        <f t="shared" si="31"/>
        <v>5.22</v>
      </c>
      <c r="GH6" s="17">
        <f t="shared" si="31"/>
        <v>5.69</v>
      </c>
      <c r="GI6" s="17">
        <f t="shared" si="31"/>
        <v>6.04</v>
      </c>
      <c r="GJ6" s="17">
        <f t="shared" si="31"/>
        <v>5.87</v>
      </c>
      <c r="GK6" s="17">
        <f t="shared" si="31"/>
        <v>5.51</v>
      </c>
      <c r="GL6" s="17">
        <f t="shared" si="31"/>
        <v>5.17</v>
      </c>
      <c r="GM6" s="17">
        <f t="shared" si="31"/>
        <v>5.37</v>
      </c>
      <c r="GN6" s="17">
        <f t="shared" si="31"/>
        <v>5.53</v>
      </c>
      <c r="GO6" s="17">
        <f t="shared" si="31"/>
        <v>5.46</v>
      </c>
      <c r="GP6" s="17">
        <f t="shared" si="31"/>
        <v>5.28</v>
      </c>
      <c r="GQ6" s="17">
        <f t="shared" si="31"/>
        <v>4.84</v>
      </c>
      <c r="GR6" s="17">
        <f t="shared" si="31"/>
        <v>4.72</v>
      </c>
      <c r="GS6" s="17">
        <f t="shared" si="31"/>
        <v>5.22</v>
      </c>
      <c r="GT6" s="17">
        <f t="shared" si="31"/>
        <v>5.69</v>
      </c>
      <c r="GU6" s="17">
        <f t="shared" si="31"/>
        <v>6.04</v>
      </c>
      <c r="GV6" s="17">
        <f t="shared" si="31"/>
        <v>5.87</v>
      </c>
      <c r="GW6" s="17">
        <f t="shared" si="31"/>
        <v>5.51</v>
      </c>
      <c r="GX6" s="17">
        <f t="shared" si="31"/>
        <v>5.17</v>
      </c>
      <c r="GY6" s="17">
        <f t="shared" si="31"/>
        <v>5.37</v>
      </c>
      <c r="GZ6" s="17">
        <f t="shared" si="31"/>
        <v>5.53</v>
      </c>
      <c r="HA6" s="17">
        <f t="shared" si="31"/>
        <v>5.46</v>
      </c>
      <c r="HB6" s="17">
        <f t="shared" ref="HB6:IK7" si="32">+GP6</f>
        <v>5.28</v>
      </c>
      <c r="HC6" s="17">
        <f t="shared" si="32"/>
        <v>4.84</v>
      </c>
      <c r="HD6" s="17">
        <f t="shared" si="32"/>
        <v>4.72</v>
      </c>
      <c r="HE6" s="17">
        <f t="shared" si="32"/>
        <v>5.22</v>
      </c>
      <c r="HF6" s="17">
        <f t="shared" si="32"/>
        <v>5.69</v>
      </c>
      <c r="HG6" s="17">
        <f t="shared" si="32"/>
        <v>6.04</v>
      </c>
      <c r="HH6" s="17">
        <f t="shared" si="32"/>
        <v>5.87</v>
      </c>
      <c r="HI6" s="17">
        <f t="shared" si="32"/>
        <v>5.51</v>
      </c>
      <c r="HJ6" s="17">
        <f t="shared" si="32"/>
        <v>5.17</v>
      </c>
      <c r="HK6" s="17">
        <f t="shared" si="32"/>
        <v>5.37</v>
      </c>
      <c r="HL6" s="17">
        <f t="shared" si="32"/>
        <v>5.53</v>
      </c>
      <c r="HM6" s="17">
        <f t="shared" si="32"/>
        <v>5.46</v>
      </c>
      <c r="HN6" s="17">
        <f t="shared" si="32"/>
        <v>5.28</v>
      </c>
      <c r="HO6" s="17">
        <f t="shared" si="32"/>
        <v>4.84</v>
      </c>
      <c r="HP6" s="17">
        <f t="shared" si="32"/>
        <v>4.72</v>
      </c>
      <c r="HQ6" s="17">
        <f t="shared" si="32"/>
        <v>5.22</v>
      </c>
      <c r="HR6" s="17">
        <f t="shared" si="32"/>
        <v>5.69</v>
      </c>
      <c r="HS6" s="17">
        <f t="shared" si="32"/>
        <v>6.04</v>
      </c>
      <c r="HT6" s="17">
        <f t="shared" si="32"/>
        <v>5.87</v>
      </c>
      <c r="HU6" s="17">
        <f t="shared" si="32"/>
        <v>5.51</v>
      </c>
      <c r="HV6" s="17">
        <f t="shared" si="32"/>
        <v>5.17</v>
      </c>
      <c r="HW6" s="17">
        <f t="shared" si="32"/>
        <v>5.37</v>
      </c>
      <c r="HX6" s="17">
        <f t="shared" si="32"/>
        <v>5.53</v>
      </c>
      <c r="HY6" s="17">
        <f t="shared" si="32"/>
        <v>5.46</v>
      </c>
      <c r="HZ6" s="17">
        <f t="shared" si="32"/>
        <v>5.28</v>
      </c>
      <c r="IA6" s="17">
        <f t="shared" si="32"/>
        <v>4.84</v>
      </c>
      <c r="IB6" s="17">
        <f t="shared" si="32"/>
        <v>4.72</v>
      </c>
      <c r="IC6" s="17">
        <f t="shared" si="32"/>
        <v>5.22</v>
      </c>
      <c r="ID6" s="17">
        <f t="shared" si="32"/>
        <v>5.69</v>
      </c>
      <c r="IE6" s="17">
        <f t="shared" si="32"/>
        <v>6.04</v>
      </c>
      <c r="IF6" s="17">
        <f t="shared" si="32"/>
        <v>5.87</v>
      </c>
      <c r="IG6" s="17">
        <f t="shared" si="32"/>
        <v>5.51</v>
      </c>
      <c r="IH6" s="17">
        <f t="shared" si="32"/>
        <v>5.17</v>
      </c>
      <c r="II6" s="17">
        <f t="shared" si="32"/>
        <v>5.37</v>
      </c>
      <c r="IJ6" s="17">
        <f t="shared" si="32"/>
        <v>5.53</v>
      </c>
      <c r="IK6" s="17">
        <f t="shared" si="32"/>
        <v>5.46</v>
      </c>
      <c r="IL6" s="17">
        <f t="shared" ref="IL6:IL7" si="33">+HZ6</f>
        <v>5.28</v>
      </c>
      <c r="IM6" s="17">
        <f t="shared" ref="IM6:IM7" si="34">+IA6</f>
        <v>4.84</v>
      </c>
      <c r="IN6" s="17">
        <f t="shared" ref="IN6:IN7" si="35">+IB6</f>
        <v>4.72</v>
      </c>
      <c r="IO6" s="17">
        <f t="shared" ref="IO6:IO7" si="36">+IC6</f>
        <v>5.22</v>
      </c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</row>
    <row r="7" spans="1:261" x14ac:dyDescent="0.3">
      <c r="A7" t="s">
        <v>764</v>
      </c>
      <c r="E7" s="38">
        <f>+Q7</f>
        <v>0.83</v>
      </c>
      <c r="F7" s="38">
        <f t="shared" ref="F7:I7" si="37">+R7</f>
        <v>0.83</v>
      </c>
      <c r="G7" s="38">
        <f t="shared" si="37"/>
        <v>0.79</v>
      </c>
      <c r="H7" s="38">
        <f t="shared" si="37"/>
        <v>0.8</v>
      </c>
      <c r="I7" s="38">
        <f t="shared" si="37"/>
        <v>0.74</v>
      </c>
      <c r="J7" s="77">
        <v>0.78</v>
      </c>
      <c r="K7" s="77">
        <v>0.75</v>
      </c>
      <c r="L7" s="77">
        <v>0.83</v>
      </c>
      <c r="M7" s="77">
        <v>0.83</v>
      </c>
      <c r="N7" s="77">
        <v>0.83</v>
      </c>
      <c r="O7" s="77">
        <v>0.83</v>
      </c>
      <c r="P7" s="77">
        <v>0.83</v>
      </c>
      <c r="Q7" s="77">
        <v>0.83</v>
      </c>
      <c r="R7" s="77">
        <v>0.83</v>
      </c>
      <c r="S7" s="77">
        <v>0.79</v>
      </c>
      <c r="T7" s="77">
        <v>0.8</v>
      </c>
      <c r="U7" s="77">
        <v>0.74</v>
      </c>
      <c r="V7" s="77">
        <f>+J7</f>
        <v>0.78</v>
      </c>
      <c r="W7" s="77">
        <f t="shared" si="29"/>
        <v>0.75</v>
      </c>
      <c r="X7" s="77">
        <f t="shared" si="29"/>
        <v>0.83</v>
      </c>
      <c r="Y7" s="77">
        <f t="shared" si="29"/>
        <v>0.83</v>
      </c>
      <c r="Z7" s="77">
        <f t="shared" si="29"/>
        <v>0.83</v>
      </c>
      <c r="AA7" s="77">
        <f t="shared" si="29"/>
        <v>0.83</v>
      </c>
      <c r="AB7" s="77">
        <f t="shared" si="29"/>
        <v>0.83</v>
      </c>
      <c r="AC7" s="77">
        <f t="shared" si="29"/>
        <v>0.83</v>
      </c>
      <c r="AD7" s="77">
        <f t="shared" si="29"/>
        <v>0.83</v>
      </c>
      <c r="AE7" s="77">
        <f t="shared" si="29"/>
        <v>0.79</v>
      </c>
      <c r="AF7" s="77">
        <f t="shared" si="29"/>
        <v>0.8</v>
      </c>
      <c r="AG7" s="77">
        <f t="shared" si="29"/>
        <v>0.74</v>
      </c>
      <c r="AH7" s="77">
        <f t="shared" si="29"/>
        <v>0.78</v>
      </c>
      <c r="AI7" s="77">
        <f t="shared" si="29"/>
        <v>0.75</v>
      </c>
      <c r="AJ7" s="77">
        <f t="shared" si="29"/>
        <v>0.83</v>
      </c>
      <c r="AK7" s="77">
        <f t="shared" si="29"/>
        <v>0.83</v>
      </c>
      <c r="AL7" s="77">
        <f t="shared" si="29"/>
        <v>0.83</v>
      </c>
      <c r="AM7" s="77">
        <f t="shared" si="29"/>
        <v>0.83</v>
      </c>
      <c r="AN7" s="77">
        <f t="shared" si="29"/>
        <v>0.83</v>
      </c>
      <c r="AO7" s="77">
        <f t="shared" si="29"/>
        <v>0.83</v>
      </c>
      <c r="AP7" s="77">
        <f t="shared" si="29"/>
        <v>0.83</v>
      </c>
      <c r="AQ7" s="77">
        <f t="shared" si="29"/>
        <v>0.79</v>
      </c>
      <c r="AR7" s="77">
        <f t="shared" si="29"/>
        <v>0.8</v>
      </c>
      <c r="AS7" s="77">
        <f t="shared" si="29"/>
        <v>0.74</v>
      </c>
      <c r="AT7" s="77">
        <f t="shared" si="29"/>
        <v>0.78</v>
      </c>
      <c r="AU7" s="77">
        <f t="shared" si="29"/>
        <v>0.75</v>
      </c>
      <c r="AV7" s="77">
        <f t="shared" si="29"/>
        <v>0.83</v>
      </c>
      <c r="AW7" s="77">
        <f t="shared" si="29"/>
        <v>0.83</v>
      </c>
      <c r="AX7" s="77">
        <f t="shared" si="29"/>
        <v>0.83</v>
      </c>
      <c r="AY7" s="77">
        <f t="shared" si="29"/>
        <v>0.83</v>
      </c>
      <c r="AZ7" s="77">
        <f t="shared" si="29"/>
        <v>0.83</v>
      </c>
      <c r="BA7" s="77">
        <f t="shared" si="29"/>
        <v>0.83</v>
      </c>
      <c r="BB7" s="77">
        <f t="shared" si="29"/>
        <v>0.83</v>
      </c>
      <c r="BC7" s="77">
        <f t="shared" si="29"/>
        <v>0.79</v>
      </c>
      <c r="BD7" s="77">
        <f t="shared" si="29"/>
        <v>0.8</v>
      </c>
      <c r="BE7" s="77">
        <f t="shared" si="29"/>
        <v>0.74</v>
      </c>
      <c r="BF7" s="77">
        <f t="shared" si="29"/>
        <v>0.78</v>
      </c>
      <c r="BG7" s="77">
        <f t="shared" si="29"/>
        <v>0.75</v>
      </c>
      <c r="BH7" s="77">
        <f t="shared" si="29"/>
        <v>0.83</v>
      </c>
      <c r="BI7" s="77">
        <f t="shared" si="29"/>
        <v>0.83</v>
      </c>
      <c r="BJ7" s="77">
        <f t="shared" si="29"/>
        <v>0.83</v>
      </c>
      <c r="BK7" s="77">
        <f t="shared" si="29"/>
        <v>0.83</v>
      </c>
      <c r="BL7" s="77">
        <f t="shared" si="29"/>
        <v>0.83</v>
      </c>
      <c r="BM7" s="77">
        <f t="shared" si="29"/>
        <v>0.83</v>
      </c>
      <c r="BN7" s="77">
        <f t="shared" si="29"/>
        <v>0.83</v>
      </c>
      <c r="BO7" s="77">
        <f t="shared" si="29"/>
        <v>0.79</v>
      </c>
      <c r="BP7" s="77">
        <f t="shared" si="29"/>
        <v>0.8</v>
      </c>
      <c r="BQ7" s="77">
        <f t="shared" si="29"/>
        <v>0.74</v>
      </c>
      <c r="BR7" s="77">
        <f t="shared" si="29"/>
        <v>0.78</v>
      </c>
      <c r="BS7" s="77">
        <f t="shared" si="29"/>
        <v>0.75</v>
      </c>
      <c r="BT7" s="77">
        <f t="shared" si="29"/>
        <v>0.83</v>
      </c>
      <c r="BU7" s="77">
        <f t="shared" si="29"/>
        <v>0.83</v>
      </c>
      <c r="BV7" s="77">
        <f t="shared" si="29"/>
        <v>0.83</v>
      </c>
      <c r="BW7" s="77">
        <f t="shared" si="29"/>
        <v>0.83</v>
      </c>
      <c r="BX7" s="77">
        <f t="shared" si="29"/>
        <v>0.83</v>
      </c>
      <c r="BY7" s="77">
        <f t="shared" si="29"/>
        <v>0.83</v>
      </c>
      <c r="BZ7" s="77">
        <f t="shared" si="29"/>
        <v>0.83</v>
      </c>
      <c r="CA7" s="77">
        <f t="shared" si="29"/>
        <v>0.79</v>
      </c>
      <c r="CB7" s="77">
        <f t="shared" si="29"/>
        <v>0.8</v>
      </c>
      <c r="CC7" s="77">
        <f t="shared" si="29"/>
        <v>0.74</v>
      </c>
      <c r="CD7" s="77">
        <f t="shared" si="30"/>
        <v>0.78</v>
      </c>
      <c r="CE7" s="77">
        <f t="shared" si="30"/>
        <v>0.75</v>
      </c>
      <c r="CF7" s="77">
        <f t="shared" si="30"/>
        <v>0.83</v>
      </c>
      <c r="CG7" s="77">
        <f t="shared" si="30"/>
        <v>0.83</v>
      </c>
      <c r="CH7" s="77">
        <f t="shared" si="30"/>
        <v>0.83</v>
      </c>
      <c r="CI7" s="77">
        <f t="shared" si="30"/>
        <v>0.83</v>
      </c>
      <c r="CJ7" s="77">
        <f t="shared" si="30"/>
        <v>0.83</v>
      </c>
      <c r="CK7" s="77">
        <f t="shared" si="30"/>
        <v>0.83</v>
      </c>
      <c r="CL7" s="77">
        <f t="shared" si="30"/>
        <v>0.83</v>
      </c>
      <c r="CM7" s="77">
        <f t="shared" si="30"/>
        <v>0.79</v>
      </c>
      <c r="CN7" s="77">
        <f t="shared" si="30"/>
        <v>0.8</v>
      </c>
      <c r="CO7" s="77">
        <f t="shared" si="30"/>
        <v>0.74</v>
      </c>
      <c r="CP7" s="77">
        <f t="shared" si="30"/>
        <v>0.78</v>
      </c>
      <c r="CQ7" s="77">
        <f t="shared" si="30"/>
        <v>0.75</v>
      </c>
      <c r="CR7" s="77">
        <f t="shared" si="30"/>
        <v>0.83</v>
      </c>
      <c r="CS7" s="77">
        <f t="shared" si="30"/>
        <v>0.83</v>
      </c>
      <c r="CT7" s="77">
        <f t="shared" si="30"/>
        <v>0.83</v>
      </c>
      <c r="CU7" s="77">
        <f t="shared" si="30"/>
        <v>0.83</v>
      </c>
      <c r="CV7" s="77">
        <f t="shared" si="30"/>
        <v>0.83</v>
      </c>
      <c r="CW7" s="77">
        <f t="shared" si="30"/>
        <v>0.83</v>
      </c>
      <c r="CX7" s="77">
        <f t="shared" si="30"/>
        <v>0.83</v>
      </c>
      <c r="CY7" s="77">
        <f t="shared" si="30"/>
        <v>0.79</v>
      </c>
      <c r="CZ7" s="77">
        <f t="shared" si="30"/>
        <v>0.8</v>
      </c>
      <c r="DA7" s="77">
        <f t="shared" si="30"/>
        <v>0.74</v>
      </c>
      <c r="DB7" s="77">
        <f t="shared" si="30"/>
        <v>0.78</v>
      </c>
      <c r="DC7" s="77">
        <f t="shared" si="30"/>
        <v>0.75</v>
      </c>
      <c r="DD7" s="77">
        <f t="shared" si="30"/>
        <v>0.83</v>
      </c>
      <c r="DE7" s="77">
        <f t="shared" si="30"/>
        <v>0.83</v>
      </c>
      <c r="DF7" s="77">
        <f t="shared" si="30"/>
        <v>0.83</v>
      </c>
      <c r="DG7" s="77">
        <f t="shared" si="30"/>
        <v>0.83</v>
      </c>
      <c r="DH7" s="77">
        <f t="shared" si="30"/>
        <v>0.83</v>
      </c>
      <c r="DI7" s="77">
        <f t="shared" si="30"/>
        <v>0.83</v>
      </c>
      <c r="DJ7" s="77">
        <f t="shared" si="30"/>
        <v>0.83</v>
      </c>
      <c r="DK7" s="77">
        <f t="shared" si="30"/>
        <v>0.79</v>
      </c>
      <c r="DL7" s="77">
        <f t="shared" si="30"/>
        <v>0.8</v>
      </c>
      <c r="DM7" s="77">
        <f t="shared" si="30"/>
        <v>0.74</v>
      </c>
      <c r="DN7" s="77">
        <f t="shared" si="30"/>
        <v>0.78</v>
      </c>
      <c r="DO7" s="77">
        <f t="shared" si="30"/>
        <v>0.75</v>
      </c>
      <c r="DP7" s="77">
        <f t="shared" si="30"/>
        <v>0.83</v>
      </c>
      <c r="DQ7" s="77">
        <f t="shared" si="30"/>
        <v>0.83</v>
      </c>
      <c r="DR7" s="77">
        <f t="shared" si="30"/>
        <v>0.83</v>
      </c>
      <c r="DS7" s="77">
        <f t="shared" si="30"/>
        <v>0.83</v>
      </c>
      <c r="DT7" s="77">
        <f t="shared" si="30"/>
        <v>0.83</v>
      </c>
      <c r="DU7" s="77">
        <f t="shared" si="30"/>
        <v>0.83</v>
      </c>
      <c r="DV7" s="77">
        <f t="shared" si="30"/>
        <v>0.83</v>
      </c>
      <c r="DW7" s="77">
        <f t="shared" si="30"/>
        <v>0.79</v>
      </c>
      <c r="DX7" s="77">
        <f t="shared" si="30"/>
        <v>0.8</v>
      </c>
      <c r="DY7" s="77">
        <f t="shared" si="30"/>
        <v>0.74</v>
      </c>
      <c r="DZ7" s="77">
        <f t="shared" si="30"/>
        <v>0.78</v>
      </c>
      <c r="EA7" s="77">
        <f t="shared" si="30"/>
        <v>0.75</v>
      </c>
      <c r="EB7" s="77">
        <f t="shared" si="30"/>
        <v>0.83</v>
      </c>
      <c r="EC7" s="77">
        <f t="shared" si="30"/>
        <v>0.83</v>
      </c>
      <c r="ED7" s="77">
        <f t="shared" si="30"/>
        <v>0.83</v>
      </c>
      <c r="EE7" s="77">
        <f t="shared" si="30"/>
        <v>0.83</v>
      </c>
      <c r="EF7" s="77">
        <f t="shared" si="30"/>
        <v>0.83</v>
      </c>
      <c r="EG7" s="77">
        <f t="shared" si="30"/>
        <v>0.83</v>
      </c>
      <c r="EH7" s="77">
        <f t="shared" si="30"/>
        <v>0.83</v>
      </c>
      <c r="EI7" s="77">
        <f t="shared" si="30"/>
        <v>0.79</v>
      </c>
      <c r="EJ7" s="77">
        <f t="shared" si="30"/>
        <v>0.8</v>
      </c>
      <c r="EK7" s="77">
        <f t="shared" si="30"/>
        <v>0.74</v>
      </c>
      <c r="EL7" s="77">
        <f t="shared" si="30"/>
        <v>0.78</v>
      </c>
      <c r="EM7" s="77">
        <f t="shared" si="30"/>
        <v>0.75</v>
      </c>
      <c r="EN7" s="77">
        <f t="shared" si="30"/>
        <v>0.83</v>
      </c>
      <c r="EO7" s="77">
        <f t="shared" si="30"/>
        <v>0.83</v>
      </c>
      <c r="EP7" s="77">
        <f t="shared" si="31"/>
        <v>0.83</v>
      </c>
      <c r="EQ7" s="77">
        <f t="shared" si="31"/>
        <v>0.83</v>
      </c>
      <c r="ER7" s="77">
        <f t="shared" si="31"/>
        <v>0.83</v>
      </c>
      <c r="ES7" s="77">
        <f t="shared" si="31"/>
        <v>0.83</v>
      </c>
      <c r="ET7" s="77">
        <f t="shared" si="31"/>
        <v>0.83</v>
      </c>
      <c r="EU7" s="77">
        <f t="shared" si="31"/>
        <v>0.79</v>
      </c>
      <c r="EV7" s="77">
        <f t="shared" si="31"/>
        <v>0.8</v>
      </c>
      <c r="EW7" s="77">
        <f t="shared" si="31"/>
        <v>0.74</v>
      </c>
      <c r="EX7" s="77">
        <f t="shared" si="31"/>
        <v>0.78</v>
      </c>
      <c r="EY7" s="77">
        <f t="shared" si="31"/>
        <v>0.75</v>
      </c>
      <c r="EZ7" s="77">
        <f t="shared" si="31"/>
        <v>0.83</v>
      </c>
      <c r="FA7" s="77">
        <f t="shared" si="31"/>
        <v>0.83</v>
      </c>
      <c r="FB7" s="77">
        <f t="shared" si="31"/>
        <v>0.83</v>
      </c>
      <c r="FC7" s="77">
        <f t="shared" si="31"/>
        <v>0.83</v>
      </c>
      <c r="FD7" s="77">
        <f t="shared" si="31"/>
        <v>0.83</v>
      </c>
      <c r="FE7" s="77">
        <f t="shared" si="31"/>
        <v>0.83</v>
      </c>
      <c r="FF7" s="77">
        <f t="shared" si="31"/>
        <v>0.83</v>
      </c>
      <c r="FG7" s="77">
        <f t="shared" si="31"/>
        <v>0.79</v>
      </c>
      <c r="FH7" s="77">
        <f t="shared" si="31"/>
        <v>0.8</v>
      </c>
      <c r="FI7" s="77">
        <f t="shared" si="31"/>
        <v>0.74</v>
      </c>
      <c r="FJ7" s="77">
        <f t="shared" si="31"/>
        <v>0.78</v>
      </c>
      <c r="FK7" s="77">
        <f t="shared" si="31"/>
        <v>0.75</v>
      </c>
      <c r="FL7" s="77">
        <f t="shared" si="31"/>
        <v>0.83</v>
      </c>
      <c r="FM7" s="77">
        <f t="shared" si="31"/>
        <v>0.83</v>
      </c>
      <c r="FN7" s="77">
        <f t="shared" si="31"/>
        <v>0.83</v>
      </c>
      <c r="FO7" s="77">
        <f t="shared" si="31"/>
        <v>0.83</v>
      </c>
      <c r="FP7" s="77">
        <f t="shared" si="31"/>
        <v>0.83</v>
      </c>
      <c r="FQ7" s="77">
        <f t="shared" si="31"/>
        <v>0.83</v>
      </c>
      <c r="FR7" s="77">
        <f t="shared" si="31"/>
        <v>0.83</v>
      </c>
      <c r="FS7" s="77">
        <f t="shared" si="31"/>
        <v>0.79</v>
      </c>
      <c r="FT7" s="77">
        <f t="shared" si="31"/>
        <v>0.8</v>
      </c>
      <c r="FU7" s="77">
        <f t="shared" si="31"/>
        <v>0.74</v>
      </c>
      <c r="FV7" s="77">
        <f t="shared" si="31"/>
        <v>0.78</v>
      </c>
      <c r="FW7" s="77">
        <f t="shared" si="31"/>
        <v>0.75</v>
      </c>
      <c r="FX7" s="77">
        <f t="shared" si="31"/>
        <v>0.83</v>
      </c>
      <c r="FY7" s="77">
        <f t="shared" si="31"/>
        <v>0.83</v>
      </c>
      <c r="FZ7" s="77">
        <f t="shared" si="31"/>
        <v>0.83</v>
      </c>
      <c r="GA7" s="77">
        <f t="shared" si="31"/>
        <v>0.83</v>
      </c>
      <c r="GB7" s="77">
        <f t="shared" si="31"/>
        <v>0.83</v>
      </c>
      <c r="GC7" s="77">
        <f t="shared" si="31"/>
        <v>0.83</v>
      </c>
      <c r="GD7" s="77">
        <f t="shared" si="31"/>
        <v>0.83</v>
      </c>
      <c r="GE7" s="77">
        <f t="shared" si="31"/>
        <v>0.79</v>
      </c>
      <c r="GF7" s="77">
        <f t="shared" si="31"/>
        <v>0.8</v>
      </c>
      <c r="GG7" s="77">
        <f t="shared" si="31"/>
        <v>0.74</v>
      </c>
      <c r="GH7" s="77">
        <f t="shared" si="31"/>
        <v>0.78</v>
      </c>
      <c r="GI7" s="77">
        <f t="shared" si="31"/>
        <v>0.75</v>
      </c>
      <c r="GJ7" s="77">
        <f t="shared" si="31"/>
        <v>0.83</v>
      </c>
      <c r="GK7" s="77">
        <f t="shared" si="31"/>
        <v>0.83</v>
      </c>
      <c r="GL7" s="77">
        <f t="shared" si="31"/>
        <v>0.83</v>
      </c>
      <c r="GM7" s="77">
        <f t="shared" si="31"/>
        <v>0.83</v>
      </c>
      <c r="GN7" s="77">
        <f t="shared" si="31"/>
        <v>0.83</v>
      </c>
      <c r="GO7" s="77">
        <f t="shared" si="31"/>
        <v>0.83</v>
      </c>
      <c r="GP7" s="77">
        <f t="shared" si="31"/>
        <v>0.83</v>
      </c>
      <c r="GQ7" s="77">
        <f t="shared" si="31"/>
        <v>0.79</v>
      </c>
      <c r="GR7" s="77">
        <f t="shared" si="31"/>
        <v>0.8</v>
      </c>
      <c r="GS7" s="77">
        <f t="shared" si="31"/>
        <v>0.74</v>
      </c>
      <c r="GT7" s="77">
        <f t="shared" si="31"/>
        <v>0.78</v>
      </c>
      <c r="GU7" s="77">
        <f t="shared" si="31"/>
        <v>0.75</v>
      </c>
      <c r="GV7" s="77">
        <f t="shared" si="31"/>
        <v>0.83</v>
      </c>
      <c r="GW7" s="77">
        <f t="shared" si="31"/>
        <v>0.83</v>
      </c>
      <c r="GX7" s="77">
        <f t="shared" si="31"/>
        <v>0.83</v>
      </c>
      <c r="GY7" s="77">
        <f t="shared" si="31"/>
        <v>0.83</v>
      </c>
      <c r="GZ7" s="77">
        <f t="shared" si="31"/>
        <v>0.83</v>
      </c>
      <c r="HA7" s="77">
        <f t="shared" si="31"/>
        <v>0.83</v>
      </c>
      <c r="HB7" s="77">
        <f t="shared" si="32"/>
        <v>0.83</v>
      </c>
      <c r="HC7" s="77">
        <f t="shared" si="32"/>
        <v>0.79</v>
      </c>
      <c r="HD7" s="77">
        <f t="shared" si="32"/>
        <v>0.8</v>
      </c>
      <c r="HE7" s="77">
        <f t="shared" si="32"/>
        <v>0.74</v>
      </c>
      <c r="HF7" s="77">
        <f t="shared" si="32"/>
        <v>0.78</v>
      </c>
      <c r="HG7" s="77">
        <f t="shared" si="32"/>
        <v>0.75</v>
      </c>
      <c r="HH7" s="77">
        <f t="shared" si="32"/>
        <v>0.83</v>
      </c>
      <c r="HI7" s="77">
        <f t="shared" si="32"/>
        <v>0.83</v>
      </c>
      <c r="HJ7" s="77">
        <f t="shared" si="32"/>
        <v>0.83</v>
      </c>
      <c r="HK7" s="77">
        <f t="shared" si="32"/>
        <v>0.83</v>
      </c>
      <c r="HL7" s="77">
        <f t="shared" si="32"/>
        <v>0.83</v>
      </c>
      <c r="HM7" s="77">
        <f t="shared" si="32"/>
        <v>0.83</v>
      </c>
      <c r="HN7" s="77">
        <f t="shared" si="32"/>
        <v>0.83</v>
      </c>
      <c r="HO7" s="77">
        <f t="shared" si="32"/>
        <v>0.79</v>
      </c>
      <c r="HP7" s="77">
        <f t="shared" si="32"/>
        <v>0.8</v>
      </c>
      <c r="HQ7" s="77">
        <f t="shared" si="32"/>
        <v>0.74</v>
      </c>
      <c r="HR7" s="77">
        <f t="shared" si="32"/>
        <v>0.78</v>
      </c>
      <c r="HS7" s="77">
        <f t="shared" si="32"/>
        <v>0.75</v>
      </c>
      <c r="HT7" s="77">
        <f t="shared" si="32"/>
        <v>0.83</v>
      </c>
      <c r="HU7" s="77">
        <f t="shared" si="32"/>
        <v>0.83</v>
      </c>
      <c r="HV7" s="77">
        <f t="shared" si="32"/>
        <v>0.83</v>
      </c>
      <c r="HW7" s="77">
        <f t="shared" si="32"/>
        <v>0.83</v>
      </c>
      <c r="HX7" s="77">
        <f t="shared" si="32"/>
        <v>0.83</v>
      </c>
      <c r="HY7" s="77">
        <f t="shared" si="32"/>
        <v>0.83</v>
      </c>
      <c r="HZ7" s="77">
        <f t="shared" si="32"/>
        <v>0.83</v>
      </c>
      <c r="IA7" s="77">
        <f t="shared" si="32"/>
        <v>0.79</v>
      </c>
      <c r="IB7" s="77">
        <f t="shared" si="32"/>
        <v>0.8</v>
      </c>
      <c r="IC7" s="77">
        <f t="shared" si="32"/>
        <v>0.74</v>
      </c>
      <c r="ID7" s="77">
        <f t="shared" si="32"/>
        <v>0.78</v>
      </c>
      <c r="IE7" s="77">
        <f t="shared" si="32"/>
        <v>0.75</v>
      </c>
      <c r="IF7" s="77">
        <f t="shared" si="32"/>
        <v>0.83</v>
      </c>
      <c r="IG7" s="77">
        <f t="shared" si="32"/>
        <v>0.83</v>
      </c>
      <c r="IH7" s="77">
        <f t="shared" si="32"/>
        <v>0.83</v>
      </c>
      <c r="II7" s="77">
        <f t="shared" si="32"/>
        <v>0.83</v>
      </c>
      <c r="IJ7" s="77">
        <f t="shared" si="32"/>
        <v>0.83</v>
      </c>
      <c r="IK7" s="77">
        <f t="shared" si="32"/>
        <v>0.83</v>
      </c>
      <c r="IL7" s="77">
        <f t="shared" si="33"/>
        <v>0.83</v>
      </c>
      <c r="IM7" s="77">
        <f t="shared" si="34"/>
        <v>0.79</v>
      </c>
      <c r="IN7" s="77">
        <f t="shared" si="35"/>
        <v>0.8</v>
      </c>
      <c r="IO7" s="77">
        <f t="shared" si="36"/>
        <v>0.74</v>
      </c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</row>
    <row r="8" spans="1:261" x14ac:dyDescent="0.3">
      <c r="A8" t="s">
        <v>765</v>
      </c>
      <c r="B8" s="31">
        <f>+SUM(E8:IO8)</f>
        <v>481211.0719293427</v>
      </c>
      <c r="C8" s="31"/>
      <c r="D8" s="31"/>
      <c r="E8" s="10">
        <f>+($B$1*E4*E5*E6*E7)/1000</f>
        <v>2195.9335397999998</v>
      </c>
      <c r="F8" s="10">
        <f>+($B$1*F4*F5*F6*F7)/1000</f>
        <v>2055.0388319999997</v>
      </c>
      <c r="G8" s="10">
        <f t="shared" ref="G8:BQ8" si="38">+($B$1*G4*G5*G6*G7)/1000</f>
        <v>1852.7674396</v>
      </c>
      <c r="H8" s="10">
        <f t="shared" si="38"/>
        <v>1770.6796800000002</v>
      </c>
      <c r="I8" s="10">
        <f t="shared" si="38"/>
        <v>1871.7622308</v>
      </c>
      <c r="J8" s="10">
        <f>+($B$1*J4*J5*J6*J7)/1000</f>
        <v>2150.5786302000006</v>
      </c>
      <c r="K8" s="10">
        <f t="shared" si="38"/>
        <v>1982.6360400000001</v>
      </c>
      <c r="L8" s="10">
        <f t="shared" si="38"/>
        <v>2360.8296480999998</v>
      </c>
      <c r="M8" s="10">
        <f t="shared" si="38"/>
        <v>2144.5575689999996</v>
      </c>
      <c r="N8" s="10">
        <f t="shared" si="38"/>
        <v>2079.2997071</v>
      </c>
      <c r="O8" s="10">
        <f t="shared" si="38"/>
        <v>2090.0679030000001</v>
      </c>
      <c r="P8" s="10">
        <f t="shared" si="38"/>
        <v>2224.0865339000002</v>
      </c>
      <c r="Q8" s="10">
        <f>+($B$1*Q4*Q5*Q6*Q7)/1000</f>
        <v>2191.4520427799998</v>
      </c>
      <c r="R8" s="10">
        <f t="shared" si="38"/>
        <v>2050.8448751999999</v>
      </c>
      <c r="S8" s="10">
        <f t="shared" si="38"/>
        <v>1848.9862815599997</v>
      </c>
      <c r="T8" s="10">
        <f t="shared" si="38"/>
        <v>1767.0660480000001</v>
      </c>
      <c r="U8" s="10">
        <f t="shared" si="38"/>
        <v>1867.9423078799998</v>
      </c>
      <c r="V8" s="10">
        <f t="shared" si="38"/>
        <v>2146.1896942200001</v>
      </c>
      <c r="W8" s="10">
        <f t="shared" si="38"/>
        <v>1978.5898440000001</v>
      </c>
      <c r="X8" s="10">
        <f t="shared" si="38"/>
        <v>2356.01162841</v>
      </c>
      <c r="Y8" s="10">
        <f t="shared" si="38"/>
        <v>2140.1809208999998</v>
      </c>
      <c r="Z8" s="10">
        <f t="shared" si="38"/>
        <v>2075.0562383099996</v>
      </c>
      <c r="AA8" s="10">
        <f t="shared" si="38"/>
        <v>2085.8024583000001</v>
      </c>
      <c r="AB8" s="10">
        <f>+($B$1*AB4*AB5*AB6*AB7)/1000</f>
        <v>2219.5475817899996</v>
      </c>
      <c r="AC8" s="10">
        <f t="shared" si="38"/>
        <v>2189.2112942699996</v>
      </c>
      <c r="AD8" s="10">
        <f t="shared" si="38"/>
        <v>2048.7478967999996</v>
      </c>
      <c r="AE8" s="10">
        <f t="shared" si="38"/>
        <v>1847.09570254</v>
      </c>
      <c r="AF8" s="10">
        <f t="shared" si="38"/>
        <v>1765.2592320000001</v>
      </c>
      <c r="AG8" s="10">
        <f t="shared" si="38"/>
        <v>1866.0323464199996</v>
      </c>
      <c r="AH8" s="10">
        <f t="shared" si="38"/>
        <v>2143.9952262300003</v>
      </c>
      <c r="AI8" s="10">
        <f t="shared" si="38"/>
        <v>1976.5667460000002</v>
      </c>
      <c r="AJ8" s="10">
        <f t="shared" si="38"/>
        <v>2353.6026185649998</v>
      </c>
      <c r="AK8" s="10">
        <f t="shared" si="38"/>
        <v>2137.9925968499997</v>
      </c>
      <c r="AL8" s="10">
        <f t="shared" si="38"/>
        <v>2072.9345039149998</v>
      </c>
      <c r="AM8" s="10">
        <f t="shared" si="38"/>
        <v>2083.6697359499999</v>
      </c>
      <c r="AN8" s="10">
        <f t="shared" si="38"/>
        <v>2217.2781057349998</v>
      </c>
      <c r="AO8" s="10">
        <f t="shared" si="38"/>
        <v>2186.9705457599998</v>
      </c>
      <c r="AP8" s="10">
        <f t="shared" si="38"/>
        <v>2046.6509183999999</v>
      </c>
      <c r="AQ8" s="10">
        <f t="shared" si="38"/>
        <v>1845.2051235200001</v>
      </c>
      <c r="AR8" s="10">
        <f t="shared" si="38"/>
        <v>1763.4524160000003</v>
      </c>
      <c r="AS8" s="10">
        <f t="shared" si="38"/>
        <v>1864.1223849599999</v>
      </c>
      <c r="AT8" s="10">
        <f t="shared" si="38"/>
        <v>2141.8007582400005</v>
      </c>
      <c r="AU8" s="10">
        <f t="shared" si="38"/>
        <v>2045.0630639999997</v>
      </c>
      <c r="AV8" s="10">
        <f t="shared" si="38"/>
        <v>2351.1936087199997</v>
      </c>
      <c r="AW8" s="10">
        <f t="shared" si="38"/>
        <v>2135.8042727999996</v>
      </c>
      <c r="AX8" s="10">
        <f t="shared" si="38"/>
        <v>2070.8127695200001</v>
      </c>
      <c r="AY8" s="10">
        <f t="shared" si="38"/>
        <v>2081.5370136000001</v>
      </c>
      <c r="AZ8" s="10">
        <f t="shared" si="38"/>
        <v>2215.0086296800005</v>
      </c>
      <c r="BA8" s="10">
        <f t="shared" si="38"/>
        <v>2184.72979725</v>
      </c>
      <c r="BB8" s="10">
        <f t="shared" si="38"/>
        <v>2044.55394</v>
      </c>
      <c r="BC8" s="10">
        <f t="shared" si="38"/>
        <v>1843.3145444999998</v>
      </c>
      <c r="BD8" s="10">
        <f t="shared" si="38"/>
        <v>1761.6456000000001</v>
      </c>
      <c r="BE8" s="10">
        <f t="shared" si="38"/>
        <v>1862.2124234999999</v>
      </c>
      <c r="BF8" s="10">
        <f t="shared" si="38"/>
        <v>2139.6062902500003</v>
      </c>
      <c r="BG8" s="10">
        <f t="shared" si="38"/>
        <v>1972.5205499999997</v>
      </c>
      <c r="BH8" s="10">
        <f t="shared" si="38"/>
        <v>2348.7845988749996</v>
      </c>
      <c r="BI8" s="10">
        <f t="shared" si="38"/>
        <v>2133.6159487499999</v>
      </c>
      <c r="BJ8" s="10">
        <f t="shared" si="38"/>
        <v>2068.6910351249999</v>
      </c>
      <c r="BK8" s="10">
        <f t="shared" si="38"/>
        <v>2079.4042912499999</v>
      </c>
      <c r="BL8" s="10">
        <f t="shared" si="38"/>
        <v>2212.7391536249997</v>
      </c>
      <c r="BM8" s="10">
        <f t="shared" si="38"/>
        <v>2173.5260546999998</v>
      </c>
      <c r="BN8" s="10">
        <f t="shared" si="38"/>
        <v>2034.0690479999998</v>
      </c>
      <c r="BO8" s="10">
        <f t="shared" si="38"/>
        <v>1833.8616494</v>
      </c>
      <c r="BP8" s="10">
        <f t="shared" si="38"/>
        <v>1752.6115199999999</v>
      </c>
      <c r="BQ8" s="10">
        <f t="shared" si="38"/>
        <v>1852.6626161999998</v>
      </c>
      <c r="BR8" s="10">
        <f t="shared" ref="BR8:EC8" si="39">+($B$1*BR4*BR5*BR6*BR7)/1000</f>
        <v>2128.6339502999999</v>
      </c>
      <c r="BS8" s="10">
        <f t="shared" si="39"/>
        <v>1962.40506</v>
      </c>
      <c r="BT8" s="10">
        <f t="shared" si="39"/>
        <v>2336.7395496499998</v>
      </c>
      <c r="BU8" s="10">
        <f t="shared" si="39"/>
        <v>2122.6743284999998</v>
      </c>
      <c r="BV8" s="10">
        <f t="shared" si="39"/>
        <v>2058.0823631500002</v>
      </c>
      <c r="BW8" s="10">
        <f t="shared" si="39"/>
        <v>2068.7406794999997</v>
      </c>
      <c r="BX8" s="10">
        <f t="shared" si="39"/>
        <v>2201.3917733499998</v>
      </c>
      <c r="BY8" s="10">
        <f t="shared" si="39"/>
        <v>2162.3223121499996</v>
      </c>
      <c r="BZ8" s="10">
        <f t="shared" si="39"/>
        <v>2023.5841559999999</v>
      </c>
      <c r="CA8" s="10">
        <f t="shared" si="39"/>
        <v>1824.4087542999998</v>
      </c>
      <c r="CB8" s="10">
        <f t="shared" si="39"/>
        <v>1743.57744</v>
      </c>
      <c r="CC8" s="10">
        <f t="shared" si="39"/>
        <v>1843.1128088999999</v>
      </c>
      <c r="CD8" s="10">
        <f t="shared" si="39"/>
        <v>2117.66161035</v>
      </c>
      <c r="CE8" s="10">
        <f t="shared" si="39"/>
        <v>1952.2895700000004</v>
      </c>
      <c r="CF8" s="10">
        <f t="shared" si="39"/>
        <v>2324.6945004249997</v>
      </c>
      <c r="CG8" s="10">
        <f t="shared" si="39"/>
        <v>2111.7327082499996</v>
      </c>
      <c r="CH8" s="10">
        <f t="shared" si="39"/>
        <v>2047.4736911749999</v>
      </c>
      <c r="CI8" s="10">
        <f t="shared" si="39"/>
        <v>2058.07706775</v>
      </c>
      <c r="CJ8" s="10">
        <f t="shared" si="39"/>
        <v>2190.0443930750002</v>
      </c>
      <c r="CK8" s="10">
        <f t="shared" si="39"/>
        <v>2151.1185696000002</v>
      </c>
      <c r="CL8" s="10">
        <f t="shared" si="39"/>
        <v>2013.0992640000002</v>
      </c>
      <c r="CM8" s="10">
        <f t="shared" si="39"/>
        <v>1814.9558592000001</v>
      </c>
      <c r="CN8" s="10">
        <f t="shared" si="39"/>
        <v>1734.5433599999999</v>
      </c>
      <c r="CO8" s="10">
        <f t="shared" si="39"/>
        <v>1833.5630015999998</v>
      </c>
      <c r="CP8" s="10">
        <f t="shared" si="39"/>
        <v>2106.6892704000002</v>
      </c>
      <c r="CQ8" s="10">
        <f t="shared" si="39"/>
        <v>2011.5374399999998</v>
      </c>
      <c r="CR8" s="10">
        <f t="shared" si="39"/>
        <v>2312.6494511999999</v>
      </c>
      <c r="CS8" s="10">
        <f t="shared" si="39"/>
        <v>2100.7910879999999</v>
      </c>
      <c r="CT8" s="10">
        <f t="shared" si="39"/>
        <v>2036.8650191999998</v>
      </c>
      <c r="CU8" s="10">
        <f t="shared" si="39"/>
        <v>2047.413456</v>
      </c>
      <c r="CV8" s="10">
        <f t="shared" si="39"/>
        <v>2178.6970128000003</v>
      </c>
      <c r="CW8" s="10">
        <f t="shared" si="39"/>
        <v>2139.9148270499995</v>
      </c>
      <c r="CX8" s="10">
        <f t="shared" si="39"/>
        <v>2002.6143719999998</v>
      </c>
      <c r="CY8" s="10">
        <f t="shared" si="39"/>
        <v>1805.5029641000003</v>
      </c>
      <c r="CZ8" s="10">
        <f t="shared" si="39"/>
        <v>1725.5092800000002</v>
      </c>
      <c r="DA8" s="10">
        <f t="shared" si="39"/>
        <v>1824.0131942999999</v>
      </c>
      <c r="DB8" s="10">
        <f t="shared" si="39"/>
        <v>2095.7169304500003</v>
      </c>
      <c r="DC8" s="10">
        <f t="shared" si="39"/>
        <v>1932.0585900000001</v>
      </c>
      <c r="DD8" s="10">
        <f t="shared" si="39"/>
        <v>2300.6044019750002</v>
      </c>
      <c r="DE8" s="10">
        <f t="shared" si="39"/>
        <v>2089.8494677499998</v>
      </c>
      <c r="DF8" s="10">
        <f t="shared" si="39"/>
        <v>2026.2563472249999</v>
      </c>
      <c r="DG8" s="10">
        <f t="shared" si="39"/>
        <v>2036.74984425</v>
      </c>
      <c r="DH8" s="10">
        <f t="shared" si="39"/>
        <v>2167.3496325250003</v>
      </c>
      <c r="DI8" s="10">
        <f t="shared" si="39"/>
        <v>2128.7110844999997</v>
      </c>
      <c r="DJ8" s="10">
        <f t="shared" si="39"/>
        <v>1992.1294800000001</v>
      </c>
      <c r="DK8" s="10">
        <f t="shared" si="39"/>
        <v>1796.0500690000001</v>
      </c>
      <c r="DL8" s="10">
        <f t="shared" si="39"/>
        <v>1716.4752000000001</v>
      </c>
      <c r="DM8" s="10">
        <f t="shared" si="39"/>
        <v>1814.4633869999998</v>
      </c>
      <c r="DN8" s="10">
        <f t="shared" si="39"/>
        <v>2084.7445905</v>
      </c>
      <c r="DO8" s="10">
        <f t="shared" si="39"/>
        <v>1921.9431</v>
      </c>
      <c r="DP8" s="10">
        <f t="shared" si="39"/>
        <v>2288.55935275</v>
      </c>
      <c r="DQ8" s="10">
        <f t="shared" si="39"/>
        <v>2078.9078475000001</v>
      </c>
      <c r="DR8" s="10">
        <f t="shared" si="39"/>
        <v>2015.6476752499998</v>
      </c>
      <c r="DS8" s="10">
        <f t="shared" si="39"/>
        <v>2026.0862324999998</v>
      </c>
      <c r="DT8" s="10">
        <f t="shared" si="39"/>
        <v>2156.0022522499999</v>
      </c>
      <c r="DU8" s="10">
        <f t="shared" si="39"/>
        <v>2106.3035994000002</v>
      </c>
      <c r="DV8" s="10">
        <f t="shared" si="39"/>
        <v>2036.8650192</v>
      </c>
      <c r="DW8" s="10">
        <f t="shared" si="39"/>
        <v>1777.1442787999999</v>
      </c>
      <c r="DX8" s="10">
        <f t="shared" si="39"/>
        <v>1755.020608</v>
      </c>
      <c r="DY8" s="10">
        <f t="shared" si="39"/>
        <v>1795.3637723999998</v>
      </c>
      <c r="DZ8" s="10">
        <f t="shared" si="39"/>
        <v>2062.7999106000002</v>
      </c>
      <c r="EA8" s="10">
        <f t="shared" si="39"/>
        <v>1901.7121200000001</v>
      </c>
      <c r="EB8" s="10">
        <f t="shared" si="39"/>
        <v>2264.4692542999996</v>
      </c>
      <c r="EC8" s="10">
        <f t="shared" si="39"/>
        <v>2057.0246069999998</v>
      </c>
      <c r="ED8" s="10">
        <f t="shared" ref="ED8:GO8" si="40">+($B$1*ED4*ED5*ED6*ED7)/1000</f>
        <v>1994.4303312999998</v>
      </c>
      <c r="EE8" s="10">
        <f t="shared" si="40"/>
        <v>2004.7590090000001</v>
      </c>
      <c r="EF8" s="10">
        <f t="shared" si="40"/>
        <v>2133.3074917000004</v>
      </c>
      <c r="EG8" s="10">
        <f t="shared" si="40"/>
        <v>2083.8961142999997</v>
      </c>
      <c r="EH8" s="10">
        <f t="shared" si="40"/>
        <v>2015.1962424000001</v>
      </c>
      <c r="EI8" s="10">
        <f t="shared" si="40"/>
        <v>1758.2384886</v>
      </c>
      <c r="EJ8" s="10">
        <f t="shared" si="40"/>
        <v>1736.3501759999999</v>
      </c>
      <c r="EK8" s="10">
        <f t="shared" si="40"/>
        <v>1776.2641577999998</v>
      </c>
      <c r="EL8" s="10">
        <f t="shared" si="40"/>
        <v>2040.8552307000004</v>
      </c>
      <c r="EM8" s="10">
        <f t="shared" si="40"/>
        <v>1948.6768950000001</v>
      </c>
      <c r="EN8" s="10">
        <f t="shared" si="40"/>
        <v>2240.3791558500002</v>
      </c>
      <c r="EO8" s="10">
        <f t="shared" si="40"/>
        <v>2035.1413664999998</v>
      </c>
      <c r="EP8" s="10">
        <f t="shared" si="40"/>
        <v>1973.2129873499998</v>
      </c>
      <c r="EQ8" s="10">
        <f t="shared" si="40"/>
        <v>1983.4317854999999</v>
      </c>
      <c r="ER8" s="10">
        <f t="shared" si="40"/>
        <v>2110.6127311499999</v>
      </c>
      <c r="ES8" s="10">
        <f t="shared" si="40"/>
        <v>2061.4886291999997</v>
      </c>
      <c r="ET8" s="10">
        <f t="shared" si="40"/>
        <v>1993.5274656000001</v>
      </c>
      <c r="EU8" s="10">
        <f t="shared" si="40"/>
        <v>1739.3326984</v>
      </c>
      <c r="EV8" s="10">
        <f t="shared" si="40"/>
        <v>1717.679744</v>
      </c>
      <c r="EW8" s="10">
        <f t="shared" si="40"/>
        <v>1757.1645431999998</v>
      </c>
      <c r="EX8" s="10">
        <f t="shared" si="40"/>
        <v>2018.9105508000002</v>
      </c>
      <c r="EY8" s="10">
        <f t="shared" si="40"/>
        <v>1861.2501599999998</v>
      </c>
      <c r="EZ8" s="10">
        <f t="shared" si="40"/>
        <v>2216.2890574000003</v>
      </c>
      <c r="FA8" s="10">
        <f t="shared" si="40"/>
        <v>2013.2581259999997</v>
      </c>
      <c r="FB8" s="10">
        <f t="shared" si="40"/>
        <v>1951.9956433999998</v>
      </c>
      <c r="FC8" s="10">
        <f t="shared" si="40"/>
        <v>1962.104562</v>
      </c>
      <c r="FD8" s="10">
        <f t="shared" si="40"/>
        <v>2087.9179706</v>
      </c>
      <c r="FE8" s="10">
        <f t="shared" si="40"/>
        <v>2039.0811440999998</v>
      </c>
      <c r="FF8" s="10">
        <f t="shared" si="40"/>
        <v>1971.8586888000002</v>
      </c>
      <c r="FG8" s="10">
        <f t="shared" si="40"/>
        <v>1720.4269082000001</v>
      </c>
      <c r="FH8" s="10">
        <f t="shared" si="40"/>
        <v>1699.0093119999999</v>
      </c>
      <c r="FI8" s="10">
        <f t="shared" si="40"/>
        <v>1738.0649285999998</v>
      </c>
      <c r="FJ8" s="10">
        <f t="shared" si="40"/>
        <v>1996.9658709000003</v>
      </c>
      <c r="FK8" s="10">
        <f t="shared" si="40"/>
        <v>1841.0191800000002</v>
      </c>
      <c r="FL8" s="10">
        <f t="shared" si="40"/>
        <v>2192.1989589499999</v>
      </c>
      <c r="FM8" s="10">
        <f t="shared" si="40"/>
        <v>1991.3748855000001</v>
      </c>
      <c r="FN8" s="10">
        <f t="shared" si="40"/>
        <v>1930.7782994500001</v>
      </c>
      <c r="FO8" s="10">
        <f t="shared" si="40"/>
        <v>1940.7773385</v>
      </c>
      <c r="FP8" s="10">
        <f t="shared" si="40"/>
        <v>2065.22321005</v>
      </c>
      <c r="FQ8" s="10">
        <f t="shared" si="40"/>
        <v>2016.6736589999998</v>
      </c>
      <c r="FR8" s="10">
        <f t="shared" si="40"/>
        <v>1950.1899119999998</v>
      </c>
      <c r="FS8" s="10">
        <f t="shared" si="40"/>
        <v>1701.5211179999999</v>
      </c>
      <c r="FT8" s="10">
        <f t="shared" si="40"/>
        <v>1680.33888</v>
      </c>
      <c r="FU8" s="10">
        <f t="shared" si="40"/>
        <v>1718.965314</v>
      </c>
      <c r="FV8" s="10">
        <f t="shared" si="40"/>
        <v>1975.021191</v>
      </c>
      <c r="FW8" s="10">
        <f t="shared" si="40"/>
        <v>1820.7882000000002</v>
      </c>
      <c r="FX8" s="10">
        <f t="shared" si="40"/>
        <v>2168.1088605</v>
      </c>
      <c r="FY8" s="10">
        <f t="shared" si="40"/>
        <v>1969.4916450000001</v>
      </c>
      <c r="FZ8" s="10">
        <f t="shared" si="40"/>
        <v>1909.5609554999999</v>
      </c>
      <c r="GA8" s="10">
        <f t="shared" si="40"/>
        <v>1919.4501150000001</v>
      </c>
      <c r="GB8" s="10">
        <f t="shared" si="40"/>
        <v>2042.5284494999999</v>
      </c>
      <c r="GC8" s="10">
        <f t="shared" si="40"/>
        <v>1994.2661739</v>
      </c>
      <c r="GD8" s="10">
        <f t="shared" si="40"/>
        <v>1928.5211351999999</v>
      </c>
      <c r="GE8" s="10">
        <f t="shared" si="40"/>
        <v>1682.6153277999999</v>
      </c>
      <c r="GF8" s="10">
        <f t="shared" si="40"/>
        <v>1661.6684479999999</v>
      </c>
      <c r="GG8" s="10">
        <f t="shared" si="40"/>
        <v>1699.8656994</v>
      </c>
      <c r="GH8" s="10">
        <f t="shared" si="40"/>
        <v>1953.0765111000003</v>
      </c>
      <c r="GI8" s="10">
        <f t="shared" si="40"/>
        <v>1864.8628349999999</v>
      </c>
      <c r="GJ8" s="10">
        <f t="shared" si="40"/>
        <v>2144.0187620500001</v>
      </c>
      <c r="GK8" s="10">
        <f t="shared" si="40"/>
        <v>1947.6084044999998</v>
      </c>
      <c r="GL8" s="10">
        <f t="shared" si="40"/>
        <v>1888.3436115500001</v>
      </c>
      <c r="GM8" s="10">
        <f t="shared" si="40"/>
        <v>1898.1228914999997</v>
      </c>
      <c r="GN8" s="10">
        <f t="shared" si="40"/>
        <v>2019.8336889499999</v>
      </c>
      <c r="GO8" s="10">
        <f t="shared" si="40"/>
        <v>1971.8586888</v>
      </c>
      <c r="GP8" s="10">
        <f t="shared" ref="GP8:IJ8" si="41">+($B$1*GP4*GP5*GP6*GP7)/1000</f>
        <v>1906.8523583999997</v>
      </c>
      <c r="GQ8" s="10">
        <f t="shared" si="41"/>
        <v>1663.7095376</v>
      </c>
      <c r="GR8" s="10">
        <f t="shared" si="41"/>
        <v>1642.9980159999998</v>
      </c>
      <c r="GS8" s="10">
        <f t="shared" si="41"/>
        <v>1680.7660848</v>
      </c>
      <c r="GT8" s="10">
        <f t="shared" si="41"/>
        <v>1931.1318312000001</v>
      </c>
      <c r="GU8" s="10">
        <f t="shared" si="41"/>
        <v>1780.3262399999999</v>
      </c>
      <c r="GV8" s="10">
        <f t="shared" si="41"/>
        <v>2119.9286635999997</v>
      </c>
      <c r="GW8" s="10">
        <f t="shared" si="41"/>
        <v>1925.7251639999997</v>
      </c>
      <c r="GX8" s="10">
        <f t="shared" si="41"/>
        <v>1867.1262675999997</v>
      </c>
      <c r="GY8" s="10">
        <f t="shared" si="41"/>
        <v>1876.795668</v>
      </c>
      <c r="GZ8" s="10">
        <f t="shared" si="41"/>
        <v>1997.1389283999999</v>
      </c>
      <c r="HA8" s="10">
        <f t="shared" si="41"/>
        <v>1949.4512037</v>
      </c>
      <c r="HB8" s="10">
        <f t="shared" si="41"/>
        <v>1885.1835816</v>
      </c>
      <c r="HC8" s="10">
        <f t="shared" si="41"/>
        <v>1644.8037474</v>
      </c>
      <c r="HD8" s="10">
        <f t="shared" si="41"/>
        <v>1624.3275840000001</v>
      </c>
      <c r="HE8" s="10">
        <f t="shared" si="41"/>
        <v>1661.6664701999998</v>
      </c>
      <c r="HF8" s="10">
        <f t="shared" si="41"/>
        <v>1909.1871513000001</v>
      </c>
      <c r="HG8" s="10">
        <f t="shared" si="41"/>
        <v>1760.0952600000003</v>
      </c>
      <c r="HH8" s="10">
        <f t="shared" si="41"/>
        <v>2095.8385651499998</v>
      </c>
      <c r="HI8" s="10">
        <f t="shared" si="41"/>
        <v>1903.8419234999997</v>
      </c>
      <c r="HJ8" s="10">
        <f t="shared" si="41"/>
        <v>1845.9089236499997</v>
      </c>
      <c r="HK8" s="10">
        <f t="shared" si="41"/>
        <v>1855.4684444999998</v>
      </c>
      <c r="HL8" s="10">
        <f t="shared" si="41"/>
        <v>1974.4441678499998</v>
      </c>
      <c r="HM8" s="10">
        <f t="shared" si="41"/>
        <v>1927.0437185999997</v>
      </c>
      <c r="HN8" s="10">
        <f t="shared" si="41"/>
        <v>1863.5148048000001</v>
      </c>
      <c r="HO8" s="10">
        <f t="shared" si="41"/>
        <v>1625.8979572000001</v>
      </c>
      <c r="HP8" s="10">
        <f t="shared" si="41"/>
        <v>1605.657152</v>
      </c>
      <c r="HQ8" s="10">
        <f t="shared" si="41"/>
        <v>1642.5668555999998</v>
      </c>
      <c r="HR8" s="10">
        <f t="shared" si="41"/>
        <v>1887.2424714000003</v>
      </c>
      <c r="HS8" s="10">
        <f t="shared" si="41"/>
        <v>1739.86428</v>
      </c>
      <c r="HT8" s="10">
        <f t="shared" si="41"/>
        <v>2071.7484666999999</v>
      </c>
      <c r="HU8" s="10">
        <f t="shared" si="41"/>
        <v>1881.9586830000001</v>
      </c>
      <c r="HV8" s="10">
        <f t="shared" si="41"/>
        <v>1824.6915796999999</v>
      </c>
      <c r="HW8" s="10">
        <f t="shared" si="41"/>
        <v>1834.1412210000001</v>
      </c>
      <c r="HX8" s="10">
        <f t="shared" si="41"/>
        <v>1951.7494072999998</v>
      </c>
      <c r="HY8" s="10">
        <f t="shared" si="41"/>
        <v>1904.6362335000001</v>
      </c>
      <c r="HZ8" s="10">
        <f t="shared" si="41"/>
        <v>1841.8460279999999</v>
      </c>
      <c r="IA8" s="10">
        <f t="shared" si="41"/>
        <v>1606.9921670000001</v>
      </c>
      <c r="IB8" s="10">
        <f t="shared" si="41"/>
        <v>1586.9867199999999</v>
      </c>
      <c r="IC8" s="10">
        <f t="shared" si="41"/>
        <v>1623.4672409999998</v>
      </c>
      <c r="ID8" s="10">
        <f t="shared" si="41"/>
        <v>1865.2977915000004</v>
      </c>
      <c r="IE8" s="10">
        <f t="shared" si="41"/>
        <v>1781.0487750000002</v>
      </c>
      <c r="IF8" s="10">
        <f t="shared" si="41"/>
        <v>2047.6583682499997</v>
      </c>
      <c r="IG8" s="10">
        <f t="shared" si="41"/>
        <v>1860.0754424999998</v>
      </c>
      <c r="IH8" s="10">
        <f t="shared" si="41"/>
        <v>1803.4742357499997</v>
      </c>
      <c r="II8" s="10">
        <f t="shared" si="41"/>
        <v>1812.8139974999999</v>
      </c>
      <c r="IJ8" s="10">
        <f t="shared" si="41"/>
        <v>1929.0546467500001</v>
      </c>
      <c r="IK8" s="10">
        <f t="shared" ref="IK8:IO8" si="42">+($B$1*IK4*IK5*IK6*IK7)/1000</f>
        <v>1887.0819824999992</v>
      </c>
      <c r="IL8" s="10">
        <f t="shared" si="42"/>
        <v>1829.1143734285722</v>
      </c>
      <c r="IM8" s="10">
        <f t="shared" si="42"/>
        <v>1599.5866731428541</v>
      </c>
      <c r="IN8" s="10">
        <f t="shared" si="42"/>
        <v>1583.3300685714269</v>
      </c>
      <c r="IO8" s="10">
        <f t="shared" si="42"/>
        <v>1623.4672409999998</v>
      </c>
    </row>
    <row r="9" spans="1:261" x14ac:dyDescent="0.3">
      <c r="A9" t="s">
        <v>766</v>
      </c>
      <c r="B9" s="31">
        <f>+SUM(E9:IJ9)</f>
        <v>419500</v>
      </c>
      <c r="C9" s="31"/>
      <c r="D9" s="31"/>
      <c r="E9" s="10">
        <f>+Datos2!U6</f>
        <v>1361</v>
      </c>
      <c r="F9" s="10">
        <f>+Datos2!V6</f>
        <v>1712</v>
      </c>
      <c r="G9" s="10">
        <f>+Datos2!W6</f>
        <v>1565</v>
      </c>
      <c r="H9" s="10">
        <f>+Datos2!X6</f>
        <v>2143</v>
      </c>
      <c r="I9" s="10">
        <f>+Datos2!Y6</f>
        <v>2131</v>
      </c>
      <c r="J9" s="10">
        <f>+Datos2!Z6</f>
        <v>2409</v>
      </c>
      <c r="K9" s="10">
        <f>+Datos2!O6</f>
        <v>2063</v>
      </c>
      <c r="L9" s="10">
        <f>+Datos2!P6</f>
        <v>1931</v>
      </c>
      <c r="M9" s="10">
        <f>+Datos2!Q6</f>
        <v>1439</v>
      </c>
      <c r="N9" s="10">
        <f>+Datos2!R6</f>
        <v>1428</v>
      </c>
      <c r="O9" s="10">
        <f>+Datos2!S6</f>
        <v>1562</v>
      </c>
      <c r="P9" s="10">
        <f>+Datos2!T6</f>
        <v>1231</v>
      </c>
      <c r="Q9" s="10">
        <f>+Datos2!U6</f>
        <v>1361</v>
      </c>
      <c r="R9" s="10">
        <f>+Datos2!V6</f>
        <v>1712</v>
      </c>
      <c r="S9" s="10">
        <f>+Datos2!W6</f>
        <v>1565</v>
      </c>
      <c r="T9" s="10">
        <f>+Datos2!X6</f>
        <v>2143</v>
      </c>
      <c r="U9" s="10">
        <f>+Datos2!Y6</f>
        <v>2131</v>
      </c>
      <c r="V9" s="10">
        <f>+Datos2!Z6</f>
        <v>2409</v>
      </c>
      <c r="W9" s="10">
        <f t="shared" ref="W9:CC9" si="43">+K9</f>
        <v>2063</v>
      </c>
      <c r="X9" s="10">
        <f t="shared" si="43"/>
        <v>1931</v>
      </c>
      <c r="Y9" s="10">
        <f t="shared" si="43"/>
        <v>1439</v>
      </c>
      <c r="Z9" s="10">
        <f t="shared" si="43"/>
        <v>1428</v>
      </c>
      <c r="AA9" s="10">
        <f t="shared" si="43"/>
        <v>1562</v>
      </c>
      <c r="AB9" s="10">
        <f t="shared" si="43"/>
        <v>1231</v>
      </c>
      <c r="AC9" s="10">
        <f t="shared" si="43"/>
        <v>1361</v>
      </c>
      <c r="AD9" s="10">
        <f t="shared" si="43"/>
        <v>1712</v>
      </c>
      <c r="AE9" s="10">
        <f t="shared" si="43"/>
        <v>1565</v>
      </c>
      <c r="AF9" s="10">
        <f t="shared" si="43"/>
        <v>2143</v>
      </c>
      <c r="AG9" s="10">
        <f t="shared" si="43"/>
        <v>2131</v>
      </c>
      <c r="AH9" s="10">
        <f t="shared" si="43"/>
        <v>2409</v>
      </c>
      <c r="AI9" s="10">
        <f t="shared" si="43"/>
        <v>2063</v>
      </c>
      <c r="AJ9" s="10">
        <f t="shared" si="43"/>
        <v>1931</v>
      </c>
      <c r="AK9" s="10">
        <f t="shared" si="43"/>
        <v>1439</v>
      </c>
      <c r="AL9" s="10">
        <f t="shared" si="43"/>
        <v>1428</v>
      </c>
      <c r="AM9" s="10">
        <f t="shared" si="43"/>
        <v>1562</v>
      </c>
      <c r="AN9" s="10">
        <f t="shared" si="43"/>
        <v>1231</v>
      </c>
      <c r="AO9" s="10">
        <f t="shared" si="43"/>
        <v>1361</v>
      </c>
      <c r="AP9" s="10">
        <f t="shared" si="43"/>
        <v>1712</v>
      </c>
      <c r="AQ9" s="10">
        <f t="shared" si="43"/>
        <v>1565</v>
      </c>
      <c r="AR9" s="10">
        <f t="shared" si="43"/>
        <v>2143</v>
      </c>
      <c r="AS9" s="10">
        <f t="shared" si="43"/>
        <v>2131</v>
      </c>
      <c r="AT9" s="10">
        <f t="shared" si="43"/>
        <v>2409</v>
      </c>
      <c r="AU9" s="10">
        <f t="shared" si="43"/>
        <v>2063</v>
      </c>
      <c r="AV9" s="10">
        <f t="shared" si="43"/>
        <v>1931</v>
      </c>
      <c r="AW9" s="10">
        <f t="shared" si="43"/>
        <v>1439</v>
      </c>
      <c r="AX9" s="10">
        <f t="shared" si="43"/>
        <v>1428</v>
      </c>
      <c r="AY9" s="10">
        <f t="shared" si="43"/>
        <v>1562</v>
      </c>
      <c r="AZ9" s="10">
        <f t="shared" si="43"/>
        <v>1231</v>
      </c>
      <c r="BA9" s="10">
        <f t="shared" si="43"/>
        <v>1361</v>
      </c>
      <c r="BB9" s="10">
        <f t="shared" si="43"/>
        <v>1712</v>
      </c>
      <c r="BC9" s="10">
        <f t="shared" si="43"/>
        <v>1565</v>
      </c>
      <c r="BD9" s="10">
        <f t="shared" si="43"/>
        <v>2143</v>
      </c>
      <c r="BE9" s="10">
        <f t="shared" si="43"/>
        <v>2131</v>
      </c>
      <c r="BF9" s="10">
        <f t="shared" si="43"/>
        <v>2409</v>
      </c>
      <c r="BG9" s="10">
        <f t="shared" si="43"/>
        <v>2063</v>
      </c>
      <c r="BH9" s="10">
        <f t="shared" si="43"/>
        <v>1931</v>
      </c>
      <c r="BI9" s="10">
        <f t="shared" si="43"/>
        <v>1439</v>
      </c>
      <c r="BJ9" s="10">
        <f t="shared" si="43"/>
        <v>1428</v>
      </c>
      <c r="BK9" s="10">
        <f t="shared" si="43"/>
        <v>1562</v>
      </c>
      <c r="BL9" s="10">
        <f t="shared" si="43"/>
        <v>1231</v>
      </c>
      <c r="BM9" s="10">
        <f t="shared" si="43"/>
        <v>1361</v>
      </c>
      <c r="BN9" s="10">
        <f t="shared" si="43"/>
        <v>1712</v>
      </c>
      <c r="BO9" s="10">
        <f t="shared" si="43"/>
        <v>1565</v>
      </c>
      <c r="BP9" s="10">
        <f t="shared" si="43"/>
        <v>2143</v>
      </c>
      <c r="BQ9" s="10">
        <f t="shared" si="43"/>
        <v>2131</v>
      </c>
      <c r="BR9" s="10">
        <f t="shared" si="43"/>
        <v>2409</v>
      </c>
      <c r="BS9" s="10">
        <f t="shared" si="43"/>
        <v>2063</v>
      </c>
      <c r="BT9" s="10">
        <f t="shared" si="43"/>
        <v>1931</v>
      </c>
      <c r="BU9" s="10">
        <f t="shared" si="43"/>
        <v>1439</v>
      </c>
      <c r="BV9" s="10">
        <f t="shared" si="43"/>
        <v>1428</v>
      </c>
      <c r="BW9" s="10">
        <f t="shared" si="43"/>
        <v>1562</v>
      </c>
      <c r="BX9" s="10">
        <f t="shared" si="43"/>
        <v>1231</v>
      </c>
      <c r="BY9" s="10">
        <f t="shared" si="43"/>
        <v>1361</v>
      </c>
      <c r="BZ9" s="10">
        <f t="shared" si="43"/>
        <v>1712</v>
      </c>
      <c r="CA9" s="10">
        <f t="shared" si="43"/>
        <v>1565</v>
      </c>
      <c r="CB9" s="10">
        <f t="shared" si="43"/>
        <v>2143</v>
      </c>
      <c r="CC9" s="10">
        <f t="shared" si="43"/>
        <v>2131</v>
      </c>
      <c r="CD9" s="10">
        <f t="shared" ref="CD9:EO9" si="44">+BR9</f>
        <v>2409</v>
      </c>
      <c r="CE9" s="10">
        <f t="shared" si="44"/>
        <v>2063</v>
      </c>
      <c r="CF9" s="10">
        <f t="shared" si="44"/>
        <v>1931</v>
      </c>
      <c r="CG9" s="10">
        <f t="shared" si="44"/>
        <v>1439</v>
      </c>
      <c r="CH9" s="10">
        <f t="shared" si="44"/>
        <v>1428</v>
      </c>
      <c r="CI9" s="10">
        <f t="shared" si="44"/>
        <v>1562</v>
      </c>
      <c r="CJ9" s="10">
        <f t="shared" si="44"/>
        <v>1231</v>
      </c>
      <c r="CK9" s="10">
        <f t="shared" si="44"/>
        <v>1361</v>
      </c>
      <c r="CL9" s="10">
        <f t="shared" si="44"/>
        <v>1712</v>
      </c>
      <c r="CM9" s="10">
        <f t="shared" si="44"/>
        <v>1565</v>
      </c>
      <c r="CN9" s="10">
        <f t="shared" si="44"/>
        <v>2143</v>
      </c>
      <c r="CO9" s="10">
        <f t="shared" si="44"/>
        <v>2131</v>
      </c>
      <c r="CP9" s="10">
        <f t="shared" si="44"/>
        <v>2409</v>
      </c>
      <c r="CQ9" s="10">
        <f t="shared" si="44"/>
        <v>2063</v>
      </c>
      <c r="CR9" s="10">
        <f t="shared" si="44"/>
        <v>1931</v>
      </c>
      <c r="CS9" s="10">
        <f t="shared" si="44"/>
        <v>1439</v>
      </c>
      <c r="CT9" s="10">
        <f t="shared" si="44"/>
        <v>1428</v>
      </c>
      <c r="CU9" s="10">
        <f t="shared" si="44"/>
        <v>1562</v>
      </c>
      <c r="CV9" s="10">
        <f t="shared" si="44"/>
        <v>1231</v>
      </c>
      <c r="CW9" s="10">
        <f t="shared" si="44"/>
        <v>1361</v>
      </c>
      <c r="CX9" s="10">
        <f t="shared" si="44"/>
        <v>1712</v>
      </c>
      <c r="CY9" s="10">
        <f t="shared" si="44"/>
        <v>1565</v>
      </c>
      <c r="CZ9" s="10">
        <f t="shared" si="44"/>
        <v>2143</v>
      </c>
      <c r="DA9" s="10">
        <f t="shared" si="44"/>
        <v>2131</v>
      </c>
      <c r="DB9" s="10">
        <f t="shared" si="44"/>
        <v>2409</v>
      </c>
      <c r="DC9" s="10">
        <f t="shared" si="44"/>
        <v>2063</v>
      </c>
      <c r="DD9" s="10">
        <f t="shared" si="44"/>
        <v>1931</v>
      </c>
      <c r="DE9" s="10">
        <f t="shared" si="44"/>
        <v>1439</v>
      </c>
      <c r="DF9" s="10">
        <f t="shared" si="44"/>
        <v>1428</v>
      </c>
      <c r="DG9" s="10">
        <f t="shared" si="44"/>
        <v>1562</v>
      </c>
      <c r="DH9" s="10">
        <f t="shared" si="44"/>
        <v>1231</v>
      </c>
      <c r="DI9" s="10">
        <f t="shared" si="44"/>
        <v>1361</v>
      </c>
      <c r="DJ9" s="10">
        <f t="shared" si="44"/>
        <v>1712</v>
      </c>
      <c r="DK9" s="10">
        <f t="shared" si="44"/>
        <v>1565</v>
      </c>
      <c r="DL9" s="10">
        <f t="shared" si="44"/>
        <v>2143</v>
      </c>
      <c r="DM9" s="10">
        <f t="shared" si="44"/>
        <v>2131</v>
      </c>
      <c r="DN9" s="10">
        <f t="shared" si="44"/>
        <v>2409</v>
      </c>
      <c r="DO9" s="10">
        <f t="shared" si="44"/>
        <v>2063</v>
      </c>
      <c r="DP9" s="10">
        <f t="shared" si="44"/>
        <v>1931</v>
      </c>
      <c r="DQ9" s="10">
        <f t="shared" si="44"/>
        <v>1439</v>
      </c>
      <c r="DR9" s="10">
        <f t="shared" si="44"/>
        <v>1428</v>
      </c>
      <c r="DS9" s="10">
        <f t="shared" si="44"/>
        <v>1562</v>
      </c>
      <c r="DT9" s="10">
        <f t="shared" si="44"/>
        <v>1231</v>
      </c>
      <c r="DU9" s="10">
        <f t="shared" si="44"/>
        <v>1361</v>
      </c>
      <c r="DV9" s="10">
        <f t="shared" si="44"/>
        <v>1712</v>
      </c>
      <c r="DW9" s="10">
        <f t="shared" si="44"/>
        <v>1565</v>
      </c>
      <c r="DX9" s="10">
        <f t="shared" si="44"/>
        <v>2143</v>
      </c>
      <c r="DY9" s="10">
        <f t="shared" si="44"/>
        <v>2131</v>
      </c>
      <c r="DZ9" s="10">
        <f t="shared" si="44"/>
        <v>2409</v>
      </c>
      <c r="EA9" s="10">
        <f t="shared" si="44"/>
        <v>2063</v>
      </c>
      <c r="EB9" s="10">
        <f t="shared" si="44"/>
        <v>1931</v>
      </c>
      <c r="EC9" s="10">
        <f t="shared" si="44"/>
        <v>1439</v>
      </c>
      <c r="ED9" s="10">
        <f t="shared" si="44"/>
        <v>1428</v>
      </c>
      <c r="EE9" s="10">
        <f t="shared" si="44"/>
        <v>1562</v>
      </c>
      <c r="EF9" s="10">
        <f t="shared" si="44"/>
        <v>1231</v>
      </c>
      <c r="EG9" s="10">
        <f t="shared" si="44"/>
        <v>1361</v>
      </c>
      <c r="EH9" s="10">
        <f t="shared" si="44"/>
        <v>1712</v>
      </c>
      <c r="EI9" s="10">
        <f t="shared" si="44"/>
        <v>1565</v>
      </c>
      <c r="EJ9" s="10">
        <f t="shared" si="44"/>
        <v>2143</v>
      </c>
      <c r="EK9" s="10">
        <f t="shared" si="44"/>
        <v>2131</v>
      </c>
      <c r="EL9" s="10">
        <f t="shared" si="44"/>
        <v>2409</v>
      </c>
      <c r="EM9" s="10">
        <f t="shared" si="44"/>
        <v>2063</v>
      </c>
      <c r="EN9" s="10">
        <f t="shared" si="44"/>
        <v>1931</v>
      </c>
      <c r="EO9" s="10">
        <f t="shared" si="44"/>
        <v>1439</v>
      </c>
      <c r="EP9" s="10">
        <f t="shared" ref="EP9:HA9" si="45">+ED9</f>
        <v>1428</v>
      </c>
      <c r="EQ9" s="10">
        <f t="shared" si="45"/>
        <v>1562</v>
      </c>
      <c r="ER9" s="10">
        <f t="shared" si="45"/>
        <v>1231</v>
      </c>
      <c r="ES9" s="10">
        <f t="shared" si="45"/>
        <v>1361</v>
      </c>
      <c r="ET9" s="10">
        <f t="shared" si="45"/>
        <v>1712</v>
      </c>
      <c r="EU9" s="10">
        <f t="shared" si="45"/>
        <v>1565</v>
      </c>
      <c r="EV9" s="10">
        <f t="shared" si="45"/>
        <v>2143</v>
      </c>
      <c r="EW9" s="10">
        <f t="shared" si="45"/>
        <v>2131</v>
      </c>
      <c r="EX9" s="10">
        <f t="shared" si="45"/>
        <v>2409</v>
      </c>
      <c r="EY9" s="10">
        <f t="shared" si="45"/>
        <v>2063</v>
      </c>
      <c r="EZ9" s="10">
        <f t="shared" si="45"/>
        <v>1931</v>
      </c>
      <c r="FA9" s="10">
        <f t="shared" si="45"/>
        <v>1439</v>
      </c>
      <c r="FB9" s="10">
        <f t="shared" si="45"/>
        <v>1428</v>
      </c>
      <c r="FC9" s="10">
        <f t="shared" si="45"/>
        <v>1562</v>
      </c>
      <c r="FD9" s="10">
        <f t="shared" si="45"/>
        <v>1231</v>
      </c>
      <c r="FE9" s="10">
        <f t="shared" si="45"/>
        <v>1361</v>
      </c>
      <c r="FF9" s="10">
        <f t="shared" si="45"/>
        <v>1712</v>
      </c>
      <c r="FG9" s="10">
        <f t="shared" si="45"/>
        <v>1565</v>
      </c>
      <c r="FH9" s="10">
        <f t="shared" si="45"/>
        <v>2143</v>
      </c>
      <c r="FI9" s="10">
        <f t="shared" si="45"/>
        <v>2131</v>
      </c>
      <c r="FJ9" s="10">
        <f t="shared" si="45"/>
        <v>2409</v>
      </c>
      <c r="FK9" s="10">
        <f t="shared" si="45"/>
        <v>2063</v>
      </c>
      <c r="FL9" s="10">
        <f t="shared" si="45"/>
        <v>1931</v>
      </c>
      <c r="FM9" s="10">
        <f t="shared" si="45"/>
        <v>1439</v>
      </c>
      <c r="FN9" s="10">
        <f t="shared" si="45"/>
        <v>1428</v>
      </c>
      <c r="FO9" s="10">
        <f t="shared" si="45"/>
        <v>1562</v>
      </c>
      <c r="FP9" s="10">
        <f t="shared" si="45"/>
        <v>1231</v>
      </c>
      <c r="FQ9" s="10">
        <f t="shared" si="45"/>
        <v>1361</v>
      </c>
      <c r="FR9" s="10">
        <f t="shared" si="45"/>
        <v>1712</v>
      </c>
      <c r="FS9" s="10">
        <f t="shared" si="45"/>
        <v>1565</v>
      </c>
      <c r="FT9" s="10">
        <f t="shared" si="45"/>
        <v>2143</v>
      </c>
      <c r="FU9" s="10">
        <f t="shared" si="45"/>
        <v>2131</v>
      </c>
      <c r="FV9" s="10">
        <f t="shared" si="45"/>
        <v>2409</v>
      </c>
      <c r="FW9" s="10">
        <f t="shared" si="45"/>
        <v>2063</v>
      </c>
      <c r="FX9" s="10">
        <f t="shared" si="45"/>
        <v>1931</v>
      </c>
      <c r="FY9" s="10">
        <f t="shared" si="45"/>
        <v>1439</v>
      </c>
      <c r="FZ9" s="10">
        <f t="shared" si="45"/>
        <v>1428</v>
      </c>
      <c r="GA9" s="10">
        <f t="shared" si="45"/>
        <v>1562</v>
      </c>
      <c r="GB9" s="10">
        <f t="shared" si="45"/>
        <v>1231</v>
      </c>
      <c r="GC9" s="10">
        <f t="shared" si="45"/>
        <v>1361</v>
      </c>
      <c r="GD9" s="10">
        <f t="shared" si="45"/>
        <v>1712</v>
      </c>
      <c r="GE9" s="10">
        <f t="shared" si="45"/>
        <v>1565</v>
      </c>
      <c r="GF9" s="10">
        <f t="shared" si="45"/>
        <v>2143</v>
      </c>
      <c r="GG9" s="10">
        <f t="shared" si="45"/>
        <v>2131</v>
      </c>
      <c r="GH9" s="10">
        <f t="shared" si="45"/>
        <v>2409</v>
      </c>
      <c r="GI9" s="10">
        <f t="shared" si="45"/>
        <v>2063</v>
      </c>
      <c r="GJ9" s="10">
        <f t="shared" si="45"/>
        <v>1931</v>
      </c>
      <c r="GK9" s="10">
        <f t="shared" si="45"/>
        <v>1439</v>
      </c>
      <c r="GL9" s="10">
        <f t="shared" si="45"/>
        <v>1428</v>
      </c>
      <c r="GM9" s="10">
        <f t="shared" si="45"/>
        <v>1562</v>
      </c>
      <c r="GN9" s="10">
        <f t="shared" si="45"/>
        <v>1231</v>
      </c>
      <c r="GO9" s="10">
        <f t="shared" si="45"/>
        <v>1361</v>
      </c>
      <c r="GP9" s="10">
        <f t="shared" si="45"/>
        <v>1712</v>
      </c>
      <c r="GQ9" s="10">
        <f t="shared" si="45"/>
        <v>1565</v>
      </c>
      <c r="GR9" s="10">
        <f t="shared" si="45"/>
        <v>2143</v>
      </c>
      <c r="GS9" s="10">
        <f t="shared" si="45"/>
        <v>2131</v>
      </c>
      <c r="GT9" s="10">
        <f t="shared" si="45"/>
        <v>2409</v>
      </c>
      <c r="GU9" s="10">
        <f t="shared" si="45"/>
        <v>2063</v>
      </c>
      <c r="GV9" s="10">
        <f t="shared" si="45"/>
        <v>1931</v>
      </c>
      <c r="GW9" s="10">
        <f t="shared" si="45"/>
        <v>1439</v>
      </c>
      <c r="GX9" s="10">
        <f t="shared" si="45"/>
        <v>1428</v>
      </c>
      <c r="GY9" s="10">
        <f t="shared" si="45"/>
        <v>1562</v>
      </c>
      <c r="GZ9" s="10">
        <f t="shared" si="45"/>
        <v>1231</v>
      </c>
      <c r="HA9" s="10">
        <f t="shared" si="45"/>
        <v>1361</v>
      </c>
      <c r="HB9" s="10">
        <f t="shared" ref="HB9:IO9" si="46">+GP9</f>
        <v>1712</v>
      </c>
      <c r="HC9" s="10">
        <f t="shared" si="46"/>
        <v>1565</v>
      </c>
      <c r="HD9" s="10">
        <f t="shared" si="46"/>
        <v>2143</v>
      </c>
      <c r="HE9" s="10">
        <f t="shared" si="46"/>
        <v>2131</v>
      </c>
      <c r="HF9" s="10">
        <f t="shared" si="46"/>
        <v>2409</v>
      </c>
      <c r="HG9" s="10">
        <f t="shared" si="46"/>
        <v>2063</v>
      </c>
      <c r="HH9" s="10">
        <f t="shared" si="46"/>
        <v>1931</v>
      </c>
      <c r="HI9" s="10">
        <f t="shared" si="46"/>
        <v>1439</v>
      </c>
      <c r="HJ9" s="10">
        <f t="shared" si="46"/>
        <v>1428</v>
      </c>
      <c r="HK9" s="10">
        <f t="shared" si="46"/>
        <v>1562</v>
      </c>
      <c r="HL9" s="10">
        <f t="shared" si="46"/>
        <v>1231</v>
      </c>
      <c r="HM9" s="10">
        <f t="shared" si="46"/>
        <v>1361</v>
      </c>
      <c r="HN9" s="10">
        <f t="shared" si="46"/>
        <v>1712</v>
      </c>
      <c r="HO9" s="10">
        <f t="shared" si="46"/>
        <v>1565</v>
      </c>
      <c r="HP9" s="10">
        <f t="shared" si="46"/>
        <v>2143</v>
      </c>
      <c r="HQ9" s="10">
        <f t="shared" si="46"/>
        <v>2131</v>
      </c>
      <c r="HR9" s="10">
        <f t="shared" si="46"/>
        <v>2409</v>
      </c>
      <c r="HS9" s="10">
        <f t="shared" si="46"/>
        <v>2063</v>
      </c>
      <c r="HT9" s="10">
        <f t="shared" si="46"/>
        <v>1931</v>
      </c>
      <c r="HU9" s="10">
        <f t="shared" si="46"/>
        <v>1439</v>
      </c>
      <c r="HV9" s="10">
        <f t="shared" si="46"/>
        <v>1428</v>
      </c>
      <c r="HW9" s="10">
        <f t="shared" si="46"/>
        <v>1562</v>
      </c>
      <c r="HX9" s="10">
        <f t="shared" si="46"/>
        <v>1231</v>
      </c>
      <c r="HY9" s="10">
        <f t="shared" si="46"/>
        <v>1361</v>
      </c>
      <c r="HZ9" s="10">
        <f t="shared" si="46"/>
        <v>1712</v>
      </c>
      <c r="IA9" s="10">
        <f t="shared" si="46"/>
        <v>1565</v>
      </c>
      <c r="IB9" s="10">
        <f t="shared" si="46"/>
        <v>2143</v>
      </c>
      <c r="IC9" s="10">
        <f t="shared" si="46"/>
        <v>2131</v>
      </c>
      <c r="ID9" s="10">
        <f t="shared" si="46"/>
        <v>2409</v>
      </c>
      <c r="IE9" s="10">
        <f t="shared" si="46"/>
        <v>2063</v>
      </c>
      <c r="IF9" s="10">
        <f t="shared" si="46"/>
        <v>1931</v>
      </c>
      <c r="IG9" s="10">
        <f t="shared" si="46"/>
        <v>1439</v>
      </c>
      <c r="IH9" s="10">
        <f t="shared" si="46"/>
        <v>1428</v>
      </c>
      <c r="II9" s="10">
        <f t="shared" si="46"/>
        <v>1562</v>
      </c>
      <c r="IJ9" s="10">
        <f t="shared" si="46"/>
        <v>1231</v>
      </c>
      <c r="IK9" s="10">
        <f t="shared" si="46"/>
        <v>1361</v>
      </c>
      <c r="IL9" s="10">
        <f t="shared" si="46"/>
        <v>1712</v>
      </c>
      <c r="IM9" s="10">
        <f t="shared" si="46"/>
        <v>1565</v>
      </c>
      <c r="IN9" s="10">
        <f t="shared" si="46"/>
        <v>2143</v>
      </c>
      <c r="IO9" s="10">
        <f t="shared" si="46"/>
        <v>2131</v>
      </c>
    </row>
    <row r="10" spans="1:261" x14ac:dyDescent="0.3">
      <c r="A10" t="s">
        <v>767</v>
      </c>
      <c r="B10" s="38"/>
      <c r="C10" s="31"/>
      <c r="D10" s="31"/>
      <c r="E10" s="10">
        <f>+Liquidación!E73</f>
        <v>831.52461681221666</v>
      </c>
      <c r="F10" s="10">
        <f>+Liquidación!F73</f>
        <v>998.68043301945522</v>
      </c>
      <c r="G10" s="10">
        <f>+Liquidación!G73</f>
        <v>910.55470745056743</v>
      </c>
      <c r="H10" s="10">
        <f>+Liquidación!H73</f>
        <v>1176.3602798519992</v>
      </c>
      <c r="I10" s="10">
        <f>+Liquidación!I73</f>
        <v>1179.9824039392058</v>
      </c>
      <c r="J10" s="10">
        <f>+Liquidación!J73</f>
        <v>1337.1029001703653</v>
      </c>
      <c r="K10" s="10">
        <f>+Liquidación!K73</f>
        <v>1158.0208047982933</v>
      </c>
      <c r="L10" s="10">
        <f>+Liquidación!L73</f>
        <v>1129.6225860082545</v>
      </c>
      <c r="M10" s="10">
        <f>+Liquidación!M73</f>
        <v>867.40387236477977</v>
      </c>
      <c r="N10" s="10">
        <f>+Liquidación!N73</f>
        <v>857.52639669953442</v>
      </c>
      <c r="O10" s="10">
        <f>+Liquidación!O73</f>
        <v>923.13904496604459</v>
      </c>
      <c r="P10" s="10">
        <f>+Liquidación!P73</f>
        <v>767.90693849785657</v>
      </c>
      <c r="Q10" s="10">
        <f t="shared" ref="Q10:CB10" si="47">+E10*(1-(E5-Q5))</f>
        <v>829.86156757859226</v>
      </c>
      <c r="R10" s="10">
        <f t="shared" si="47"/>
        <v>996.68307215341633</v>
      </c>
      <c r="S10" s="10">
        <f t="shared" si="47"/>
        <v>908.73359803566632</v>
      </c>
      <c r="T10" s="10">
        <f t="shared" si="47"/>
        <v>1174.0075592922951</v>
      </c>
      <c r="U10" s="10">
        <f t="shared" si="47"/>
        <v>1177.6224391313274</v>
      </c>
      <c r="V10" s="10">
        <f t="shared" si="47"/>
        <v>1334.4286943700245</v>
      </c>
      <c r="W10" s="10">
        <f t="shared" si="47"/>
        <v>1155.7047631886967</v>
      </c>
      <c r="X10" s="10">
        <f t="shared" si="47"/>
        <v>1127.363340836238</v>
      </c>
      <c r="Y10" s="10">
        <f t="shared" si="47"/>
        <v>865.66906462005022</v>
      </c>
      <c r="Z10" s="10">
        <f t="shared" si="47"/>
        <v>855.81134390613533</v>
      </c>
      <c r="AA10" s="10">
        <f t="shared" si="47"/>
        <v>921.29276687611252</v>
      </c>
      <c r="AB10" s="10">
        <f t="shared" si="47"/>
        <v>766.37112462086088</v>
      </c>
      <c r="AC10" s="10">
        <f t="shared" si="47"/>
        <v>829.03170601101363</v>
      </c>
      <c r="AD10" s="10">
        <f t="shared" si="47"/>
        <v>995.68638908126286</v>
      </c>
      <c r="AE10" s="10">
        <f t="shared" si="47"/>
        <v>907.82486443763059</v>
      </c>
      <c r="AF10" s="10">
        <f t="shared" si="47"/>
        <v>1172.8335517330029</v>
      </c>
      <c r="AG10" s="10">
        <f t="shared" si="47"/>
        <v>1176.4448166921961</v>
      </c>
      <c r="AH10" s="10">
        <f t="shared" si="47"/>
        <v>1333.0942656756545</v>
      </c>
      <c r="AI10" s="10">
        <f t="shared" si="47"/>
        <v>1154.5490584255081</v>
      </c>
      <c r="AJ10" s="10">
        <f t="shared" si="47"/>
        <v>1126.2359774954018</v>
      </c>
      <c r="AK10" s="10">
        <f t="shared" si="47"/>
        <v>864.80339555543014</v>
      </c>
      <c r="AL10" s="10">
        <f t="shared" si="47"/>
        <v>854.95553256222922</v>
      </c>
      <c r="AM10" s="10">
        <f t="shared" si="47"/>
        <v>920.37147410923637</v>
      </c>
      <c r="AN10" s="10">
        <f t="shared" si="47"/>
        <v>765.60475349624005</v>
      </c>
      <c r="AO10" s="10">
        <f t="shared" si="47"/>
        <v>828.20267430500257</v>
      </c>
      <c r="AP10" s="10">
        <f t="shared" si="47"/>
        <v>994.69070269218162</v>
      </c>
      <c r="AQ10" s="10">
        <f t="shared" si="47"/>
        <v>906.91703957319294</v>
      </c>
      <c r="AR10" s="10">
        <f t="shared" si="47"/>
        <v>1171.6607181812699</v>
      </c>
      <c r="AS10" s="10">
        <f t="shared" si="47"/>
        <v>1175.2683718755038</v>
      </c>
      <c r="AT10" s="10">
        <f t="shared" si="47"/>
        <v>1331.7611714099787</v>
      </c>
      <c r="AU10" s="10">
        <f t="shared" si="47"/>
        <v>1153.3945093670825</v>
      </c>
      <c r="AV10" s="10">
        <f t="shared" si="47"/>
        <v>1125.1097415179065</v>
      </c>
      <c r="AW10" s="10">
        <f t="shared" si="47"/>
        <v>863.9385921598747</v>
      </c>
      <c r="AX10" s="10">
        <f t="shared" si="47"/>
        <v>854.10057702966697</v>
      </c>
      <c r="AY10" s="10">
        <f t="shared" si="47"/>
        <v>919.45110263512709</v>
      </c>
      <c r="AZ10" s="10">
        <f t="shared" si="47"/>
        <v>764.83914874274376</v>
      </c>
      <c r="BA10" s="10">
        <f t="shared" si="47"/>
        <v>827.3744716306976</v>
      </c>
      <c r="BB10" s="10">
        <f t="shared" si="47"/>
        <v>993.69601198948942</v>
      </c>
      <c r="BC10" s="10">
        <f t="shared" si="47"/>
        <v>906.01012253361978</v>
      </c>
      <c r="BD10" s="10">
        <f t="shared" si="47"/>
        <v>1170.4890574630886</v>
      </c>
      <c r="BE10" s="10">
        <f t="shared" si="47"/>
        <v>1174.0931035036283</v>
      </c>
      <c r="BF10" s="10">
        <f t="shared" si="47"/>
        <v>1330.4294102385688</v>
      </c>
      <c r="BG10" s="10">
        <f t="shared" si="47"/>
        <v>1152.2411148577155</v>
      </c>
      <c r="BH10" s="10">
        <f t="shared" si="47"/>
        <v>1123.9846317763886</v>
      </c>
      <c r="BI10" s="10">
        <f t="shared" si="47"/>
        <v>863.07465356771479</v>
      </c>
      <c r="BJ10" s="10">
        <f t="shared" si="47"/>
        <v>853.24647645263735</v>
      </c>
      <c r="BK10" s="10">
        <f t="shared" si="47"/>
        <v>918.53165153249199</v>
      </c>
      <c r="BL10" s="10">
        <f t="shared" si="47"/>
        <v>764.07430959400097</v>
      </c>
      <c r="BM10" s="10">
        <f t="shared" si="47"/>
        <v>823.23759927254412</v>
      </c>
      <c r="BN10" s="10">
        <f t="shared" si="47"/>
        <v>988.72753192954201</v>
      </c>
      <c r="BO10" s="10">
        <f t="shared" si="47"/>
        <v>901.48007192095167</v>
      </c>
      <c r="BP10" s="10">
        <f t="shared" si="47"/>
        <v>1164.6366121757731</v>
      </c>
      <c r="BQ10" s="10">
        <f t="shared" si="47"/>
        <v>1168.2226379861102</v>
      </c>
      <c r="BR10" s="10">
        <f t="shared" si="47"/>
        <v>1323.7772631873761</v>
      </c>
      <c r="BS10" s="10">
        <f t="shared" si="47"/>
        <v>1146.4799092834269</v>
      </c>
      <c r="BT10" s="10">
        <f t="shared" si="47"/>
        <v>1118.3647086175067</v>
      </c>
      <c r="BU10" s="10">
        <f t="shared" si="47"/>
        <v>858.7592802998762</v>
      </c>
      <c r="BV10" s="10">
        <f t="shared" si="47"/>
        <v>848.98024407037417</v>
      </c>
      <c r="BW10" s="10">
        <f t="shared" si="47"/>
        <v>913.9389932748295</v>
      </c>
      <c r="BX10" s="10">
        <f t="shared" si="47"/>
        <v>760.25393804603095</v>
      </c>
      <c r="BY10" s="10">
        <f t="shared" si="47"/>
        <v>819.12141127618145</v>
      </c>
      <c r="BZ10" s="10">
        <f t="shared" si="47"/>
        <v>983.78389426989429</v>
      </c>
      <c r="CA10" s="10">
        <f t="shared" si="47"/>
        <v>896.97267156134694</v>
      </c>
      <c r="CB10" s="10">
        <f t="shared" si="47"/>
        <v>1158.8134291148942</v>
      </c>
      <c r="CC10" s="10">
        <f t="shared" ref="CC10:EN10" si="48">+BQ10*(1-(BQ5-CC5))</f>
        <v>1162.3815247961795</v>
      </c>
      <c r="CD10" s="10">
        <f t="shared" si="48"/>
        <v>1317.1583768714393</v>
      </c>
      <c r="CE10" s="10">
        <f t="shared" si="48"/>
        <v>1140.7475097370098</v>
      </c>
      <c r="CF10" s="10">
        <f t="shared" si="48"/>
        <v>1112.7728850744193</v>
      </c>
      <c r="CG10" s="10">
        <f t="shared" si="48"/>
        <v>854.46548389837676</v>
      </c>
      <c r="CH10" s="10">
        <f t="shared" si="48"/>
        <v>844.73534285002233</v>
      </c>
      <c r="CI10" s="10">
        <f t="shared" si="48"/>
        <v>909.36929830845531</v>
      </c>
      <c r="CJ10" s="10">
        <f t="shared" si="48"/>
        <v>756.45266835580082</v>
      </c>
      <c r="CK10" s="10">
        <f t="shared" si="48"/>
        <v>815.02580421980053</v>
      </c>
      <c r="CL10" s="10">
        <f t="shared" si="48"/>
        <v>978.86497479854484</v>
      </c>
      <c r="CM10" s="10">
        <f t="shared" si="48"/>
        <v>892.48780820354023</v>
      </c>
      <c r="CN10" s="10">
        <f t="shared" si="48"/>
        <v>1153.0193619693198</v>
      </c>
      <c r="CO10" s="10">
        <f t="shared" si="48"/>
        <v>1156.5696171721986</v>
      </c>
      <c r="CP10" s="10">
        <f t="shared" si="48"/>
        <v>1310.5725849870821</v>
      </c>
      <c r="CQ10" s="10">
        <f t="shared" si="48"/>
        <v>1135.0437721883247</v>
      </c>
      <c r="CR10" s="10">
        <f t="shared" si="48"/>
        <v>1107.2090206490473</v>
      </c>
      <c r="CS10" s="10">
        <f t="shared" si="48"/>
        <v>850.19315647888482</v>
      </c>
      <c r="CT10" s="10">
        <f t="shared" si="48"/>
        <v>840.5116661357722</v>
      </c>
      <c r="CU10" s="10">
        <f t="shared" si="48"/>
        <v>904.82245181691303</v>
      </c>
      <c r="CV10" s="10">
        <f t="shared" si="48"/>
        <v>752.67040501402187</v>
      </c>
      <c r="CW10" s="10">
        <f t="shared" si="48"/>
        <v>810.95067519870156</v>
      </c>
      <c r="CX10" s="10">
        <f t="shared" si="48"/>
        <v>973.97064992455216</v>
      </c>
      <c r="CY10" s="10">
        <f t="shared" si="48"/>
        <v>888.02536916252257</v>
      </c>
      <c r="CZ10" s="10">
        <f t="shared" si="48"/>
        <v>1147.2542651594731</v>
      </c>
      <c r="DA10" s="10">
        <f t="shared" si="48"/>
        <v>1150.7867690863377</v>
      </c>
      <c r="DB10" s="10">
        <f t="shared" si="48"/>
        <v>1304.0197220621467</v>
      </c>
      <c r="DC10" s="10">
        <f t="shared" si="48"/>
        <v>1129.3685533273831</v>
      </c>
      <c r="DD10" s="10">
        <f t="shared" si="48"/>
        <v>1101.672975545802</v>
      </c>
      <c r="DE10" s="10">
        <f t="shared" si="48"/>
        <v>845.94219069649034</v>
      </c>
      <c r="DF10" s="10">
        <f t="shared" si="48"/>
        <v>836.30910780509339</v>
      </c>
      <c r="DG10" s="10">
        <f t="shared" si="48"/>
        <v>900.29833955782851</v>
      </c>
      <c r="DH10" s="10">
        <f t="shared" si="48"/>
        <v>748.9070529889517</v>
      </c>
      <c r="DI10" s="10">
        <f t="shared" si="48"/>
        <v>806.89592182270803</v>
      </c>
      <c r="DJ10" s="10">
        <f t="shared" si="48"/>
        <v>969.10079667492937</v>
      </c>
      <c r="DK10" s="10">
        <f t="shared" si="48"/>
        <v>883.58524231670992</v>
      </c>
      <c r="DL10" s="10">
        <f t="shared" si="48"/>
        <v>1141.5179938336757</v>
      </c>
      <c r="DM10" s="10">
        <f t="shared" si="48"/>
        <v>1145.032835240906</v>
      </c>
      <c r="DN10" s="10">
        <f t="shared" si="48"/>
        <v>1297.499623451836</v>
      </c>
      <c r="DO10" s="10">
        <f t="shared" si="48"/>
        <v>1123.7217105607463</v>
      </c>
      <c r="DP10" s="10">
        <f t="shared" si="48"/>
        <v>1096.164610668073</v>
      </c>
      <c r="DQ10" s="10">
        <f t="shared" si="48"/>
        <v>841.71247974300786</v>
      </c>
      <c r="DR10" s="10">
        <f t="shared" si="48"/>
        <v>832.12756226606791</v>
      </c>
      <c r="DS10" s="10">
        <f t="shared" si="48"/>
        <v>895.79684786003941</v>
      </c>
      <c r="DT10" s="10">
        <f t="shared" si="48"/>
        <v>745.16251772400699</v>
      </c>
      <c r="DU10" s="10">
        <f t="shared" si="48"/>
        <v>798.82696260448097</v>
      </c>
      <c r="DV10" s="10">
        <f t="shared" si="48"/>
        <v>959.40978870818003</v>
      </c>
      <c r="DW10" s="10">
        <f t="shared" si="48"/>
        <v>874.7493898935428</v>
      </c>
      <c r="DX10" s="10">
        <f t="shared" si="48"/>
        <v>1130.1028138953391</v>
      </c>
      <c r="DY10" s="10">
        <f t="shared" si="48"/>
        <v>1133.5825068884969</v>
      </c>
      <c r="DZ10" s="10">
        <f t="shared" si="48"/>
        <v>1284.5246272173176</v>
      </c>
      <c r="EA10" s="10">
        <f t="shared" si="48"/>
        <v>1112.4844934551388</v>
      </c>
      <c r="EB10" s="10">
        <f t="shared" si="48"/>
        <v>1085.2029645613923</v>
      </c>
      <c r="EC10" s="10">
        <f t="shared" si="48"/>
        <v>833.29535494557774</v>
      </c>
      <c r="ED10" s="10">
        <f t="shared" si="48"/>
        <v>823.80628664340725</v>
      </c>
      <c r="EE10" s="10">
        <f t="shared" si="48"/>
        <v>886.83887938143903</v>
      </c>
      <c r="EF10" s="10">
        <f t="shared" si="48"/>
        <v>737.7108925467669</v>
      </c>
      <c r="EG10" s="10">
        <f t="shared" si="48"/>
        <v>790.83869297843626</v>
      </c>
      <c r="EH10" s="10">
        <f t="shared" si="48"/>
        <v>949.81569082109831</v>
      </c>
      <c r="EI10" s="10">
        <f t="shared" si="48"/>
        <v>866.00189599460748</v>
      </c>
      <c r="EJ10" s="10">
        <f t="shared" si="48"/>
        <v>1118.8017857563857</v>
      </c>
      <c r="EK10" s="10">
        <f t="shared" si="48"/>
        <v>1122.2466818196121</v>
      </c>
      <c r="EL10" s="10">
        <f t="shared" si="48"/>
        <v>1271.6793809451447</v>
      </c>
      <c r="EM10" s="10">
        <f t="shared" si="48"/>
        <v>1101.3596485205876</v>
      </c>
      <c r="EN10" s="10">
        <f t="shared" si="48"/>
        <v>1074.3509349157785</v>
      </c>
      <c r="EO10" s="10">
        <f t="shared" ref="EO10:GZ10" si="49">+EC10*(1-(EC5-EO5))</f>
        <v>824.962401396122</v>
      </c>
      <c r="EP10" s="10">
        <f t="shared" si="49"/>
        <v>815.56822377697324</v>
      </c>
      <c r="EQ10" s="10">
        <f t="shared" si="49"/>
        <v>877.97049058762468</v>
      </c>
      <c r="ER10" s="10">
        <f t="shared" si="49"/>
        <v>730.33378362129929</v>
      </c>
      <c r="ES10" s="10">
        <f t="shared" si="49"/>
        <v>782.93030604865191</v>
      </c>
      <c r="ET10" s="10">
        <f t="shared" si="49"/>
        <v>940.31753391288737</v>
      </c>
      <c r="EU10" s="10">
        <f t="shared" si="49"/>
        <v>857.34187703466137</v>
      </c>
      <c r="EV10" s="10">
        <f t="shared" si="49"/>
        <v>1107.6137678988218</v>
      </c>
      <c r="EW10" s="10">
        <f t="shared" si="49"/>
        <v>1111.024215001416</v>
      </c>
      <c r="EX10" s="10">
        <f t="shared" si="49"/>
        <v>1258.9625871356932</v>
      </c>
      <c r="EY10" s="10">
        <f t="shared" si="49"/>
        <v>1090.3460520353817</v>
      </c>
      <c r="EZ10" s="10">
        <f t="shared" si="49"/>
        <v>1063.6074255666206</v>
      </c>
      <c r="FA10" s="10">
        <f t="shared" si="49"/>
        <v>816.71277738216077</v>
      </c>
      <c r="FB10" s="10">
        <f t="shared" si="49"/>
        <v>807.41254153920352</v>
      </c>
      <c r="FC10" s="10">
        <f t="shared" si="49"/>
        <v>869.19078568174848</v>
      </c>
      <c r="FD10" s="10">
        <f t="shared" si="49"/>
        <v>723.03044578508627</v>
      </c>
      <c r="FE10" s="10">
        <f t="shared" si="49"/>
        <v>775.10100298816542</v>
      </c>
      <c r="FF10" s="10">
        <f t="shared" si="49"/>
        <v>930.91435857375848</v>
      </c>
      <c r="FG10" s="10">
        <f t="shared" si="49"/>
        <v>848.76845826431475</v>
      </c>
      <c r="FH10" s="10">
        <f t="shared" si="49"/>
        <v>1096.5376302198335</v>
      </c>
      <c r="FI10" s="10">
        <f t="shared" si="49"/>
        <v>1099.9139728514019</v>
      </c>
      <c r="FJ10" s="10">
        <f t="shared" si="49"/>
        <v>1246.3729612643363</v>
      </c>
      <c r="FK10" s="10">
        <f t="shared" si="49"/>
        <v>1079.442591515028</v>
      </c>
      <c r="FL10" s="10">
        <f t="shared" si="49"/>
        <v>1052.9713513109543</v>
      </c>
      <c r="FM10" s="10">
        <f t="shared" si="49"/>
        <v>808.5456496083392</v>
      </c>
      <c r="FN10" s="10">
        <f t="shared" si="49"/>
        <v>799.3384161238115</v>
      </c>
      <c r="FO10" s="10">
        <f t="shared" si="49"/>
        <v>860.49887782493101</v>
      </c>
      <c r="FP10" s="10">
        <f t="shared" si="49"/>
        <v>715.80014132723545</v>
      </c>
      <c r="FQ10" s="10">
        <f t="shared" si="49"/>
        <v>767.34999295828379</v>
      </c>
      <c r="FR10" s="10">
        <f t="shared" si="49"/>
        <v>921.60521498802086</v>
      </c>
      <c r="FS10" s="10">
        <f t="shared" si="49"/>
        <v>840.28077368167158</v>
      </c>
      <c r="FT10" s="10">
        <f t="shared" si="49"/>
        <v>1085.5722539176352</v>
      </c>
      <c r="FU10" s="10">
        <f t="shared" si="49"/>
        <v>1088.9148331228878</v>
      </c>
      <c r="FV10" s="10">
        <f t="shared" si="49"/>
        <v>1233.9092316516928</v>
      </c>
      <c r="FW10" s="10">
        <f t="shared" si="49"/>
        <v>1068.6481655998778</v>
      </c>
      <c r="FX10" s="10">
        <f t="shared" si="49"/>
        <v>1042.4416377978448</v>
      </c>
      <c r="FY10" s="10">
        <f t="shared" si="49"/>
        <v>800.46019311225575</v>
      </c>
      <c r="FZ10" s="10">
        <f t="shared" si="49"/>
        <v>791.34503196257333</v>
      </c>
      <c r="GA10" s="10">
        <f t="shared" si="49"/>
        <v>851.89388904668169</v>
      </c>
      <c r="GB10" s="10">
        <f t="shared" si="49"/>
        <v>708.64213991396309</v>
      </c>
      <c r="GC10" s="10">
        <f t="shared" si="49"/>
        <v>759.67649302870097</v>
      </c>
      <c r="GD10" s="10">
        <f t="shared" si="49"/>
        <v>912.38916283814069</v>
      </c>
      <c r="GE10" s="10">
        <f t="shared" si="49"/>
        <v>831.87796594485485</v>
      </c>
      <c r="GF10" s="10">
        <f t="shared" si="49"/>
        <v>1074.7165313784587</v>
      </c>
      <c r="GG10" s="10">
        <f t="shared" si="49"/>
        <v>1078.0256847916589</v>
      </c>
      <c r="GH10" s="10">
        <f t="shared" si="49"/>
        <v>1221.570139335176</v>
      </c>
      <c r="GI10" s="10">
        <f t="shared" si="49"/>
        <v>1057.9616839438791</v>
      </c>
      <c r="GJ10" s="10">
        <f t="shared" si="49"/>
        <v>1032.0172214198662</v>
      </c>
      <c r="GK10" s="10">
        <f t="shared" si="49"/>
        <v>792.45559118113317</v>
      </c>
      <c r="GL10" s="10">
        <f t="shared" si="49"/>
        <v>783.43158164294755</v>
      </c>
      <c r="GM10" s="10">
        <f t="shared" si="49"/>
        <v>843.37495015621482</v>
      </c>
      <c r="GN10" s="10">
        <f t="shared" si="49"/>
        <v>701.55571851482341</v>
      </c>
      <c r="GO10" s="10">
        <f t="shared" si="49"/>
        <v>752.07972809841397</v>
      </c>
      <c r="GP10" s="10">
        <f t="shared" si="49"/>
        <v>903.26527120975925</v>
      </c>
      <c r="GQ10" s="10">
        <f t="shared" si="49"/>
        <v>823.55918628540633</v>
      </c>
      <c r="GR10" s="10">
        <f t="shared" si="49"/>
        <v>1063.9693660646742</v>
      </c>
      <c r="GS10" s="10">
        <f t="shared" si="49"/>
        <v>1067.2454279437422</v>
      </c>
      <c r="GT10" s="10">
        <f t="shared" si="49"/>
        <v>1209.3544379418242</v>
      </c>
      <c r="GU10" s="10">
        <f t="shared" si="49"/>
        <v>1047.3820671044402</v>
      </c>
      <c r="GV10" s="10">
        <f t="shared" si="49"/>
        <v>1021.6970492056676</v>
      </c>
      <c r="GW10" s="10">
        <f t="shared" si="49"/>
        <v>784.53103526932182</v>
      </c>
      <c r="GX10" s="10">
        <f t="shared" si="49"/>
        <v>775.59726582651808</v>
      </c>
      <c r="GY10" s="10">
        <f t="shared" si="49"/>
        <v>834.94120065465268</v>
      </c>
      <c r="GZ10" s="10">
        <f t="shared" si="49"/>
        <v>694.54016132967513</v>
      </c>
      <c r="HA10" s="10">
        <f t="shared" ref="HA10:IO10" si="50">+GO10*(1-(GO5-HA5))</f>
        <v>744.55893081742977</v>
      </c>
      <c r="HB10" s="10">
        <f t="shared" si="50"/>
        <v>894.23261849766163</v>
      </c>
      <c r="HC10" s="10">
        <f t="shared" si="50"/>
        <v>815.32359442255222</v>
      </c>
      <c r="HD10" s="10">
        <f t="shared" si="50"/>
        <v>1053.3296724040274</v>
      </c>
      <c r="HE10" s="10">
        <f t="shared" si="50"/>
        <v>1056.5729736643048</v>
      </c>
      <c r="HF10" s="10">
        <f t="shared" si="50"/>
        <v>1197.260893562406</v>
      </c>
      <c r="HG10" s="10">
        <f t="shared" si="50"/>
        <v>1036.9082464333958</v>
      </c>
      <c r="HH10" s="10">
        <f t="shared" si="50"/>
        <v>1011.4800787136109</v>
      </c>
      <c r="HI10" s="10">
        <f t="shared" si="50"/>
        <v>776.6857249166286</v>
      </c>
      <c r="HJ10" s="10">
        <f t="shared" si="50"/>
        <v>767.84129316825295</v>
      </c>
      <c r="HK10" s="10">
        <f t="shared" si="50"/>
        <v>826.5917886481061</v>
      </c>
      <c r="HL10" s="10">
        <f t="shared" si="50"/>
        <v>687.59475971637835</v>
      </c>
      <c r="HM10" s="10">
        <f t="shared" si="50"/>
        <v>737.11334150925552</v>
      </c>
      <c r="HN10" s="10">
        <f t="shared" si="50"/>
        <v>885.29029231268498</v>
      </c>
      <c r="HO10" s="10">
        <f t="shared" si="50"/>
        <v>807.17035847832665</v>
      </c>
      <c r="HP10" s="10">
        <f t="shared" si="50"/>
        <v>1042.796375679987</v>
      </c>
      <c r="HQ10" s="10">
        <f t="shared" si="50"/>
        <v>1046.0072439276616</v>
      </c>
      <c r="HR10" s="10">
        <f t="shared" si="50"/>
        <v>1185.2882846267819</v>
      </c>
      <c r="HS10" s="10">
        <f t="shared" si="50"/>
        <v>1026.5391639690617</v>
      </c>
      <c r="HT10" s="10">
        <f t="shared" si="50"/>
        <v>1001.3652779264747</v>
      </c>
      <c r="HU10" s="10">
        <f t="shared" si="50"/>
        <v>768.91886766746234</v>
      </c>
      <c r="HV10" s="10">
        <f t="shared" si="50"/>
        <v>760.16288023657046</v>
      </c>
      <c r="HW10" s="10">
        <f t="shared" si="50"/>
        <v>818.32587076162508</v>
      </c>
      <c r="HX10" s="10">
        <f t="shared" si="50"/>
        <v>680.71881211921459</v>
      </c>
      <c r="HY10" s="10">
        <f t="shared" si="50"/>
        <v>729.74220809416295</v>
      </c>
      <c r="HZ10" s="10">
        <f t="shared" si="50"/>
        <v>876.43738938955812</v>
      </c>
      <c r="IA10" s="10">
        <f t="shared" si="50"/>
        <v>799.09865489354343</v>
      </c>
      <c r="IB10" s="10">
        <f t="shared" si="50"/>
        <v>1032.3684119231871</v>
      </c>
      <c r="IC10" s="10">
        <f t="shared" si="50"/>
        <v>1035.5471714883849</v>
      </c>
      <c r="ID10" s="10">
        <f t="shared" si="50"/>
        <v>1173.435401780514</v>
      </c>
      <c r="IE10" s="10">
        <f t="shared" si="50"/>
        <v>1016.2737723293711</v>
      </c>
      <c r="IF10" s="10">
        <f t="shared" si="50"/>
        <v>991.35162514721003</v>
      </c>
      <c r="IG10" s="10">
        <f t="shared" si="50"/>
        <v>761.22967899078776</v>
      </c>
      <c r="IH10" s="10">
        <f t="shared" si="50"/>
        <v>752.56125143420479</v>
      </c>
      <c r="II10" s="10">
        <f t="shared" si="50"/>
        <v>810.14261205400885</v>
      </c>
      <c r="IJ10" s="10">
        <f t="shared" si="50"/>
        <v>673.91162399802249</v>
      </c>
      <c r="IK10" s="10">
        <f t="shared" si="50"/>
        <v>729.74220809416295</v>
      </c>
      <c r="IL10" s="10">
        <f t="shared" si="50"/>
        <v>876.43738938955812</v>
      </c>
      <c r="IM10" s="10">
        <f t="shared" si="50"/>
        <v>799.09865489354343</v>
      </c>
      <c r="IN10" s="10">
        <f t="shared" si="50"/>
        <v>1032.3684119231871</v>
      </c>
      <c r="IO10" s="10">
        <f t="shared" si="50"/>
        <v>1035.5471714883849</v>
      </c>
    </row>
    <row r="11" spans="1:261" x14ac:dyDescent="0.3">
      <c r="A11" t="s">
        <v>768</v>
      </c>
      <c r="B11" s="38"/>
      <c r="C11" s="31"/>
      <c r="D11" s="31"/>
      <c r="E11" s="10">
        <f>+Liquidación!E74</f>
        <v>529.47538318778311</v>
      </c>
      <c r="F11" s="10">
        <f>+Liquidación!F74</f>
        <v>713.31956698054455</v>
      </c>
      <c r="G11" s="10">
        <f>+Liquidación!G74</f>
        <v>654.44529254943245</v>
      </c>
      <c r="H11" s="10">
        <f>+Liquidación!H74</f>
        <v>966.63972014800061</v>
      </c>
      <c r="I11" s="10">
        <f>+Liquidación!I74</f>
        <v>951.01759606079395</v>
      </c>
      <c r="J11" s="10">
        <f>+Liquidación!J74</f>
        <v>1071.8970998296347</v>
      </c>
      <c r="K11" s="10">
        <f>+Liquidación!K74</f>
        <v>904.97919520170637</v>
      </c>
      <c r="L11" s="10">
        <f>+Liquidación!L74</f>
        <v>801.37741399174536</v>
      </c>
      <c r="M11" s="10">
        <f>+Liquidación!M74</f>
        <v>571.59612763522</v>
      </c>
      <c r="N11" s="10">
        <f>+Liquidación!N74</f>
        <v>570.47360330046547</v>
      </c>
      <c r="O11" s="10">
        <f>+Liquidación!O74</f>
        <v>638.86095503395495</v>
      </c>
      <c r="P11" s="10">
        <f>+Liquidación!P74</f>
        <v>463.09306150214314</v>
      </c>
      <c r="Q11" s="10">
        <f t="shared" ref="Q11:CB11" si="51">+E11*(1-(E5-Q5))</f>
        <v>528.41643242140754</v>
      </c>
      <c r="R11" s="10">
        <f t="shared" si="51"/>
        <v>711.89292784658346</v>
      </c>
      <c r="S11" s="10">
        <f t="shared" si="51"/>
        <v>653.13640196433357</v>
      </c>
      <c r="T11" s="10">
        <f t="shared" si="51"/>
        <v>964.70644070770459</v>
      </c>
      <c r="U11" s="10">
        <f t="shared" si="51"/>
        <v>949.11556086867233</v>
      </c>
      <c r="V11" s="10">
        <f t="shared" si="51"/>
        <v>1069.7533056299756</v>
      </c>
      <c r="W11" s="10">
        <f t="shared" si="51"/>
        <v>903.16923681130299</v>
      </c>
      <c r="X11" s="10">
        <f t="shared" si="51"/>
        <v>799.77465916376184</v>
      </c>
      <c r="Y11" s="10">
        <f t="shared" si="51"/>
        <v>570.45293537994951</v>
      </c>
      <c r="Z11" s="10">
        <f t="shared" si="51"/>
        <v>569.33265609386456</v>
      </c>
      <c r="AA11" s="10">
        <f t="shared" si="51"/>
        <v>637.583233123887</v>
      </c>
      <c r="AB11" s="10">
        <f t="shared" si="51"/>
        <v>462.16687537913884</v>
      </c>
      <c r="AC11" s="10">
        <f t="shared" si="51"/>
        <v>527.88801598898613</v>
      </c>
      <c r="AD11" s="10">
        <f t="shared" si="51"/>
        <v>711.18103491873683</v>
      </c>
      <c r="AE11" s="10">
        <f t="shared" si="51"/>
        <v>652.48326556236918</v>
      </c>
      <c r="AF11" s="10">
        <f t="shared" si="51"/>
        <v>963.7417342669969</v>
      </c>
      <c r="AG11" s="10">
        <f t="shared" si="51"/>
        <v>948.16644530780366</v>
      </c>
      <c r="AH11" s="10">
        <f t="shared" si="51"/>
        <v>1068.6835523243456</v>
      </c>
      <c r="AI11" s="10">
        <f t="shared" si="51"/>
        <v>902.26606757449167</v>
      </c>
      <c r="AJ11" s="10">
        <f t="shared" si="51"/>
        <v>798.97488450459809</v>
      </c>
      <c r="AK11" s="10">
        <f t="shared" si="51"/>
        <v>569.88248244456952</v>
      </c>
      <c r="AL11" s="10">
        <f t="shared" si="51"/>
        <v>568.76332343777074</v>
      </c>
      <c r="AM11" s="10">
        <f t="shared" si="51"/>
        <v>636.94564989076309</v>
      </c>
      <c r="AN11" s="10">
        <f t="shared" si="51"/>
        <v>461.70470850375972</v>
      </c>
      <c r="AO11" s="10">
        <f t="shared" si="51"/>
        <v>527.36012797299713</v>
      </c>
      <c r="AP11" s="10">
        <f t="shared" si="51"/>
        <v>710.46985388381813</v>
      </c>
      <c r="AQ11" s="10">
        <f t="shared" si="51"/>
        <v>651.83078229680677</v>
      </c>
      <c r="AR11" s="10">
        <f t="shared" si="51"/>
        <v>962.77799253272985</v>
      </c>
      <c r="AS11" s="10">
        <f t="shared" si="51"/>
        <v>947.21827886249582</v>
      </c>
      <c r="AT11" s="10">
        <f t="shared" si="51"/>
        <v>1067.6148687720213</v>
      </c>
      <c r="AU11" s="10">
        <f t="shared" si="51"/>
        <v>901.36380150691718</v>
      </c>
      <c r="AV11" s="10">
        <f t="shared" si="51"/>
        <v>798.17590962009353</v>
      </c>
      <c r="AW11" s="10">
        <f t="shared" si="51"/>
        <v>569.31259996212498</v>
      </c>
      <c r="AX11" s="10">
        <f t="shared" si="51"/>
        <v>568.19456011433294</v>
      </c>
      <c r="AY11" s="10">
        <f t="shared" si="51"/>
        <v>636.30870424087232</v>
      </c>
      <c r="AZ11" s="10">
        <f t="shared" si="51"/>
        <v>461.24300379525596</v>
      </c>
      <c r="BA11" s="10">
        <f t="shared" si="51"/>
        <v>526.83276784502414</v>
      </c>
      <c r="BB11" s="10">
        <f t="shared" si="51"/>
        <v>709.75938402993427</v>
      </c>
      <c r="BC11" s="10">
        <f t="shared" si="51"/>
        <v>651.17895151451</v>
      </c>
      <c r="BD11" s="10">
        <f t="shared" si="51"/>
        <v>961.81521454019708</v>
      </c>
      <c r="BE11" s="10">
        <f t="shared" si="51"/>
        <v>946.27106058363336</v>
      </c>
      <c r="BF11" s="10">
        <f t="shared" si="51"/>
        <v>1066.5472539032492</v>
      </c>
      <c r="BG11" s="10">
        <f t="shared" si="51"/>
        <v>900.46243770541025</v>
      </c>
      <c r="BH11" s="10">
        <f t="shared" si="51"/>
        <v>797.37773371047342</v>
      </c>
      <c r="BI11" s="10">
        <f t="shared" si="51"/>
        <v>568.74328736216285</v>
      </c>
      <c r="BJ11" s="10">
        <f t="shared" si="51"/>
        <v>567.62636555421864</v>
      </c>
      <c r="BK11" s="10">
        <f t="shared" si="51"/>
        <v>635.67239553663148</v>
      </c>
      <c r="BL11" s="10">
        <f t="shared" si="51"/>
        <v>460.78176079146073</v>
      </c>
      <c r="BM11" s="10">
        <f t="shared" si="51"/>
        <v>524.19860400579898</v>
      </c>
      <c r="BN11" s="10">
        <f t="shared" si="51"/>
        <v>706.21058710978457</v>
      </c>
      <c r="BO11" s="10">
        <f t="shared" si="51"/>
        <v>647.9230567569374</v>
      </c>
      <c r="BP11" s="10">
        <f t="shared" si="51"/>
        <v>957.00613846749604</v>
      </c>
      <c r="BQ11" s="10">
        <f t="shared" si="51"/>
        <v>941.53970528071522</v>
      </c>
      <c r="BR11" s="10">
        <f t="shared" si="51"/>
        <v>1061.2145176337328</v>
      </c>
      <c r="BS11" s="10">
        <f t="shared" si="51"/>
        <v>895.96012551688318</v>
      </c>
      <c r="BT11" s="10">
        <f t="shared" si="51"/>
        <v>793.39084504192101</v>
      </c>
      <c r="BU11" s="10">
        <f t="shared" si="51"/>
        <v>565.89957092535201</v>
      </c>
      <c r="BV11" s="10">
        <f t="shared" si="51"/>
        <v>564.78823372644752</v>
      </c>
      <c r="BW11" s="10">
        <f t="shared" si="51"/>
        <v>632.49403355894833</v>
      </c>
      <c r="BX11" s="10">
        <f t="shared" si="51"/>
        <v>458.47785198750341</v>
      </c>
      <c r="BY11" s="10">
        <f t="shared" si="51"/>
        <v>521.57761098576998</v>
      </c>
      <c r="BZ11" s="10">
        <f t="shared" si="51"/>
        <v>702.67953417423564</v>
      </c>
      <c r="CA11" s="10">
        <f t="shared" si="51"/>
        <v>644.6834414731527</v>
      </c>
      <c r="CB11" s="10">
        <f t="shared" si="51"/>
        <v>952.22110777515854</v>
      </c>
      <c r="CC11" s="10">
        <f t="shared" ref="CC11:EN11" si="52">+BQ11*(1-(BQ5-CC5))</f>
        <v>936.83200675431169</v>
      </c>
      <c r="CD11" s="10">
        <f t="shared" si="52"/>
        <v>1055.9084450455641</v>
      </c>
      <c r="CE11" s="10">
        <f t="shared" si="52"/>
        <v>891.4803248892988</v>
      </c>
      <c r="CF11" s="10">
        <f t="shared" si="52"/>
        <v>789.42389081671138</v>
      </c>
      <c r="CG11" s="10">
        <f t="shared" si="52"/>
        <v>563.07007307072524</v>
      </c>
      <c r="CH11" s="10">
        <f t="shared" si="52"/>
        <v>561.96429255781527</v>
      </c>
      <c r="CI11" s="10">
        <f t="shared" si="52"/>
        <v>629.33156339115362</v>
      </c>
      <c r="CJ11" s="10">
        <f t="shared" si="52"/>
        <v>456.18546272756589</v>
      </c>
      <c r="CK11" s="10">
        <f t="shared" si="52"/>
        <v>518.96972293084116</v>
      </c>
      <c r="CL11" s="10">
        <f t="shared" si="52"/>
        <v>699.16613650336444</v>
      </c>
      <c r="CM11" s="10">
        <f t="shared" si="52"/>
        <v>641.46002426578696</v>
      </c>
      <c r="CN11" s="10">
        <f t="shared" si="52"/>
        <v>947.46000223628278</v>
      </c>
      <c r="CO11" s="10">
        <f t="shared" si="52"/>
        <v>932.14784672054009</v>
      </c>
      <c r="CP11" s="10">
        <f t="shared" si="52"/>
        <v>1050.6289028203364</v>
      </c>
      <c r="CQ11" s="10">
        <f t="shared" si="52"/>
        <v>887.02292326485235</v>
      </c>
      <c r="CR11" s="10">
        <f t="shared" si="52"/>
        <v>785.4767713626278</v>
      </c>
      <c r="CS11" s="10">
        <f t="shared" si="52"/>
        <v>560.25472270537159</v>
      </c>
      <c r="CT11" s="10">
        <f t="shared" si="52"/>
        <v>559.15447109502622</v>
      </c>
      <c r="CU11" s="10">
        <f t="shared" si="52"/>
        <v>626.18490557419784</v>
      </c>
      <c r="CV11" s="10">
        <f t="shared" si="52"/>
        <v>453.90453541392804</v>
      </c>
      <c r="CW11" s="10">
        <f t="shared" si="52"/>
        <v>516.37487431618695</v>
      </c>
      <c r="CX11" s="10">
        <f t="shared" si="52"/>
        <v>695.6703058208476</v>
      </c>
      <c r="CY11" s="10">
        <f t="shared" si="52"/>
        <v>638.25272414445806</v>
      </c>
      <c r="CZ11" s="10">
        <f t="shared" si="52"/>
        <v>942.72270222510133</v>
      </c>
      <c r="DA11" s="10">
        <f t="shared" si="52"/>
        <v>927.48710748693736</v>
      </c>
      <c r="DB11" s="10">
        <f t="shared" si="52"/>
        <v>1045.3757583062347</v>
      </c>
      <c r="DC11" s="10">
        <f t="shared" si="52"/>
        <v>882.58780864852804</v>
      </c>
      <c r="DD11" s="10">
        <f t="shared" si="52"/>
        <v>781.54938750581471</v>
      </c>
      <c r="DE11" s="10">
        <f t="shared" si="52"/>
        <v>557.45344909184473</v>
      </c>
      <c r="DF11" s="10">
        <f t="shared" si="52"/>
        <v>556.35869873955107</v>
      </c>
      <c r="DG11" s="10">
        <f t="shared" si="52"/>
        <v>623.05398104632684</v>
      </c>
      <c r="DH11" s="10">
        <f t="shared" si="52"/>
        <v>451.63501273685841</v>
      </c>
      <c r="DI11" s="10">
        <f t="shared" si="52"/>
        <v>513.79299994460598</v>
      </c>
      <c r="DJ11" s="10">
        <f t="shared" si="52"/>
        <v>692.1919542917434</v>
      </c>
      <c r="DK11" s="10">
        <f t="shared" si="52"/>
        <v>635.06146052373572</v>
      </c>
      <c r="DL11" s="10">
        <f t="shared" si="52"/>
        <v>938.00908871397587</v>
      </c>
      <c r="DM11" s="10">
        <f t="shared" si="52"/>
        <v>922.84967194950264</v>
      </c>
      <c r="DN11" s="10">
        <f t="shared" si="52"/>
        <v>1040.1488795147036</v>
      </c>
      <c r="DO11" s="10">
        <f t="shared" si="52"/>
        <v>878.17486960528538</v>
      </c>
      <c r="DP11" s="10">
        <f t="shared" si="52"/>
        <v>777.64164056828565</v>
      </c>
      <c r="DQ11" s="10">
        <f t="shared" si="52"/>
        <v>554.66618184638548</v>
      </c>
      <c r="DR11" s="10">
        <f t="shared" si="52"/>
        <v>553.57690524585337</v>
      </c>
      <c r="DS11" s="10">
        <f t="shared" si="52"/>
        <v>619.93871114109515</v>
      </c>
      <c r="DT11" s="10">
        <f t="shared" si="52"/>
        <v>449.37683767317412</v>
      </c>
      <c r="DU11" s="10">
        <f t="shared" si="52"/>
        <v>508.65506994515994</v>
      </c>
      <c r="DV11" s="10">
        <f t="shared" si="52"/>
        <v>685.27003474882599</v>
      </c>
      <c r="DW11" s="10">
        <f t="shared" si="52"/>
        <v>628.71084591849831</v>
      </c>
      <c r="DX11" s="10">
        <f t="shared" si="52"/>
        <v>928.6289978268361</v>
      </c>
      <c r="DY11" s="10">
        <f t="shared" si="52"/>
        <v>913.62117523000757</v>
      </c>
      <c r="DZ11" s="10">
        <f t="shared" si="52"/>
        <v>1029.7473907195565</v>
      </c>
      <c r="EA11" s="10">
        <f t="shared" si="52"/>
        <v>869.39312090923249</v>
      </c>
      <c r="EB11" s="10">
        <f t="shared" si="52"/>
        <v>769.86522416260277</v>
      </c>
      <c r="EC11" s="10">
        <f t="shared" si="52"/>
        <v>549.11952002792168</v>
      </c>
      <c r="ED11" s="10">
        <f t="shared" si="52"/>
        <v>548.04113619339478</v>
      </c>
      <c r="EE11" s="10">
        <f t="shared" si="52"/>
        <v>613.73932402968421</v>
      </c>
      <c r="EF11" s="10">
        <f t="shared" si="52"/>
        <v>444.88306929644239</v>
      </c>
      <c r="EG11" s="10">
        <f t="shared" si="52"/>
        <v>503.56851924570839</v>
      </c>
      <c r="EH11" s="10">
        <f t="shared" si="52"/>
        <v>678.41733440133783</v>
      </c>
      <c r="EI11" s="10">
        <f t="shared" si="52"/>
        <v>622.42373745931343</v>
      </c>
      <c r="EJ11" s="10">
        <f t="shared" si="52"/>
        <v>919.34270784856778</v>
      </c>
      <c r="EK11" s="10">
        <f t="shared" si="52"/>
        <v>904.48496347770754</v>
      </c>
      <c r="EL11" s="10">
        <f t="shared" si="52"/>
        <v>1019.449916812361</v>
      </c>
      <c r="EM11" s="10">
        <f t="shared" si="52"/>
        <v>860.69918970014021</v>
      </c>
      <c r="EN11" s="10">
        <f t="shared" si="52"/>
        <v>762.16657192097682</v>
      </c>
      <c r="EO11" s="10">
        <f t="shared" ref="EO11:GZ11" si="53">+EC11*(1-(EC5-EO5))</f>
        <v>543.62832482764247</v>
      </c>
      <c r="EP11" s="10">
        <f t="shared" si="53"/>
        <v>542.5607248314609</v>
      </c>
      <c r="EQ11" s="10">
        <f t="shared" si="53"/>
        <v>607.60193078938744</v>
      </c>
      <c r="ER11" s="10">
        <f t="shared" si="53"/>
        <v>440.43423860347798</v>
      </c>
      <c r="ES11" s="10">
        <f t="shared" si="53"/>
        <v>498.53283405325129</v>
      </c>
      <c r="ET11" s="10">
        <f t="shared" si="53"/>
        <v>671.6331610573244</v>
      </c>
      <c r="EU11" s="10">
        <f t="shared" si="53"/>
        <v>616.19950008472028</v>
      </c>
      <c r="EV11" s="10">
        <f t="shared" si="53"/>
        <v>910.1492807700821</v>
      </c>
      <c r="EW11" s="10">
        <f t="shared" si="53"/>
        <v>895.44011384293049</v>
      </c>
      <c r="EX11" s="10">
        <f t="shared" si="53"/>
        <v>1009.2554176442375</v>
      </c>
      <c r="EY11" s="10">
        <f t="shared" si="53"/>
        <v>852.09219780313879</v>
      </c>
      <c r="EZ11" s="10">
        <f t="shared" si="53"/>
        <v>754.54490620176705</v>
      </c>
      <c r="FA11" s="10">
        <f t="shared" si="53"/>
        <v>538.19204157936599</v>
      </c>
      <c r="FB11" s="10">
        <f t="shared" si="53"/>
        <v>537.13511758314633</v>
      </c>
      <c r="FC11" s="10">
        <f t="shared" si="53"/>
        <v>601.52591148149361</v>
      </c>
      <c r="FD11" s="10">
        <f t="shared" si="53"/>
        <v>436.02989621744319</v>
      </c>
      <c r="FE11" s="10">
        <f t="shared" si="53"/>
        <v>493.54750571271876</v>
      </c>
      <c r="FF11" s="10">
        <f t="shared" si="53"/>
        <v>664.91682944675119</v>
      </c>
      <c r="FG11" s="10">
        <f t="shared" si="53"/>
        <v>610.03750508387304</v>
      </c>
      <c r="FH11" s="10">
        <f t="shared" si="53"/>
        <v>901.04778796238122</v>
      </c>
      <c r="FI11" s="10">
        <f t="shared" si="53"/>
        <v>886.48571270450122</v>
      </c>
      <c r="FJ11" s="10">
        <f t="shared" si="53"/>
        <v>999.16286346779509</v>
      </c>
      <c r="FK11" s="10">
        <f t="shared" si="53"/>
        <v>843.57127582510736</v>
      </c>
      <c r="FL11" s="10">
        <f t="shared" si="53"/>
        <v>746.99945713974932</v>
      </c>
      <c r="FM11" s="10">
        <f t="shared" si="53"/>
        <v>532.81012116357238</v>
      </c>
      <c r="FN11" s="10">
        <f t="shared" si="53"/>
        <v>531.76376640731485</v>
      </c>
      <c r="FO11" s="10">
        <f t="shared" si="53"/>
        <v>595.51065236667864</v>
      </c>
      <c r="FP11" s="10">
        <f t="shared" si="53"/>
        <v>431.66959725526874</v>
      </c>
      <c r="FQ11" s="10">
        <f t="shared" si="53"/>
        <v>488.61203065559158</v>
      </c>
      <c r="FR11" s="10">
        <f t="shared" si="53"/>
        <v>658.26766115228372</v>
      </c>
      <c r="FS11" s="10">
        <f t="shared" si="53"/>
        <v>603.93713003303435</v>
      </c>
      <c r="FT11" s="10">
        <f t="shared" si="53"/>
        <v>892.03731008275736</v>
      </c>
      <c r="FU11" s="10">
        <f t="shared" si="53"/>
        <v>877.62085557745615</v>
      </c>
      <c r="FV11" s="10">
        <f t="shared" si="53"/>
        <v>989.17123483311718</v>
      </c>
      <c r="FW11" s="10">
        <f t="shared" si="53"/>
        <v>835.13556306685632</v>
      </c>
      <c r="FX11" s="10">
        <f t="shared" si="53"/>
        <v>739.52946256835185</v>
      </c>
      <c r="FY11" s="10">
        <f t="shared" si="53"/>
        <v>527.48201995193665</v>
      </c>
      <c r="FZ11" s="10">
        <f t="shared" si="53"/>
        <v>526.44612874324173</v>
      </c>
      <c r="GA11" s="10">
        <f t="shared" si="53"/>
        <v>589.55554584301183</v>
      </c>
      <c r="GB11" s="10">
        <f t="shared" si="53"/>
        <v>427.35290128271606</v>
      </c>
      <c r="GC11" s="10">
        <f t="shared" si="53"/>
        <v>483.72591034903564</v>
      </c>
      <c r="GD11" s="10">
        <f t="shared" si="53"/>
        <v>651.68498454076087</v>
      </c>
      <c r="GE11" s="10">
        <f t="shared" si="53"/>
        <v>597.89775873270401</v>
      </c>
      <c r="GF11" s="10">
        <f t="shared" si="53"/>
        <v>883.11693698192983</v>
      </c>
      <c r="GG11" s="10">
        <f t="shared" si="53"/>
        <v>868.84464702168157</v>
      </c>
      <c r="GH11" s="10">
        <f t="shared" si="53"/>
        <v>979.27952248478596</v>
      </c>
      <c r="GI11" s="10">
        <f t="shared" si="53"/>
        <v>826.78420743618778</v>
      </c>
      <c r="GJ11" s="10">
        <f t="shared" si="53"/>
        <v>732.13416794266834</v>
      </c>
      <c r="GK11" s="10">
        <f t="shared" si="53"/>
        <v>522.2071997524173</v>
      </c>
      <c r="GL11" s="10">
        <f t="shared" si="53"/>
        <v>521.18166745580936</v>
      </c>
      <c r="GM11" s="10">
        <f t="shared" si="53"/>
        <v>583.65999038458176</v>
      </c>
      <c r="GN11" s="10">
        <f t="shared" si="53"/>
        <v>423.07937226988889</v>
      </c>
      <c r="GO11" s="10">
        <f t="shared" si="53"/>
        <v>478.8886512455453</v>
      </c>
      <c r="GP11" s="10">
        <f t="shared" si="53"/>
        <v>645.16813469535327</v>
      </c>
      <c r="GQ11" s="10">
        <f t="shared" si="53"/>
        <v>591.91878114537701</v>
      </c>
      <c r="GR11" s="10">
        <f t="shared" si="53"/>
        <v>874.28576761211048</v>
      </c>
      <c r="GS11" s="10">
        <f t="shared" si="53"/>
        <v>860.15620055146474</v>
      </c>
      <c r="GT11" s="10">
        <f t="shared" si="53"/>
        <v>969.48672725993811</v>
      </c>
      <c r="GU11" s="10">
        <f t="shared" si="53"/>
        <v>818.51636536182593</v>
      </c>
      <c r="GV11" s="10">
        <f t="shared" si="53"/>
        <v>724.81282626324162</v>
      </c>
      <c r="GW11" s="10">
        <f t="shared" si="53"/>
        <v>516.98512775489314</v>
      </c>
      <c r="GX11" s="10">
        <f t="shared" si="53"/>
        <v>515.96985078125124</v>
      </c>
      <c r="GY11" s="10">
        <f t="shared" si="53"/>
        <v>577.82339048073595</v>
      </c>
      <c r="GZ11" s="10">
        <f t="shared" si="53"/>
        <v>418.84857854719002</v>
      </c>
      <c r="HA11" s="10">
        <f t="shared" ref="HA11:IO11" si="54">+GO11*(1-(GO5-HA5))</f>
        <v>474.09976473308984</v>
      </c>
      <c r="HB11" s="10">
        <f t="shared" si="54"/>
        <v>638.71645334839968</v>
      </c>
      <c r="HC11" s="10">
        <f t="shared" si="54"/>
        <v>585.99959333392326</v>
      </c>
      <c r="HD11" s="10">
        <f t="shared" si="54"/>
        <v>865.54290993598931</v>
      </c>
      <c r="HE11" s="10">
        <f t="shared" si="54"/>
        <v>851.55463854595007</v>
      </c>
      <c r="HF11" s="10">
        <f t="shared" si="54"/>
        <v>959.79185998733874</v>
      </c>
      <c r="HG11" s="10">
        <f t="shared" si="54"/>
        <v>810.33120170820769</v>
      </c>
      <c r="HH11" s="10">
        <f t="shared" si="54"/>
        <v>717.56469800060916</v>
      </c>
      <c r="HI11" s="10">
        <f t="shared" si="54"/>
        <v>511.81527647734418</v>
      </c>
      <c r="HJ11" s="10">
        <f t="shared" si="54"/>
        <v>510.81015227343875</v>
      </c>
      <c r="HK11" s="10">
        <f t="shared" si="54"/>
        <v>572.04515657592856</v>
      </c>
      <c r="HL11" s="10">
        <f t="shared" si="54"/>
        <v>414.66009276171809</v>
      </c>
      <c r="HM11" s="10">
        <f t="shared" si="54"/>
        <v>469.35876708575893</v>
      </c>
      <c r="HN11" s="10">
        <f t="shared" si="54"/>
        <v>632.32928881491569</v>
      </c>
      <c r="HO11" s="10">
        <f t="shared" si="54"/>
        <v>580.13959740058397</v>
      </c>
      <c r="HP11" s="10">
        <f t="shared" si="54"/>
        <v>856.88748083662938</v>
      </c>
      <c r="HQ11" s="10">
        <f t="shared" si="54"/>
        <v>843.03909216049055</v>
      </c>
      <c r="HR11" s="10">
        <f t="shared" si="54"/>
        <v>950.19394138746532</v>
      </c>
      <c r="HS11" s="10">
        <f t="shared" si="54"/>
        <v>802.2278896911256</v>
      </c>
      <c r="HT11" s="10">
        <f t="shared" si="54"/>
        <v>710.38905102060301</v>
      </c>
      <c r="HU11" s="10">
        <f t="shared" si="54"/>
        <v>506.69712371257071</v>
      </c>
      <c r="HV11" s="10">
        <f t="shared" si="54"/>
        <v>505.70205075070436</v>
      </c>
      <c r="HW11" s="10">
        <f t="shared" si="54"/>
        <v>566.32470501016928</v>
      </c>
      <c r="HX11" s="10">
        <f t="shared" si="54"/>
        <v>410.51349183410093</v>
      </c>
      <c r="HY11" s="10">
        <f t="shared" si="54"/>
        <v>464.66517941490133</v>
      </c>
      <c r="HZ11" s="10">
        <f t="shared" si="54"/>
        <v>626.00599592676656</v>
      </c>
      <c r="IA11" s="10">
        <f t="shared" si="54"/>
        <v>574.33820142657817</v>
      </c>
      <c r="IB11" s="10">
        <f t="shared" si="54"/>
        <v>848.31860602826305</v>
      </c>
      <c r="IC11" s="10">
        <f t="shared" si="54"/>
        <v>834.6087012388856</v>
      </c>
      <c r="ID11" s="10">
        <f t="shared" si="54"/>
        <v>940.69200197359066</v>
      </c>
      <c r="IE11" s="10">
        <f t="shared" si="54"/>
        <v>794.20561079421429</v>
      </c>
      <c r="IF11" s="10">
        <f t="shared" si="54"/>
        <v>703.28516051039696</v>
      </c>
      <c r="IG11" s="10">
        <f t="shared" si="54"/>
        <v>501.63015247544502</v>
      </c>
      <c r="IH11" s="10">
        <f t="shared" si="54"/>
        <v>500.64503024319731</v>
      </c>
      <c r="II11" s="10">
        <f t="shared" si="54"/>
        <v>560.66145796006754</v>
      </c>
      <c r="IJ11" s="10">
        <f t="shared" si="54"/>
        <v>406.4083569157599</v>
      </c>
      <c r="IK11" s="10">
        <f t="shared" si="54"/>
        <v>464.66517941490133</v>
      </c>
      <c r="IL11" s="10">
        <f t="shared" si="54"/>
        <v>626.00599592676656</v>
      </c>
      <c r="IM11" s="10">
        <f t="shared" si="54"/>
        <v>574.33820142657817</v>
      </c>
      <c r="IN11" s="10">
        <f t="shared" si="54"/>
        <v>848.31860602826305</v>
      </c>
      <c r="IO11" s="10">
        <f t="shared" si="54"/>
        <v>834.6087012388856</v>
      </c>
    </row>
    <row r="12" spans="1:261" x14ac:dyDescent="0.3">
      <c r="A12" t="s">
        <v>769</v>
      </c>
      <c r="B12" s="38"/>
      <c r="C12" s="31"/>
      <c r="D12" s="31"/>
      <c r="E12" s="10">
        <f>+Liquidación!E75</f>
        <v>1364.4089229877832</v>
      </c>
      <c r="F12" s="10">
        <f>+Liquidación!F75</f>
        <v>1056.3583989805445</v>
      </c>
      <c r="G12" s="10">
        <f>+Liquidación!G75</f>
        <v>942.21273214943255</v>
      </c>
      <c r="H12" s="10">
        <f>+Liquidación!H75</f>
        <v>594.31940014800091</v>
      </c>
      <c r="I12" s="10">
        <f>+Liquidación!I75</f>
        <v>691.77982686079417</v>
      </c>
      <c r="J12" s="10">
        <f>+Liquidación!J75</f>
        <v>813.47573002963532</v>
      </c>
      <c r="K12" s="10">
        <f>+Liquidación!K75</f>
        <v>824.61523520170681</v>
      </c>
      <c r="L12" s="10">
        <f>+Liquidación!L75</f>
        <v>1231.2070620917452</v>
      </c>
      <c r="M12" s="10">
        <f>+Liquidación!M75</f>
        <v>1277.1536966352198</v>
      </c>
      <c r="N12" s="10">
        <f>+Liquidación!N75</f>
        <v>1221.7733104004656</v>
      </c>
      <c r="O12" s="10">
        <f>+Liquidación!O75</f>
        <v>1127.7058302339553</v>
      </c>
      <c r="P12" s="10">
        <f>+Liquidación!P75</f>
        <v>1456.1795954021436</v>
      </c>
      <c r="Q12" s="10">
        <f t="shared" ref="Q12:CB12" si="55">+E12*(1-(E5-Q5))</f>
        <v>1361.6801051418076</v>
      </c>
      <c r="R12" s="10">
        <f t="shared" si="55"/>
        <v>1054.2456821825833</v>
      </c>
      <c r="S12" s="10">
        <f t="shared" si="55"/>
        <v>940.32830668513373</v>
      </c>
      <c r="T12" s="10">
        <f t="shared" si="55"/>
        <v>593.13076134770495</v>
      </c>
      <c r="U12" s="10">
        <f t="shared" si="55"/>
        <v>690.39626720707258</v>
      </c>
      <c r="V12" s="10">
        <f t="shared" si="55"/>
        <v>811.8487785695761</v>
      </c>
      <c r="W12" s="10">
        <f t="shared" si="55"/>
        <v>822.96600473130343</v>
      </c>
      <c r="X12" s="10">
        <f t="shared" si="55"/>
        <v>1228.7446479675618</v>
      </c>
      <c r="Y12" s="10">
        <f>+M12*(1-(M5-Y5))</f>
        <v>1274.5993892419494</v>
      </c>
      <c r="Z12" s="10">
        <f t="shared" si="55"/>
        <v>1219.3297637796645</v>
      </c>
      <c r="AA12" s="10">
        <f t="shared" si="55"/>
        <v>1125.4504185734875</v>
      </c>
      <c r="AB12" s="10">
        <f t="shared" si="55"/>
        <v>1453.2672362113394</v>
      </c>
      <c r="AC12" s="10">
        <f t="shared" si="55"/>
        <v>1360.3184250366658</v>
      </c>
      <c r="AD12" s="10">
        <f t="shared" si="55"/>
        <v>1053.1914365004006</v>
      </c>
      <c r="AE12" s="10">
        <f t="shared" si="55"/>
        <v>939.38797837844857</v>
      </c>
      <c r="AF12" s="10">
        <f t="shared" si="55"/>
        <v>592.5376305863573</v>
      </c>
      <c r="AG12" s="10">
        <f t="shared" si="55"/>
        <v>689.70587093986546</v>
      </c>
      <c r="AH12" s="10">
        <f t="shared" si="55"/>
        <v>811.03692979100651</v>
      </c>
      <c r="AI12" s="10">
        <f t="shared" si="55"/>
        <v>822.14303872657217</v>
      </c>
      <c r="AJ12" s="10">
        <f t="shared" si="55"/>
        <v>1227.5159033195944</v>
      </c>
      <c r="AK12" s="10">
        <f t="shared" si="55"/>
        <v>1273.3247898527075</v>
      </c>
      <c r="AL12" s="10">
        <f t="shared" si="55"/>
        <v>1218.1104340158849</v>
      </c>
      <c r="AM12" s="10">
        <f t="shared" si="55"/>
        <v>1124.3249681549139</v>
      </c>
      <c r="AN12" s="10">
        <f t="shared" si="55"/>
        <v>1451.8139689751281</v>
      </c>
      <c r="AO12" s="10">
        <f t="shared" si="55"/>
        <v>1358.9581066116291</v>
      </c>
      <c r="AP12" s="10">
        <f t="shared" si="55"/>
        <v>1052.1382450639003</v>
      </c>
      <c r="AQ12" s="10">
        <f t="shared" si="55"/>
        <v>938.44859040007009</v>
      </c>
      <c r="AR12" s="10">
        <f t="shared" si="55"/>
        <v>591.94509295577097</v>
      </c>
      <c r="AS12" s="10">
        <f t="shared" si="55"/>
        <v>689.0161650689256</v>
      </c>
      <c r="AT12" s="10">
        <f t="shared" si="55"/>
        <v>810.22589286121547</v>
      </c>
      <c r="AU12" s="10">
        <f t="shared" si="55"/>
        <v>821.32089568784556</v>
      </c>
      <c r="AV12" s="10">
        <f t="shared" si="55"/>
        <v>1226.2883874162749</v>
      </c>
      <c r="AW12" s="10">
        <f t="shared" si="55"/>
        <v>1272.0514650628547</v>
      </c>
      <c r="AX12" s="10">
        <f t="shared" si="55"/>
        <v>1216.8923235818691</v>
      </c>
      <c r="AY12" s="10">
        <f t="shared" si="55"/>
        <v>1123.200643186759</v>
      </c>
      <c r="AZ12" s="10">
        <f t="shared" si="55"/>
        <v>1450.362155006153</v>
      </c>
      <c r="BA12" s="10">
        <f t="shared" si="55"/>
        <v>1357.5991485050174</v>
      </c>
      <c r="BB12" s="10">
        <f t="shared" si="55"/>
        <v>1051.0861068188365</v>
      </c>
      <c r="BC12" s="10">
        <f t="shared" si="55"/>
        <v>937.51014180967002</v>
      </c>
      <c r="BD12" s="10">
        <f t="shared" si="55"/>
        <v>591.35314786281515</v>
      </c>
      <c r="BE12" s="10">
        <f t="shared" si="55"/>
        <v>688.32714890385671</v>
      </c>
      <c r="BF12" s="10">
        <f t="shared" si="55"/>
        <v>809.41566696835423</v>
      </c>
      <c r="BG12" s="10">
        <f t="shared" si="55"/>
        <v>820.49957479215777</v>
      </c>
      <c r="BH12" s="10">
        <f t="shared" si="55"/>
        <v>1225.0620990288585</v>
      </c>
      <c r="BI12" s="10">
        <f t="shared" si="55"/>
        <v>1270.779413597792</v>
      </c>
      <c r="BJ12" s="10">
        <f t="shared" si="55"/>
        <v>1215.6754312582873</v>
      </c>
      <c r="BK12" s="10">
        <f t="shared" si="55"/>
        <v>1122.0774425435723</v>
      </c>
      <c r="BL12" s="10">
        <f t="shared" si="55"/>
        <v>1448.9117928511469</v>
      </c>
      <c r="BM12" s="10">
        <f t="shared" si="55"/>
        <v>1350.8111527624924</v>
      </c>
      <c r="BN12" s="10">
        <f t="shared" si="55"/>
        <v>1045.8306762847424</v>
      </c>
      <c r="BO12" s="10">
        <f t="shared" si="55"/>
        <v>932.82259110062171</v>
      </c>
      <c r="BP12" s="10">
        <f t="shared" si="55"/>
        <v>588.3963821235011</v>
      </c>
      <c r="BQ12" s="10">
        <f t="shared" si="55"/>
        <v>684.88551315933739</v>
      </c>
      <c r="BR12" s="10">
        <f t="shared" si="55"/>
        <v>805.36858863351245</v>
      </c>
      <c r="BS12" s="10">
        <f t="shared" si="55"/>
        <v>816.39707691819694</v>
      </c>
      <c r="BT12" s="10">
        <f t="shared" si="55"/>
        <v>1218.9367885337142</v>
      </c>
      <c r="BU12" s="10">
        <f t="shared" si="55"/>
        <v>1264.425516529803</v>
      </c>
      <c r="BV12" s="10">
        <f t="shared" si="55"/>
        <v>1209.5970541019958</v>
      </c>
      <c r="BW12" s="10">
        <f t="shared" si="55"/>
        <v>1116.4670553308545</v>
      </c>
      <c r="BX12" s="10">
        <f t="shared" si="55"/>
        <v>1441.6672338868912</v>
      </c>
      <c r="BY12" s="10">
        <f t="shared" si="55"/>
        <v>1344.05709699868</v>
      </c>
      <c r="BZ12" s="10">
        <f t="shared" si="55"/>
        <v>1040.6015229033187</v>
      </c>
      <c r="CA12" s="10">
        <f t="shared" si="55"/>
        <v>928.15847814511858</v>
      </c>
      <c r="CB12" s="10">
        <f t="shared" si="55"/>
        <v>585.45440021288357</v>
      </c>
      <c r="CC12" s="10">
        <f t="shared" ref="CC12:EN12" si="56">+BQ12*(1-(BQ5-CC5))</f>
        <v>681.4610855935407</v>
      </c>
      <c r="CD12" s="10">
        <f t="shared" si="56"/>
        <v>801.34174569034485</v>
      </c>
      <c r="CE12" s="10">
        <f t="shared" si="56"/>
        <v>812.31509153360594</v>
      </c>
      <c r="CF12" s="10">
        <f t="shared" si="56"/>
        <v>1212.8421045910457</v>
      </c>
      <c r="CG12" s="10">
        <f t="shared" si="56"/>
        <v>1258.1033889471539</v>
      </c>
      <c r="CH12" s="10">
        <f t="shared" si="56"/>
        <v>1203.5490688314858</v>
      </c>
      <c r="CI12" s="10">
        <f t="shared" si="56"/>
        <v>1110.8847200542002</v>
      </c>
      <c r="CJ12" s="10">
        <f t="shared" si="56"/>
        <v>1434.4588977174567</v>
      </c>
      <c r="CK12" s="10">
        <f t="shared" si="56"/>
        <v>1337.3368115136866</v>
      </c>
      <c r="CL12" s="10">
        <f t="shared" si="56"/>
        <v>1035.3985152888022</v>
      </c>
      <c r="CM12" s="10">
        <f t="shared" si="56"/>
        <v>923.51768575439303</v>
      </c>
      <c r="CN12" s="10">
        <f t="shared" si="56"/>
        <v>582.5271282118191</v>
      </c>
      <c r="CO12" s="10">
        <f t="shared" si="56"/>
        <v>678.05378016557302</v>
      </c>
      <c r="CP12" s="10">
        <f t="shared" si="56"/>
        <v>797.33503696189314</v>
      </c>
      <c r="CQ12" s="10">
        <f t="shared" si="56"/>
        <v>808.25351607593791</v>
      </c>
      <c r="CR12" s="10">
        <f t="shared" si="56"/>
        <v>1206.7778940680905</v>
      </c>
      <c r="CS12" s="10">
        <f t="shared" si="56"/>
        <v>1251.8128720024181</v>
      </c>
      <c r="CT12" s="10">
        <f t="shared" si="56"/>
        <v>1197.5313234873283</v>
      </c>
      <c r="CU12" s="10">
        <f t="shared" si="56"/>
        <v>1105.3302964539291</v>
      </c>
      <c r="CV12" s="10">
        <f t="shared" si="56"/>
        <v>1427.2866032288694</v>
      </c>
      <c r="CW12" s="10">
        <f t="shared" si="56"/>
        <v>1330.6501274561181</v>
      </c>
      <c r="CX12" s="10">
        <f t="shared" si="56"/>
        <v>1030.2215227123581</v>
      </c>
      <c r="CY12" s="10">
        <f t="shared" si="56"/>
        <v>918.900097325621</v>
      </c>
      <c r="CZ12" s="10">
        <f t="shared" si="56"/>
        <v>579.61449257076004</v>
      </c>
      <c r="DA12" s="10">
        <f t="shared" si="56"/>
        <v>674.66351126474513</v>
      </c>
      <c r="DB12" s="10">
        <f t="shared" si="56"/>
        <v>793.34836177708371</v>
      </c>
      <c r="DC12" s="10">
        <f t="shared" si="56"/>
        <v>804.21224849555824</v>
      </c>
      <c r="DD12" s="10">
        <f t="shared" si="56"/>
        <v>1200.7440045977501</v>
      </c>
      <c r="DE12" s="10">
        <f t="shared" si="56"/>
        <v>1245.5538076424059</v>
      </c>
      <c r="DF12" s="10">
        <f t="shared" si="56"/>
        <v>1191.5436668698917</v>
      </c>
      <c r="DG12" s="10">
        <f t="shared" si="56"/>
        <v>1099.8036449716594</v>
      </c>
      <c r="DH12" s="10">
        <f t="shared" si="56"/>
        <v>1420.150170212725</v>
      </c>
      <c r="DI12" s="10">
        <f t="shared" si="56"/>
        <v>1323.9968768188376</v>
      </c>
      <c r="DJ12" s="10">
        <f t="shared" si="56"/>
        <v>1025.0704150987963</v>
      </c>
      <c r="DK12" s="10">
        <f t="shared" si="56"/>
        <v>914.30559683899287</v>
      </c>
      <c r="DL12" s="10">
        <f t="shared" si="56"/>
        <v>576.71642010790629</v>
      </c>
      <c r="DM12" s="10">
        <f t="shared" si="56"/>
        <v>671.29019370842138</v>
      </c>
      <c r="DN12" s="10">
        <f t="shared" si="56"/>
        <v>789.38161996819827</v>
      </c>
      <c r="DO12" s="10">
        <f t="shared" si="56"/>
        <v>800.19118725308044</v>
      </c>
      <c r="DP12" s="10">
        <f t="shared" si="56"/>
        <v>1194.7402845747613</v>
      </c>
      <c r="DQ12" s="10">
        <f t="shared" si="56"/>
        <v>1239.3260386041939</v>
      </c>
      <c r="DR12" s="10">
        <f t="shared" si="56"/>
        <v>1185.5859485355422</v>
      </c>
      <c r="DS12" s="10">
        <f t="shared" si="56"/>
        <v>1094.3046267468012</v>
      </c>
      <c r="DT12" s="10">
        <f t="shared" si="56"/>
        <v>1413.0494193616614</v>
      </c>
      <c r="DU12" s="10">
        <f t="shared" si="56"/>
        <v>1310.7569080506491</v>
      </c>
      <c r="DV12" s="10">
        <f t="shared" si="56"/>
        <v>1014.8197109478083</v>
      </c>
      <c r="DW12" s="10">
        <f t="shared" si="56"/>
        <v>905.16254087060292</v>
      </c>
      <c r="DX12" s="10">
        <f t="shared" si="56"/>
        <v>570.94925590682726</v>
      </c>
      <c r="DY12" s="10">
        <f t="shared" si="56"/>
        <v>664.57729177133717</v>
      </c>
      <c r="DZ12" s="10">
        <f t="shared" si="56"/>
        <v>781.4878037685163</v>
      </c>
      <c r="EA12" s="10">
        <f t="shared" si="56"/>
        <v>792.18927538054959</v>
      </c>
      <c r="EB12" s="10">
        <f t="shared" si="56"/>
        <v>1182.7928817290137</v>
      </c>
      <c r="EC12" s="10">
        <f t="shared" si="56"/>
        <v>1226.932778218152</v>
      </c>
      <c r="ED12" s="10">
        <f t="shared" si="56"/>
        <v>1173.7300890501867</v>
      </c>
      <c r="EE12" s="10">
        <f t="shared" si="56"/>
        <v>1083.3615804793333</v>
      </c>
      <c r="EF12" s="10">
        <f t="shared" si="56"/>
        <v>1398.9189251680448</v>
      </c>
      <c r="EG12" s="10">
        <f t="shared" si="56"/>
        <v>1297.6493389701427</v>
      </c>
      <c r="EH12" s="10">
        <f t="shared" si="56"/>
        <v>1004.6715138383303</v>
      </c>
      <c r="EI12" s="10">
        <f t="shared" si="56"/>
        <v>896.11091546189698</v>
      </c>
      <c r="EJ12" s="10">
        <f t="shared" si="56"/>
        <v>565.23976334775909</v>
      </c>
      <c r="EK12" s="10">
        <f t="shared" si="56"/>
        <v>657.93151885362386</v>
      </c>
      <c r="EL12" s="10">
        <f t="shared" si="56"/>
        <v>773.67292573083125</v>
      </c>
      <c r="EM12" s="10">
        <f t="shared" si="56"/>
        <v>784.26738262674417</v>
      </c>
      <c r="EN12" s="10">
        <f t="shared" si="56"/>
        <v>1170.9649529117237</v>
      </c>
      <c r="EO12" s="10">
        <f t="shared" ref="EO12:GZ12" si="57">+EC12*(1-(EC5-EO5))</f>
        <v>1214.6634504359706</v>
      </c>
      <c r="EP12" s="10">
        <f t="shared" si="57"/>
        <v>1161.992788159685</v>
      </c>
      <c r="EQ12" s="10">
        <f t="shared" si="57"/>
        <v>1072.52796467454</v>
      </c>
      <c r="ER12" s="10">
        <f t="shared" si="57"/>
        <v>1384.9297359163645</v>
      </c>
      <c r="ES12" s="10">
        <f t="shared" si="57"/>
        <v>1284.6728455804412</v>
      </c>
      <c r="ET12" s="10">
        <f t="shared" si="57"/>
        <v>994.62479869994695</v>
      </c>
      <c r="EU12" s="10">
        <f t="shared" si="57"/>
        <v>887.14980630727803</v>
      </c>
      <c r="EV12" s="10">
        <f t="shared" si="57"/>
        <v>559.58736571428153</v>
      </c>
      <c r="EW12" s="10">
        <f t="shared" si="57"/>
        <v>651.35220366508759</v>
      </c>
      <c r="EX12" s="10">
        <f t="shared" si="57"/>
        <v>765.93619647352295</v>
      </c>
      <c r="EY12" s="10">
        <f t="shared" si="57"/>
        <v>776.42470880047676</v>
      </c>
      <c r="EZ12" s="10">
        <f t="shared" si="57"/>
        <v>1159.2553033826064</v>
      </c>
      <c r="FA12" s="10">
        <f t="shared" si="57"/>
        <v>1202.5168159316108</v>
      </c>
      <c r="FB12" s="10">
        <f t="shared" si="57"/>
        <v>1150.3728602780882</v>
      </c>
      <c r="FC12" s="10">
        <f t="shared" si="57"/>
        <v>1061.8026850277947</v>
      </c>
      <c r="FD12" s="10">
        <f t="shared" si="57"/>
        <v>1371.0804385572008</v>
      </c>
      <c r="FE12" s="10">
        <f t="shared" si="57"/>
        <v>1271.8261171246368</v>
      </c>
      <c r="FF12" s="10">
        <f t="shared" si="57"/>
        <v>984.67855071294753</v>
      </c>
      <c r="FG12" s="10">
        <f t="shared" si="57"/>
        <v>878.27830824420528</v>
      </c>
      <c r="FH12" s="10">
        <f t="shared" si="57"/>
        <v>553.99149205713866</v>
      </c>
      <c r="FI12" s="10">
        <f t="shared" si="57"/>
        <v>644.83868162843669</v>
      </c>
      <c r="FJ12" s="10">
        <f t="shared" si="57"/>
        <v>758.27683450878772</v>
      </c>
      <c r="FK12" s="10">
        <f t="shared" si="57"/>
        <v>768.66046171247194</v>
      </c>
      <c r="FL12" s="10">
        <f t="shared" si="57"/>
        <v>1147.6627503487803</v>
      </c>
      <c r="FM12" s="10">
        <f t="shared" si="57"/>
        <v>1190.4916477722948</v>
      </c>
      <c r="FN12" s="10">
        <f t="shared" si="57"/>
        <v>1138.8691316753072</v>
      </c>
      <c r="FO12" s="10">
        <f t="shared" si="57"/>
        <v>1051.1846581775167</v>
      </c>
      <c r="FP12" s="10">
        <f t="shared" si="57"/>
        <v>1357.3696341716288</v>
      </c>
      <c r="FQ12" s="10">
        <f t="shared" si="57"/>
        <v>1259.1078559533903</v>
      </c>
      <c r="FR12" s="10">
        <f t="shared" si="57"/>
        <v>974.83176520581799</v>
      </c>
      <c r="FS12" s="10">
        <f t="shared" si="57"/>
        <v>869.49552516176323</v>
      </c>
      <c r="FT12" s="10">
        <f t="shared" si="57"/>
        <v>548.45157713656727</v>
      </c>
      <c r="FU12" s="10">
        <f t="shared" si="57"/>
        <v>638.39029481215232</v>
      </c>
      <c r="FV12" s="10">
        <f t="shared" si="57"/>
        <v>750.69406616369986</v>
      </c>
      <c r="FW12" s="10">
        <f t="shared" si="57"/>
        <v>760.97385709534717</v>
      </c>
      <c r="FX12" s="10">
        <f t="shared" si="57"/>
        <v>1136.1861228452924</v>
      </c>
      <c r="FY12" s="10">
        <f t="shared" si="57"/>
        <v>1178.5867312945718</v>
      </c>
      <c r="FZ12" s="10">
        <f t="shared" si="57"/>
        <v>1127.4804403585542</v>
      </c>
      <c r="GA12" s="10">
        <f t="shared" si="57"/>
        <v>1040.6728115957415</v>
      </c>
      <c r="GB12" s="10">
        <f t="shared" si="57"/>
        <v>1343.7959378299124</v>
      </c>
      <c r="GC12" s="10">
        <f t="shared" si="57"/>
        <v>1246.5167773938563</v>
      </c>
      <c r="GD12" s="10">
        <f t="shared" si="57"/>
        <v>965.08344755375981</v>
      </c>
      <c r="GE12" s="10">
        <f t="shared" si="57"/>
        <v>860.80056991014555</v>
      </c>
      <c r="GF12" s="10">
        <f t="shared" si="57"/>
        <v>542.96706136520163</v>
      </c>
      <c r="GG12" s="10">
        <f t="shared" si="57"/>
        <v>632.00639186403077</v>
      </c>
      <c r="GH12" s="10">
        <f t="shared" si="57"/>
        <v>743.18712550206283</v>
      </c>
      <c r="GI12" s="10">
        <f t="shared" si="57"/>
        <v>753.36411852439369</v>
      </c>
      <c r="GJ12" s="10">
        <f t="shared" si="57"/>
        <v>1124.8242616168395</v>
      </c>
      <c r="GK12" s="10">
        <f t="shared" si="57"/>
        <v>1166.800863981626</v>
      </c>
      <c r="GL12" s="10">
        <f t="shared" si="57"/>
        <v>1116.2056359549688</v>
      </c>
      <c r="GM12" s="10">
        <f t="shared" si="57"/>
        <v>1030.2660834797841</v>
      </c>
      <c r="GN12" s="10">
        <f t="shared" si="57"/>
        <v>1330.3579784516132</v>
      </c>
      <c r="GO12" s="10">
        <f t="shared" si="57"/>
        <v>1234.0516096199176</v>
      </c>
      <c r="GP12" s="10">
        <f t="shared" si="57"/>
        <v>955.43261307822218</v>
      </c>
      <c r="GQ12" s="10">
        <f t="shared" si="57"/>
        <v>852.1925642110441</v>
      </c>
      <c r="GR12" s="10">
        <f t="shared" si="57"/>
        <v>537.53739075154965</v>
      </c>
      <c r="GS12" s="10">
        <f t="shared" si="57"/>
        <v>625.68632794539042</v>
      </c>
      <c r="GT12" s="10">
        <f t="shared" si="57"/>
        <v>735.75525424704222</v>
      </c>
      <c r="GU12" s="10">
        <f t="shared" si="57"/>
        <v>745.83047733914975</v>
      </c>
      <c r="GV12" s="10">
        <f t="shared" si="57"/>
        <v>1113.5760190006711</v>
      </c>
      <c r="GW12" s="10">
        <f t="shared" si="57"/>
        <v>1155.1328553418098</v>
      </c>
      <c r="GX12" s="10">
        <f t="shared" si="57"/>
        <v>1105.043579595419</v>
      </c>
      <c r="GY12" s="10">
        <f t="shared" si="57"/>
        <v>1019.9634226449863</v>
      </c>
      <c r="GZ12" s="10">
        <f t="shared" si="57"/>
        <v>1317.0543986670971</v>
      </c>
      <c r="HA12" s="10">
        <f t="shared" ref="HA12:IO12" si="58">+GO12*(1-(GO5-HA5))</f>
        <v>1221.7110935237183</v>
      </c>
      <c r="HB12" s="10">
        <f t="shared" si="58"/>
        <v>945.87828694743996</v>
      </c>
      <c r="HC12" s="10">
        <f t="shared" si="58"/>
        <v>843.67063856893367</v>
      </c>
      <c r="HD12" s="10">
        <f t="shared" si="58"/>
        <v>532.16201684403416</v>
      </c>
      <c r="HE12" s="10">
        <f t="shared" si="58"/>
        <v>619.42946466593651</v>
      </c>
      <c r="HF12" s="10">
        <f t="shared" si="58"/>
        <v>728.39770170457177</v>
      </c>
      <c r="HG12" s="10">
        <f t="shared" si="58"/>
        <v>738.37217256575821</v>
      </c>
      <c r="HH12" s="10">
        <f t="shared" si="58"/>
        <v>1102.4402588106643</v>
      </c>
      <c r="HI12" s="10">
        <f t="shared" si="58"/>
        <v>1143.5815267883916</v>
      </c>
      <c r="HJ12" s="10">
        <f t="shared" si="58"/>
        <v>1093.9931437994649</v>
      </c>
      <c r="HK12" s="10">
        <f t="shared" si="58"/>
        <v>1009.7637884185364</v>
      </c>
      <c r="HL12" s="10">
        <f t="shared" si="58"/>
        <v>1303.8838546804261</v>
      </c>
      <c r="HM12" s="10">
        <f t="shared" si="58"/>
        <v>1209.4939825884812</v>
      </c>
      <c r="HN12" s="10">
        <f t="shared" si="58"/>
        <v>936.4195040779656</v>
      </c>
      <c r="HO12" s="10">
        <f t="shared" si="58"/>
        <v>835.23393218324429</v>
      </c>
      <c r="HP12" s="10">
        <f t="shared" si="58"/>
        <v>526.84039667559387</v>
      </c>
      <c r="HQ12" s="10">
        <f t="shared" si="58"/>
        <v>613.23517001927712</v>
      </c>
      <c r="HR12" s="10">
        <f t="shared" si="58"/>
        <v>721.11372468752609</v>
      </c>
      <c r="HS12" s="10">
        <f t="shared" si="58"/>
        <v>730.98845084010065</v>
      </c>
      <c r="HT12" s="10">
        <f t="shared" si="58"/>
        <v>1091.4158562225577</v>
      </c>
      <c r="HU12" s="10">
        <f t="shared" si="58"/>
        <v>1132.1457115205076</v>
      </c>
      <c r="HV12" s="10">
        <f t="shared" si="58"/>
        <v>1083.0532123614703</v>
      </c>
      <c r="HW12" s="10">
        <f t="shared" si="58"/>
        <v>999.666150534351</v>
      </c>
      <c r="HX12" s="10">
        <f t="shared" si="58"/>
        <v>1290.8450161336218</v>
      </c>
      <c r="HY12" s="10">
        <f t="shared" si="58"/>
        <v>1197.3990427625963</v>
      </c>
      <c r="HZ12" s="10">
        <f t="shared" si="58"/>
        <v>927.05530903718591</v>
      </c>
      <c r="IA12" s="10">
        <f t="shared" si="58"/>
        <v>826.88159286141183</v>
      </c>
      <c r="IB12" s="10">
        <f t="shared" si="58"/>
        <v>521.57199270883791</v>
      </c>
      <c r="IC12" s="10">
        <f t="shared" si="58"/>
        <v>607.10281831908435</v>
      </c>
      <c r="ID12" s="10">
        <f t="shared" si="58"/>
        <v>713.90258744065079</v>
      </c>
      <c r="IE12" s="10">
        <f t="shared" si="58"/>
        <v>723.67856633169959</v>
      </c>
      <c r="IF12" s="10">
        <f t="shared" si="58"/>
        <v>1080.5016976603322</v>
      </c>
      <c r="IG12" s="10">
        <f t="shared" si="58"/>
        <v>1120.8242544053026</v>
      </c>
      <c r="IH12" s="10">
        <f t="shared" si="58"/>
        <v>1072.2226802378557</v>
      </c>
      <c r="II12" s="10">
        <f t="shared" si="58"/>
        <v>989.66948902900754</v>
      </c>
      <c r="IJ12" s="10">
        <f t="shared" si="58"/>
        <v>1277.9365659722855</v>
      </c>
      <c r="IK12" s="10">
        <f t="shared" si="58"/>
        <v>1197.3990427625963</v>
      </c>
      <c r="IL12" s="10">
        <f t="shared" si="58"/>
        <v>927.05530903718591</v>
      </c>
      <c r="IM12" s="10">
        <f t="shared" si="58"/>
        <v>826.88159286141183</v>
      </c>
      <c r="IN12" s="10">
        <f t="shared" si="58"/>
        <v>521.57199270883791</v>
      </c>
      <c r="IO12" s="10">
        <f t="shared" si="58"/>
        <v>607.10281831908435</v>
      </c>
    </row>
    <row r="13" spans="1:261" x14ac:dyDescent="0.3">
      <c r="A13" t="s">
        <v>770</v>
      </c>
      <c r="B13" s="38"/>
      <c r="C13" s="31"/>
      <c r="D13" s="31"/>
      <c r="E13" s="10">
        <f>+Liquidación!E76</f>
        <v>529.47538318778311</v>
      </c>
      <c r="F13" s="10">
        <f>+Liquidación!F76</f>
        <v>713.31956698054455</v>
      </c>
      <c r="G13" s="10">
        <f>+Liquidación!G76</f>
        <v>654.44529254943245</v>
      </c>
      <c r="H13" s="10">
        <f>+Liquidación!H76</f>
        <v>594.31940014800091</v>
      </c>
      <c r="I13" s="10">
        <f>+Liquidación!I76</f>
        <v>691.77982686079417</v>
      </c>
      <c r="J13" s="10">
        <f>+Liquidación!J76</f>
        <v>813.47573002963532</v>
      </c>
      <c r="K13" s="10">
        <f>+Liquidación!K76</f>
        <v>824.61523520170681</v>
      </c>
      <c r="L13" s="10">
        <f>+Liquidación!L76</f>
        <v>801.37741399174536</v>
      </c>
      <c r="M13" s="10">
        <f>+Liquidación!M76</f>
        <v>571.59612763522</v>
      </c>
      <c r="N13" s="10">
        <f>+Liquidación!N76</f>
        <v>570.47360330046547</v>
      </c>
      <c r="O13" s="10">
        <f>+Liquidación!O76</f>
        <v>638.86095503395495</v>
      </c>
      <c r="P13" s="10">
        <f>+Liquidación!P76</f>
        <v>463.09306150214314</v>
      </c>
      <c r="Q13" s="10">
        <f>+E13</f>
        <v>529.47538318778311</v>
      </c>
      <c r="R13" s="10">
        <f t="shared" ref="R13:V15" si="59">+F13</f>
        <v>713.31956698054455</v>
      </c>
      <c r="S13" s="10">
        <f t="shared" si="59"/>
        <v>654.44529254943245</v>
      </c>
      <c r="T13" s="10">
        <f t="shared" si="59"/>
        <v>594.31940014800091</v>
      </c>
      <c r="U13" s="10">
        <f t="shared" si="59"/>
        <v>691.77982686079417</v>
      </c>
      <c r="V13" s="10">
        <f t="shared" si="59"/>
        <v>813.47573002963532</v>
      </c>
      <c r="W13" s="10">
        <f t="shared" ref="W13:CC15" si="60">+K13</f>
        <v>824.61523520170681</v>
      </c>
      <c r="X13" s="10">
        <f>+L13</f>
        <v>801.37741399174536</v>
      </c>
      <c r="Y13" s="10">
        <f t="shared" si="60"/>
        <v>571.59612763522</v>
      </c>
      <c r="Z13" s="10">
        <f t="shared" si="60"/>
        <v>570.47360330046547</v>
      </c>
      <c r="AA13" s="10">
        <f t="shared" si="60"/>
        <v>638.86095503395495</v>
      </c>
      <c r="AB13" s="10">
        <f t="shared" si="60"/>
        <v>463.09306150214314</v>
      </c>
      <c r="AC13" s="10">
        <f t="shared" si="60"/>
        <v>529.47538318778311</v>
      </c>
      <c r="AD13" s="10">
        <f t="shared" si="60"/>
        <v>713.31956698054455</v>
      </c>
      <c r="AE13" s="10">
        <f t="shared" si="60"/>
        <v>654.44529254943245</v>
      </c>
      <c r="AF13" s="10">
        <f t="shared" si="60"/>
        <v>594.31940014800091</v>
      </c>
      <c r="AG13" s="10">
        <f t="shared" si="60"/>
        <v>691.77982686079417</v>
      </c>
      <c r="AH13" s="10">
        <f t="shared" si="60"/>
        <v>813.47573002963532</v>
      </c>
      <c r="AI13" s="10">
        <f t="shared" si="60"/>
        <v>824.61523520170681</v>
      </c>
      <c r="AJ13" s="10">
        <f t="shared" si="60"/>
        <v>801.37741399174536</v>
      </c>
      <c r="AK13" s="10">
        <f t="shared" si="60"/>
        <v>571.59612763522</v>
      </c>
      <c r="AL13" s="10">
        <f t="shared" si="60"/>
        <v>570.47360330046547</v>
      </c>
      <c r="AM13" s="10">
        <f t="shared" si="60"/>
        <v>638.86095503395495</v>
      </c>
      <c r="AN13" s="10">
        <f t="shared" si="60"/>
        <v>463.09306150214314</v>
      </c>
      <c r="AO13" s="10">
        <f t="shared" si="60"/>
        <v>529.47538318778311</v>
      </c>
      <c r="AP13" s="10">
        <f t="shared" si="60"/>
        <v>713.31956698054455</v>
      </c>
      <c r="AQ13" s="10">
        <f t="shared" si="60"/>
        <v>654.44529254943245</v>
      </c>
      <c r="AR13" s="10">
        <f t="shared" si="60"/>
        <v>594.31940014800091</v>
      </c>
      <c r="AS13" s="10">
        <f t="shared" si="60"/>
        <v>691.77982686079417</v>
      </c>
      <c r="AT13" s="10">
        <f t="shared" si="60"/>
        <v>813.47573002963532</v>
      </c>
      <c r="AU13" s="10">
        <f t="shared" si="60"/>
        <v>824.61523520170681</v>
      </c>
      <c r="AV13" s="10">
        <f t="shared" si="60"/>
        <v>801.37741399174536</v>
      </c>
      <c r="AW13" s="10">
        <f t="shared" si="60"/>
        <v>571.59612763522</v>
      </c>
      <c r="AX13" s="10">
        <f t="shared" si="60"/>
        <v>570.47360330046547</v>
      </c>
      <c r="AY13" s="10">
        <f t="shared" si="60"/>
        <v>638.86095503395495</v>
      </c>
      <c r="AZ13" s="10">
        <f t="shared" si="60"/>
        <v>463.09306150214314</v>
      </c>
      <c r="BA13" s="10">
        <f t="shared" si="60"/>
        <v>529.47538318778311</v>
      </c>
      <c r="BB13" s="10">
        <f t="shared" si="60"/>
        <v>713.31956698054455</v>
      </c>
      <c r="BC13" s="10">
        <f t="shared" si="60"/>
        <v>654.44529254943245</v>
      </c>
      <c r="BD13" s="10">
        <f t="shared" si="60"/>
        <v>594.31940014800091</v>
      </c>
      <c r="BE13" s="10">
        <f t="shared" si="60"/>
        <v>691.77982686079417</v>
      </c>
      <c r="BF13" s="10">
        <f t="shared" si="60"/>
        <v>813.47573002963532</v>
      </c>
      <c r="BG13" s="10">
        <f t="shared" si="60"/>
        <v>824.61523520170681</v>
      </c>
      <c r="BH13" s="10">
        <f t="shared" si="60"/>
        <v>801.37741399174536</v>
      </c>
      <c r="BI13" s="10">
        <f t="shared" si="60"/>
        <v>571.59612763522</v>
      </c>
      <c r="BJ13" s="10">
        <f t="shared" si="60"/>
        <v>570.47360330046547</v>
      </c>
      <c r="BK13" s="10">
        <f t="shared" si="60"/>
        <v>638.86095503395495</v>
      </c>
      <c r="BL13" s="10">
        <f t="shared" si="60"/>
        <v>463.09306150214314</v>
      </c>
      <c r="BM13" s="10">
        <f t="shared" si="60"/>
        <v>529.47538318778311</v>
      </c>
      <c r="BN13" s="10">
        <f t="shared" si="60"/>
        <v>713.31956698054455</v>
      </c>
      <c r="BO13" s="10">
        <f t="shared" si="60"/>
        <v>654.44529254943245</v>
      </c>
      <c r="BP13" s="10">
        <f t="shared" si="60"/>
        <v>594.31940014800091</v>
      </c>
      <c r="BQ13" s="10">
        <f t="shared" si="60"/>
        <v>691.77982686079417</v>
      </c>
      <c r="BR13" s="10">
        <f t="shared" si="60"/>
        <v>813.47573002963532</v>
      </c>
      <c r="BS13" s="10">
        <f t="shared" si="60"/>
        <v>824.61523520170681</v>
      </c>
      <c r="BT13" s="10">
        <f t="shared" si="60"/>
        <v>801.37741399174536</v>
      </c>
      <c r="BU13" s="10">
        <f t="shared" si="60"/>
        <v>571.59612763522</v>
      </c>
      <c r="BV13" s="10">
        <f t="shared" si="60"/>
        <v>570.47360330046547</v>
      </c>
      <c r="BW13" s="10">
        <f t="shared" si="60"/>
        <v>638.86095503395495</v>
      </c>
      <c r="BX13" s="10">
        <f t="shared" si="60"/>
        <v>463.09306150214314</v>
      </c>
      <c r="BY13" s="10">
        <f t="shared" si="60"/>
        <v>529.47538318778311</v>
      </c>
      <c r="BZ13" s="10">
        <f t="shared" si="60"/>
        <v>713.31956698054455</v>
      </c>
      <c r="CA13" s="10">
        <f t="shared" si="60"/>
        <v>654.44529254943245</v>
      </c>
      <c r="CB13" s="10">
        <f t="shared" si="60"/>
        <v>594.31940014800091</v>
      </c>
      <c r="CC13" s="10">
        <f t="shared" si="60"/>
        <v>691.77982686079417</v>
      </c>
      <c r="CD13" s="10">
        <f t="shared" ref="CD13:CF13" si="61">+BR13</f>
        <v>813.47573002963532</v>
      </c>
      <c r="CE13" s="10">
        <f t="shared" si="61"/>
        <v>824.61523520170681</v>
      </c>
      <c r="CF13" s="10">
        <f t="shared" si="61"/>
        <v>801.37741399174536</v>
      </c>
      <c r="CG13" s="10">
        <f t="shared" ref="CG13:DS15" si="62">+BU13</f>
        <v>571.59612763522</v>
      </c>
      <c r="CH13" s="10">
        <f t="shared" si="62"/>
        <v>570.47360330046547</v>
      </c>
      <c r="CI13" s="10">
        <f t="shared" si="62"/>
        <v>638.86095503395495</v>
      </c>
      <c r="CJ13" s="10">
        <f t="shared" si="62"/>
        <v>463.09306150214314</v>
      </c>
      <c r="CK13" s="10">
        <f t="shared" si="62"/>
        <v>529.47538318778311</v>
      </c>
      <c r="CL13" s="10">
        <f t="shared" si="62"/>
        <v>713.31956698054455</v>
      </c>
      <c r="CM13" s="10">
        <f t="shared" si="62"/>
        <v>654.44529254943245</v>
      </c>
      <c r="CN13" s="10">
        <f t="shared" si="62"/>
        <v>594.31940014800091</v>
      </c>
      <c r="CO13" s="10">
        <f t="shared" si="62"/>
        <v>691.77982686079417</v>
      </c>
      <c r="CP13" s="10">
        <f t="shared" si="62"/>
        <v>813.47573002963532</v>
      </c>
      <c r="CQ13" s="10">
        <f t="shared" si="62"/>
        <v>824.61523520170681</v>
      </c>
      <c r="CR13" s="10">
        <f t="shared" si="62"/>
        <v>801.37741399174536</v>
      </c>
      <c r="CS13" s="10">
        <f t="shared" si="62"/>
        <v>571.59612763522</v>
      </c>
      <c r="CT13" s="10">
        <f t="shared" si="62"/>
        <v>570.47360330046547</v>
      </c>
      <c r="CU13" s="10">
        <f t="shared" si="62"/>
        <v>638.86095503395495</v>
      </c>
      <c r="CV13" s="10">
        <f t="shared" si="62"/>
        <v>463.09306150214314</v>
      </c>
      <c r="CW13" s="10">
        <f t="shared" si="62"/>
        <v>529.47538318778311</v>
      </c>
      <c r="CX13" s="10">
        <f t="shared" si="62"/>
        <v>713.31956698054455</v>
      </c>
      <c r="CY13" s="10">
        <f t="shared" si="62"/>
        <v>654.44529254943245</v>
      </c>
      <c r="CZ13" s="10">
        <f t="shared" si="62"/>
        <v>594.31940014800091</v>
      </c>
      <c r="DA13" s="10">
        <f t="shared" si="62"/>
        <v>691.77982686079417</v>
      </c>
      <c r="DB13" s="10">
        <f t="shared" si="62"/>
        <v>813.47573002963532</v>
      </c>
      <c r="DC13" s="10">
        <f t="shared" si="62"/>
        <v>824.61523520170681</v>
      </c>
      <c r="DD13" s="10">
        <f t="shared" si="62"/>
        <v>801.37741399174536</v>
      </c>
      <c r="DE13" s="10">
        <f t="shared" si="62"/>
        <v>571.59612763522</v>
      </c>
      <c r="DF13" s="10">
        <f t="shared" si="62"/>
        <v>570.47360330046547</v>
      </c>
      <c r="DG13" s="10">
        <f t="shared" si="62"/>
        <v>638.86095503395495</v>
      </c>
      <c r="DH13" s="10">
        <f t="shared" si="62"/>
        <v>463.09306150214314</v>
      </c>
      <c r="DI13" s="10">
        <f t="shared" si="62"/>
        <v>529.47538318778311</v>
      </c>
      <c r="DJ13" s="10">
        <f t="shared" si="62"/>
        <v>713.31956698054455</v>
      </c>
      <c r="DK13" s="10">
        <f t="shared" si="62"/>
        <v>654.44529254943245</v>
      </c>
      <c r="DL13" s="10">
        <f t="shared" si="62"/>
        <v>594.31940014800091</v>
      </c>
      <c r="DM13" s="10">
        <f t="shared" si="62"/>
        <v>691.77982686079417</v>
      </c>
      <c r="DN13" s="10">
        <f t="shared" si="62"/>
        <v>813.47573002963532</v>
      </c>
      <c r="DO13" s="10">
        <f t="shared" si="62"/>
        <v>824.61523520170681</v>
      </c>
      <c r="DP13" s="10">
        <f t="shared" si="62"/>
        <v>801.37741399174536</v>
      </c>
      <c r="DQ13" s="10">
        <f t="shared" si="62"/>
        <v>571.59612763522</v>
      </c>
      <c r="DR13" s="10">
        <f t="shared" si="62"/>
        <v>570.47360330046547</v>
      </c>
      <c r="DS13" s="10">
        <f t="shared" si="62"/>
        <v>638.86095503395495</v>
      </c>
      <c r="DT13" s="10">
        <f t="shared" ref="DT13:DU15" si="63">+DH13</f>
        <v>463.09306150214314</v>
      </c>
      <c r="DU13" s="10">
        <f t="shared" si="63"/>
        <v>529.47538318778311</v>
      </c>
      <c r="DV13" s="10">
        <f t="shared" ref="DV13:DX15" si="64">+DJ13</f>
        <v>713.31956698054455</v>
      </c>
      <c r="DW13" s="10">
        <f t="shared" si="64"/>
        <v>654.44529254943245</v>
      </c>
      <c r="DX13" s="10">
        <f t="shared" si="64"/>
        <v>594.31940014800091</v>
      </c>
      <c r="DY13" s="10">
        <f t="shared" ref="DY13:DY15" si="65">+DM13</f>
        <v>691.77982686079417</v>
      </c>
      <c r="DZ13" s="10">
        <f t="shared" ref="DZ13:EA15" si="66">+DN13</f>
        <v>813.47573002963532</v>
      </c>
      <c r="EA13" s="10">
        <f t="shared" si="66"/>
        <v>824.61523520170681</v>
      </c>
      <c r="EB13" s="10">
        <f t="shared" ref="EB13:EB15" si="67">+DP13</f>
        <v>801.37741399174536</v>
      </c>
      <c r="EC13" s="10">
        <f t="shared" ref="EC13:EC15" si="68">+DQ13</f>
        <v>571.59612763522</v>
      </c>
      <c r="ED13" s="10">
        <f t="shared" ref="ED13:ED15" si="69">+DR13</f>
        <v>570.47360330046547</v>
      </c>
      <c r="EE13" s="10">
        <f t="shared" ref="EE13:EE15" si="70">+DS13</f>
        <v>638.86095503395495</v>
      </c>
      <c r="EF13" s="10">
        <f t="shared" ref="EF13:EF15" si="71">+DT13</f>
        <v>463.09306150214314</v>
      </c>
      <c r="EG13" s="10">
        <f t="shared" ref="EG13:EG15" si="72">+DU13</f>
        <v>529.47538318778311</v>
      </c>
      <c r="EH13" s="10">
        <f t="shared" ref="EH13:EH15" si="73">+DV13</f>
        <v>713.31956698054455</v>
      </c>
      <c r="EI13" s="10">
        <f t="shared" ref="EI13:EI15" si="74">+DW13</f>
        <v>654.44529254943245</v>
      </c>
      <c r="EJ13" s="10">
        <f t="shared" ref="EJ13:EJ15" si="75">+DX13</f>
        <v>594.31940014800091</v>
      </c>
      <c r="EK13" s="10">
        <f t="shared" ref="EK13:EK15" si="76">+DY13</f>
        <v>691.77982686079417</v>
      </c>
      <c r="EL13" s="10">
        <f t="shared" ref="EL13:EL15" si="77">+DZ13</f>
        <v>813.47573002963532</v>
      </c>
      <c r="EM13" s="10">
        <f t="shared" ref="EM13:EM15" si="78">+EA13</f>
        <v>824.61523520170681</v>
      </c>
      <c r="EN13" s="10">
        <f t="shared" ref="EN13:EN15" si="79">+EB13</f>
        <v>801.37741399174536</v>
      </c>
      <c r="EO13" s="10">
        <f t="shared" ref="EO13:EO15" si="80">+EC13</f>
        <v>571.59612763522</v>
      </c>
      <c r="EP13" s="10">
        <f t="shared" ref="EP13:EP15" si="81">+ED13</f>
        <v>570.47360330046547</v>
      </c>
      <c r="EQ13" s="10">
        <f t="shared" ref="EQ13:EQ15" si="82">+EE13</f>
        <v>638.86095503395495</v>
      </c>
      <c r="ER13" s="10">
        <f t="shared" ref="ER13:ER15" si="83">+EF13</f>
        <v>463.09306150214314</v>
      </c>
      <c r="ES13" s="10">
        <f t="shared" ref="ES13:ES15" si="84">+EG13</f>
        <v>529.47538318778311</v>
      </c>
      <c r="ET13" s="10">
        <f t="shared" ref="ET13:ET15" si="85">+EH13</f>
        <v>713.31956698054455</v>
      </c>
      <c r="EU13" s="10">
        <f t="shared" ref="EU13:EU15" si="86">+EI13</f>
        <v>654.44529254943245</v>
      </c>
      <c r="EV13" s="10">
        <f t="shared" ref="EV13:EV15" si="87">+EJ13</f>
        <v>594.31940014800091</v>
      </c>
      <c r="EW13" s="10">
        <f t="shared" ref="EW13:EW15" si="88">+EK13</f>
        <v>691.77982686079417</v>
      </c>
      <c r="EX13" s="10">
        <f t="shared" ref="EX13:EX15" si="89">+EL13</f>
        <v>813.47573002963532</v>
      </c>
      <c r="EY13" s="10">
        <f t="shared" ref="EY13:EY15" si="90">+EM13</f>
        <v>824.61523520170681</v>
      </c>
      <c r="EZ13" s="10">
        <f t="shared" ref="EZ13:EZ15" si="91">+EN13</f>
        <v>801.37741399174536</v>
      </c>
      <c r="FA13" s="10">
        <f t="shared" ref="FA13:FA15" si="92">+EO13</f>
        <v>571.59612763522</v>
      </c>
      <c r="FB13" s="10">
        <f t="shared" ref="FB13:FB15" si="93">+EP13</f>
        <v>570.47360330046547</v>
      </c>
      <c r="FC13" s="10">
        <f t="shared" ref="FC13:FC15" si="94">+EQ13</f>
        <v>638.86095503395495</v>
      </c>
      <c r="FD13" s="10">
        <f t="shared" ref="FD13:FD15" si="95">+ER13</f>
        <v>463.09306150214314</v>
      </c>
      <c r="FE13" s="10">
        <f t="shared" ref="FE13:FE15" si="96">+ES13</f>
        <v>529.47538318778311</v>
      </c>
      <c r="FF13" s="10">
        <f t="shared" ref="FF13:FF15" si="97">+ET13</f>
        <v>713.31956698054455</v>
      </c>
      <c r="FG13" s="10">
        <f t="shared" ref="FG13:FG15" si="98">+EU13</f>
        <v>654.44529254943245</v>
      </c>
      <c r="FH13" s="10">
        <f t="shared" ref="FH13:FH15" si="99">+EV13</f>
        <v>594.31940014800091</v>
      </c>
      <c r="FI13" s="10">
        <f t="shared" ref="FI13:FI15" si="100">+EW13</f>
        <v>691.77982686079417</v>
      </c>
      <c r="FJ13" s="10">
        <f t="shared" ref="FJ13:FJ15" si="101">+EX13</f>
        <v>813.47573002963532</v>
      </c>
      <c r="FK13" s="10">
        <f t="shared" ref="FK13:FK15" si="102">+EY13</f>
        <v>824.61523520170681</v>
      </c>
      <c r="FL13" s="10">
        <f t="shared" ref="FL13:FL15" si="103">+EZ13</f>
        <v>801.37741399174536</v>
      </c>
      <c r="FM13" s="10">
        <f t="shared" ref="FM13:FM15" si="104">+FA13</f>
        <v>571.59612763522</v>
      </c>
      <c r="FN13" s="10">
        <f t="shared" ref="FN13:FN15" si="105">+FB13</f>
        <v>570.47360330046547</v>
      </c>
      <c r="FO13" s="10">
        <f t="shared" ref="FO13:FO15" si="106">+FC13</f>
        <v>638.86095503395495</v>
      </c>
      <c r="FP13" s="10">
        <f t="shared" ref="FP13:FP15" si="107">+FD13</f>
        <v>463.09306150214314</v>
      </c>
      <c r="FQ13" s="10">
        <f t="shared" ref="FQ13:FQ15" si="108">+FE13</f>
        <v>529.47538318778311</v>
      </c>
      <c r="FR13" s="10">
        <f t="shared" ref="FR13:FR15" si="109">+FF13</f>
        <v>713.31956698054455</v>
      </c>
      <c r="FS13" s="10">
        <f t="shared" ref="FS13:FS15" si="110">+FG13</f>
        <v>654.44529254943245</v>
      </c>
      <c r="FT13" s="10">
        <f t="shared" ref="FT13:FT15" si="111">+FH13</f>
        <v>594.31940014800091</v>
      </c>
      <c r="FU13" s="10">
        <f t="shared" ref="FU13:FU15" si="112">+FI13</f>
        <v>691.77982686079417</v>
      </c>
      <c r="FV13" s="10">
        <f t="shared" ref="FV13:FV15" si="113">+FJ13</f>
        <v>813.47573002963532</v>
      </c>
      <c r="FW13" s="10">
        <f t="shared" ref="FW13:FW15" si="114">+FK13</f>
        <v>824.61523520170681</v>
      </c>
      <c r="FX13" s="10">
        <f t="shared" ref="FX13:FX15" si="115">+FL13</f>
        <v>801.37741399174536</v>
      </c>
      <c r="FY13" s="10">
        <f t="shared" ref="FY13:FY15" si="116">+FM13</f>
        <v>571.59612763522</v>
      </c>
      <c r="FZ13" s="10">
        <f t="shared" ref="FZ13:FZ15" si="117">+FN13</f>
        <v>570.47360330046547</v>
      </c>
      <c r="GA13" s="10">
        <f t="shared" ref="GA13:GA15" si="118">+FO13</f>
        <v>638.86095503395495</v>
      </c>
      <c r="GB13" s="10">
        <f t="shared" ref="GB13:GB15" si="119">+FP13</f>
        <v>463.09306150214314</v>
      </c>
      <c r="GC13" s="10">
        <f t="shared" ref="GC13:GC15" si="120">+FQ13</f>
        <v>529.47538318778311</v>
      </c>
      <c r="GD13" s="10">
        <f t="shared" ref="GD13:GD15" si="121">+FR13</f>
        <v>713.31956698054455</v>
      </c>
      <c r="GE13" s="10">
        <f t="shared" ref="GE13:GE15" si="122">+FS13</f>
        <v>654.44529254943245</v>
      </c>
      <c r="GF13" s="10">
        <f t="shared" ref="GF13:GF15" si="123">+FT13</f>
        <v>594.31940014800091</v>
      </c>
      <c r="GG13" s="10">
        <f t="shared" ref="GG13:GG15" si="124">+FU13</f>
        <v>691.77982686079417</v>
      </c>
      <c r="GH13" s="10">
        <f t="shared" ref="GH13:GH15" si="125">+FV13</f>
        <v>813.47573002963532</v>
      </c>
      <c r="GI13" s="10">
        <f t="shared" ref="GI13:GI15" si="126">+FW13</f>
        <v>824.61523520170681</v>
      </c>
      <c r="GJ13" s="10">
        <f t="shared" ref="GJ13:GJ15" si="127">+FX13</f>
        <v>801.37741399174536</v>
      </c>
      <c r="GK13" s="10">
        <f t="shared" ref="GK13:GK15" si="128">+FY13</f>
        <v>571.59612763522</v>
      </c>
      <c r="GL13" s="10">
        <f t="shared" ref="GL13:GL15" si="129">+FZ13</f>
        <v>570.47360330046547</v>
      </c>
      <c r="GM13" s="10">
        <f t="shared" ref="GM13:GM15" si="130">+GA13</f>
        <v>638.86095503395495</v>
      </c>
      <c r="GN13" s="10">
        <f t="shared" ref="GN13:GN15" si="131">+GB13</f>
        <v>463.09306150214314</v>
      </c>
      <c r="GO13" s="10">
        <f t="shared" ref="GO13:GO15" si="132">+GC13</f>
        <v>529.47538318778311</v>
      </c>
      <c r="GP13" s="10">
        <f t="shared" ref="GP13:GP15" si="133">+GD13</f>
        <v>713.31956698054455</v>
      </c>
      <c r="GQ13" s="10">
        <f t="shared" ref="GQ13:GQ15" si="134">+GE13</f>
        <v>654.44529254943245</v>
      </c>
      <c r="GR13" s="10">
        <f t="shared" ref="GR13:GR15" si="135">+GF13</f>
        <v>594.31940014800091</v>
      </c>
      <c r="GS13" s="10">
        <f t="shared" ref="GS13:GS15" si="136">+GG13</f>
        <v>691.77982686079417</v>
      </c>
      <c r="GT13" s="10">
        <f t="shared" ref="GT13:GT15" si="137">+GH13</f>
        <v>813.47573002963532</v>
      </c>
      <c r="GU13" s="10">
        <f t="shared" ref="GU13:GU15" si="138">+GI13</f>
        <v>824.61523520170681</v>
      </c>
      <c r="GV13" s="10">
        <f t="shared" ref="GV13:GV15" si="139">+GJ13</f>
        <v>801.37741399174536</v>
      </c>
      <c r="GW13" s="10">
        <f t="shared" ref="GW13:GW15" si="140">+GK13</f>
        <v>571.59612763522</v>
      </c>
      <c r="GX13" s="10">
        <f t="shared" ref="GX13:GX15" si="141">+GL13</f>
        <v>570.47360330046547</v>
      </c>
      <c r="GY13" s="10">
        <f t="shared" ref="GY13:GY15" si="142">+GM13</f>
        <v>638.86095503395495</v>
      </c>
      <c r="GZ13" s="10">
        <f t="shared" ref="GZ13:GZ15" si="143">+GN13</f>
        <v>463.09306150214314</v>
      </c>
      <c r="HA13" s="10">
        <f t="shared" ref="HA13:HA15" si="144">+GO13</f>
        <v>529.47538318778311</v>
      </c>
      <c r="HB13" s="10">
        <f t="shared" ref="HB13:HB15" si="145">+GP13</f>
        <v>713.31956698054455</v>
      </c>
      <c r="HC13" s="10">
        <f t="shared" ref="HC13:HC15" si="146">+GQ13</f>
        <v>654.44529254943245</v>
      </c>
      <c r="HD13" s="10">
        <f t="shared" ref="HD13:HD15" si="147">+GR13</f>
        <v>594.31940014800091</v>
      </c>
      <c r="HE13" s="10">
        <f t="shared" ref="HE13:HE15" si="148">+GS13</f>
        <v>691.77982686079417</v>
      </c>
      <c r="HF13" s="10">
        <f t="shared" ref="HF13:HF15" si="149">+GT13</f>
        <v>813.47573002963532</v>
      </c>
      <c r="HG13" s="10">
        <f t="shared" ref="HG13:HG15" si="150">+GU13</f>
        <v>824.61523520170681</v>
      </c>
      <c r="HH13" s="10">
        <f t="shared" ref="HH13:HH15" si="151">+GV13</f>
        <v>801.37741399174536</v>
      </c>
      <c r="HI13" s="10">
        <f t="shared" ref="HI13:HI15" si="152">+GW13</f>
        <v>571.59612763522</v>
      </c>
      <c r="HJ13" s="10">
        <f t="shared" ref="HJ13:HJ15" si="153">+GX13</f>
        <v>570.47360330046547</v>
      </c>
      <c r="HK13" s="10">
        <f t="shared" ref="HK13:HK15" si="154">+GY13</f>
        <v>638.86095503395495</v>
      </c>
      <c r="HL13" s="10">
        <f t="shared" ref="HL13:HL15" si="155">+GZ13</f>
        <v>463.09306150214314</v>
      </c>
      <c r="HM13" s="10">
        <f t="shared" ref="HM13:HM15" si="156">+HA13</f>
        <v>529.47538318778311</v>
      </c>
      <c r="HN13" s="10">
        <f t="shared" ref="HN13:HN15" si="157">+HB13</f>
        <v>713.31956698054455</v>
      </c>
      <c r="HO13" s="10">
        <f t="shared" ref="HO13:HO15" si="158">+HC13</f>
        <v>654.44529254943245</v>
      </c>
      <c r="HP13" s="10">
        <f t="shared" ref="HP13:HP15" si="159">+HD13</f>
        <v>594.31940014800091</v>
      </c>
      <c r="HQ13" s="10">
        <f t="shared" ref="HQ13:HQ15" si="160">+HE13</f>
        <v>691.77982686079417</v>
      </c>
      <c r="HR13" s="10">
        <f t="shared" ref="HR13:HR15" si="161">+HF13</f>
        <v>813.47573002963532</v>
      </c>
      <c r="HS13" s="10">
        <f t="shared" ref="HS13:HS15" si="162">+HG13</f>
        <v>824.61523520170681</v>
      </c>
      <c r="HT13" s="10">
        <f t="shared" ref="HT13:HT15" si="163">+HH13</f>
        <v>801.37741399174536</v>
      </c>
      <c r="HU13" s="10">
        <f t="shared" ref="HU13:HU15" si="164">+HI13</f>
        <v>571.59612763522</v>
      </c>
      <c r="HV13" s="10">
        <f t="shared" ref="HV13:HV15" si="165">+HJ13</f>
        <v>570.47360330046547</v>
      </c>
      <c r="HW13" s="10">
        <f t="shared" ref="HW13:HW15" si="166">+HK13</f>
        <v>638.86095503395495</v>
      </c>
      <c r="HX13" s="10">
        <f t="shared" ref="HX13:HX15" si="167">+HL13</f>
        <v>463.09306150214314</v>
      </c>
      <c r="HY13" s="10">
        <f t="shared" ref="HY13:HY15" si="168">+HM13</f>
        <v>529.47538318778311</v>
      </c>
      <c r="HZ13" s="10">
        <f t="shared" ref="HZ13:HZ15" si="169">+HN13</f>
        <v>713.31956698054455</v>
      </c>
      <c r="IA13" s="10">
        <f t="shared" ref="IA13:IA15" si="170">+HO13</f>
        <v>654.44529254943245</v>
      </c>
      <c r="IB13" s="10">
        <f t="shared" ref="IB13:IB15" si="171">+HP13</f>
        <v>594.31940014800091</v>
      </c>
      <c r="IC13" s="10">
        <f t="shared" ref="IC13:IC15" si="172">+HQ13</f>
        <v>691.77982686079417</v>
      </c>
      <c r="ID13" s="10">
        <f t="shared" ref="ID13:ID15" si="173">+HR13</f>
        <v>813.47573002963532</v>
      </c>
      <c r="IE13" s="10">
        <f t="shared" ref="IE13:IE15" si="174">+HS13</f>
        <v>824.61523520170681</v>
      </c>
      <c r="IF13" s="10">
        <f t="shared" ref="IF13:IF15" si="175">+HT13</f>
        <v>801.37741399174536</v>
      </c>
      <c r="IG13" s="10">
        <f t="shared" ref="IG13:IG15" si="176">+HU13</f>
        <v>571.59612763522</v>
      </c>
      <c r="IH13" s="10">
        <f t="shared" ref="IH13:IH15" si="177">+HV13</f>
        <v>570.47360330046547</v>
      </c>
      <c r="II13" s="10">
        <f t="shared" ref="II13:II15" si="178">+HW13</f>
        <v>638.86095503395495</v>
      </c>
      <c r="IJ13" s="10">
        <f t="shared" ref="IJ13:IK15" si="179">+HX13</f>
        <v>463.09306150214314</v>
      </c>
      <c r="IK13" s="10">
        <f t="shared" si="179"/>
        <v>529.47538318778311</v>
      </c>
      <c r="IL13" s="10">
        <f t="shared" ref="IL13:IL15" si="180">+HZ13</f>
        <v>713.31956698054455</v>
      </c>
      <c r="IM13" s="10">
        <f t="shared" ref="IM13:IM15" si="181">+IA13</f>
        <v>654.44529254943245</v>
      </c>
      <c r="IN13" s="10">
        <f t="shared" ref="IN13:IN15" si="182">+IB13</f>
        <v>594.31940014800091</v>
      </c>
      <c r="IO13" s="10">
        <f t="shared" ref="IO13:IO15" si="183">+IC13</f>
        <v>691.77982686079417</v>
      </c>
    </row>
    <row r="14" spans="1:261" x14ac:dyDescent="0.3">
      <c r="A14" t="s">
        <v>771</v>
      </c>
      <c r="B14" s="38"/>
      <c r="C14" s="31"/>
      <c r="D14" s="31"/>
      <c r="E14" s="10">
        <f>+Liquidación!E77</f>
        <v>0</v>
      </c>
      <c r="F14" s="10">
        <f>+Liquidación!F77</f>
        <v>0</v>
      </c>
      <c r="G14" s="10">
        <f>+Liquidación!G77</f>
        <v>0</v>
      </c>
      <c r="H14" s="10">
        <f>+Liquidación!H77</f>
        <v>372.3203199999997</v>
      </c>
      <c r="I14" s="10">
        <f>+Liquidación!I77</f>
        <v>259.23776919999978</v>
      </c>
      <c r="J14" s="10">
        <f>+Liquidación!J77</f>
        <v>258.42136979999941</v>
      </c>
      <c r="K14" s="10">
        <f>+Liquidación!K77</f>
        <v>80.363959999999565</v>
      </c>
      <c r="L14" s="10">
        <f>+Liquidación!L77</f>
        <v>0</v>
      </c>
      <c r="M14" s="10">
        <f>+Liquidación!M77</f>
        <v>0</v>
      </c>
      <c r="N14" s="10">
        <f>+Liquidación!N77</f>
        <v>0</v>
      </c>
      <c r="O14" s="10">
        <f>+Liquidación!O77</f>
        <v>0</v>
      </c>
      <c r="P14" s="10">
        <f>+Liquidación!P77</f>
        <v>0</v>
      </c>
      <c r="Q14" s="10">
        <f>+E14</f>
        <v>0</v>
      </c>
      <c r="R14" s="10">
        <f t="shared" si="59"/>
        <v>0</v>
      </c>
      <c r="S14" s="10">
        <f t="shared" si="59"/>
        <v>0</v>
      </c>
      <c r="T14" s="10">
        <f t="shared" si="59"/>
        <v>372.3203199999997</v>
      </c>
      <c r="U14" s="10">
        <f t="shared" si="59"/>
        <v>259.23776919999978</v>
      </c>
      <c r="V14" s="10">
        <f t="shared" si="59"/>
        <v>258.42136979999941</v>
      </c>
      <c r="W14" s="10">
        <f t="shared" si="60"/>
        <v>80.363959999999565</v>
      </c>
      <c r="X14" s="10">
        <f t="shared" si="60"/>
        <v>0</v>
      </c>
      <c r="Y14" s="10">
        <f t="shared" si="60"/>
        <v>0</v>
      </c>
      <c r="Z14" s="10">
        <f t="shared" si="60"/>
        <v>0</v>
      </c>
      <c r="AA14" s="10">
        <f t="shared" si="60"/>
        <v>0</v>
      </c>
      <c r="AB14" s="10">
        <f t="shared" si="60"/>
        <v>0</v>
      </c>
      <c r="AC14" s="10">
        <f t="shared" si="60"/>
        <v>0</v>
      </c>
      <c r="AD14" s="10">
        <f t="shared" si="60"/>
        <v>0</v>
      </c>
      <c r="AE14" s="10">
        <f t="shared" si="60"/>
        <v>0</v>
      </c>
      <c r="AF14" s="10">
        <f t="shared" si="60"/>
        <v>372.3203199999997</v>
      </c>
      <c r="AG14" s="10">
        <f t="shared" si="60"/>
        <v>259.23776919999978</v>
      </c>
      <c r="AH14" s="10">
        <f t="shared" si="60"/>
        <v>258.42136979999941</v>
      </c>
      <c r="AI14" s="10">
        <f t="shared" si="60"/>
        <v>80.363959999999565</v>
      </c>
      <c r="AJ14" s="10">
        <f t="shared" si="60"/>
        <v>0</v>
      </c>
      <c r="AK14" s="10">
        <f t="shared" si="60"/>
        <v>0</v>
      </c>
      <c r="AL14" s="10">
        <f t="shared" si="60"/>
        <v>0</v>
      </c>
      <c r="AM14" s="10">
        <f t="shared" si="60"/>
        <v>0</v>
      </c>
      <c r="AN14" s="10">
        <f t="shared" si="60"/>
        <v>0</v>
      </c>
      <c r="AO14" s="10">
        <f t="shared" si="60"/>
        <v>0</v>
      </c>
      <c r="AP14" s="10">
        <f t="shared" si="60"/>
        <v>0</v>
      </c>
      <c r="AQ14" s="10">
        <f t="shared" si="60"/>
        <v>0</v>
      </c>
      <c r="AR14" s="10">
        <f t="shared" si="60"/>
        <v>372.3203199999997</v>
      </c>
      <c r="AS14" s="10">
        <f t="shared" si="60"/>
        <v>259.23776919999978</v>
      </c>
      <c r="AT14" s="10">
        <f t="shared" si="60"/>
        <v>258.42136979999941</v>
      </c>
      <c r="AU14" s="10">
        <f t="shared" si="60"/>
        <v>80.363959999999565</v>
      </c>
      <c r="AV14" s="10">
        <f t="shared" si="60"/>
        <v>0</v>
      </c>
      <c r="AW14" s="10">
        <f t="shared" si="60"/>
        <v>0</v>
      </c>
      <c r="AX14" s="10">
        <f t="shared" si="60"/>
        <v>0</v>
      </c>
      <c r="AY14" s="10">
        <f t="shared" si="60"/>
        <v>0</v>
      </c>
      <c r="AZ14" s="10">
        <f t="shared" si="60"/>
        <v>0</v>
      </c>
      <c r="BA14" s="10">
        <f t="shared" si="60"/>
        <v>0</v>
      </c>
      <c r="BB14" s="10">
        <f t="shared" si="60"/>
        <v>0</v>
      </c>
      <c r="BC14" s="10">
        <f t="shared" si="60"/>
        <v>0</v>
      </c>
      <c r="BD14" s="10">
        <f t="shared" si="60"/>
        <v>372.3203199999997</v>
      </c>
      <c r="BE14" s="10">
        <f t="shared" si="60"/>
        <v>259.23776919999978</v>
      </c>
      <c r="BF14" s="10">
        <f t="shared" si="60"/>
        <v>258.42136979999941</v>
      </c>
      <c r="BG14" s="10">
        <f t="shared" si="60"/>
        <v>80.363959999999565</v>
      </c>
      <c r="BH14" s="10">
        <f t="shared" si="60"/>
        <v>0</v>
      </c>
      <c r="BI14" s="10">
        <f t="shared" si="60"/>
        <v>0</v>
      </c>
      <c r="BJ14" s="10">
        <f t="shared" si="60"/>
        <v>0</v>
      </c>
      <c r="BK14" s="10">
        <f t="shared" si="60"/>
        <v>0</v>
      </c>
      <c r="BL14" s="10">
        <f t="shared" si="60"/>
        <v>0</v>
      </c>
      <c r="BM14" s="10">
        <f t="shared" si="60"/>
        <v>0</v>
      </c>
      <c r="BN14" s="10">
        <f t="shared" si="60"/>
        <v>0</v>
      </c>
      <c r="BO14" s="10">
        <f t="shared" si="60"/>
        <v>0</v>
      </c>
      <c r="BP14" s="10">
        <f t="shared" si="60"/>
        <v>372.3203199999997</v>
      </c>
      <c r="BQ14" s="10">
        <f t="shared" si="60"/>
        <v>259.23776919999978</v>
      </c>
      <c r="BR14" s="10">
        <f t="shared" si="60"/>
        <v>258.42136979999941</v>
      </c>
      <c r="BS14" s="10">
        <f t="shared" si="60"/>
        <v>80.363959999999565</v>
      </c>
      <c r="BT14" s="10">
        <f t="shared" si="60"/>
        <v>0</v>
      </c>
      <c r="BU14" s="10">
        <f t="shared" si="60"/>
        <v>0</v>
      </c>
      <c r="BV14" s="10">
        <f t="shared" si="60"/>
        <v>0</v>
      </c>
      <c r="BW14" s="10">
        <f t="shared" si="60"/>
        <v>0</v>
      </c>
      <c r="BX14" s="10">
        <f t="shared" si="60"/>
        <v>0</v>
      </c>
      <c r="BY14" s="10">
        <f t="shared" si="60"/>
        <v>0</v>
      </c>
      <c r="BZ14" s="10">
        <f t="shared" si="60"/>
        <v>0</v>
      </c>
      <c r="CA14" s="10">
        <f t="shared" si="60"/>
        <v>0</v>
      </c>
      <c r="CB14" s="10">
        <f t="shared" si="60"/>
        <v>372.3203199999997</v>
      </c>
      <c r="CC14" s="10">
        <f t="shared" si="60"/>
        <v>259.23776919999978</v>
      </c>
      <c r="CD14" s="10">
        <f t="shared" ref="CD14:CF15" si="184">+BR14</f>
        <v>258.42136979999941</v>
      </c>
      <c r="CE14" s="10">
        <f t="shared" si="184"/>
        <v>80.363959999999565</v>
      </c>
      <c r="CF14" s="10">
        <f t="shared" si="184"/>
        <v>0</v>
      </c>
      <c r="CG14" s="10">
        <f t="shared" si="62"/>
        <v>0</v>
      </c>
      <c r="CH14" s="10">
        <f t="shared" si="62"/>
        <v>0</v>
      </c>
      <c r="CI14" s="10">
        <f t="shared" si="62"/>
        <v>0</v>
      </c>
      <c r="CJ14" s="10">
        <f t="shared" si="62"/>
        <v>0</v>
      </c>
      <c r="CK14" s="10">
        <f t="shared" si="62"/>
        <v>0</v>
      </c>
      <c r="CL14" s="10">
        <f t="shared" si="62"/>
        <v>0</v>
      </c>
      <c r="CM14" s="10">
        <f t="shared" si="62"/>
        <v>0</v>
      </c>
      <c r="CN14" s="10">
        <f t="shared" si="62"/>
        <v>372.3203199999997</v>
      </c>
      <c r="CO14" s="10">
        <f t="shared" si="62"/>
        <v>259.23776919999978</v>
      </c>
      <c r="CP14" s="10">
        <f t="shared" si="62"/>
        <v>258.42136979999941</v>
      </c>
      <c r="CQ14" s="10">
        <f t="shared" si="62"/>
        <v>80.363959999999565</v>
      </c>
      <c r="CR14" s="10">
        <f t="shared" si="62"/>
        <v>0</v>
      </c>
      <c r="CS14" s="10">
        <f t="shared" si="62"/>
        <v>0</v>
      </c>
      <c r="CT14" s="10">
        <f t="shared" si="62"/>
        <v>0</v>
      </c>
      <c r="CU14" s="10">
        <f t="shared" si="62"/>
        <v>0</v>
      </c>
      <c r="CV14" s="10">
        <f t="shared" si="62"/>
        <v>0</v>
      </c>
      <c r="CW14" s="10">
        <f t="shared" si="62"/>
        <v>0</v>
      </c>
      <c r="CX14" s="10">
        <f t="shared" si="62"/>
        <v>0</v>
      </c>
      <c r="CY14" s="10">
        <f t="shared" si="62"/>
        <v>0</v>
      </c>
      <c r="CZ14" s="10">
        <f t="shared" si="62"/>
        <v>372.3203199999997</v>
      </c>
      <c r="DA14" s="10">
        <f t="shared" si="62"/>
        <v>259.23776919999978</v>
      </c>
      <c r="DB14" s="10">
        <f t="shared" si="62"/>
        <v>258.42136979999941</v>
      </c>
      <c r="DC14" s="10">
        <f t="shared" si="62"/>
        <v>80.363959999999565</v>
      </c>
      <c r="DD14" s="10">
        <f t="shared" si="62"/>
        <v>0</v>
      </c>
      <c r="DE14" s="10">
        <f t="shared" si="62"/>
        <v>0</v>
      </c>
      <c r="DF14" s="10">
        <f t="shared" si="62"/>
        <v>0</v>
      </c>
      <c r="DG14" s="10">
        <f t="shared" si="62"/>
        <v>0</v>
      </c>
      <c r="DH14" s="10">
        <f t="shared" si="62"/>
        <v>0</v>
      </c>
      <c r="DI14" s="10">
        <f t="shared" si="62"/>
        <v>0</v>
      </c>
      <c r="DJ14" s="10">
        <f t="shared" si="62"/>
        <v>0</v>
      </c>
      <c r="DK14" s="10">
        <f t="shared" si="62"/>
        <v>0</v>
      </c>
      <c r="DL14" s="10">
        <f t="shared" si="62"/>
        <v>372.3203199999997</v>
      </c>
      <c r="DM14" s="10">
        <f t="shared" si="62"/>
        <v>259.23776919999978</v>
      </c>
      <c r="DN14" s="10">
        <f t="shared" si="62"/>
        <v>258.42136979999941</v>
      </c>
      <c r="DO14" s="10">
        <f t="shared" si="62"/>
        <v>80.363959999999565</v>
      </c>
      <c r="DP14" s="10">
        <f t="shared" si="62"/>
        <v>0</v>
      </c>
      <c r="DQ14" s="10">
        <f t="shared" si="62"/>
        <v>0</v>
      </c>
      <c r="DR14" s="10">
        <f t="shared" si="62"/>
        <v>0</v>
      </c>
      <c r="DS14" s="10">
        <f t="shared" si="62"/>
        <v>0</v>
      </c>
      <c r="DT14" s="10">
        <f t="shared" si="63"/>
        <v>0</v>
      </c>
      <c r="DU14" s="10">
        <f t="shared" si="63"/>
        <v>0</v>
      </c>
      <c r="DV14" s="10">
        <f t="shared" si="64"/>
        <v>0</v>
      </c>
      <c r="DW14" s="10">
        <f t="shared" si="64"/>
        <v>0</v>
      </c>
      <c r="DX14" s="10">
        <f t="shared" si="64"/>
        <v>372.3203199999997</v>
      </c>
      <c r="DY14" s="10">
        <f t="shared" si="65"/>
        <v>259.23776919999978</v>
      </c>
      <c r="DZ14" s="10">
        <f t="shared" si="66"/>
        <v>258.42136979999941</v>
      </c>
      <c r="EA14" s="10">
        <f t="shared" si="66"/>
        <v>80.363959999999565</v>
      </c>
      <c r="EB14" s="10">
        <f t="shared" si="67"/>
        <v>0</v>
      </c>
      <c r="EC14" s="10">
        <f t="shared" si="68"/>
        <v>0</v>
      </c>
      <c r="ED14" s="10">
        <f t="shared" si="69"/>
        <v>0</v>
      </c>
      <c r="EE14" s="10">
        <f t="shared" si="70"/>
        <v>0</v>
      </c>
      <c r="EF14" s="10">
        <f t="shared" si="71"/>
        <v>0</v>
      </c>
      <c r="EG14" s="10">
        <f t="shared" si="72"/>
        <v>0</v>
      </c>
      <c r="EH14" s="10">
        <f t="shared" si="73"/>
        <v>0</v>
      </c>
      <c r="EI14" s="10">
        <f t="shared" si="74"/>
        <v>0</v>
      </c>
      <c r="EJ14" s="10">
        <f t="shared" si="75"/>
        <v>372.3203199999997</v>
      </c>
      <c r="EK14" s="10">
        <f t="shared" si="76"/>
        <v>259.23776919999978</v>
      </c>
      <c r="EL14" s="10">
        <f t="shared" si="77"/>
        <v>258.42136979999941</v>
      </c>
      <c r="EM14" s="10">
        <f t="shared" si="78"/>
        <v>80.363959999999565</v>
      </c>
      <c r="EN14" s="10">
        <f t="shared" si="79"/>
        <v>0</v>
      </c>
      <c r="EO14" s="10">
        <f t="shared" si="80"/>
        <v>0</v>
      </c>
      <c r="EP14" s="10">
        <f t="shared" si="81"/>
        <v>0</v>
      </c>
      <c r="EQ14" s="10">
        <f t="shared" si="82"/>
        <v>0</v>
      </c>
      <c r="ER14" s="10">
        <f t="shared" si="83"/>
        <v>0</v>
      </c>
      <c r="ES14" s="10">
        <f t="shared" si="84"/>
        <v>0</v>
      </c>
      <c r="ET14" s="10">
        <f t="shared" si="85"/>
        <v>0</v>
      </c>
      <c r="EU14" s="10">
        <f t="shared" si="86"/>
        <v>0</v>
      </c>
      <c r="EV14" s="10">
        <f t="shared" si="87"/>
        <v>372.3203199999997</v>
      </c>
      <c r="EW14" s="10">
        <f t="shared" si="88"/>
        <v>259.23776919999978</v>
      </c>
      <c r="EX14" s="10">
        <f t="shared" si="89"/>
        <v>258.42136979999941</v>
      </c>
      <c r="EY14" s="10">
        <f t="shared" si="90"/>
        <v>80.363959999999565</v>
      </c>
      <c r="EZ14" s="10">
        <f t="shared" si="91"/>
        <v>0</v>
      </c>
      <c r="FA14" s="10">
        <f t="shared" si="92"/>
        <v>0</v>
      </c>
      <c r="FB14" s="10">
        <f t="shared" si="93"/>
        <v>0</v>
      </c>
      <c r="FC14" s="10">
        <f t="shared" si="94"/>
        <v>0</v>
      </c>
      <c r="FD14" s="10">
        <f t="shared" si="95"/>
        <v>0</v>
      </c>
      <c r="FE14" s="10">
        <f t="shared" si="96"/>
        <v>0</v>
      </c>
      <c r="FF14" s="10">
        <f t="shared" si="97"/>
        <v>0</v>
      </c>
      <c r="FG14" s="10">
        <f t="shared" si="98"/>
        <v>0</v>
      </c>
      <c r="FH14" s="10">
        <f t="shared" si="99"/>
        <v>372.3203199999997</v>
      </c>
      <c r="FI14" s="10">
        <f t="shared" si="100"/>
        <v>259.23776919999978</v>
      </c>
      <c r="FJ14" s="10">
        <f t="shared" si="101"/>
        <v>258.42136979999941</v>
      </c>
      <c r="FK14" s="10">
        <f t="shared" si="102"/>
        <v>80.363959999999565</v>
      </c>
      <c r="FL14" s="10">
        <f t="shared" si="103"/>
        <v>0</v>
      </c>
      <c r="FM14" s="10">
        <f t="shared" si="104"/>
        <v>0</v>
      </c>
      <c r="FN14" s="10">
        <f t="shared" si="105"/>
        <v>0</v>
      </c>
      <c r="FO14" s="10">
        <f t="shared" si="106"/>
        <v>0</v>
      </c>
      <c r="FP14" s="10">
        <f t="shared" si="107"/>
        <v>0</v>
      </c>
      <c r="FQ14" s="10">
        <f t="shared" si="108"/>
        <v>0</v>
      </c>
      <c r="FR14" s="10">
        <f t="shared" si="109"/>
        <v>0</v>
      </c>
      <c r="FS14" s="10">
        <f t="shared" si="110"/>
        <v>0</v>
      </c>
      <c r="FT14" s="10">
        <f t="shared" si="111"/>
        <v>372.3203199999997</v>
      </c>
      <c r="FU14" s="10">
        <f t="shared" si="112"/>
        <v>259.23776919999978</v>
      </c>
      <c r="FV14" s="10">
        <f t="shared" si="113"/>
        <v>258.42136979999941</v>
      </c>
      <c r="FW14" s="10">
        <f t="shared" si="114"/>
        <v>80.363959999999565</v>
      </c>
      <c r="FX14" s="10">
        <f t="shared" si="115"/>
        <v>0</v>
      </c>
      <c r="FY14" s="10">
        <f t="shared" si="116"/>
        <v>0</v>
      </c>
      <c r="FZ14" s="10">
        <f t="shared" si="117"/>
        <v>0</v>
      </c>
      <c r="GA14" s="10">
        <f t="shared" si="118"/>
        <v>0</v>
      </c>
      <c r="GB14" s="10">
        <f t="shared" si="119"/>
        <v>0</v>
      </c>
      <c r="GC14" s="10">
        <f t="shared" si="120"/>
        <v>0</v>
      </c>
      <c r="GD14" s="10">
        <f t="shared" si="121"/>
        <v>0</v>
      </c>
      <c r="GE14" s="10">
        <f t="shared" si="122"/>
        <v>0</v>
      </c>
      <c r="GF14" s="10">
        <f t="shared" si="123"/>
        <v>372.3203199999997</v>
      </c>
      <c r="GG14" s="10">
        <f t="shared" si="124"/>
        <v>259.23776919999978</v>
      </c>
      <c r="GH14" s="10">
        <f t="shared" si="125"/>
        <v>258.42136979999941</v>
      </c>
      <c r="GI14" s="10">
        <f t="shared" si="126"/>
        <v>80.363959999999565</v>
      </c>
      <c r="GJ14" s="10">
        <f t="shared" si="127"/>
        <v>0</v>
      </c>
      <c r="GK14" s="10">
        <f t="shared" si="128"/>
        <v>0</v>
      </c>
      <c r="GL14" s="10">
        <f t="shared" si="129"/>
        <v>0</v>
      </c>
      <c r="GM14" s="10">
        <f t="shared" si="130"/>
        <v>0</v>
      </c>
      <c r="GN14" s="10">
        <f t="shared" si="131"/>
        <v>0</v>
      </c>
      <c r="GO14" s="10">
        <f t="shared" si="132"/>
        <v>0</v>
      </c>
      <c r="GP14" s="10">
        <f t="shared" si="133"/>
        <v>0</v>
      </c>
      <c r="GQ14" s="10">
        <f t="shared" si="134"/>
        <v>0</v>
      </c>
      <c r="GR14" s="10">
        <f t="shared" si="135"/>
        <v>372.3203199999997</v>
      </c>
      <c r="GS14" s="10">
        <f t="shared" si="136"/>
        <v>259.23776919999978</v>
      </c>
      <c r="GT14" s="10">
        <f t="shared" si="137"/>
        <v>258.42136979999941</v>
      </c>
      <c r="GU14" s="10">
        <f t="shared" si="138"/>
        <v>80.363959999999565</v>
      </c>
      <c r="GV14" s="10">
        <f t="shared" si="139"/>
        <v>0</v>
      </c>
      <c r="GW14" s="10">
        <f t="shared" si="140"/>
        <v>0</v>
      </c>
      <c r="GX14" s="10">
        <f t="shared" si="141"/>
        <v>0</v>
      </c>
      <c r="GY14" s="10">
        <f t="shared" si="142"/>
        <v>0</v>
      </c>
      <c r="GZ14" s="10">
        <f t="shared" si="143"/>
        <v>0</v>
      </c>
      <c r="HA14" s="10">
        <f t="shared" si="144"/>
        <v>0</v>
      </c>
      <c r="HB14" s="10">
        <f t="shared" si="145"/>
        <v>0</v>
      </c>
      <c r="HC14" s="10">
        <f t="shared" si="146"/>
        <v>0</v>
      </c>
      <c r="HD14" s="10">
        <f t="shared" si="147"/>
        <v>372.3203199999997</v>
      </c>
      <c r="HE14" s="10">
        <f t="shared" si="148"/>
        <v>259.23776919999978</v>
      </c>
      <c r="HF14" s="10">
        <f t="shared" si="149"/>
        <v>258.42136979999941</v>
      </c>
      <c r="HG14" s="10">
        <f t="shared" si="150"/>
        <v>80.363959999999565</v>
      </c>
      <c r="HH14" s="10">
        <f t="shared" si="151"/>
        <v>0</v>
      </c>
      <c r="HI14" s="10">
        <f t="shared" si="152"/>
        <v>0</v>
      </c>
      <c r="HJ14" s="10">
        <f t="shared" si="153"/>
        <v>0</v>
      </c>
      <c r="HK14" s="10">
        <f t="shared" si="154"/>
        <v>0</v>
      </c>
      <c r="HL14" s="10">
        <f t="shared" si="155"/>
        <v>0</v>
      </c>
      <c r="HM14" s="10">
        <f t="shared" si="156"/>
        <v>0</v>
      </c>
      <c r="HN14" s="10">
        <f t="shared" si="157"/>
        <v>0</v>
      </c>
      <c r="HO14" s="10">
        <f t="shared" si="158"/>
        <v>0</v>
      </c>
      <c r="HP14" s="10">
        <f t="shared" si="159"/>
        <v>372.3203199999997</v>
      </c>
      <c r="HQ14" s="10">
        <f t="shared" si="160"/>
        <v>259.23776919999978</v>
      </c>
      <c r="HR14" s="10">
        <f t="shared" si="161"/>
        <v>258.42136979999941</v>
      </c>
      <c r="HS14" s="10">
        <f t="shared" si="162"/>
        <v>80.363959999999565</v>
      </c>
      <c r="HT14" s="10">
        <f t="shared" si="163"/>
        <v>0</v>
      </c>
      <c r="HU14" s="10">
        <f t="shared" si="164"/>
        <v>0</v>
      </c>
      <c r="HV14" s="10">
        <f t="shared" si="165"/>
        <v>0</v>
      </c>
      <c r="HW14" s="10">
        <f t="shared" si="166"/>
        <v>0</v>
      </c>
      <c r="HX14" s="10">
        <f t="shared" si="167"/>
        <v>0</v>
      </c>
      <c r="HY14" s="10">
        <f t="shared" si="168"/>
        <v>0</v>
      </c>
      <c r="HZ14" s="10">
        <f t="shared" si="169"/>
        <v>0</v>
      </c>
      <c r="IA14" s="10">
        <f t="shared" si="170"/>
        <v>0</v>
      </c>
      <c r="IB14" s="10">
        <f t="shared" si="171"/>
        <v>372.3203199999997</v>
      </c>
      <c r="IC14" s="10">
        <f t="shared" si="172"/>
        <v>259.23776919999978</v>
      </c>
      <c r="ID14" s="10">
        <f t="shared" si="173"/>
        <v>258.42136979999941</v>
      </c>
      <c r="IE14" s="10">
        <f t="shared" si="174"/>
        <v>80.363959999999565</v>
      </c>
      <c r="IF14" s="10">
        <f t="shared" si="175"/>
        <v>0</v>
      </c>
      <c r="IG14" s="10">
        <f t="shared" si="176"/>
        <v>0</v>
      </c>
      <c r="IH14" s="10">
        <f t="shared" si="177"/>
        <v>0</v>
      </c>
      <c r="II14" s="10">
        <f t="shared" si="178"/>
        <v>0</v>
      </c>
      <c r="IJ14" s="10">
        <f t="shared" si="179"/>
        <v>0</v>
      </c>
      <c r="IK14" s="10">
        <f t="shared" si="179"/>
        <v>0</v>
      </c>
      <c r="IL14" s="10">
        <f t="shared" si="180"/>
        <v>0</v>
      </c>
      <c r="IM14" s="10">
        <f t="shared" si="181"/>
        <v>0</v>
      </c>
      <c r="IN14" s="10">
        <f t="shared" si="182"/>
        <v>372.3203199999997</v>
      </c>
      <c r="IO14" s="10">
        <f t="shared" si="183"/>
        <v>259.23776919999978</v>
      </c>
    </row>
    <row r="15" spans="1:261" x14ac:dyDescent="0.3">
      <c r="A15" t="s">
        <v>772</v>
      </c>
      <c r="B15" s="38"/>
      <c r="C15" s="31"/>
      <c r="D15" s="31"/>
      <c r="E15" s="10">
        <f>+Liquidación!E78</f>
        <v>-834.93353980000006</v>
      </c>
      <c r="F15" s="10">
        <f>+Liquidación!F78</f>
        <v>-343.03883199999996</v>
      </c>
      <c r="G15" s="10">
        <f>+Liquidación!G78</f>
        <v>-287.7674396000001</v>
      </c>
      <c r="H15" s="10">
        <f>+Liquidación!H78</f>
        <v>0</v>
      </c>
      <c r="I15" s="10">
        <f>+Liquidación!I78</f>
        <v>0</v>
      </c>
      <c r="J15" s="10">
        <f>+Liquidación!J78</f>
        <v>0</v>
      </c>
      <c r="K15" s="10">
        <f>+Liquidación!K78</f>
        <v>0</v>
      </c>
      <c r="L15" s="10">
        <f>+Liquidación!L78</f>
        <v>-429.82964809999987</v>
      </c>
      <c r="M15" s="10">
        <f>+Liquidación!M78</f>
        <v>-705.55756899999983</v>
      </c>
      <c r="N15" s="10">
        <f>+Liquidación!N78</f>
        <v>-651.29970710000009</v>
      </c>
      <c r="O15" s="10">
        <f>+Liquidación!O78</f>
        <v>-488.84487520000039</v>
      </c>
      <c r="P15" s="10">
        <f>+Liquidación!P78</f>
        <v>-993.0865339000004</v>
      </c>
      <c r="Q15" s="10">
        <f>+E15</f>
        <v>-834.93353980000006</v>
      </c>
      <c r="R15" s="10">
        <f>+F15</f>
        <v>-343.03883199999996</v>
      </c>
      <c r="S15" s="10">
        <f t="shared" si="59"/>
        <v>-287.7674396000001</v>
      </c>
      <c r="T15" s="10">
        <f t="shared" si="59"/>
        <v>0</v>
      </c>
      <c r="U15" s="10">
        <f t="shared" si="59"/>
        <v>0</v>
      </c>
      <c r="V15" s="10">
        <f t="shared" si="59"/>
        <v>0</v>
      </c>
      <c r="W15" s="10">
        <f t="shared" si="60"/>
        <v>0</v>
      </c>
      <c r="X15" s="10">
        <f t="shared" si="60"/>
        <v>-429.82964809999987</v>
      </c>
      <c r="Y15" s="10">
        <f t="shared" si="60"/>
        <v>-705.55756899999983</v>
      </c>
      <c r="Z15" s="10">
        <f t="shared" si="60"/>
        <v>-651.29970710000009</v>
      </c>
      <c r="AA15" s="10">
        <f t="shared" si="60"/>
        <v>-488.84487520000039</v>
      </c>
      <c r="AB15" s="10">
        <f t="shared" si="60"/>
        <v>-993.0865339000004</v>
      </c>
      <c r="AC15" s="10">
        <f t="shared" si="60"/>
        <v>-834.93353980000006</v>
      </c>
      <c r="AD15" s="10">
        <f t="shared" si="60"/>
        <v>-343.03883199999996</v>
      </c>
      <c r="AE15" s="10">
        <f t="shared" si="60"/>
        <v>-287.7674396000001</v>
      </c>
      <c r="AF15" s="10">
        <f t="shared" si="60"/>
        <v>0</v>
      </c>
      <c r="AG15" s="10">
        <f t="shared" si="60"/>
        <v>0</v>
      </c>
      <c r="AH15" s="10">
        <f t="shared" si="60"/>
        <v>0</v>
      </c>
      <c r="AI15" s="10">
        <f t="shared" si="60"/>
        <v>0</v>
      </c>
      <c r="AJ15" s="10">
        <f t="shared" si="60"/>
        <v>-429.82964809999987</v>
      </c>
      <c r="AK15" s="10">
        <f t="shared" si="60"/>
        <v>-705.55756899999983</v>
      </c>
      <c r="AL15" s="10">
        <f t="shared" si="60"/>
        <v>-651.29970710000009</v>
      </c>
      <c r="AM15" s="10">
        <f t="shared" si="60"/>
        <v>-488.84487520000039</v>
      </c>
      <c r="AN15" s="10">
        <f t="shared" si="60"/>
        <v>-993.0865339000004</v>
      </c>
      <c r="AO15" s="10">
        <f t="shared" si="60"/>
        <v>-834.93353980000006</v>
      </c>
      <c r="AP15" s="10">
        <f t="shared" si="60"/>
        <v>-343.03883199999996</v>
      </c>
      <c r="AQ15" s="10">
        <f t="shared" si="60"/>
        <v>-287.7674396000001</v>
      </c>
      <c r="AR15" s="10">
        <f t="shared" si="60"/>
        <v>0</v>
      </c>
      <c r="AS15" s="10">
        <f t="shared" si="60"/>
        <v>0</v>
      </c>
      <c r="AT15" s="10">
        <f t="shared" si="60"/>
        <v>0</v>
      </c>
      <c r="AU15" s="10">
        <f t="shared" si="60"/>
        <v>0</v>
      </c>
      <c r="AV15" s="10">
        <f t="shared" si="60"/>
        <v>-429.82964809999987</v>
      </c>
      <c r="AW15" s="10">
        <f t="shared" si="60"/>
        <v>-705.55756899999983</v>
      </c>
      <c r="AX15" s="10">
        <f t="shared" si="60"/>
        <v>-651.29970710000009</v>
      </c>
      <c r="AY15" s="10">
        <f t="shared" si="60"/>
        <v>-488.84487520000039</v>
      </c>
      <c r="AZ15" s="10">
        <f t="shared" si="60"/>
        <v>-993.0865339000004</v>
      </c>
      <c r="BA15" s="10">
        <f t="shared" si="60"/>
        <v>-834.93353980000006</v>
      </c>
      <c r="BB15" s="10">
        <f t="shared" si="60"/>
        <v>-343.03883199999996</v>
      </c>
      <c r="BC15" s="10">
        <f t="shared" si="60"/>
        <v>-287.7674396000001</v>
      </c>
      <c r="BD15" s="10">
        <f t="shared" si="60"/>
        <v>0</v>
      </c>
      <c r="BE15" s="10">
        <f t="shared" si="60"/>
        <v>0</v>
      </c>
      <c r="BF15" s="10">
        <f t="shared" si="60"/>
        <v>0</v>
      </c>
      <c r="BG15" s="10">
        <f t="shared" si="60"/>
        <v>0</v>
      </c>
      <c r="BH15" s="10">
        <f t="shared" si="60"/>
        <v>-429.82964809999987</v>
      </c>
      <c r="BI15" s="10">
        <f t="shared" si="60"/>
        <v>-705.55756899999983</v>
      </c>
      <c r="BJ15" s="10">
        <f t="shared" si="60"/>
        <v>-651.29970710000009</v>
      </c>
      <c r="BK15" s="10">
        <f t="shared" si="60"/>
        <v>-488.84487520000039</v>
      </c>
      <c r="BL15" s="10">
        <f t="shared" si="60"/>
        <v>-993.0865339000004</v>
      </c>
      <c r="BM15" s="10">
        <f t="shared" si="60"/>
        <v>-834.93353980000006</v>
      </c>
      <c r="BN15" s="10">
        <f t="shared" si="60"/>
        <v>-343.03883199999996</v>
      </c>
      <c r="BO15" s="10">
        <f t="shared" si="60"/>
        <v>-287.7674396000001</v>
      </c>
      <c r="BP15" s="10">
        <f t="shared" si="60"/>
        <v>0</v>
      </c>
      <c r="BQ15" s="10">
        <f t="shared" si="60"/>
        <v>0</v>
      </c>
      <c r="BR15" s="10">
        <f t="shared" si="60"/>
        <v>0</v>
      </c>
      <c r="BS15" s="10">
        <f t="shared" si="60"/>
        <v>0</v>
      </c>
      <c r="BT15" s="10">
        <f t="shared" si="60"/>
        <v>-429.82964809999987</v>
      </c>
      <c r="BU15" s="10">
        <f t="shared" si="60"/>
        <v>-705.55756899999983</v>
      </c>
      <c r="BV15" s="10">
        <f t="shared" si="60"/>
        <v>-651.29970710000009</v>
      </c>
      <c r="BW15" s="10">
        <f t="shared" si="60"/>
        <v>-488.84487520000039</v>
      </c>
      <c r="BX15" s="10">
        <f t="shared" si="60"/>
        <v>-993.0865339000004</v>
      </c>
      <c r="BY15" s="10">
        <f t="shared" si="60"/>
        <v>-834.93353980000006</v>
      </c>
      <c r="BZ15" s="10">
        <f t="shared" si="60"/>
        <v>-343.03883199999996</v>
      </c>
      <c r="CA15" s="10">
        <f t="shared" si="60"/>
        <v>-287.7674396000001</v>
      </c>
      <c r="CB15" s="10">
        <f t="shared" si="60"/>
        <v>0</v>
      </c>
      <c r="CC15" s="10">
        <f t="shared" si="60"/>
        <v>0</v>
      </c>
      <c r="CD15" s="10">
        <f t="shared" si="184"/>
        <v>0</v>
      </c>
      <c r="CE15" s="10">
        <f t="shared" si="184"/>
        <v>0</v>
      </c>
      <c r="CF15" s="10">
        <f t="shared" si="184"/>
        <v>-429.82964809999987</v>
      </c>
      <c r="CG15" s="10">
        <f t="shared" si="62"/>
        <v>-705.55756899999983</v>
      </c>
      <c r="CH15" s="10">
        <f t="shared" si="62"/>
        <v>-651.29970710000009</v>
      </c>
      <c r="CI15" s="10">
        <f t="shared" si="62"/>
        <v>-488.84487520000039</v>
      </c>
      <c r="CJ15" s="10">
        <f t="shared" si="62"/>
        <v>-993.0865339000004</v>
      </c>
      <c r="CK15" s="10">
        <f t="shared" si="62"/>
        <v>-834.93353980000006</v>
      </c>
      <c r="CL15" s="10">
        <f t="shared" si="62"/>
        <v>-343.03883199999996</v>
      </c>
      <c r="CM15" s="10">
        <f t="shared" si="62"/>
        <v>-287.7674396000001</v>
      </c>
      <c r="CN15" s="10">
        <f t="shared" si="62"/>
        <v>0</v>
      </c>
      <c r="CO15" s="10">
        <f t="shared" si="62"/>
        <v>0</v>
      </c>
      <c r="CP15" s="10">
        <f t="shared" si="62"/>
        <v>0</v>
      </c>
      <c r="CQ15" s="10">
        <f t="shared" si="62"/>
        <v>0</v>
      </c>
      <c r="CR15" s="10">
        <f t="shared" si="62"/>
        <v>-429.82964809999987</v>
      </c>
      <c r="CS15" s="10">
        <f t="shared" si="62"/>
        <v>-705.55756899999983</v>
      </c>
      <c r="CT15" s="10">
        <f t="shared" si="62"/>
        <v>-651.29970710000009</v>
      </c>
      <c r="CU15" s="10">
        <f t="shared" si="62"/>
        <v>-488.84487520000039</v>
      </c>
      <c r="CV15" s="10">
        <f t="shared" si="62"/>
        <v>-993.0865339000004</v>
      </c>
      <c r="CW15" s="10">
        <f t="shared" si="62"/>
        <v>-834.93353980000006</v>
      </c>
      <c r="CX15" s="10">
        <f t="shared" si="62"/>
        <v>-343.03883199999996</v>
      </c>
      <c r="CY15" s="10">
        <f t="shared" si="62"/>
        <v>-287.7674396000001</v>
      </c>
      <c r="CZ15" s="10">
        <f t="shared" si="62"/>
        <v>0</v>
      </c>
      <c r="DA15" s="10">
        <f t="shared" si="62"/>
        <v>0</v>
      </c>
      <c r="DB15" s="10">
        <f t="shared" si="62"/>
        <v>0</v>
      </c>
      <c r="DC15" s="10">
        <f t="shared" si="62"/>
        <v>0</v>
      </c>
      <c r="DD15" s="10">
        <f t="shared" si="62"/>
        <v>-429.82964809999987</v>
      </c>
      <c r="DE15" s="10">
        <f t="shared" si="62"/>
        <v>-705.55756899999983</v>
      </c>
      <c r="DF15" s="10">
        <f t="shared" si="62"/>
        <v>-651.29970710000009</v>
      </c>
      <c r="DG15" s="10">
        <f t="shared" si="62"/>
        <v>-488.84487520000039</v>
      </c>
      <c r="DH15" s="10">
        <f t="shared" si="62"/>
        <v>-993.0865339000004</v>
      </c>
      <c r="DI15" s="10">
        <f t="shared" si="62"/>
        <v>-834.93353980000006</v>
      </c>
      <c r="DJ15" s="10">
        <f t="shared" si="62"/>
        <v>-343.03883199999996</v>
      </c>
      <c r="DK15" s="10">
        <f t="shared" si="62"/>
        <v>-287.7674396000001</v>
      </c>
      <c r="DL15" s="10">
        <f t="shared" si="62"/>
        <v>0</v>
      </c>
      <c r="DM15" s="10">
        <f t="shared" si="62"/>
        <v>0</v>
      </c>
      <c r="DN15" s="10">
        <f t="shared" si="62"/>
        <v>0</v>
      </c>
      <c r="DO15" s="10">
        <f t="shared" si="62"/>
        <v>0</v>
      </c>
      <c r="DP15" s="10">
        <f t="shared" si="62"/>
        <v>-429.82964809999987</v>
      </c>
      <c r="DQ15" s="10">
        <f t="shared" si="62"/>
        <v>-705.55756899999983</v>
      </c>
      <c r="DR15" s="10">
        <f t="shared" si="62"/>
        <v>-651.29970710000009</v>
      </c>
      <c r="DS15" s="10">
        <f t="shared" si="62"/>
        <v>-488.84487520000039</v>
      </c>
      <c r="DT15" s="10">
        <f t="shared" si="63"/>
        <v>-993.0865339000004</v>
      </c>
      <c r="DU15" s="10">
        <f t="shared" si="63"/>
        <v>-834.93353980000006</v>
      </c>
      <c r="DV15" s="10">
        <f t="shared" si="64"/>
        <v>-343.03883199999996</v>
      </c>
      <c r="DW15" s="10">
        <f t="shared" si="64"/>
        <v>-287.7674396000001</v>
      </c>
      <c r="DX15" s="10">
        <f t="shared" si="64"/>
        <v>0</v>
      </c>
      <c r="DY15" s="10">
        <f t="shared" si="65"/>
        <v>0</v>
      </c>
      <c r="DZ15" s="10">
        <f t="shared" si="66"/>
        <v>0</v>
      </c>
      <c r="EA15" s="10">
        <f t="shared" si="66"/>
        <v>0</v>
      </c>
      <c r="EB15" s="10">
        <f t="shared" si="67"/>
        <v>-429.82964809999987</v>
      </c>
      <c r="EC15" s="10">
        <f t="shared" si="68"/>
        <v>-705.55756899999983</v>
      </c>
      <c r="ED15" s="10">
        <f t="shared" si="69"/>
        <v>-651.29970710000009</v>
      </c>
      <c r="EE15" s="10">
        <f t="shared" si="70"/>
        <v>-488.84487520000039</v>
      </c>
      <c r="EF15" s="10">
        <f t="shared" si="71"/>
        <v>-993.0865339000004</v>
      </c>
      <c r="EG15" s="10">
        <f t="shared" si="72"/>
        <v>-834.93353980000006</v>
      </c>
      <c r="EH15" s="10">
        <f t="shared" si="73"/>
        <v>-343.03883199999996</v>
      </c>
      <c r="EI15" s="10">
        <f t="shared" si="74"/>
        <v>-287.7674396000001</v>
      </c>
      <c r="EJ15" s="10">
        <f t="shared" si="75"/>
        <v>0</v>
      </c>
      <c r="EK15" s="10">
        <f t="shared" si="76"/>
        <v>0</v>
      </c>
      <c r="EL15" s="10">
        <f t="shared" si="77"/>
        <v>0</v>
      </c>
      <c r="EM15" s="10">
        <f t="shared" si="78"/>
        <v>0</v>
      </c>
      <c r="EN15" s="10">
        <f t="shared" si="79"/>
        <v>-429.82964809999987</v>
      </c>
      <c r="EO15" s="10">
        <f t="shared" si="80"/>
        <v>-705.55756899999983</v>
      </c>
      <c r="EP15" s="10">
        <f t="shared" si="81"/>
        <v>-651.29970710000009</v>
      </c>
      <c r="EQ15" s="10">
        <f t="shared" si="82"/>
        <v>-488.84487520000039</v>
      </c>
      <c r="ER15" s="10">
        <f t="shared" si="83"/>
        <v>-993.0865339000004</v>
      </c>
      <c r="ES15" s="10">
        <f t="shared" si="84"/>
        <v>-834.93353980000006</v>
      </c>
      <c r="ET15" s="10">
        <f t="shared" si="85"/>
        <v>-343.03883199999996</v>
      </c>
      <c r="EU15" s="10">
        <f t="shared" si="86"/>
        <v>-287.7674396000001</v>
      </c>
      <c r="EV15" s="10">
        <f t="shared" si="87"/>
        <v>0</v>
      </c>
      <c r="EW15" s="10">
        <f t="shared" si="88"/>
        <v>0</v>
      </c>
      <c r="EX15" s="10">
        <f t="shared" si="89"/>
        <v>0</v>
      </c>
      <c r="EY15" s="10">
        <f t="shared" si="90"/>
        <v>0</v>
      </c>
      <c r="EZ15" s="10">
        <f t="shared" si="91"/>
        <v>-429.82964809999987</v>
      </c>
      <c r="FA15" s="10">
        <f t="shared" si="92"/>
        <v>-705.55756899999983</v>
      </c>
      <c r="FB15" s="10">
        <f t="shared" si="93"/>
        <v>-651.29970710000009</v>
      </c>
      <c r="FC15" s="10">
        <f t="shared" si="94"/>
        <v>-488.84487520000039</v>
      </c>
      <c r="FD15" s="10">
        <f t="shared" si="95"/>
        <v>-993.0865339000004</v>
      </c>
      <c r="FE15" s="10">
        <f t="shared" si="96"/>
        <v>-834.93353980000006</v>
      </c>
      <c r="FF15" s="10">
        <f t="shared" si="97"/>
        <v>-343.03883199999996</v>
      </c>
      <c r="FG15" s="10">
        <f t="shared" si="98"/>
        <v>-287.7674396000001</v>
      </c>
      <c r="FH15" s="10">
        <f t="shared" si="99"/>
        <v>0</v>
      </c>
      <c r="FI15" s="10">
        <f t="shared" si="100"/>
        <v>0</v>
      </c>
      <c r="FJ15" s="10">
        <f t="shared" si="101"/>
        <v>0</v>
      </c>
      <c r="FK15" s="10">
        <f t="shared" si="102"/>
        <v>0</v>
      </c>
      <c r="FL15" s="10">
        <f t="shared" si="103"/>
        <v>-429.82964809999987</v>
      </c>
      <c r="FM15" s="10">
        <f t="shared" si="104"/>
        <v>-705.55756899999983</v>
      </c>
      <c r="FN15" s="10">
        <f t="shared" si="105"/>
        <v>-651.29970710000009</v>
      </c>
      <c r="FO15" s="10">
        <f t="shared" si="106"/>
        <v>-488.84487520000039</v>
      </c>
      <c r="FP15" s="10">
        <f t="shared" si="107"/>
        <v>-993.0865339000004</v>
      </c>
      <c r="FQ15" s="10">
        <f t="shared" si="108"/>
        <v>-834.93353980000006</v>
      </c>
      <c r="FR15" s="10">
        <f t="shared" si="109"/>
        <v>-343.03883199999996</v>
      </c>
      <c r="FS15" s="10">
        <f t="shared" si="110"/>
        <v>-287.7674396000001</v>
      </c>
      <c r="FT15" s="10">
        <f t="shared" si="111"/>
        <v>0</v>
      </c>
      <c r="FU15" s="10">
        <f t="shared" si="112"/>
        <v>0</v>
      </c>
      <c r="FV15" s="10">
        <f t="shared" si="113"/>
        <v>0</v>
      </c>
      <c r="FW15" s="10">
        <f t="shared" si="114"/>
        <v>0</v>
      </c>
      <c r="FX15" s="10">
        <f t="shared" si="115"/>
        <v>-429.82964809999987</v>
      </c>
      <c r="FY15" s="10">
        <f t="shared" si="116"/>
        <v>-705.55756899999983</v>
      </c>
      <c r="FZ15" s="10">
        <f t="shared" si="117"/>
        <v>-651.29970710000009</v>
      </c>
      <c r="GA15" s="10">
        <f t="shared" si="118"/>
        <v>-488.84487520000039</v>
      </c>
      <c r="GB15" s="10">
        <f t="shared" si="119"/>
        <v>-993.0865339000004</v>
      </c>
      <c r="GC15" s="10">
        <f t="shared" si="120"/>
        <v>-834.93353980000006</v>
      </c>
      <c r="GD15" s="10">
        <f t="shared" si="121"/>
        <v>-343.03883199999996</v>
      </c>
      <c r="GE15" s="10">
        <f t="shared" si="122"/>
        <v>-287.7674396000001</v>
      </c>
      <c r="GF15" s="10">
        <f t="shared" si="123"/>
        <v>0</v>
      </c>
      <c r="GG15" s="10">
        <f t="shared" si="124"/>
        <v>0</v>
      </c>
      <c r="GH15" s="10">
        <f t="shared" si="125"/>
        <v>0</v>
      </c>
      <c r="GI15" s="10">
        <f t="shared" si="126"/>
        <v>0</v>
      </c>
      <c r="GJ15" s="10">
        <f t="shared" si="127"/>
        <v>-429.82964809999987</v>
      </c>
      <c r="GK15" s="10">
        <f t="shared" si="128"/>
        <v>-705.55756899999983</v>
      </c>
      <c r="GL15" s="10">
        <f t="shared" si="129"/>
        <v>-651.29970710000009</v>
      </c>
      <c r="GM15" s="10">
        <f t="shared" si="130"/>
        <v>-488.84487520000039</v>
      </c>
      <c r="GN15" s="10">
        <f t="shared" si="131"/>
        <v>-993.0865339000004</v>
      </c>
      <c r="GO15" s="10">
        <f t="shared" si="132"/>
        <v>-834.93353980000006</v>
      </c>
      <c r="GP15" s="10">
        <f t="shared" si="133"/>
        <v>-343.03883199999996</v>
      </c>
      <c r="GQ15" s="10">
        <f t="shared" si="134"/>
        <v>-287.7674396000001</v>
      </c>
      <c r="GR15" s="10">
        <f t="shared" si="135"/>
        <v>0</v>
      </c>
      <c r="GS15" s="10">
        <f t="shared" si="136"/>
        <v>0</v>
      </c>
      <c r="GT15" s="10">
        <f t="shared" si="137"/>
        <v>0</v>
      </c>
      <c r="GU15" s="10">
        <f t="shared" si="138"/>
        <v>0</v>
      </c>
      <c r="GV15" s="10">
        <f t="shared" si="139"/>
        <v>-429.82964809999987</v>
      </c>
      <c r="GW15" s="10">
        <f t="shared" si="140"/>
        <v>-705.55756899999983</v>
      </c>
      <c r="GX15" s="10">
        <f t="shared" si="141"/>
        <v>-651.29970710000009</v>
      </c>
      <c r="GY15" s="10">
        <f t="shared" si="142"/>
        <v>-488.84487520000039</v>
      </c>
      <c r="GZ15" s="10">
        <f t="shared" si="143"/>
        <v>-993.0865339000004</v>
      </c>
      <c r="HA15" s="10">
        <f t="shared" si="144"/>
        <v>-834.93353980000006</v>
      </c>
      <c r="HB15" s="10">
        <f t="shared" si="145"/>
        <v>-343.03883199999996</v>
      </c>
      <c r="HC15" s="10">
        <f t="shared" si="146"/>
        <v>-287.7674396000001</v>
      </c>
      <c r="HD15" s="10">
        <f t="shared" si="147"/>
        <v>0</v>
      </c>
      <c r="HE15" s="10">
        <f t="shared" si="148"/>
        <v>0</v>
      </c>
      <c r="HF15" s="10">
        <f t="shared" si="149"/>
        <v>0</v>
      </c>
      <c r="HG15" s="10">
        <f t="shared" si="150"/>
        <v>0</v>
      </c>
      <c r="HH15" s="10">
        <f t="shared" si="151"/>
        <v>-429.82964809999987</v>
      </c>
      <c r="HI15" s="10">
        <f t="shared" si="152"/>
        <v>-705.55756899999983</v>
      </c>
      <c r="HJ15" s="10">
        <f t="shared" si="153"/>
        <v>-651.29970710000009</v>
      </c>
      <c r="HK15" s="10">
        <f t="shared" si="154"/>
        <v>-488.84487520000039</v>
      </c>
      <c r="HL15" s="10">
        <f t="shared" si="155"/>
        <v>-993.0865339000004</v>
      </c>
      <c r="HM15" s="10">
        <f t="shared" si="156"/>
        <v>-834.93353980000006</v>
      </c>
      <c r="HN15" s="10">
        <f t="shared" si="157"/>
        <v>-343.03883199999996</v>
      </c>
      <c r="HO15" s="10">
        <f t="shared" si="158"/>
        <v>-287.7674396000001</v>
      </c>
      <c r="HP15" s="10">
        <f t="shared" si="159"/>
        <v>0</v>
      </c>
      <c r="HQ15" s="10">
        <f t="shared" si="160"/>
        <v>0</v>
      </c>
      <c r="HR15" s="10">
        <f t="shared" si="161"/>
        <v>0</v>
      </c>
      <c r="HS15" s="10">
        <f t="shared" si="162"/>
        <v>0</v>
      </c>
      <c r="HT15" s="10">
        <f t="shared" si="163"/>
        <v>-429.82964809999987</v>
      </c>
      <c r="HU15" s="10">
        <f t="shared" si="164"/>
        <v>-705.55756899999983</v>
      </c>
      <c r="HV15" s="10">
        <f t="shared" si="165"/>
        <v>-651.29970710000009</v>
      </c>
      <c r="HW15" s="10">
        <f t="shared" si="166"/>
        <v>-488.84487520000039</v>
      </c>
      <c r="HX15" s="10">
        <f t="shared" si="167"/>
        <v>-993.0865339000004</v>
      </c>
      <c r="HY15" s="10">
        <f t="shared" si="168"/>
        <v>-834.93353980000006</v>
      </c>
      <c r="HZ15" s="10">
        <f t="shared" si="169"/>
        <v>-343.03883199999996</v>
      </c>
      <c r="IA15" s="10">
        <f t="shared" si="170"/>
        <v>-287.7674396000001</v>
      </c>
      <c r="IB15" s="10">
        <f t="shared" si="171"/>
        <v>0</v>
      </c>
      <c r="IC15" s="10">
        <f t="shared" si="172"/>
        <v>0</v>
      </c>
      <c r="ID15" s="10">
        <f t="shared" si="173"/>
        <v>0</v>
      </c>
      <c r="IE15" s="10">
        <f t="shared" si="174"/>
        <v>0</v>
      </c>
      <c r="IF15" s="10">
        <f t="shared" si="175"/>
        <v>-429.82964809999987</v>
      </c>
      <c r="IG15" s="10">
        <f t="shared" si="176"/>
        <v>-705.55756899999983</v>
      </c>
      <c r="IH15" s="10">
        <f t="shared" si="177"/>
        <v>-651.29970710000009</v>
      </c>
      <c r="II15" s="10">
        <f t="shared" si="178"/>
        <v>-488.84487520000039</v>
      </c>
      <c r="IJ15" s="10">
        <f t="shared" si="179"/>
        <v>-993.0865339000004</v>
      </c>
      <c r="IK15" s="10">
        <f t="shared" si="179"/>
        <v>-834.93353980000006</v>
      </c>
      <c r="IL15" s="10">
        <f t="shared" si="180"/>
        <v>-343.03883199999996</v>
      </c>
      <c r="IM15" s="10">
        <f t="shared" si="181"/>
        <v>-287.7674396000001</v>
      </c>
      <c r="IN15" s="10">
        <f t="shared" si="182"/>
        <v>0</v>
      </c>
      <c r="IO15" s="10">
        <f t="shared" si="183"/>
        <v>0</v>
      </c>
    </row>
    <row r="16" spans="1:261" x14ac:dyDescent="0.3">
      <c r="B16" s="31"/>
      <c r="C16" s="31"/>
      <c r="D16" s="3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</row>
    <row r="17" spans="1:249" x14ac:dyDescent="0.3">
      <c r="A17" t="s">
        <v>773</v>
      </c>
      <c r="B17" s="16">
        <f>+Tarifas!B2</f>
        <v>0.03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</row>
    <row r="18" spans="1:249" x14ac:dyDescent="0.3">
      <c r="A18" s="6"/>
      <c r="B18" s="30"/>
      <c r="C18" s="30"/>
      <c r="D18" s="30"/>
      <c r="E18">
        <f>+YEAR(E19)</f>
        <v>2024</v>
      </c>
      <c r="F18">
        <f t="shared" ref="F18:BQ18" si="185">+YEAR(F19)</f>
        <v>2024</v>
      </c>
      <c r="G18">
        <f t="shared" si="185"/>
        <v>2024</v>
      </c>
      <c r="H18">
        <f t="shared" si="185"/>
        <v>2024</v>
      </c>
      <c r="I18">
        <f t="shared" si="185"/>
        <v>2024</v>
      </c>
      <c r="J18">
        <f t="shared" si="185"/>
        <v>2025</v>
      </c>
      <c r="K18">
        <f t="shared" si="185"/>
        <v>2025</v>
      </c>
      <c r="L18">
        <f t="shared" si="185"/>
        <v>2025</v>
      </c>
      <c r="M18">
        <f t="shared" si="185"/>
        <v>2025</v>
      </c>
      <c r="N18">
        <f t="shared" si="185"/>
        <v>2025</v>
      </c>
      <c r="O18">
        <f t="shared" si="185"/>
        <v>2025</v>
      </c>
      <c r="P18">
        <f t="shared" si="185"/>
        <v>2025</v>
      </c>
      <c r="Q18">
        <f t="shared" si="185"/>
        <v>2025</v>
      </c>
      <c r="R18">
        <f t="shared" si="185"/>
        <v>2025</v>
      </c>
      <c r="S18">
        <f t="shared" si="185"/>
        <v>2025</v>
      </c>
      <c r="T18">
        <f t="shared" si="185"/>
        <v>2025</v>
      </c>
      <c r="U18">
        <f t="shared" si="185"/>
        <v>2025</v>
      </c>
      <c r="V18">
        <f t="shared" si="185"/>
        <v>2026</v>
      </c>
      <c r="W18">
        <f t="shared" si="185"/>
        <v>2026</v>
      </c>
      <c r="X18">
        <f t="shared" si="185"/>
        <v>2026</v>
      </c>
      <c r="Y18">
        <f t="shared" si="185"/>
        <v>2026</v>
      </c>
      <c r="Z18">
        <f t="shared" si="185"/>
        <v>2026</v>
      </c>
      <c r="AA18">
        <f t="shared" si="185"/>
        <v>2026</v>
      </c>
      <c r="AB18">
        <f t="shared" si="185"/>
        <v>2026</v>
      </c>
      <c r="AC18">
        <f t="shared" si="185"/>
        <v>2026</v>
      </c>
      <c r="AD18">
        <f t="shared" si="185"/>
        <v>2026</v>
      </c>
      <c r="AE18">
        <f t="shared" si="185"/>
        <v>2026</v>
      </c>
      <c r="AF18">
        <f t="shared" si="185"/>
        <v>2026</v>
      </c>
      <c r="AG18">
        <f t="shared" si="185"/>
        <v>2026</v>
      </c>
      <c r="AH18">
        <f t="shared" si="185"/>
        <v>2027</v>
      </c>
      <c r="AI18">
        <f t="shared" si="185"/>
        <v>2027</v>
      </c>
      <c r="AJ18">
        <f t="shared" si="185"/>
        <v>2027</v>
      </c>
      <c r="AK18">
        <f t="shared" si="185"/>
        <v>2027</v>
      </c>
      <c r="AL18">
        <f t="shared" si="185"/>
        <v>2027</v>
      </c>
      <c r="AM18">
        <f t="shared" si="185"/>
        <v>2027</v>
      </c>
      <c r="AN18">
        <f t="shared" si="185"/>
        <v>2027</v>
      </c>
      <c r="AO18">
        <f t="shared" si="185"/>
        <v>2027</v>
      </c>
      <c r="AP18">
        <f t="shared" si="185"/>
        <v>2027</v>
      </c>
      <c r="AQ18">
        <f t="shared" si="185"/>
        <v>2027</v>
      </c>
      <c r="AR18">
        <f t="shared" si="185"/>
        <v>2027</v>
      </c>
      <c r="AS18">
        <f t="shared" si="185"/>
        <v>2027</v>
      </c>
      <c r="AT18">
        <f t="shared" si="185"/>
        <v>2028</v>
      </c>
      <c r="AU18">
        <f t="shared" si="185"/>
        <v>2028</v>
      </c>
      <c r="AV18">
        <f t="shared" si="185"/>
        <v>2028</v>
      </c>
      <c r="AW18">
        <f t="shared" si="185"/>
        <v>2028</v>
      </c>
      <c r="AX18">
        <f t="shared" si="185"/>
        <v>2028</v>
      </c>
      <c r="AY18">
        <f t="shared" si="185"/>
        <v>2028</v>
      </c>
      <c r="AZ18">
        <f t="shared" si="185"/>
        <v>2028</v>
      </c>
      <c r="BA18">
        <f t="shared" si="185"/>
        <v>2028</v>
      </c>
      <c r="BB18">
        <f t="shared" si="185"/>
        <v>2028</v>
      </c>
      <c r="BC18">
        <f t="shared" si="185"/>
        <v>2028</v>
      </c>
      <c r="BD18">
        <f t="shared" si="185"/>
        <v>2028</v>
      </c>
      <c r="BE18">
        <f t="shared" si="185"/>
        <v>2028</v>
      </c>
      <c r="BF18">
        <f t="shared" si="185"/>
        <v>2029</v>
      </c>
      <c r="BG18">
        <f t="shared" si="185"/>
        <v>2029</v>
      </c>
      <c r="BH18">
        <f t="shared" si="185"/>
        <v>2029</v>
      </c>
      <c r="BI18">
        <f t="shared" si="185"/>
        <v>2029</v>
      </c>
      <c r="BJ18">
        <f t="shared" si="185"/>
        <v>2029</v>
      </c>
      <c r="BK18">
        <f t="shared" si="185"/>
        <v>2029</v>
      </c>
      <c r="BL18">
        <f t="shared" si="185"/>
        <v>2029</v>
      </c>
      <c r="BM18">
        <f t="shared" si="185"/>
        <v>2029</v>
      </c>
      <c r="BN18">
        <f t="shared" si="185"/>
        <v>2029</v>
      </c>
      <c r="BO18">
        <f t="shared" si="185"/>
        <v>2029</v>
      </c>
      <c r="BP18">
        <f t="shared" si="185"/>
        <v>2029</v>
      </c>
      <c r="BQ18">
        <f t="shared" si="185"/>
        <v>2029</v>
      </c>
      <c r="BR18">
        <f t="shared" ref="BR18:EC18" si="186">+YEAR(BR19)</f>
        <v>2030</v>
      </c>
      <c r="BS18">
        <f t="shared" si="186"/>
        <v>2030</v>
      </c>
      <c r="BT18">
        <f t="shared" si="186"/>
        <v>2030</v>
      </c>
      <c r="BU18">
        <f t="shared" si="186"/>
        <v>2030</v>
      </c>
      <c r="BV18">
        <f t="shared" si="186"/>
        <v>2030</v>
      </c>
      <c r="BW18">
        <f t="shared" si="186"/>
        <v>2030</v>
      </c>
      <c r="BX18">
        <f t="shared" si="186"/>
        <v>2030</v>
      </c>
      <c r="BY18">
        <f t="shared" si="186"/>
        <v>2030</v>
      </c>
      <c r="BZ18">
        <f t="shared" si="186"/>
        <v>2030</v>
      </c>
      <c r="CA18">
        <f t="shared" si="186"/>
        <v>2030</v>
      </c>
      <c r="CB18">
        <f t="shared" si="186"/>
        <v>2030</v>
      </c>
      <c r="CC18">
        <f t="shared" si="186"/>
        <v>2030</v>
      </c>
      <c r="CD18">
        <f t="shared" si="186"/>
        <v>2031</v>
      </c>
      <c r="CE18">
        <f t="shared" si="186"/>
        <v>2031</v>
      </c>
      <c r="CF18">
        <f t="shared" si="186"/>
        <v>2031</v>
      </c>
      <c r="CG18">
        <f t="shared" si="186"/>
        <v>2031</v>
      </c>
      <c r="CH18">
        <f t="shared" si="186"/>
        <v>2031</v>
      </c>
      <c r="CI18">
        <f t="shared" si="186"/>
        <v>2031</v>
      </c>
      <c r="CJ18">
        <f t="shared" si="186"/>
        <v>2031</v>
      </c>
      <c r="CK18">
        <f t="shared" si="186"/>
        <v>2031</v>
      </c>
      <c r="CL18">
        <f t="shared" si="186"/>
        <v>2031</v>
      </c>
      <c r="CM18">
        <f t="shared" si="186"/>
        <v>2031</v>
      </c>
      <c r="CN18">
        <f t="shared" si="186"/>
        <v>2031</v>
      </c>
      <c r="CO18">
        <f t="shared" si="186"/>
        <v>2031</v>
      </c>
      <c r="CP18">
        <f t="shared" si="186"/>
        <v>2032</v>
      </c>
      <c r="CQ18">
        <f t="shared" si="186"/>
        <v>2032</v>
      </c>
      <c r="CR18">
        <f t="shared" si="186"/>
        <v>2032</v>
      </c>
      <c r="CS18">
        <f t="shared" si="186"/>
        <v>2032</v>
      </c>
      <c r="CT18">
        <f t="shared" si="186"/>
        <v>2032</v>
      </c>
      <c r="CU18">
        <f t="shared" si="186"/>
        <v>2032</v>
      </c>
      <c r="CV18">
        <f t="shared" si="186"/>
        <v>2032</v>
      </c>
      <c r="CW18">
        <f t="shared" si="186"/>
        <v>2032</v>
      </c>
      <c r="CX18">
        <f t="shared" si="186"/>
        <v>2032</v>
      </c>
      <c r="CY18">
        <f t="shared" si="186"/>
        <v>2032</v>
      </c>
      <c r="CZ18">
        <f t="shared" si="186"/>
        <v>2032</v>
      </c>
      <c r="DA18">
        <f t="shared" si="186"/>
        <v>2032</v>
      </c>
      <c r="DB18">
        <f t="shared" si="186"/>
        <v>2033</v>
      </c>
      <c r="DC18">
        <f t="shared" si="186"/>
        <v>2033</v>
      </c>
      <c r="DD18">
        <f t="shared" si="186"/>
        <v>2033</v>
      </c>
      <c r="DE18">
        <f t="shared" si="186"/>
        <v>2033</v>
      </c>
      <c r="DF18">
        <f t="shared" si="186"/>
        <v>2033</v>
      </c>
      <c r="DG18">
        <f t="shared" si="186"/>
        <v>2033</v>
      </c>
      <c r="DH18">
        <f t="shared" si="186"/>
        <v>2033</v>
      </c>
      <c r="DI18">
        <f t="shared" si="186"/>
        <v>2033</v>
      </c>
      <c r="DJ18">
        <f t="shared" si="186"/>
        <v>2033</v>
      </c>
      <c r="DK18">
        <f t="shared" si="186"/>
        <v>2033</v>
      </c>
      <c r="DL18">
        <f t="shared" si="186"/>
        <v>2033</v>
      </c>
      <c r="DM18">
        <f t="shared" si="186"/>
        <v>2033</v>
      </c>
      <c r="DN18">
        <f t="shared" si="186"/>
        <v>2034</v>
      </c>
      <c r="DO18">
        <f t="shared" si="186"/>
        <v>2034</v>
      </c>
      <c r="DP18">
        <f t="shared" si="186"/>
        <v>2034</v>
      </c>
      <c r="DQ18">
        <f t="shared" si="186"/>
        <v>2034</v>
      </c>
      <c r="DR18">
        <f t="shared" si="186"/>
        <v>2034</v>
      </c>
      <c r="DS18">
        <f t="shared" si="186"/>
        <v>2034</v>
      </c>
      <c r="DT18">
        <f t="shared" si="186"/>
        <v>2034</v>
      </c>
      <c r="DU18">
        <f t="shared" si="186"/>
        <v>2034</v>
      </c>
      <c r="DV18">
        <f t="shared" si="186"/>
        <v>2034</v>
      </c>
      <c r="DW18">
        <f t="shared" si="186"/>
        <v>2034</v>
      </c>
      <c r="DX18">
        <f t="shared" si="186"/>
        <v>2034</v>
      </c>
      <c r="DY18">
        <f t="shared" si="186"/>
        <v>2034</v>
      </c>
      <c r="DZ18">
        <f t="shared" si="186"/>
        <v>2035</v>
      </c>
      <c r="EA18">
        <f t="shared" si="186"/>
        <v>2035</v>
      </c>
      <c r="EB18">
        <f t="shared" si="186"/>
        <v>2035</v>
      </c>
      <c r="EC18">
        <f t="shared" si="186"/>
        <v>2035</v>
      </c>
      <c r="ED18">
        <f t="shared" ref="ED18:GO18" si="187">+YEAR(ED19)</f>
        <v>2035</v>
      </c>
      <c r="EE18">
        <f t="shared" si="187"/>
        <v>2035</v>
      </c>
      <c r="EF18">
        <f t="shared" si="187"/>
        <v>2035</v>
      </c>
      <c r="EG18">
        <f t="shared" si="187"/>
        <v>2035</v>
      </c>
      <c r="EH18">
        <f t="shared" si="187"/>
        <v>2035</v>
      </c>
      <c r="EI18">
        <f t="shared" si="187"/>
        <v>2035</v>
      </c>
      <c r="EJ18">
        <f t="shared" si="187"/>
        <v>2035</v>
      </c>
      <c r="EK18">
        <f t="shared" si="187"/>
        <v>2035</v>
      </c>
      <c r="EL18">
        <f t="shared" si="187"/>
        <v>2036</v>
      </c>
      <c r="EM18">
        <f t="shared" si="187"/>
        <v>2036</v>
      </c>
      <c r="EN18">
        <f t="shared" si="187"/>
        <v>2036</v>
      </c>
      <c r="EO18">
        <f t="shared" si="187"/>
        <v>2036</v>
      </c>
      <c r="EP18">
        <f t="shared" si="187"/>
        <v>2036</v>
      </c>
      <c r="EQ18">
        <f t="shared" si="187"/>
        <v>2036</v>
      </c>
      <c r="ER18">
        <f t="shared" si="187"/>
        <v>2036</v>
      </c>
      <c r="ES18">
        <f t="shared" si="187"/>
        <v>2036</v>
      </c>
      <c r="ET18">
        <f t="shared" si="187"/>
        <v>2036</v>
      </c>
      <c r="EU18">
        <f t="shared" si="187"/>
        <v>2036</v>
      </c>
      <c r="EV18">
        <f t="shared" si="187"/>
        <v>2036</v>
      </c>
      <c r="EW18">
        <f t="shared" si="187"/>
        <v>2036</v>
      </c>
      <c r="EX18">
        <f t="shared" si="187"/>
        <v>2037</v>
      </c>
      <c r="EY18">
        <f t="shared" si="187"/>
        <v>2037</v>
      </c>
      <c r="EZ18">
        <f t="shared" si="187"/>
        <v>2037</v>
      </c>
      <c r="FA18">
        <f t="shared" si="187"/>
        <v>2037</v>
      </c>
      <c r="FB18">
        <f t="shared" si="187"/>
        <v>2037</v>
      </c>
      <c r="FC18">
        <f t="shared" si="187"/>
        <v>2037</v>
      </c>
      <c r="FD18">
        <f t="shared" si="187"/>
        <v>2037</v>
      </c>
      <c r="FE18">
        <f t="shared" si="187"/>
        <v>2037</v>
      </c>
      <c r="FF18">
        <f t="shared" si="187"/>
        <v>2037</v>
      </c>
      <c r="FG18">
        <f t="shared" si="187"/>
        <v>2037</v>
      </c>
      <c r="FH18">
        <f t="shared" si="187"/>
        <v>2037</v>
      </c>
      <c r="FI18">
        <f t="shared" si="187"/>
        <v>2037</v>
      </c>
      <c r="FJ18">
        <f t="shared" si="187"/>
        <v>2038</v>
      </c>
      <c r="FK18">
        <f t="shared" si="187"/>
        <v>2038</v>
      </c>
      <c r="FL18">
        <f t="shared" si="187"/>
        <v>2038</v>
      </c>
      <c r="FM18">
        <f t="shared" si="187"/>
        <v>2038</v>
      </c>
      <c r="FN18">
        <f t="shared" si="187"/>
        <v>2038</v>
      </c>
      <c r="FO18">
        <f t="shared" si="187"/>
        <v>2038</v>
      </c>
      <c r="FP18">
        <f t="shared" si="187"/>
        <v>2038</v>
      </c>
      <c r="FQ18">
        <f t="shared" si="187"/>
        <v>2038</v>
      </c>
      <c r="FR18">
        <f t="shared" si="187"/>
        <v>2038</v>
      </c>
      <c r="FS18">
        <f t="shared" si="187"/>
        <v>2038</v>
      </c>
      <c r="FT18">
        <f t="shared" si="187"/>
        <v>2038</v>
      </c>
      <c r="FU18">
        <f t="shared" si="187"/>
        <v>2038</v>
      </c>
      <c r="FV18">
        <f t="shared" si="187"/>
        <v>2039</v>
      </c>
      <c r="FW18">
        <f t="shared" si="187"/>
        <v>2039</v>
      </c>
      <c r="FX18">
        <f t="shared" si="187"/>
        <v>2039</v>
      </c>
      <c r="FY18">
        <f t="shared" si="187"/>
        <v>2039</v>
      </c>
      <c r="FZ18">
        <f t="shared" si="187"/>
        <v>2039</v>
      </c>
      <c r="GA18">
        <f t="shared" si="187"/>
        <v>2039</v>
      </c>
      <c r="GB18">
        <f t="shared" si="187"/>
        <v>2039</v>
      </c>
      <c r="GC18">
        <f t="shared" si="187"/>
        <v>2039</v>
      </c>
      <c r="GD18">
        <f t="shared" si="187"/>
        <v>2039</v>
      </c>
      <c r="GE18">
        <f t="shared" si="187"/>
        <v>2039</v>
      </c>
      <c r="GF18">
        <f t="shared" si="187"/>
        <v>2039</v>
      </c>
      <c r="GG18">
        <f t="shared" si="187"/>
        <v>2039</v>
      </c>
      <c r="GH18">
        <f t="shared" si="187"/>
        <v>2040</v>
      </c>
      <c r="GI18">
        <f t="shared" si="187"/>
        <v>2040</v>
      </c>
      <c r="GJ18">
        <f t="shared" si="187"/>
        <v>2040</v>
      </c>
      <c r="GK18">
        <f t="shared" si="187"/>
        <v>2040</v>
      </c>
      <c r="GL18">
        <f t="shared" si="187"/>
        <v>2040</v>
      </c>
      <c r="GM18">
        <f t="shared" si="187"/>
        <v>2040</v>
      </c>
      <c r="GN18">
        <f t="shared" si="187"/>
        <v>2040</v>
      </c>
      <c r="GO18">
        <f t="shared" si="187"/>
        <v>2040</v>
      </c>
      <c r="GP18">
        <f t="shared" ref="GP18:IO18" si="188">+YEAR(GP19)</f>
        <v>2040</v>
      </c>
      <c r="GQ18">
        <f t="shared" si="188"/>
        <v>2040</v>
      </c>
      <c r="GR18">
        <f t="shared" si="188"/>
        <v>2040</v>
      </c>
      <c r="GS18">
        <f t="shared" si="188"/>
        <v>2040</v>
      </c>
      <c r="GT18">
        <f t="shared" si="188"/>
        <v>2041</v>
      </c>
      <c r="GU18">
        <f t="shared" si="188"/>
        <v>2041</v>
      </c>
      <c r="GV18">
        <f t="shared" si="188"/>
        <v>2041</v>
      </c>
      <c r="GW18">
        <f t="shared" si="188"/>
        <v>2041</v>
      </c>
      <c r="GX18">
        <f t="shared" si="188"/>
        <v>2041</v>
      </c>
      <c r="GY18">
        <f t="shared" si="188"/>
        <v>2041</v>
      </c>
      <c r="GZ18">
        <f t="shared" si="188"/>
        <v>2041</v>
      </c>
      <c r="HA18">
        <f t="shared" si="188"/>
        <v>2041</v>
      </c>
      <c r="HB18">
        <f t="shared" si="188"/>
        <v>2041</v>
      </c>
      <c r="HC18">
        <f t="shared" si="188"/>
        <v>2041</v>
      </c>
      <c r="HD18">
        <f t="shared" si="188"/>
        <v>2041</v>
      </c>
      <c r="HE18">
        <f t="shared" si="188"/>
        <v>2041</v>
      </c>
      <c r="HF18">
        <f t="shared" si="188"/>
        <v>2042</v>
      </c>
      <c r="HG18">
        <f t="shared" si="188"/>
        <v>2042</v>
      </c>
      <c r="HH18">
        <f t="shared" si="188"/>
        <v>2042</v>
      </c>
      <c r="HI18">
        <f t="shared" si="188"/>
        <v>2042</v>
      </c>
      <c r="HJ18">
        <f t="shared" si="188"/>
        <v>2042</v>
      </c>
      <c r="HK18">
        <f t="shared" si="188"/>
        <v>2042</v>
      </c>
      <c r="HL18">
        <f t="shared" si="188"/>
        <v>2042</v>
      </c>
      <c r="HM18">
        <f t="shared" si="188"/>
        <v>2042</v>
      </c>
      <c r="HN18">
        <f t="shared" si="188"/>
        <v>2042</v>
      </c>
      <c r="HO18">
        <f t="shared" si="188"/>
        <v>2042</v>
      </c>
      <c r="HP18">
        <f t="shared" si="188"/>
        <v>2042</v>
      </c>
      <c r="HQ18">
        <f t="shared" si="188"/>
        <v>2042</v>
      </c>
      <c r="HR18">
        <f t="shared" si="188"/>
        <v>2043</v>
      </c>
      <c r="HS18">
        <f t="shared" si="188"/>
        <v>2043</v>
      </c>
      <c r="HT18">
        <f t="shared" si="188"/>
        <v>2043</v>
      </c>
      <c r="HU18">
        <f t="shared" si="188"/>
        <v>2043</v>
      </c>
      <c r="HV18">
        <f t="shared" si="188"/>
        <v>2043</v>
      </c>
      <c r="HW18">
        <f t="shared" si="188"/>
        <v>2043</v>
      </c>
      <c r="HX18">
        <f t="shared" si="188"/>
        <v>2043</v>
      </c>
      <c r="HY18">
        <f t="shared" si="188"/>
        <v>2043</v>
      </c>
      <c r="HZ18">
        <f t="shared" si="188"/>
        <v>2043</v>
      </c>
      <c r="IA18">
        <f t="shared" si="188"/>
        <v>2043</v>
      </c>
      <c r="IB18">
        <f t="shared" si="188"/>
        <v>2043</v>
      </c>
      <c r="IC18">
        <f t="shared" si="188"/>
        <v>2043</v>
      </c>
      <c r="ID18">
        <f t="shared" si="188"/>
        <v>2044</v>
      </c>
      <c r="IE18">
        <f t="shared" si="188"/>
        <v>2044</v>
      </c>
      <c r="IF18">
        <f t="shared" si="188"/>
        <v>2044</v>
      </c>
      <c r="IG18">
        <f t="shared" si="188"/>
        <v>2044</v>
      </c>
      <c r="IH18">
        <f t="shared" si="188"/>
        <v>2044</v>
      </c>
      <c r="II18">
        <f t="shared" si="188"/>
        <v>2044</v>
      </c>
      <c r="IJ18">
        <f t="shared" si="188"/>
        <v>2044</v>
      </c>
      <c r="IK18">
        <f t="shared" si="188"/>
        <v>2044</v>
      </c>
      <c r="IL18">
        <f t="shared" si="188"/>
        <v>2044</v>
      </c>
      <c r="IM18">
        <f t="shared" si="188"/>
        <v>2044</v>
      </c>
      <c r="IN18">
        <f t="shared" si="188"/>
        <v>2044</v>
      </c>
      <c r="IO18">
        <f t="shared" si="188"/>
        <v>2044</v>
      </c>
    </row>
    <row r="19" spans="1:249" x14ac:dyDescent="0.3">
      <c r="A19" s="6" t="s">
        <v>774</v>
      </c>
      <c r="B19" t="s">
        <v>11</v>
      </c>
      <c r="C19" t="s">
        <v>775</v>
      </c>
      <c r="D19" t="s">
        <v>311</v>
      </c>
      <c r="E19" s="14">
        <v>45505</v>
      </c>
      <c r="F19" s="14">
        <v>45536</v>
      </c>
      <c r="G19" s="14">
        <v>45566</v>
      </c>
      <c r="H19" s="14">
        <v>45597</v>
      </c>
      <c r="I19" s="14">
        <v>45627</v>
      </c>
      <c r="J19" s="14">
        <v>45658</v>
      </c>
      <c r="K19" s="14">
        <v>45689</v>
      </c>
      <c r="L19" s="14">
        <v>45717</v>
      </c>
      <c r="M19" s="14">
        <v>45748</v>
      </c>
      <c r="N19" s="14">
        <v>45778</v>
      </c>
      <c r="O19" s="14">
        <v>45809</v>
      </c>
      <c r="P19" s="14">
        <v>45839</v>
      </c>
      <c r="Q19" s="14">
        <v>45870</v>
      </c>
      <c r="R19" s="14">
        <v>45901</v>
      </c>
      <c r="S19" s="14">
        <v>45931</v>
      </c>
      <c r="T19" s="14">
        <v>45962</v>
      </c>
      <c r="U19" s="14">
        <v>45992</v>
      </c>
      <c r="V19" s="14">
        <v>46023</v>
      </c>
      <c r="W19" s="14">
        <v>46054</v>
      </c>
      <c r="X19" s="14">
        <v>46082</v>
      </c>
      <c r="Y19" s="14">
        <v>46113</v>
      </c>
      <c r="Z19" s="14">
        <v>46143</v>
      </c>
      <c r="AA19" s="14">
        <v>46174</v>
      </c>
      <c r="AB19" s="14">
        <v>46204</v>
      </c>
      <c r="AC19" s="14">
        <v>46235</v>
      </c>
      <c r="AD19" s="14">
        <v>46266</v>
      </c>
      <c r="AE19" s="14">
        <v>46296</v>
      </c>
      <c r="AF19" s="14">
        <v>46327</v>
      </c>
      <c r="AG19" s="14">
        <v>46357</v>
      </c>
      <c r="AH19" s="14">
        <v>46388</v>
      </c>
      <c r="AI19" s="14">
        <v>46419</v>
      </c>
      <c r="AJ19" s="14">
        <v>46447</v>
      </c>
      <c r="AK19" s="14">
        <v>46478</v>
      </c>
      <c r="AL19" s="14">
        <v>46508</v>
      </c>
      <c r="AM19" s="14">
        <v>46539</v>
      </c>
      <c r="AN19" s="14">
        <v>46569</v>
      </c>
      <c r="AO19" s="14">
        <v>46600</v>
      </c>
      <c r="AP19" s="14">
        <v>46631</v>
      </c>
      <c r="AQ19" s="14">
        <v>46661</v>
      </c>
      <c r="AR19" s="14">
        <v>46692</v>
      </c>
      <c r="AS19" s="14">
        <v>46722</v>
      </c>
      <c r="AT19" s="14">
        <v>46753</v>
      </c>
      <c r="AU19" s="14">
        <v>46784</v>
      </c>
      <c r="AV19" s="14">
        <v>46813</v>
      </c>
      <c r="AW19" s="14">
        <v>46844</v>
      </c>
      <c r="AX19" s="14">
        <v>46874</v>
      </c>
      <c r="AY19" s="14">
        <v>46905</v>
      </c>
      <c r="AZ19" s="14">
        <v>46935</v>
      </c>
      <c r="BA19" s="14">
        <v>46966</v>
      </c>
      <c r="BB19" s="14">
        <v>46997</v>
      </c>
      <c r="BC19" s="14">
        <v>47027</v>
      </c>
      <c r="BD19" s="14">
        <v>47058</v>
      </c>
      <c r="BE19" s="14">
        <v>47088</v>
      </c>
      <c r="BF19" s="14">
        <v>47119</v>
      </c>
      <c r="BG19" s="14">
        <v>47150</v>
      </c>
      <c r="BH19" s="14">
        <v>47178</v>
      </c>
      <c r="BI19" s="14">
        <v>47209</v>
      </c>
      <c r="BJ19" s="14">
        <v>47239</v>
      </c>
      <c r="BK19" s="14">
        <v>47270</v>
      </c>
      <c r="BL19" s="14">
        <v>47300</v>
      </c>
      <c r="BM19" s="14">
        <v>47331</v>
      </c>
      <c r="BN19" s="14">
        <v>47362</v>
      </c>
      <c r="BO19" s="14">
        <v>47392</v>
      </c>
      <c r="BP19" s="14">
        <v>47423</v>
      </c>
      <c r="BQ19" s="14">
        <v>47453</v>
      </c>
      <c r="BR19" s="14">
        <v>47484</v>
      </c>
      <c r="BS19" s="14">
        <v>47515</v>
      </c>
      <c r="BT19" s="14">
        <v>47543</v>
      </c>
      <c r="BU19" s="14">
        <v>47574</v>
      </c>
      <c r="BV19" s="14">
        <v>47604</v>
      </c>
      <c r="BW19" s="14">
        <v>47635</v>
      </c>
      <c r="BX19" s="14">
        <v>47665</v>
      </c>
      <c r="BY19" s="14">
        <v>47696</v>
      </c>
      <c r="BZ19" s="14">
        <v>47727</v>
      </c>
      <c r="CA19" s="14">
        <v>47757</v>
      </c>
      <c r="CB19" s="14">
        <v>47788</v>
      </c>
      <c r="CC19" s="14">
        <v>47818</v>
      </c>
      <c r="CD19" s="14">
        <v>47849</v>
      </c>
      <c r="CE19" s="14">
        <v>47880</v>
      </c>
      <c r="CF19" s="14">
        <v>47908</v>
      </c>
      <c r="CG19" s="14">
        <v>47939</v>
      </c>
      <c r="CH19" s="14">
        <v>47969</v>
      </c>
      <c r="CI19" s="14">
        <v>48000</v>
      </c>
      <c r="CJ19" s="14">
        <v>48030</v>
      </c>
      <c r="CK19" s="14">
        <v>48061</v>
      </c>
      <c r="CL19" s="14">
        <v>48092</v>
      </c>
      <c r="CM19" s="14">
        <v>48122</v>
      </c>
      <c r="CN19" s="14">
        <v>48153</v>
      </c>
      <c r="CO19" s="14">
        <v>48183</v>
      </c>
      <c r="CP19" s="14">
        <v>48214</v>
      </c>
      <c r="CQ19" s="14">
        <v>48245</v>
      </c>
      <c r="CR19" s="14">
        <v>48274</v>
      </c>
      <c r="CS19" s="14">
        <v>48305</v>
      </c>
      <c r="CT19" s="14">
        <v>48335</v>
      </c>
      <c r="CU19" s="14">
        <v>48366</v>
      </c>
      <c r="CV19" s="14">
        <v>48396</v>
      </c>
      <c r="CW19" s="14">
        <v>48427</v>
      </c>
      <c r="CX19" s="14">
        <v>48458</v>
      </c>
      <c r="CY19" s="14">
        <v>48488</v>
      </c>
      <c r="CZ19" s="14">
        <v>48519</v>
      </c>
      <c r="DA19" s="14">
        <v>48549</v>
      </c>
      <c r="DB19" s="14">
        <v>48580</v>
      </c>
      <c r="DC19" s="14">
        <v>48611</v>
      </c>
      <c r="DD19" s="14">
        <v>48639</v>
      </c>
      <c r="DE19" s="14">
        <v>48670</v>
      </c>
      <c r="DF19" s="14">
        <v>48700</v>
      </c>
      <c r="DG19" s="14">
        <v>48731</v>
      </c>
      <c r="DH19" s="14">
        <v>48761</v>
      </c>
      <c r="DI19" s="14">
        <v>48792</v>
      </c>
      <c r="DJ19" s="14">
        <v>48823</v>
      </c>
      <c r="DK19" s="14">
        <v>48853</v>
      </c>
      <c r="DL19" s="14">
        <v>48884</v>
      </c>
      <c r="DM19" s="14">
        <v>48914</v>
      </c>
      <c r="DN19" s="14">
        <v>48945</v>
      </c>
      <c r="DO19" s="14">
        <v>48976</v>
      </c>
      <c r="DP19" s="14">
        <v>49004</v>
      </c>
      <c r="DQ19" s="14">
        <v>49035</v>
      </c>
      <c r="DR19" s="14">
        <v>49065</v>
      </c>
      <c r="DS19" s="14">
        <v>49096</v>
      </c>
      <c r="DT19" s="14">
        <v>49126</v>
      </c>
      <c r="DU19" s="14">
        <v>49157</v>
      </c>
      <c r="DV19" s="14">
        <v>49188</v>
      </c>
      <c r="DW19" s="14">
        <v>49218</v>
      </c>
      <c r="DX19" s="14">
        <v>49249</v>
      </c>
      <c r="DY19" s="14">
        <v>49279</v>
      </c>
      <c r="DZ19" s="14">
        <v>49310</v>
      </c>
      <c r="EA19" s="14">
        <v>49341</v>
      </c>
      <c r="EB19" s="14">
        <v>49369</v>
      </c>
      <c r="EC19" s="14">
        <v>49400</v>
      </c>
      <c r="ED19" s="14">
        <v>49430</v>
      </c>
      <c r="EE19" s="14">
        <v>49461</v>
      </c>
      <c r="EF19" s="14">
        <v>49491</v>
      </c>
      <c r="EG19" s="14">
        <v>49522</v>
      </c>
      <c r="EH19" s="14">
        <v>49553</v>
      </c>
      <c r="EI19" s="14">
        <v>49583</v>
      </c>
      <c r="EJ19" s="14">
        <v>49614</v>
      </c>
      <c r="EK19" s="14">
        <v>49644</v>
      </c>
      <c r="EL19" s="14">
        <v>49675</v>
      </c>
      <c r="EM19" s="14">
        <v>49706</v>
      </c>
      <c r="EN19" s="14">
        <v>49735</v>
      </c>
      <c r="EO19" s="14">
        <v>49766</v>
      </c>
      <c r="EP19" s="14">
        <v>49796</v>
      </c>
      <c r="EQ19" s="14">
        <v>49827</v>
      </c>
      <c r="ER19" s="14">
        <v>49857</v>
      </c>
      <c r="ES19" s="14">
        <v>49888</v>
      </c>
      <c r="ET19" s="14">
        <v>49919</v>
      </c>
      <c r="EU19" s="14">
        <v>49949</v>
      </c>
      <c r="EV19" s="14">
        <v>49980</v>
      </c>
      <c r="EW19" s="14">
        <v>50010</v>
      </c>
      <c r="EX19" s="14">
        <v>50041</v>
      </c>
      <c r="EY19" s="14">
        <v>50072</v>
      </c>
      <c r="EZ19" s="14">
        <v>50100</v>
      </c>
      <c r="FA19" s="14">
        <v>50131</v>
      </c>
      <c r="FB19" s="14">
        <v>50161</v>
      </c>
      <c r="FC19" s="14">
        <v>50192</v>
      </c>
      <c r="FD19" s="14">
        <v>50222</v>
      </c>
      <c r="FE19" s="14">
        <v>50253</v>
      </c>
      <c r="FF19" s="14">
        <v>50284</v>
      </c>
      <c r="FG19" s="14">
        <v>50314</v>
      </c>
      <c r="FH19" s="14">
        <v>50345</v>
      </c>
      <c r="FI19" s="14">
        <v>50375</v>
      </c>
      <c r="FJ19" s="14">
        <v>50406</v>
      </c>
      <c r="FK19" s="14">
        <v>50437</v>
      </c>
      <c r="FL19" s="14">
        <v>50465</v>
      </c>
      <c r="FM19" s="14">
        <v>50496</v>
      </c>
      <c r="FN19" s="14">
        <v>50526</v>
      </c>
      <c r="FO19" s="14">
        <v>50557</v>
      </c>
      <c r="FP19" s="14">
        <v>50587</v>
      </c>
      <c r="FQ19" s="14">
        <v>50618</v>
      </c>
      <c r="FR19" s="14">
        <v>50649</v>
      </c>
      <c r="FS19" s="14">
        <v>50679</v>
      </c>
      <c r="FT19" s="14">
        <v>50710</v>
      </c>
      <c r="FU19" s="14">
        <v>50740</v>
      </c>
      <c r="FV19" s="14">
        <v>50771</v>
      </c>
      <c r="FW19" s="14">
        <v>50802</v>
      </c>
      <c r="FX19" s="14">
        <v>50830</v>
      </c>
      <c r="FY19" s="14">
        <v>50861</v>
      </c>
      <c r="FZ19" s="14">
        <v>50891</v>
      </c>
      <c r="GA19" s="14">
        <v>50922</v>
      </c>
      <c r="GB19" s="14">
        <v>50952</v>
      </c>
      <c r="GC19" s="14">
        <v>50983</v>
      </c>
      <c r="GD19" s="14">
        <v>51014</v>
      </c>
      <c r="GE19" s="14">
        <v>51044</v>
      </c>
      <c r="GF19" s="14">
        <v>51075</v>
      </c>
      <c r="GG19" s="14">
        <v>51105</v>
      </c>
      <c r="GH19" s="14">
        <v>51136</v>
      </c>
      <c r="GI19" s="14">
        <v>51167</v>
      </c>
      <c r="GJ19" s="14">
        <v>51196</v>
      </c>
      <c r="GK19" s="14">
        <v>51227</v>
      </c>
      <c r="GL19" s="14">
        <v>51257</v>
      </c>
      <c r="GM19" s="14">
        <v>51288</v>
      </c>
      <c r="GN19" s="14">
        <v>51318</v>
      </c>
      <c r="GO19" s="14">
        <v>51349</v>
      </c>
      <c r="GP19" s="14">
        <v>51380</v>
      </c>
      <c r="GQ19" s="14">
        <v>51410</v>
      </c>
      <c r="GR19" s="14">
        <v>51441</v>
      </c>
      <c r="GS19" s="14">
        <v>51471</v>
      </c>
      <c r="GT19" s="14">
        <v>51502</v>
      </c>
      <c r="GU19" s="14">
        <v>51533</v>
      </c>
      <c r="GV19" s="14">
        <v>51561</v>
      </c>
      <c r="GW19" s="14">
        <v>51592</v>
      </c>
      <c r="GX19" s="14">
        <v>51622</v>
      </c>
      <c r="GY19" s="14">
        <v>51653</v>
      </c>
      <c r="GZ19" s="14">
        <v>51683</v>
      </c>
      <c r="HA19" s="14">
        <v>51714</v>
      </c>
      <c r="HB19" s="14">
        <v>51745</v>
      </c>
      <c r="HC19" s="14">
        <v>51775</v>
      </c>
      <c r="HD19" s="14">
        <v>51806</v>
      </c>
      <c r="HE19" s="14">
        <v>51836</v>
      </c>
      <c r="HF19" s="14">
        <v>51867</v>
      </c>
      <c r="HG19" s="14">
        <v>51898</v>
      </c>
      <c r="HH19" s="14">
        <v>51926</v>
      </c>
      <c r="HI19" s="14">
        <v>51957</v>
      </c>
      <c r="HJ19" s="14">
        <v>51987</v>
      </c>
      <c r="HK19" s="14">
        <v>52018</v>
      </c>
      <c r="HL19" s="14">
        <v>52048</v>
      </c>
      <c r="HM19" s="14">
        <v>52079</v>
      </c>
      <c r="HN19" s="14">
        <v>52110</v>
      </c>
      <c r="HO19" s="14">
        <v>52140</v>
      </c>
      <c r="HP19" s="14">
        <v>52171</v>
      </c>
      <c r="HQ19" s="14">
        <v>52201</v>
      </c>
      <c r="HR19" s="14">
        <v>52232</v>
      </c>
      <c r="HS19" s="14">
        <v>52263</v>
      </c>
      <c r="HT19" s="14">
        <v>52291</v>
      </c>
      <c r="HU19" s="14">
        <v>52322</v>
      </c>
      <c r="HV19" s="14">
        <v>52352</v>
      </c>
      <c r="HW19" s="14">
        <v>52383</v>
      </c>
      <c r="HX19" s="14">
        <v>52413</v>
      </c>
      <c r="HY19" s="14">
        <v>52444</v>
      </c>
      <c r="HZ19" s="14">
        <v>52475</v>
      </c>
      <c r="IA19" s="14">
        <v>52505</v>
      </c>
      <c r="IB19" s="14">
        <v>52536</v>
      </c>
      <c r="IC19" s="14">
        <v>52566</v>
      </c>
      <c r="ID19" s="14">
        <v>52597</v>
      </c>
      <c r="IE19" s="14">
        <v>52628</v>
      </c>
      <c r="IF19" s="14">
        <v>52657</v>
      </c>
      <c r="IG19" s="14">
        <v>52688</v>
      </c>
      <c r="IH19" s="14">
        <v>52718</v>
      </c>
      <c r="II19" s="14">
        <v>52749</v>
      </c>
      <c r="IJ19" s="14">
        <v>52779</v>
      </c>
      <c r="IK19" s="14">
        <v>52810</v>
      </c>
      <c r="IL19" s="14">
        <v>52841</v>
      </c>
      <c r="IM19" s="14">
        <v>52871</v>
      </c>
      <c r="IN19" s="14">
        <v>52902</v>
      </c>
      <c r="IO19" s="14">
        <v>52932</v>
      </c>
    </row>
    <row r="20" spans="1:249" x14ac:dyDescent="0.3">
      <c r="A20" t="s">
        <v>633</v>
      </c>
      <c r="B20" s="33">
        <f ca="1">+SUM(E20:IJ20)</f>
        <v>89057038.036243856</v>
      </c>
      <c r="C20" s="30">
        <f>+'Capex GoodWe'!M152</f>
        <v>49414068.942789257</v>
      </c>
      <c r="D20" s="38">
        <f ca="1">+B20/$B$27</f>
        <v>1.4772246544289791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>
        <f ca="1">+'Prestamo 5 años'!L7</f>
        <v>1507151.3897862288</v>
      </c>
      <c r="AG20" s="30">
        <f ca="1">+'Prestamo 5 años'!M7</f>
        <v>1506653.3935923402</v>
      </c>
      <c r="AH20" s="30">
        <f ca="1">+'Prestamo 5 años'!N7</f>
        <v>1506145.0224777448</v>
      </c>
      <c r="AI20" s="30">
        <f ca="1">+'Prestamo 5 años'!O7</f>
        <v>1505626.0602982626</v>
      </c>
      <c r="AJ20" s="30">
        <f ca="1">+'Prestamo 5 años'!P7</f>
        <v>1505096.2864067077</v>
      </c>
      <c r="AK20" s="30">
        <f ca="1">+'Prestamo 5 años'!Q7</f>
        <v>1504555.4755590789</v>
      </c>
      <c r="AL20" s="30">
        <f ca="1">+'Prestamo 5 años'!R7</f>
        <v>1504003.397818791</v>
      </c>
      <c r="AM20" s="30">
        <f ca="1">+'Prestamo 5 años'!S7</f>
        <v>1503439.8184589138</v>
      </c>
      <c r="AN20" s="30">
        <f ca="1">+'Prestamo 5 años'!T7</f>
        <v>1502864.4978623725</v>
      </c>
      <c r="AO20" s="30">
        <f ca="1">+'Prestamo 5 años'!U7</f>
        <v>1502277.1914200699</v>
      </c>
      <c r="AP20" s="30">
        <f ca="1">+'Prestamo 5 años'!V7</f>
        <v>1501677.6494268861</v>
      </c>
      <c r="AQ20" s="30">
        <f ca="1">+'Prestamo 5 años'!W7</f>
        <v>1501065.6169755107</v>
      </c>
      <c r="AR20" s="30">
        <f ca="1">+'Prestamo 5 años'!X7</f>
        <v>1500440.8338480652</v>
      </c>
      <c r="AS20" s="30">
        <f ca="1">+'Prestamo 5 años'!Y7</f>
        <v>1499803.0344054645</v>
      </c>
      <c r="AT20" s="30">
        <f ca="1">+'Prestamo 5 años'!Z7</f>
        <v>1499151.9474744764</v>
      </c>
      <c r="AU20" s="30">
        <f ca="1">+'Prestamo 5 años'!AA7</f>
        <v>1498487.2962324261</v>
      </c>
      <c r="AV20" s="30">
        <f ca="1">+'Prestamo 5 años'!AB7</f>
        <v>1497808.7980894996</v>
      </c>
      <c r="AW20" s="30">
        <f ca="1">+'Prestamo 5 años'!AC7</f>
        <v>1497116.1645685958</v>
      </c>
      <c r="AX20" s="30">
        <f ca="1">+'Prestamo 5 años'!AD7</f>
        <v>1496409.1011826727</v>
      </c>
      <c r="AY20" s="30">
        <f ca="1">+'Prestamo 5 años'!AE7</f>
        <v>1495687.3073095435</v>
      </c>
      <c r="AZ20" s="30">
        <f ca="1">+'Prestamo 5 años'!AF7</f>
        <v>1494950.4760640564</v>
      </c>
      <c r="BA20" s="30">
        <f ca="1">+'Prestamo 5 años'!AG7</f>
        <v>1494198.2941676225</v>
      </c>
      <c r="BB20" s="30">
        <f ca="1">+'Prestamo 5 años'!AH7</f>
        <v>1493430.4418150124</v>
      </c>
      <c r="BC20" s="30">
        <f ca="1">+'Prestamo 5 años'!AI7</f>
        <v>1492646.5925383898</v>
      </c>
      <c r="BD20" s="30">
        <f ca="1">+'Prestamo 5 años'!AJ7</f>
        <v>1491846.4130685043</v>
      </c>
      <c r="BE20" s="30">
        <f ca="1">+'Prestamo 5 años'!AK7</f>
        <v>1491029.563192996</v>
      </c>
      <c r="BF20" s="30">
        <f ca="1">+'Prestamo 5 años'!AL7</f>
        <v>1490195.6956117481</v>
      </c>
      <c r="BG20" s="30">
        <f ca="1">+'Prestamo 5 años'!AM7</f>
        <v>1489344.4557892242</v>
      </c>
      <c r="BH20" s="30">
        <f ca="1">+'Prestamo 5 años'!AN7</f>
        <v>1488475.4818037311</v>
      </c>
      <c r="BI20" s="30">
        <f ca="1">+'Prestamo 5 años'!AO7</f>
        <v>1487588.4041935401</v>
      </c>
      <c r="BJ20" s="30">
        <f ca="1">+'Prestamo 5 años'!AP7</f>
        <v>1486682.8457998035</v>
      </c>
      <c r="BK20" s="30">
        <f ca="1">+'Prestamo 5 años'!AQ7</f>
        <v>1485758.4216061977</v>
      </c>
      <c r="BL20" s="30">
        <f ca="1">+'Prestamo 5 años'!AR7</f>
        <v>1484814.7385752245</v>
      </c>
      <c r="BM20" s="30">
        <f ca="1">+'Prestamo 5 años'!AS7</f>
        <v>1483851.3954811066</v>
      </c>
      <c r="BN20" s="30">
        <f ca="1">+'Prestamo 5 años'!AT7</f>
        <v>1482867.9827391941</v>
      </c>
      <c r="BO20" s="30">
        <f ca="1">+'Prestamo 5 años'!AU7</f>
        <v>1481864.0822318252</v>
      </c>
      <c r="BP20" s="30">
        <f ca="1">+'Prestamo 5 años'!AV7</f>
        <v>1480839.267130553</v>
      </c>
      <c r="BQ20" s="30">
        <f ca="1">+'Prestamo 5 años'!AW7</f>
        <v>1479793.1017146709</v>
      </c>
      <c r="BR20" s="30">
        <f ca="1">+'Prestamo 5 años'!AX7</f>
        <v>1478725.1411859579</v>
      </c>
      <c r="BS20" s="30">
        <f ca="1">+'Prestamo 5 años'!AY7</f>
        <v>1477634.9314795632</v>
      </c>
      <c r="BT20" s="30">
        <f ca="1">+'Prestamo 5 años'!AZ7</f>
        <v>1476522.0090709524</v>
      </c>
      <c r="BU20" s="30">
        <f ca="1">+'Prestamo 5 años'!BA7</f>
        <v>1475385.9007788287</v>
      </c>
      <c r="BV20" s="30">
        <f ca="1">+'Prestamo 5 años'!BB7</f>
        <v>1474226.123563952</v>
      </c>
      <c r="BW20" s="30">
        <f ca="1">+'Prestamo 5 años'!BC7</f>
        <v>1473042.1843237656</v>
      </c>
      <c r="BX20" s="30">
        <f ca="1">+'Prestamo 5 años'!BD7</f>
        <v>1471833.579682742</v>
      </c>
      <c r="BY20" s="30">
        <f ca="1">+'Prestamo 5 años'!BE7</f>
        <v>1470599.7957783639</v>
      </c>
      <c r="BZ20" s="30">
        <f ca="1">+'Prestamo 5 años'!BF7</f>
        <v>1469340.3080426445</v>
      </c>
      <c r="CA20" s="30">
        <f ca="1">+'Prestamo 5 años'!BG7</f>
        <v>1468054.5809790976</v>
      </c>
      <c r="CB20" s="30">
        <f ca="1">+'Prestamo 5 años'!BH7</f>
        <v>1466742.0679350602</v>
      </c>
      <c r="CC20" s="30">
        <f ca="1">+'Prestamo 5 años'!BI7</f>
        <v>1465402.2108692718</v>
      </c>
      <c r="CD20" s="30">
        <f ca="1">+'Prestamo 5 años'!BJ7</f>
        <v>1464034.4401146132</v>
      </c>
      <c r="CE20" s="30">
        <f ca="1">+'Prestamo 5 años'!BK7</f>
        <v>1462638.1741358989</v>
      </c>
      <c r="CF20" s="30">
        <f ca="1">+'Prestamo 5 años'!BL7</f>
        <v>1461212.8192826281</v>
      </c>
      <c r="CG20" s="30">
        <f ca="1">+'Prestamo 5 años'!BM7</f>
        <v>1459757.7695365807</v>
      </c>
      <c r="CH20" s="30">
        <f ca="1">+'Prestamo 5 años'!BN7</f>
        <v>1458272.4062541574</v>
      </c>
      <c r="CI20" s="30">
        <f ca="1">+'Prestamo 5 años'!BO7</f>
        <v>1456756.0979033506</v>
      </c>
      <c r="CJ20" s="30">
        <f ca="1">+'Prestamo 5 años'!BP7</f>
        <v>1455208.1997952352</v>
      </c>
      <c r="CK20" s="30">
        <f ca="1">+'Prestamo 5 años'!BQ7</f>
        <v>1453628.053809867</v>
      </c>
      <c r="CL20" s="30">
        <f ca="1">+'Prestamo 5 años'!BR7</f>
        <v>1452014.9881164706</v>
      </c>
      <c r="CM20" s="30">
        <f ca="1">+'Prestamo 5 años'!BS7</f>
        <v>1450368.316887795</v>
      </c>
      <c r="CN20" s="30">
        <f>+'Prestamo 5 años'!BT7</f>
        <v>0</v>
      </c>
      <c r="CO20" s="30">
        <f>+'Prestamo 5 años'!BU7</f>
        <v>0</v>
      </c>
      <c r="CP20" s="30">
        <f>+'Prestamo 5 años'!BV7</f>
        <v>0</v>
      </c>
      <c r="CQ20" s="30">
        <f>+'Prestamo 5 años'!BW7</f>
        <v>0</v>
      </c>
      <c r="CR20" s="30">
        <f>+'Prestamo 5 años'!BX7</f>
        <v>0</v>
      </c>
      <c r="CS20" s="30">
        <f>+'Prestamo 5 años'!BY7</f>
        <v>0</v>
      </c>
      <c r="CT20" s="30">
        <f>+'Prestamo 5 años'!BZ7</f>
        <v>0</v>
      </c>
      <c r="CU20" s="30">
        <f>+'Prestamo 5 años'!CA7</f>
        <v>0</v>
      </c>
      <c r="CV20" s="30">
        <f>+'Prestamo 5 años'!CB7</f>
        <v>0</v>
      </c>
      <c r="CW20" s="30">
        <f>+'Prestamo 5 años'!CC7</f>
        <v>0</v>
      </c>
      <c r="CX20" s="30">
        <f>+'Prestamo 5 años'!CD7</f>
        <v>0</v>
      </c>
      <c r="CY20" s="30">
        <f>+'Prestamo 5 años'!CE7</f>
        <v>0</v>
      </c>
      <c r="CZ20" s="30">
        <f>+'Prestamo 5 años'!CF7</f>
        <v>0</v>
      </c>
      <c r="DA20" s="30">
        <f>+'Prestamo 5 años'!CG7</f>
        <v>0</v>
      </c>
      <c r="DB20" s="30">
        <f>+'Prestamo 5 años'!CH7</f>
        <v>0</v>
      </c>
      <c r="DC20" s="30">
        <f>+'Prestamo 5 años'!CI7</f>
        <v>0</v>
      </c>
      <c r="DD20" s="30">
        <f>+'Prestamo 5 años'!CJ7</f>
        <v>0</v>
      </c>
      <c r="DE20" s="30">
        <f>+'Prestamo 5 años'!CK7</f>
        <v>0</v>
      </c>
      <c r="DF20" s="30">
        <f>+'Prestamo 5 años'!CL7</f>
        <v>0</v>
      </c>
      <c r="DG20" s="30">
        <f>+'Prestamo 5 años'!CM7</f>
        <v>0</v>
      </c>
      <c r="DH20" s="30">
        <f>+'Prestamo 5 años'!CN7</f>
        <v>0</v>
      </c>
      <c r="DI20" s="30">
        <f>+'Prestamo 5 años'!CO7</f>
        <v>0</v>
      </c>
      <c r="DJ20" s="30">
        <f>+'Prestamo 5 años'!CP7</f>
        <v>0</v>
      </c>
      <c r="DK20" s="30">
        <f>+'Prestamo 5 años'!CQ7</f>
        <v>0</v>
      </c>
      <c r="DL20" s="30">
        <f>+'Prestamo 5 años'!CR7</f>
        <v>0</v>
      </c>
      <c r="DM20" s="30">
        <f>+'Prestamo 5 años'!CS7</f>
        <v>0</v>
      </c>
      <c r="DN20" s="30">
        <f>+'Prestamo 5 años'!CT7</f>
        <v>0</v>
      </c>
      <c r="DO20" s="30">
        <f>+'Prestamo 5 años'!CU7</f>
        <v>0</v>
      </c>
      <c r="DP20" s="30">
        <f>+'Prestamo 5 años'!CV7</f>
        <v>0</v>
      </c>
      <c r="DQ20" s="30">
        <f>+'Prestamo 5 años'!CW7</f>
        <v>0</v>
      </c>
      <c r="DR20" s="30">
        <f>+'Prestamo 5 años'!CX7</f>
        <v>0</v>
      </c>
      <c r="DS20" s="30">
        <f>+'Prestamo 5 años'!CY7</f>
        <v>0</v>
      </c>
      <c r="DT20" s="30">
        <f>+'Prestamo 5 años'!CZ7</f>
        <v>0</v>
      </c>
      <c r="DU20" s="30">
        <f>+'Prestamo 5 años'!DA7</f>
        <v>0</v>
      </c>
      <c r="DV20" s="30">
        <f>+'Prestamo 5 años'!DB7</f>
        <v>0</v>
      </c>
      <c r="DW20" s="30">
        <f>+'Prestamo 5 años'!DC7</f>
        <v>0</v>
      </c>
      <c r="DX20" s="30">
        <f>+'Prestamo 5 años'!DD7</f>
        <v>0</v>
      </c>
      <c r="DY20" s="30">
        <f>+'Prestamo 5 años'!DE7</f>
        <v>0</v>
      </c>
      <c r="DZ20" s="30">
        <f>+'Prestamo 5 años'!DF7</f>
        <v>0</v>
      </c>
      <c r="EA20" s="30">
        <f>+'Prestamo 5 años'!DG7</f>
        <v>0</v>
      </c>
      <c r="EB20" s="30">
        <f>+'Prestamo 5 años'!DH7</f>
        <v>0</v>
      </c>
      <c r="EC20" s="30">
        <f>+'Prestamo 5 años'!DI7</f>
        <v>0</v>
      </c>
      <c r="ED20" s="30">
        <f>+'Prestamo 5 años'!DJ7</f>
        <v>0</v>
      </c>
      <c r="EE20" s="30">
        <f>+'Prestamo 5 años'!DK7</f>
        <v>0</v>
      </c>
      <c r="EF20" s="30">
        <f>+'Prestamo 5 años'!DL7</f>
        <v>0</v>
      </c>
      <c r="EG20" s="30">
        <f>+'Prestamo 5 años'!DM7</f>
        <v>0</v>
      </c>
      <c r="EH20" s="30">
        <f>+'Prestamo 5 años'!DN7</f>
        <v>0</v>
      </c>
      <c r="EI20" s="30">
        <f>+'Prestamo 5 años'!DO7</f>
        <v>0</v>
      </c>
      <c r="EJ20" s="30">
        <f>+'Prestamo 5 años'!DP7</f>
        <v>0</v>
      </c>
      <c r="EK20" s="30">
        <f>+'Prestamo 5 años'!DQ7</f>
        <v>0</v>
      </c>
      <c r="EL20" s="30">
        <f>+'Prestamo 5 años'!DR7</f>
        <v>0</v>
      </c>
      <c r="EM20" s="30">
        <f>+'Prestamo 5 años'!DS7</f>
        <v>0</v>
      </c>
      <c r="EN20" s="30">
        <f>+'Prestamo 5 años'!DT7</f>
        <v>0</v>
      </c>
      <c r="EO20" s="30">
        <f>+'Prestamo 5 años'!DU7</f>
        <v>0</v>
      </c>
      <c r="EP20" s="30">
        <f>+'Prestamo 5 años'!DV7</f>
        <v>0</v>
      </c>
      <c r="EQ20" s="30">
        <f>+'Prestamo 5 años'!DW7</f>
        <v>0</v>
      </c>
      <c r="ER20" s="30">
        <f>+'Prestamo 5 años'!DX7</f>
        <v>0</v>
      </c>
      <c r="ES20" s="30">
        <f>+'Prestamo 5 años'!DY7</f>
        <v>0</v>
      </c>
      <c r="ET20" s="30">
        <f>+'Prestamo 5 años'!DZ7</f>
        <v>0</v>
      </c>
      <c r="EU20" s="30">
        <f>+'Prestamo 5 años'!EA7</f>
        <v>0</v>
      </c>
      <c r="EV20" s="30">
        <f>+'Prestamo 5 años'!EB7</f>
        <v>0</v>
      </c>
      <c r="EW20" s="30">
        <f>+'Prestamo 5 años'!EC7</f>
        <v>0</v>
      </c>
      <c r="EX20" s="30">
        <f>+'Prestamo 5 años'!ED7</f>
        <v>0</v>
      </c>
      <c r="EY20" s="30">
        <f>+'Prestamo 5 años'!EE7</f>
        <v>0</v>
      </c>
      <c r="EZ20" s="30">
        <f>+'Prestamo 5 años'!EF7</f>
        <v>0</v>
      </c>
      <c r="FA20" s="30">
        <f>+'Prestamo 5 años'!EG7</f>
        <v>0</v>
      </c>
      <c r="FB20" s="30">
        <f>+'Prestamo 5 años'!EH7</f>
        <v>0</v>
      </c>
      <c r="FC20" s="30">
        <f>+'Prestamo 5 años'!EI7</f>
        <v>0</v>
      </c>
      <c r="FD20" s="30">
        <f>+'Prestamo 5 años'!EJ7</f>
        <v>0</v>
      </c>
      <c r="FE20" s="30">
        <f>+'Prestamo 5 años'!EK7</f>
        <v>0</v>
      </c>
      <c r="FF20" s="30">
        <f>+'Prestamo 5 años'!EL7</f>
        <v>0</v>
      </c>
      <c r="FG20" s="30">
        <f>+'Prestamo 5 años'!EM7</f>
        <v>0</v>
      </c>
      <c r="FH20" s="30">
        <f>+'Prestamo 5 años'!EN7</f>
        <v>0</v>
      </c>
      <c r="FI20" s="30">
        <f>+'Prestamo 5 años'!EO7</f>
        <v>0</v>
      </c>
      <c r="FJ20" s="30">
        <f>+'Prestamo 5 años'!EP7</f>
        <v>0</v>
      </c>
      <c r="FK20" s="30">
        <f>+'Prestamo 5 años'!EQ7</f>
        <v>0</v>
      </c>
      <c r="FL20" s="30">
        <f>+'Prestamo 5 años'!ER7</f>
        <v>0</v>
      </c>
      <c r="FM20" s="30">
        <f>+'Prestamo 5 años'!ES7</f>
        <v>0</v>
      </c>
      <c r="FN20" s="30">
        <f>+'Prestamo 5 años'!ET7</f>
        <v>0</v>
      </c>
      <c r="FO20" s="30">
        <f>+'Prestamo 5 años'!EU7</f>
        <v>0</v>
      </c>
      <c r="FP20" s="30">
        <f>+'Prestamo 5 años'!EV7</f>
        <v>0</v>
      </c>
      <c r="FQ20" s="30">
        <f>+'Prestamo 5 años'!EW7</f>
        <v>0</v>
      </c>
      <c r="FR20" s="30">
        <f>+'Prestamo 5 años'!EX7</f>
        <v>0</v>
      </c>
      <c r="FS20" s="30">
        <f>+'Prestamo 5 años'!EY7</f>
        <v>0</v>
      </c>
      <c r="FT20" s="30">
        <f>+'Prestamo 5 años'!EZ7</f>
        <v>0</v>
      </c>
      <c r="FU20" s="30">
        <f>+'Prestamo 5 años'!FA7</f>
        <v>0</v>
      </c>
      <c r="FV20" s="30">
        <f>+'Prestamo 5 años'!FB7</f>
        <v>0</v>
      </c>
      <c r="FW20" s="30">
        <f>+'Prestamo 5 años'!FC7</f>
        <v>0</v>
      </c>
      <c r="FX20" s="30">
        <f>+'Prestamo 5 años'!FD7</f>
        <v>0</v>
      </c>
      <c r="FY20" s="30">
        <f>+'Prestamo 5 años'!FE7</f>
        <v>0</v>
      </c>
      <c r="FZ20" s="30">
        <f>+'Prestamo 5 años'!FF7</f>
        <v>0</v>
      </c>
      <c r="GA20" s="30">
        <f>+'Prestamo 5 años'!FG7</f>
        <v>0</v>
      </c>
      <c r="GB20" s="30">
        <f>+'Prestamo 5 años'!FH7</f>
        <v>0</v>
      </c>
      <c r="GC20" s="30">
        <f>+'Prestamo 5 años'!FI7</f>
        <v>0</v>
      </c>
      <c r="GD20" s="30">
        <f>+'Prestamo 5 años'!FJ7</f>
        <v>0</v>
      </c>
      <c r="GE20" s="30">
        <f>+'Prestamo 5 años'!FK7</f>
        <v>0</v>
      </c>
      <c r="GF20" s="30">
        <f>+'Prestamo 5 años'!FL7</f>
        <v>0</v>
      </c>
      <c r="GG20" s="30">
        <f>+'Prestamo 5 años'!FM7</f>
        <v>0</v>
      </c>
      <c r="GH20" s="30">
        <f>+'Prestamo 5 años'!FN7</f>
        <v>0</v>
      </c>
      <c r="GI20" s="30">
        <f>+'Prestamo 5 años'!FO7</f>
        <v>0</v>
      </c>
      <c r="GJ20" s="30">
        <f>+'Prestamo 5 años'!FP7</f>
        <v>0</v>
      </c>
      <c r="GK20" s="30">
        <f>+'Prestamo 5 años'!FQ7</f>
        <v>0</v>
      </c>
      <c r="GL20" s="30">
        <f>+'Prestamo 5 años'!FR7</f>
        <v>0</v>
      </c>
      <c r="GM20" s="30">
        <f>+'Prestamo 5 años'!FS7</f>
        <v>0</v>
      </c>
      <c r="GN20" s="30">
        <f>+'Prestamo 5 años'!FT7</f>
        <v>0</v>
      </c>
      <c r="GO20" s="30">
        <f>+'Prestamo 5 años'!FU7</f>
        <v>0</v>
      </c>
      <c r="GP20" s="30">
        <f>+'Prestamo 5 años'!FV7</f>
        <v>0</v>
      </c>
      <c r="GQ20" s="30">
        <f>+'Prestamo 5 años'!FW7</f>
        <v>0</v>
      </c>
      <c r="GR20" s="30">
        <f>+'Prestamo 5 años'!FX7</f>
        <v>0</v>
      </c>
      <c r="GS20" s="30">
        <f>+'Prestamo 5 años'!FY7</f>
        <v>0</v>
      </c>
      <c r="GT20" s="30">
        <f>+'Prestamo 5 años'!FZ7</f>
        <v>0</v>
      </c>
      <c r="GU20" s="30">
        <f>+'Prestamo 5 años'!GA7</f>
        <v>0</v>
      </c>
      <c r="GV20" s="30">
        <f>+'Prestamo 5 años'!GB7</f>
        <v>0</v>
      </c>
      <c r="GW20" s="30">
        <f>+'Prestamo 5 años'!GC7</f>
        <v>0</v>
      </c>
      <c r="GX20" s="30">
        <f>+'Prestamo 5 años'!GD7</f>
        <v>0</v>
      </c>
      <c r="GY20" s="30">
        <f>+'Prestamo 5 años'!GE7</f>
        <v>0</v>
      </c>
      <c r="GZ20" s="30">
        <f>+'Prestamo 5 años'!GF7</f>
        <v>0</v>
      </c>
      <c r="HA20" s="30">
        <f>+'Prestamo 5 años'!GG7</f>
        <v>0</v>
      </c>
      <c r="HB20" s="30">
        <f>+'Prestamo 5 años'!GH7</f>
        <v>0</v>
      </c>
      <c r="HC20" s="30">
        <f>+'Prestamo 5 años'!GI7</f>
        <v>0</v>
      </c>
      <c r="HD20" s="30">
        <f>+'Prestamo 5 años'!GJ7</f>
        <v>0</v>
      </c>
      <c r="HE20" s="30">
        <f>+'Prestamo 5 años'!GK7</f>
        <v>0</v>
      </c>
      <c r="HF20" s="30">
        <f>+'Prestamo 5 años'!GL7</f>
        <v>0</v>
      </c>
      <c r="HG20" s="30">
        <f>+'Prestamo 5 años'!GM7</f>
        <v>0</v>
      </c>
      <c r="HH20" s="30">
        <f>+'Prestamo 5 años'!GN7</f>
        <v>0</v>
      </c>
      <c r="HI20" s="30">
        <f>+'Prestamo 5 años'!GO7</f>
        <v>0</v>
      </c>
      <c r="HJ20" s="30">
        <f>+'Prestamo 5 años'!GP7</f>
        <v>0</v>
      </c>
      <c r="HK20" s="30">
        <f>+'Prestamo 5 años'!GQ7</f>
        <v>0</v>
      </c>
      <c r="HL20" s="30">
        <f>+'Prestamo 5 años'!GR7</f>
        <v>0</v>
      </c>
      <c r="HM20" s="30">
        <f>+'Prestamo 5 años'!GS7</f>
        <v>0</v>
      </c>
      <c r="HN20" s="30">
        <f>+'Prestamo 5 años'!GT7</f>
        <v>0</v>
      </c>
      <c r="HO20" s="30">
        <f>+'Prestamo 5 años'!GU7</f>
        <v>0</v>
      </c>
      <c r="HP20" s="30">
        <f>+'Prestamo 5 años'!GV7</f>
        <v>0</v>
      </c>
      <c r="HQ20" s="30">
        <f>+'Prestamo 5 años'!GW7</f>
        <v>0</v>
      </c>
      <c r="HR20" s="30">
        <f>+'Prestamo 5 años'!GX7</f>
        <v>0</v>
      </c>
      <c r="HS20" s="30">
        <f>+'Prestamo 5 años'!GY7</f>
        <v>0</v>
      </c>
      <c r="HT20" s="30">
        <f>+'Prestamo 5 años'!GZ7</f>
        <v>0</v>
      </c>
      <c r="HU20" s="30">
        <f>+'Prestamo 5 años'!HA7</f>
        <v>0</v>
      </c>
      <c r="HV20" s="30">
        <f>+'Prestamo 5 años'!HB7</f>
        <v>0</v>
      </c>
      <c r="HW20" s="30">
        <f>+'Prestamo 5 años'!HC7</f>
        <v>0</v>
      </c>
      <c r="HX20" s="30">
        <f>+'Prestamo 5 años'!HD7</f>
        <v>0</v>
      </c>
      <c r="HY20" s="30">
        <f>+'Prestamo 5 años'!HE7</f>
        <v>0</v>
      </c>
      <c r="HZ20" s="30">
        <f>+'Prestamo 5 años'!HF7</f>
        <v>0</v>
      </c>
      <c r="IA20" s="30">
        <f>+'Prestamo 5 años'!HG7</f>
        <v>0</v>
      </c>
      <c r="IB20" s="30">
        <f>+'Prestamo 5 años'!HH7</f>
        <v>0</v>
      </c>
      <c r="IC20" s="30">
        <f>+'Prestamo 5 años'!HI7</f>
        <v>0</v>
      </c>
      <c r="ID20" s="30">
        <f>+'Prestamo 5 años'!HJ7</f>
        <v>0</v>
      </c>
      <c r="IE20" s="30">
        <f>+'Prestamo 5 años'!HK7</f>
        <v>0</v>
      </c>
      <c r="IF20" s="30">
        <f>+'Prestamo 5 años'!HL7</f>
        <v>0</v>
      </c>
      <c r="IG20" s="30">
        <f>+'Prestamo 5 años'!HM7</f>
        <v>0</v>
      </c>
      <c r="IH20" s="30">
        <f>+'Prestamo 5 años'!HN7</f>
        <v>0</v>
      </c>
      <c r="II20" s="30">
        <f>+'Prestamo 5 años'!HO7</f>
        <v>0</v>
      </c>
      <c r="IJ20" s="30">
        <f>+'Prestamo 5 años'!HP7</f>
        <v>0</v>
      </c>
      <c r="IK20" s="30">
        <f>+'Prestamo 5 años'!HQ7</f>
        <v>0</v>
      </c>
      <c r="IL20" s="30">
        <f>+'Prestamo 5 años'!HR7</f>
        <v>0</v>
      </c>
      <c r="IM20" s="30">
        <f>+'Prestamo 5 años'!HS7</f>
        <v>0</v>
      </c>
      <c r="IN20" s="30">
        <f>+'Prestamo 5 años'!HT7</f>
        <v>0</v>
      </c>
      <c r="IO20" s="30">
        <f>+'Prestamo 5 años'!HU7</f>
        <v>0</v>
      </c>
    </row>
    <row r="21" spans="1:249" x14ac:dyDescent="0.3">
      <c r="A21" t="s">
        <v>640</v>
      </c>
      <c r="B21" s="33"/>
      <c r="D21" s="38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>
        <f ca="1">+'Prestamo 5 años'!L3</f>
        <v>420908.54724635184</v>
      </c>
      <c r="AG21" s="30">
        <f ca="1">+'Prestamo 5 años'!M3</f>
        <v>429677.47531398409</v>
      </c>
      <c r="AH21" s="30">
        <f ca="1">+'Prestamo 5 años'!N3</f>
        <v>438629.08938302542</v>
      </c>
      <c r="AI21" s="30">
        <f ca="1">+'Prestamo 5 años'!O3</f>
        <v>447767.19541183842</v>
      </c>
      <c r="AJ21" s="30">
        <f ca="1">+'Prestamo 5 años'!P3</f>
        <v>457095.67864958511</v>
      </c>
      <c r="AK21" s="30">
        <f ca="1">+'Prestamo 5 años'!Q3</f>
        <v>466618.50528811809</v>
      </c>
      <c r="AL21" s="30">
        <f ca="1">+'Prestamo 5 años'!R3</f>
        <v>476339.72414828721</v>
      </c>
      <c r="AM21" s="30">
        <f ca="1">+'Prestamo 5 años'!S3</f>
        <v>486263.46840137651</v>
      </c>
      <c r="AN21" s="30">
        <f ca="1">+'Prestamo 5 años'!T3</f>
        <v>496393.95732640527</v>
      </c>
      <c r="AO21" s="30">
        <f ca="1">+'Prestamo 5 años'!U3</f>
        <v>506735.49810403865</v>
      </c>
      <c r="AP21" s="30">
        <f ca="1">+'Prestamo 5 años'!V3</f>
        <v>517292.48764787277</v>
      </c>
      <c r="AQ21" s="30">
        <f ca="1">+'Prestamo 5 años'!W3</f>
        <v>528069.41447387019</v>
      </c>
      <c r="AR21" s="30">
        <f ca="1">+'Prestamo 5 años'!X3</f>
        <v>539070.86060874234</v>
      </c>
      <c r="AS21" s="30">
        <f ca="1">+'Prestamo 5 años'!Y3</f>
        <v>550301.5035380912</v>
      </c>
      <c r="AT21" s="30">
        <f ca="1">+'Prestamo 5 años'!Z3</f>
        <v>561766.1181951348</v>
      </c>
      <c r="AU21" s="30">
        <f ca="1">+'Prestamo 5 años'!AA3</f>
        <v>573469.57899086678</v>
      </c>
      <c r="AV21" s="30">
        <f ca="1">+'Prestamo 5 años'!AB3</f>
        <v>585416.86188650981</v>
      </c>
      <c r="AW21" s="30">
        <f ca="1">+'Prestamo 5 años'!AC3</f>
        <v>597613.04650914553</v>
      </c>
      <c r="AX21" s="30">
        <f ca="1">+'Prestamo 5 años'!AD3</f>
        <v>610063.31831141934</v>
      </c>
      <c r="AY21" s="30">
        <f ca="1">+'Prestamo 5 años'!AE3</f>
        <v>622772.97077624057</v>
      </c>
      <c r="AZ21" s="30">
        <f ca="1">+'Prestamo 5 años'!AF3</f>
        <v>635747.40766741219</v>
      </c>
      <c r="BA21" s="30">
        <f ca="1">+'Prestamo 5 años'!AG3</f>
        <v>648992.14532715001</v>
      </c>
      <c r="BB21" s="30">
        <f ca="1">+'Prestamo 5 años'!AH3</f>
        <v>662512.81502146565</v>
      </c>
      <c r="BC21" s="30">
        <f ca="1">+'Prestamo 5 años'!AI3</f>
        <v>676315.16533441283</v>
      </c>
      <c r="BD21" s="30">
        <f ca="1">+'Prestamo 5 años'!AJ3</f>
        <v>690405.06461221306</v>
      </c>
      <c r="BE21" s="30">
        <f ca="1">+'Prestamo 5 años'!AK3</f>
        <v>704788.50345830084</v>
      </c>
      <c r="BF21" s="30">
        <f ca="1">+'Prestamo 5 años'!AL3</f>
        <v>719471.59728034877</v>
      </c>
      <c r="BG21" s="30">
        <f ca="1">+'Prestamo 5 años'!AM3</f>
        <v>734460.58889035613</v>
      </c>
      <c r="BH21" s="30">
        <f ca="1">+'Prestamo 5 años'!AN3</f>
        <v>749761.85115890508</v>
      </c>
      <c r="BI21" s="30">
        <f ca="1">+'Prestamo 5 años'!AO3</f>
        <v>765381.88972471561</v>
      </c>
      <c r="BJ21" s="30">
        <f ca="1">+'Prestamo 5 años'!AP3</f>
        <v>781327.34576064732</v>
      </c>
      <c r="BK21" s="30">
        <f ca="1">+'Prestamo 5 años'!AQ3</f>
        <v>797604.9987973274</v>
      </c>
      <c r="BL21" s="30">
        <f ca="1">+'Prestamo 5 años'!AR3</f>
        <v>814221.76960560493</v>
      </c>
      <c r="BM21" s="30">
        <f ca="1">+'Prestamo 5 años'!AS3</f>
        <v>831184.72313905519</v>
      </c>
      <c r="BN21" s="30">
        <f ca="1">+'Prestamo 5 años'!AT3</f>
        <v>848501.07153778546</v>
      </c>
      <c r="BO21" s="30">
        <f ca="1">+'Prestamo 5 años'!AU3</f>
        <v>866178.1771948227</v>
      </c>
      <c r="BP21" s="30">
        <f ca="1">+'Prestamo 5 años'!AV3</f>
        <v>884223.55588638142</v>
      </c>
      <c r="BQ21" s="30">
        <f ca="1">+'Prestamo 5 años'!AW3</f>
        <v>902644.87996734772</v>
      </c>
      <c r="BR21" s="30">
        <f ca="1">+'Prestamo 5 años'!AX3</f>
        <v>921449.98163333407</v>
      </c>
      <c r="BS21" s="30">
        <f ca="1">+'Prestamo 5 años'!AY3</f>
        <v>940646.85625069519</v>
      </c>
      <c r="BT21" s="30">
        <f ca="1">+'Prestamo 5 años'!AZ3</f>
        <v>960243.66575591825</v>
      </c>
      <c r="BU21" s="30">
        <f ca="1">+'Prestamo 5 años'!BA3</f>
        <v>980248.74212583306</v>
      </c>
      <c r="BV21" s="30">
        <f ca="1">+'Prestamo 5 años'!BB3</f>
        <v>1000670.5909201212</v>
      </c>
      <c r="BW21" s="30">
        <f ca="1">+'Prestamo 5 años'!BC3</f>
        <v>1021517.8948976237</v>
      </c>
      <c r="BX21" s="30">
        <f ca="1">+'Prestamo 5 años'!BD3</f>
        <v>1042799.5177079909</v>
      </c>
      <c r="BY21" s="30">
        <f ca="1">+'Prestamo 5 años'!BE3</f>
        <v>1064524.5076602406</v>
      </c>
      <c r="BZ21" s="30">
        <f ca="1">+'Prestamo 5 años'!BF3</f>
        <v>1086702.101569829</v>
      </c>
      <c r="CA21" s="30">
        <f ca="1">+'Prestamo 5 años'!BG3</f>
        <v>1109341.728685867</v>
      </c>
      <c r="CB21" s="30">
        <f ca="1">+'Prestamo 5 años'!BH3</f>
        <v>1132453.0147001562</v>
      </c>
      <c r="CC21" s="30">
        <f ca="1">+'Prestamo 5 años'!BI3</f>
        <v>1156045.7858397425</v>
      </c>
      <c r="CD21" s="30">
        <f ca="1">+'Prestamo 5 años'!BJ3</f>
        <v>1180130.0730447373</v>
      </c>
      <c r="CE21" s="30">
        <f ca="1">+'Prestamo 5 años'!BK3</f>
        <v>1204716.1162331693</v>
      </c>
      <c r="CF21" s="30">
        <f ca="1">+'Prestamo 5 años'!BL3</f>
        <v>1229814.3686546935</v>
      </c>
      <c r="CG21" s="30">
        <f ca="1">+'Prestamo 5 años'!BM3</f>
        <v>1255435.5013349997</v>
      </c>
      <c r="CH21" s="30">
        <f ca="1">+'Prestamo 5 años'!BN3</f>
        <v>1281590.4076128122</v>
      </c>
      <c r="CI21" s="30">
        <f ca="1">+'Prestamo 5 años'!BO3</f>
        <v>1308290.2077714126</v>
      </c>
      <c r="CJ21" s="30">
        <f ca="1">+'Prestamo 5 años'!BP3</f>
        <v>1335546.2537666503</v>
      </c>
      <c r="CK21" s="30">
        <f ca="1">+'Prestamo 5 años'!BQ3</f>
        <v>1363370.1340534554</v>
      </c>
      <c r="CL21" s="30">
        <f ca="1">+'Prestamo 5 años'!BR3</f>
        <v>1391773.6785129025</v>
      </c>
      <c r="CM21" s="30">
        <f ca="1">+'Prestamo 5 años'!BS3</f>
        <v>1420768.9634819212</v>
      </c>
      <c r="CN21" s="30">
        <f>+'Prestamo 5 años'!BT3</f>
        <v>0</v>
      </c>
      <c r="CO21" s="30">
        <f>+'Prestamo 5 años'!BU3</f>
        <v>0</v>
      </c>
      <c r="CP21" s="30">
        <f>+'Prestamo 5 años'!BV3</f>
        <v>0</v>
      </c>
      <c r="CQ21" s="30">
        <f>+'Prestamo 5 años'!BW3</f>
        <v>0</v>
      </c>
      <c r="CR21" s="30">
        <f>+'Prestamo 5 años'!BX3</f>
        <v>0</v>
      </c>
      <c r="CS21" s="30">
        <f>+'Prestamo 5 años'!BY3</f>
        <v>0</v>
      </c>
      <c r="CT21" s="30">
        <f>+'Prestamo 5 años'!BZ3</f>
        <v>0</v>
      </c>
      <c r="CU21" s="30">
        <f>+'Prestamo 5 años'!CA3</f>
        <v>0</v>
      </c>
      <c r="CV21" s="30">
        <f>+'Prestamo 5 años'!CB3</f>
        <v>0</v>
      </c>
      <c r="CW21" s="30">
        <f>+'Prestamo 5 años'!CC3</f>
        <v>0</v>
      </c>
      <c r="CX21" s="30">
        <f>+'Prestamo 5 años'!CD3</f>
        <v>0</v>
      </c>
      <c r="CY21" s="30">
        <f>+'Prestamo 5 años'!CE3</f>
        <v>0</v>
      </c>
      <c r="CZ21" s="30">
        <f>+'Prestamo 5 años'!CF3</f>
        <v>0</v>
      </c>
      <c r="DA21" s="30">
        <f>+'Prestamo 5 años'!CG3</f>
        <v>0</v>
      </c>
      <c r="DB21" s="30">
        <f>+'Prestamo 5 años'!CH3</f>
        <v>0</v>
      </c>
      <c r="DC21" s="30">
        <f>+'Prestamo 5 años'!CI3</f>
        <v>0</v>
      </c>
      <c r="DD21" s="30">
        <f>+'Prestamo 5 años'!CJ3</f>
        <v>0</v>
      </c>
      <c r="DE21" s="30">
        <f>+'Prestamo 5 años'!CK3</f>
        <v>0</v>
      </c>
      <c r="DF21" s="30">
        <f>+'Prestamo 5 años'!CL3</f>
        <v>0</v>
      </c>
      <c r="DG21" s="30">
        <f>+'Prestamo 5 años'!CM3</f>
        <v>0</v>
      </c>
      <c r="DH21" s="30">
        <f>+'Prestamo 5 años'!CN3</f>
        <v>0</v>
      </c>
      <c r="DI21" s="30">
        <f>+'Prestamo 5 años'!CO3</f>
        <v>0</v>
      </c>
      <c r="DJ21" s="30">
        <f>+'Prestamo 5 años'!CP3</f>
        <v>0</v>
      </c>
      <c r="DK21" s="30">
        <f>+'Prestamo 5 años'!CQ3</f>
        <v>0</v>
      </c>
      <c r="DL21" s="30">
        <f>+'Prestamo 5 años'!CR3</f>
        <v>0</v>
      </c>
      <c r="DM21" s="30">
        <f>+'Prestamo 5 años'!CS3</f>
        <v>0</v>
      </c>
      <c r="DN21" s="30">
        <f>+'Prestamo 5 años'!CT3</f>
        <v>0</v>
      </c>
      <c r="DO21" s="30">
        <f>+'Prestamo 5 años'!CU3</f>
        <v>0</v>
      </c>
      <c r="DP21" s="30">
        <f>+'Prestamo 5 años'!CV3</f>
        <v>0</v>
      </c>
      <c r="DQ21" s="30">
        <f>+'Prestamo 5 años'!CW3</f>
        <v>0</v>
      </c>
      <c r="DR21" s="30">
        <f>+'Prestamo 5 años'!CX3</f>
        <v>0</v>
      </c>
      <c r="DS21" s="30">
        <f>+'Prestamo 5 años'!CY3</f>
        <v>0</v>
      </c>
      <c r="DT21" s="30">
        <f>+'Prestamo 5 años'!CZ3</f>
        <v>0</v>
      </c>
      <c r="DU21" s="30">
        <f>+'Prestamo 5 años'!DA3</f>
        <v>0</v>
      </c>
      <c r="DV21" s="30">
        <f>+'Prestamo 5 años'!DB3</f>
        <v>0</v>
      </c>
      <c r="DW21" s="30">
        <f>+'Prestamo 5 años'!DC3</f>
        <v>0</v>
      </c>
      <c r="DX21" s="30">
        <f>+'Prestamo 5 años'!DD3</f>
        <v>0</v>
      </c>
      <c r="DY21" s="30">
        <f>+'Prestamo 5 años'!DE3</f>
        <v>0</v>
      </c>
      <c r="DZ21" s="30">
        <f>+'Prestamo 5 años'!DF3</f>
        <v>0</v>
      </c>
      <c r="EA21" s="30">
        <f>+'Prestamo 5 años'!DG3</f>
        <v>0</v>
      </c>
      <c r="EB21" s="30">
        <f>+'Prestamo 5 años'!DH3</f>
        <v>0</v>
      </c>
      <c r="EC21" s="30">
        <f>+'Prestamo 5 años'!DI3</f>
        <v>0</v>
      </c>
      <c r="ED21" s="30">
        <f>+'Prestamo 5 años'!DJ3</f>
        <v>0</v>
      </c>
      <c r="EE21" s="30">
        <f>+'Prestamo 5 años'!DK3</f>
        <v>0</v>
      </c>
      <c r="EF21" s="30">
        <f>+'Prestamo 5 años'!DL3</f>
        <v>0</v>
      </c>
      <c r="EG21" s="30">
        <f>+'Prestamo 5 años'!DM3</f>
        <v>0</v>
      </c>
      <c r="EH21" s="30">
        <f>+'Prestamo 5 años'!DN3</f>
        <v>0</v>
      </c>
      <c r="EI21" s="30">
        <f>+'Prestamo 5 años'!DO3</f>
        <v>0</v>
      </c>
      <c r="EJ21" s="30">
        <f>+'Prestamo 5 años'!DP3</f>
        <v>0</v>
      </c>
      <c r="EK21" s="30">
        <f>+'Prestamo 5 años'!DQ3</f>
        <v>0</v>
      </c>
      <c r="EL21" s="30">
        <f>+'Prestamo 5 años'!DR3</f>
        <v>0</v>
      </c>
      <c r="EM21" s="30">
        <f>+'Prestamo 5 años'!DS3</f>
        <v>0</v>
      </c>
      <c r="EN21" s="30">
        <f>+'Prestamo 5 años'!DT3</f>
        <v>0</v>
      </c>
      <c r="EO21" s="30">
        <f>+'Prestamo 5 años'!DU3</f>
        <v>0</v>
      </c>
      <c r="EP21" s="30">
        <f>+'Prestamo 5 años'!DV3</f>
        <v>0</v>
      </c>
      <c r="EQ21" s="30">
        <f>+'Prestamo 5 años'!DW3</f>
        <v>0</v>
      </c>
      <c r="ER21" s="30">
        <f>+'Prestamo 5 años'!DX3</f>
        <v>0</v>
      </c>
      <c r="ES21" s="30">
        <f>+'Prestamo 5 años'!DY3</f>
        <v>0</v>
      </c>
      <c r="ET21" s="30">
        <f>+'Prestamo 5 años'!DZ3</f>
        <v>0</v>
      </c>
      <c r="EU21" s="30">
        <f>+'Prestamo 5 años'!EA3</f>
        <v>0</v>
      </c>
      <c r="EV21" s="30">
        <f>+'Prestamo 5 años'!EB3</f>
        <v>0</v>
      </c>
      <c r="EW21" s="30">
        <f>+'Prestamo 5 años'!EC3</f>
        <v>0</v>
      </c>
      <c r="EX21" s="30">
        <f>+'Prestamo 5 años'!ED3</f>
        <v>0</v>
      </c>
      <c r="EY21" s="30">
        <f>+'Prestamo 5 años'!EE3</f>
        <v>0</v>
      </c>
      <c r="EZ21" s="30">
        <f>+'Prestamo 5 años'!EF3</f>
        <v>0</v>
      </c>
      <c r="FA21" s="30">
        <f>+'Prestamo 5 años'!EG3</f>
        <v>0</v>
      </c>
      <c r="FB21" s="30">
        <f>+'Prestamo 5 años'!EH3</f>
        <v>0</v>
      </c>
      <c r="FC21" s="30">
        <f>+'Prestamo 5 años'!EI3</f>
        <v>0</v>
      </c>
      <c r="FD21" s="30">
        <f>+'Prestamo 5 años'!EJ3</f>
        <v>0</v>
      </c>
      <c r="FE21" s="30">
        <f>+'Prestamo 5 años'!EK3</f>
        <v>0</v>
      </c>
      <c r="FF21" s="30">
        <f>+'Prestamo 5 años'!EL3</f>
        <v>0</v>
      </c>
      <c r="FG21" s="30">
        <f>+'Prestamo 5 años'!EM3</f>
        <v>0</v>
      </c>
      <c r="FH21" s="30">
        <f>+'Prestamo 5 años'!EN3</f>
        <v>0</v>
      </c>
      <c r="FI21" s="30">
        <f>+'Prestamo 5 años'!EO3</f>
        <v>0</v>
      </c>
      <c r="FJ21" s="30">
        <f>+'Prestamo 5 años'!EP3</f>
        <v>0</v>
      </c>
      <c r="FK21" s="30">
        <f>+'Prestamo 5 años'!EQ3</f>
        <v>0</v>
      </c>
      <c r="FL21" s="30">
        <f>+'Prestamo 5 años'!ER3</f>
        <v>0</v>
      </c>
      <c r="FM21" s="30">
        <f>+'Prestamo 5 años'!ES3</f>
        <v>0</v>
      </c>
      <c r="FN21" s="30">
        <f>+'Prestamo 5 años'!ET3</f>
        <v>0</v>
      </c>
      <c r="FO21" s="30">
        <f>+'Prestamo 5 años'!EU3</f>
        <v>0</v>
      </c>
      <c r="FP21" s="30">
        <f>+'Prestamo 5 años'!EV3</f>
        <v>0</v>
      </c>
      <c r="FQ21" s="30">
        <f>+'Prestamo 5 años'!EW3</f>
        <v>0</v>
      </c>
      <c r="FR21" s="30">
        <f>+'Prestamo 5 años'!EX3</f>
        <v>0</v>
      </c>
      <c r="FS21" s="30">
        <f>+'Prestamo 5 años'!EY3</f>
        <v>0</v>
      </c>
      <c r="FT21" s="30">
        <f>+'Prestamo 5 años'!EZ3</f>
        <v>0</v>
      </c>
      <c r="FU21" s="30">
        <f>+'Prestamo 5 años'!FA3</f>
        <v>0</v>
      </c>
      <c r="FV21" s="30">
        <f>+'Prestamo 5 años'!FB3</f>
        <v>0</v>
      </c>
      <c r="FW21" s="30">
        <f>+'Prestamo 5 años'!FC3</f>
        <v>0</v>
      </c>
      <c r="FX21" s="30">
        <f>+'Prestamo 5 años'!FD3</f>
        <v>0</v>
      </c>
      <c r="FY21" s="30">
        <f>+'Prestamo 5 años'!FE3</f>
        <v>0</v>
      </c>
      <c r="FZ21" s="30">
        <f>+'Prestamo 5 años'!FF3</f>
        <v>0</v>
      </c>
      <c r="GA21" s="30">
        <f>+'Prestamo 5 años'!FG3</f>
        <v>0</v>
      </c>
      <c r="GB21" s="30">
        <f>+'Prestamo 5 años'!FH3</f>
        <v>0</v>
      </c>
      <c r="GC21" s="30">
        <f>+'Prestamo 5 años'!FI3</f>
        <v>0</v>
      </c>
      <c r="GD21" s="30">
        <f>+'Prestamo 5 años'!FJ3</f>
        <v>0</v>
      </c>
      <c r="GE21" s="30">
        <f>+'Prestamo 5 años'!FK3</f>
        <v>0</v>
      </c>
      <c r="GF21" s="30">
        <f>+'Prestamo 5 años'!FL3</f>
        <v>0</v>
      </c>
      <c r="GG21" s="30">
        <f>+'Prestamo 5 años'!FM3</f>
        <v>0</v>
      </c>
      <c r="GH21" s="30">
        <f>+'Prestamo 5 años'!FN3</f>
        <v>0</v>
      </c>
      <c r="GI21" s="30">
        <f>+'Prestamo 5 años'!FO3</f>
        <v>0</v>
      </c>
      <c r="GJ21" s="30">
        <f>+'Prestamo 5 años'!FP3</f>
        <v>0</v>
      </c>
      <c r="GK21" s="30">
        <f>+'Prestamo 5 años'!FQ3</f>
        <v>0</v>
      </c>
      <c r="GL21" s="30">
        <f>+'Prestamo 5 años'!FR3</f>
        <v>0</v>
      </c>
      <c r="GM21" s="30">
        <f>+'Prestamo 5 años'!FS3</f>
        <v>0</v>
      </c>
      <c r="GN21" s="30">
        <f>+'Prestamo 5 años'!FT3</f>
        <v>0</v>
      </c>
      <c r="GO21" s="30">
        <f>+'Prestamo 5 años'!FU3</f>
        <v>0</v>
      </c>
      <c r="GP21" s="30">
        <f>+'Prestamo 5 años'!FV3</f>
        <v>0</v>
      </c>
      <c r="GQ21" s="30">
        <f>+'Prestamo 5 años'!FW3</f>
        <v>0</v>
      </c>
      <c r="GR21" s="30">
        <f>+'Prestamo 5 años'!FX3</f>
        <v>0</v>
      </c>
      <c r="GS21" s="30">
        <f>+'Prestamo 5 años'!FY3</f>
        <v>0</v>
      </c>
      <c r="GT21" s="30">
        <f>+'Prestamo 5 años'!FZ3</f>
        <v>0</v>
      </c>
      <c r="GU21" s="30">
        <f>+'Prestamo 5 años'!GA3</f>
        <v>0</v>
      </c>
      <c r="GV21" s="30">
        <f>+'Prestamo 5 años'!GB3</f>
        <v>0</v>
      </c>
      <c r="GW21" s="30">
        <f>+'Prestamo 5 años'!GC3</f>
        <v>0</v>
      </c>
      <c r="GX21" s="30">
        <f>+'Prestamo 5 años'!GD3</f>
        <v>0</v>
      </c>
      <c r="GY21" s="30">
        <f>+'Prestamo 5 años'!GE3</f>
        <v>0</v>
      </c>
      <c r="GZ21" s="30">
        <f>+'Prestamo 5 años'!GF3</f>
        <v>0</v>
      </c>
      <c r="HA21" s="30">
        <f>+'Prestamo 5 años'!GG3</f>
        <v>0</v>
      </c>
      <c r="HB21" s="30">
        <f>+'Prestamo 5 años'!GH3</f>
        <v>0</v>
      </c>
      <c r="HC21" s="30">
        <f>+'Prestamo 5 años'!GI3</f>
        <v>0</v>
      </c>
      <c r="HD21" s="30">
        <f>+'Prestamo 5 años'!GJ3</f>
        <v>0</v>
      </c>
      <c r="HE21" s="30">
        <f>+'Prestamo 5 años'!GK3</f>
        <v>0</v>
      </c>
      <c r="HF21" s="30">
        <f>+'Prestamo 5 años'!GL3</f>
        <v>0</v>
      </c>
      <c r="HG21" s="30">
        <f>+'Prestamo 5 años'!GM3</f>
        <v>0</v>
      </c>
      <c r="HH21" s="30">
        <f>+'Prestamo 5 años'!GN3</f>
        <v>0</v>
      </c>
      <c r="HI21" s="30">
        <f>+'Prestamo 5 años'!GO3</f>
        <v>0</v>
      </c>
      <c r="HJ21" s="30">
        <f>+'Prestamo 5 años'!GP3</f>
        <v>0</v>
      </c>
      <c r="HK21" s="30">
        <f>+'Prestamo 5 años'!GQ3</f>
        <v>0</v>
      </c>
      <c r="HL21" s="30">
        <f>+'Prestamo 5 años'!GR3</f>
        <v>0</v>
      </c>
      <c r="HM21" s="30">
        <f>+'Prestamo 5 años'!GS3</f>
        <v>0</v>
      </c>
      <c r="HN21" s="30">
        <f>+'Prestamo 5 años'!GT3</f>
        <v>0</v>
      </c>
      <c r="HO21" s="30">
        <f>+'Prestamo 5 años'!GU3</f>
        <v>0</v>
      </c>
      <c r="HP21" s="30">
        <f>+'Prestamo 5 años'!GV3</f>
        <v>0</v>
      </c>
      <c r="HQ21" s="30">
        <f>+'Prestamo 5 años'!GW3</f>
        <v>0</v>
      </c>
      <c r="HR21" s="30">
        <f>+'Prestamo 5 años'!GX3</f>
        <v>0</v>
      </c>
      <c r="HS21" s="30">
        <f>+'Prestamo 5 años'!GY3</f>
        <v>0</v>
      </c>
      <c r="HT21" s="30">
        <f>+'Prestamo 5 años'!GZ3</f>
        <v>0</v>
      </c>
      <c r="HU21" s="30">
        <f>+'Prestamo 5 años'!HA3</f>
        <v>0</v>
      </c>
      <c r="HV21" s="30">
        <f>+'Prestamo 5 años'!HB3</f>
        <v>0</v>
      </c>
      <c r="HW21" s="30">
        <f>+'Prestamo 5 años'!HC3</f>
        <v>0</v>
      </c>
      <c r="HX21" s="30">
        <f>+'Prestamo 5 años'!HD3</f>
        <v>0</v>
      </c>
      <c r="HY21" s="30">
        <f>+'Prestamo 5 años'!HE3</f>
        <v>0</v>
      </c>
      <c r="HZ21" s="30">
        <f>+'Prestamo 5 años'!HF3</f>
        <v>0</v>
      </c>
      <c r="IA21" s="30">
        <f>+'Prestamo 5 años'!HG3</f>
        <v>0</v>
      </c>
      <c r="IB21" s="30">
        <f>+'Prestamo 5 años'!HH3</f>
        <v>0</v>
      </c>
      <c r="IC21" s="30">
        <f>+'Prestamo 5 años'!HI3</f>
        <v>0</v>
      </c>
      <c r="ID21" s="30">
        <f>+'Prestamo 5 años'!HJ3</f>
        <v>0</v>
      </c>
      <c r="IE21" s="30">
        <f>+'Prestamo 5 años'!HK3</f>
        <v>0</v>
      </c>
      <c r="IF21" s="30">
        <f>+'Prestamo 5 años'!HL3</f>
        <v>0</v>
      </c>
      <c r="IG21" s="30">
        <f>+'Prestamo 5 años'!HM3</f>
        <v>0</v>
      </c>
      <c r="IH21" s="30">
        <f>+'Prestamo 5 años'!HN3</f>
        <v>0</v>
      </c>
      <c r="II21" s="30">
        <f>+'Prestamo 5 años'!HO3</f>
        <v>0</v>
      </c>
      <c r="IJ21" s="30">
        <f>+'Prestamo 5 años'!HP3</f>
        <v>0</v>
      </c>
      <c r="IK21" s="30">
        <f>+'Prestamo 5 años'!HQ3</f>
        <v>0</v>
      </c>
      <c r="IL21" s="30">
        <f>+'Prestamo 5 años'!HR3</f>
        <v>0</v>
      </c>
      <c r="IM21" s="30">
        <f>+'Prestamo 5 años'!HS3</f>
        <v>0</v>
      </c>
      <c r="IN21" s="30">
        <f>+'Prestamo 5 años'!HT3</f>
        <v>0</v>
      </c>
      <c r="IO21" s="30">
        <f>+'Prestamo 5 años'!HU3</f>
        <v>0</v>
      </c>
    </row>
    <row r="22" spans="1:249" x14ac:dyDescent="0.3">
      <c r="A22" t="s">
        <v>776</v>
      </c>
      <c r="B22" s="33"/>
      <c r="C22" s="33"/>
      <c r="D22" s="38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>
        <f ca="1">+'Prestamo 5 años'!L4</f>
        <v>1029459.7696414428</v>
      </c>
      <c r="AG22" s="30">
        <f ca="1">+'Prestamo 5 años'!M4</f>
        <v>1020690.8415738107</v>
      </c>
      <c r="AH22" s="30">
        <f ca="1">+'Prestamo 5 años'!N4</f>
        <v>1011739.2275047691</v>
      </c>
      <c r="AI22" s="30">
        <f ca="1">+'Prestamo 5 años'!O4</f>
        <v>1002601.1214759562</v>
      </c>
      <c r="AJ22" s="30">
        <f ca="1">+'Prestamo 5 años'!P4</f>
        <v>993272.63823820942</v>
      </c>
      <c r="AK22" s="30">
        <f ca="1">+'Prestamo 5 años'!Q4</f>
        <v>983749.8115996765</v>
      </c>
      <c r="AL22" s="30">
        <f ca="1">+'Prestamo 5 años'!R4</f>
        <v>974028.59273950732</v>
      </c>
      <c r="AM22" s="30">
        <f ca="1">+'Prestamo 5 años'!S4</f>
        <v>964104.84848641814</v>
      </c>
      <c r="AN22" s="30">
        <f ca="1">+'Prestamo 5 años'!T4</f>
        <v>953974.35956138931</v>
      </c>
      <c r="AO22" s="30">
        <f ca="1">+'Prestamo 5 años'!U4</f>
        <v>943632.818783756</v>
      </c>
      <c r="AP22" s="30">
        <f ca="1">+'Prestamo 5 años'!V4</f>
        <v>933075.82923992176</v>
      </c>
      <c r="AQ22" s="30">
        <f ca="1">+'Prestamo 5 años'!W4</f>
        <v>922298.90241392434</v>
      </c>
      <c r="AR22" s="30">
        <f ca="1">+'Prestamo 5 años'!X4</f>
        <v>911297.45627905219</v>
      </c>
      <c r="AS22" s="30">
        <f ca="1">+'Prestamo 5 años'!Y4</f>
        <v>900066.81334970344</v>
      </c>
      <c r="AT22" s="30">
        <f ca="1">+'Prestamo 5 años'!Z4</f>
        <v>888602.19869265985</v>
      </c>
      <c r="AU22" s="30">
        <f ca="1">+'Prestamo 5 años'!AA4</f>
        <v>876898.73789692787</v>
      </c>
      <c r="AV22" s="30">
        <f ca="1">+'Prestamo 5 años'!AB4</f>
        <v>864951.45500128483</v>
      </c>
      <c r="AW22" s="30">
        <f ca="1">+'Prestamo 5 años'!AC4</f>
        <v>852755.27037864923</v>
      </c>
      <c r="AX22" s="30">
        <f ca="1">+'Prestamo 5 años'!AD4</f>
        <v>840304.99857637519</v>
      </c>
      <c r="AY22" s="30">
        <f ca="1">+'Prestamo 5 años'!AE4</f>
        <v>827595.3461115543</v>
      </c>
      <c r="AZ22" s="30">
        <f ca="1">+'Prestamo 5 años'!AF4</f>
        <v>814620.90922038234</v>
      </c>
      <c r="BA22" s="30">
        <f ca="1">+'Prestamo 5 años'!AG4</f>
        <v>801376.17156064475</v>
      </c>
      <c r="BB22" s="30">
        <f ca="1">+'Prestamo 5 años'!AH4</f>
        <v>787855.501866329</v>
      </c>
      <c r="BC22" s="30">
        <f ca="1">+'Prestamo 5 años'!AI4</f>
        <v>774053.15155338182</v>
      </c>
      <c r="BD22" s="30">
        <f ca="1">+'Prestamo 5 años'!AJ4</f>
        <v>759963.25227558159</v>
      </c>
      <c r="BE22" s="30">
        <f ca="1">+'Prestamo 5 años'!AK4</f>
        <v>745579.81342949369</v>
      </c>
      <c r="BF22" s="30">
        <f ca="1">+'Prestamo 5 años'!AL4</f>
        <v>730896.71960744588</v>
      </c>
      <c r="BG22" s="30">
        <f ca="1">+'Prestamo 5 años'!AM4</f>
        <v>715907.72799743852</v>
      </c>
      <c r="BH22" s="30">
        <f ca="1">+'Prestamo 5 años'!AN4</f>
        <v>700606.46572888945</v>
      </c>
      <c r="BI22" s="30">
        <f ca="1">+'Prestamo 5 años'!AO4</f>
        <v>684986.42716307892</v>
      </c>
      <c r="BJ22" s="30">
        <f ca="1">+'Prestamo 5 años'!AP4</f>
        <v>669040.97112714732</v>
      </c>
      <c r="BK22" s="30">
        <f ca="1">+'Prestamo 5 años'!AQ4</f>
        <v>652763.31809046736</v>
      </c>
      <c r="BL22" s="30">
        <f ca="1">+'Prestamo 5 años'!AR4</f>
        <v>636146.54728218948</v>
      </c>
      <c r="BM22" s="30">
        <f ca="1">+'Prestamo 5 años'!AS4</f>
        <v>619183.59374873957</v>
      </c>
      <c r="BN22" s="30">
        <f ca="1">+'Prestamo 5 años'!AT4</f>
        <v>601867.24535000906</v>
      </c>
      <c r="BO22" s="30">
        <f ca="1">+'Prestamo 5 años'!AU4</f>
        <v>584190.13969297195</v>
      </c>
      <c r="BP22" s="30">
        <f ca="1">+'Prestamo 5 años'!AV4</f>
        <v>566144.76100141322</v>
      </c>
      <c r="BQ22" s="30">
        <f ca="1">+'Prestamo 5 años'!AW4</f>
        <v>547723.43692044681</v>
      </c>
      <c r="BR22" s="30">
        <f ca="1">+'Prestamo 5 años'!AX4</f>
        <v>528918.33525446034</v>
      </c>
      <c r="BS22" s="30">
        <f ca="1">+'Prestamo 5 años'!AY4</f>
        <v>509721.46063709934</v>
      </c>
      <c r="BT22" s="30">
        <f ca="1">+'Prestamo 5 años'!AZ4</f>
        <v>490124.65113187651</v>
      </c>
      <c r="BU22" s="30">
        <f ca="1">+'Prestamo 5 años'!BA4</f>
        <v>470119.57476196164</v>
      </c>
      <c r="BV22" s="30">
        <f ca="1">+'Prestamo 5 años'!BB4</f>
        <v>449697.72596767341</v>
      </c>
      <c r="BW22" s="30">
        <f ca="1">+'Prestamo 5 años'!BC4</f>
        <v>428850.42199017084</v>
      </c>
      <c r="BX22" s="30">
        <f ca="1">+'Prestamo 5 años'!BD4</f>
        <v>407568.79917980364</v>
      </c>
      <c r="BY22" s="30">
        <f ca="1">+'Prestamo 5 años'!BE4</f>
        <v>385843.80922755389</v>
      </c>
      <c r="BZ22" s="30">
        <f ca="1">+'Prestamo 5 años'!BF4</f>
        <v>363666.2153179656</v>
      </c>
      <c r="CA22" s="30">
        <f ca="1">+'Prestamo 5 años'!BG4</f>
        <v>341026.58820192743</v>
      </c>
      <c r="CB22" s="30">
        <f ca="1">+'Prestamo 5 años'!BH4</f>
        <v>317915.30218763853</v>
      </c>
      <c r="CC22" s="30">
        <f ca="1">+'Prestamo 5 años'!BI4</f>
        <v>294322.53104805195</v>
      </c>
      <c r="CD22" s="30">
        <f ca="1">+'Prestamo 5 años'!BJ4</f>
        <v>270238.24384305737</v>
      </c>
      <c r="CE22" s="30">
        <f ca="1">+'Prestamo 5 años'!BK4</f>
        <v>245652.20065462534</v>
      </c>
      <c r="CF22" s="30">
        <f ca="1">+'Prestamo 5 años'!BL4</f>
        <v>220553.94823310096</v>
      </c>
      <c r="CG22" s="30">
        <f ca="1">+'Prestamo 5 años'!BM4</f>
        <v>194932.81555279484</v>
      </c>
      <c r="CH22" s="30">
        <f ca="1">+'Prestamo 5 años'!BN4</f>
        <v>168777.90927498238</v>
      </c>
      <c r="CI22" s="30">
        <f ca="1">+'Prestamo 5 años'!BO4</f>
        <v>142078.10911638211</v>
      </c>
      <c r="CJ22" s="30">
        <f ca="1">+'Prestamo 5 años'!BP4</f>
        <v>114822.06312114434</v>
      </c>
      <c r="CK22" s="30">
        <f ca="1">+'Prestamo 5 años'!BQ4</f>
        <v>86998.182834339153</v>
      </c>
      <c r="CL22" s="30">
        <f ca="1">+'Prestamo 5 años'!BR4</f>
        <v>58594.638374892158</v>
      </c>
      <c r="CM22" s="30">
        <f ca="1">+'Prestamo 5 años'!BS4</f>
        <v>29599.353405873357</v>
      </c>
      <c r="CN22" s="30">
        <f>+'Prestamo 5 años'!BT4</f>
        <v>0</v>
      </c>
      <c r="CO22" s="30">
        <f>+'Prestamo 5 años'!BU4</f>
        <v>0</v>
      </c>
      <c r="CP22" s="30">
        <f>+'Prestamo 5 años'!BV4</f>
        <v>0</v>
      </c>
      <c r="CQ22" s="30">
        <f>+'Prestamo 5 años'!BW4</f>
        <v>0</v>
      </c>
      <c r="CR22" s="30">
        <f>+'Prestamo 5 años'!BX4</f>
        <v>0</v>
      </c>
      <c r="CS22" s="30">
        <f>+'Prestamo 5 años'!BY4</f>
        <v>0</v>
      </c>
      <c r="CT22" s="30">
        <f>+'Prestamo 5 años'!BZ4</f>
        <v>0</v>
      </c>
      <c r="CU22" s="30">
        <f>+'Prestamo 5 años'!CA4</f>
        <v>0</v>
      </c>
      <c r="CV22" s="30">
        <f>+'Prestamo 5 años'!CB4</f>
        <v>0</v>
      </c>
      <c r="CW22" s="30">
        <f>+'Prestamo 5 años'!CC4</f>
        <v>0</v>
      </c>
      <c r="CX22" s="30">
        <f>+'Prestamo 5 años'!CD4</f>
        <v>0</v>
      </c>
      <c r="CY22" s="30">
        <f>+'Prestamo 5 años'!CE4</f>
        <v>0</v>
      </c>
      <c r="CZ22" s="30">
        <f>+'Prestamo 5 años'!CF4</f>
        <v>0</v>
      </c>
      <c r="DA22" s="30">
        <f>+'Prestamo 5 años'!CG4</f>
        <v>0</v>
      </c>
      <c r="DB22" s="30">
        <f>+'Prestamo 5 años'!CH4</f>
        <v>0</v>
      </c>
      <c r="DC22" s="30">
        <f>+'Prestamo 5 años'!CI4</f>
        <v>0</v>
      </c>
      <c r="DD22" s="30">
        <f>+'Prestamo 5 años'!CJ4</f>
        <v>0</v>
      </c>
      <c r="DE22" s="30">
        <f>+'Prestamo 5 años'!CK4</f>
        <v>0</v>
      </c>
      <c r="DF22" s="30">
        <f>+'Prestamo 5 años'!CL4</f>
        <v>0</v>
      </c>
      <c r="DG22" s="30">
        <f>+'Prestamo 5 años'!CM4</f>
        <v>0</v>
      </c>
      <c r="DH22" s="30">
        <f>+'Prestamo 5 años'!CN4</f>
        <v>0</v>
      </c>
      <c r="DI22" s="30">
        <f>+'Prestamo 5 años'!CO4</f>
        <v>0</v>
      </c>
      <c r="DJ22" s="30">
        <f>+'Prestamo 5 años'!CP4</f>
        <v>0</v>
      </c>
      <c r="DK22" s="30">
        <f>+'Prestamo 5 años'!CQ4</f>
        <v>0</v>
      </c>
      <c r="DL22" s="30">
        <f>+'Prestamo 5 años'!CR4</f>
        <v>0</v>
      </c>
      <c r="DM22" s="30">
        <f>+'Prestamo 5 años'!CS4</f>
        <v>0</v>
      </c>
      <c r="DN22" s="30">
        <f>+'Prestamo 5 años'!CT4</f>
        <v>0</v>
      </c>
      <c r="DO22" s="30">
        <f>+'Prestamo 5 años'!CU4</f>
        <v>0</v>
      </c>
      <c r="DP22" s="30">
        <f>+'Prestamo 5 años'!CV4</f>
        <v>0</v>
      </c>
      <c r="DQ22" s="30">
        <f>+'Prestamo 5 años'!CW4</f>
        <v>0</v>
      </c>
      <c r="DR22" s="30">
        <f>+'Prestamo 5 años'!CX4</f>
        <v>0</v>
      </c>
      <c r="DS22" s="30">
        <f>+'Prestamo 5 años'!CY4</f>
        <v>0</v>
      </c>
      <c r="DT22" s="30">
        <f>+'Prestamo 5 años'!CZ4</f>
        <v>0</v>
      </c>
      <c r="DU22" s="30">
        <f>+'Prestamo 5 años'!DA4</f>
        <v>0</v>
      </c>
      <c r="DV22" s="30">
        <f>+'Prestamo 5 años'!DB4</f>
        <v>0</v>
      </c>
      <c r="DW22" s="30">
        <f>+'Prestamo 5 años'!DC4</f>
        <v>0</v>
      </c>
      <c r="DX22" s="30">
        <f>+'Prestamo 5 años'!DD4</f>
        <v>0</v>
      </c>
      <c r="DY22" s="30">
        <f>+'Prestamo 5 años'!DE4</f>
        <v>0</v>
      </c>
      <c r="DZ22" s="30">
        <f>+'Prestamo 5 años'!DF4</f>
        <v>0</v>
      </c>
      <c r="EA22" s="30">
        <f>+'Prestamo 5 años'!DG4</f>
        <v>0</v>
      </c>
      <c r="EB22" s="30">
        <f>+'Prestamo 5 años'!DH4</f>
        <v>0</v>
      </c>
      <c r="EC22" s="30">
        <f>+'Prestamo 5 años'!DI4</f>
        <v>0</v>
      </c>
      <c r="ED22" s="30">
        <f>+'Prestamo 5 años'!DJ4</f>
        <v>0</v>
      </c>
      <c r="EE22" s="30">
        <f>+'Prestamo 5 años'!DK4</f>
        <v>0</v>
      </c>
      <c r="EF22" s="30">
        <f>+'Prestamo 5 años'!DL4</f>
        <v>0</v>
      </c>
      <c r="EG22" s="30">
        <f>+'Prestamo 5 años'!DM4</f>
        <v>0</v>
      </c>
      <c r="EH22" s="30">
        <f>+'Prestamo 5 años'!DN4</f>
        <v>0</v>
      </c>
      <c r="EI22" s="30">
        <f>+'Prestamo 5 años'!DO4</f>
        <v>0</v>
      </c>
      <c r="EJ22" s="30">
        <f>+'Prestamo 5 años'!DP4</f>
        <v>0</v>
      </c>
      <c r="EK22" s="30">
        <f>+'Prestamo 5 años'!DQ4</f>
        <v>0</v>
      </c>
      <c r="EL22" s="30">
        <f>+'Prestamo 5 años'!DR4</f>
        <v>0</v>
      </c>
      <c r="EM22" s="30">
        <f>+'Prestamo 5 años'!DS4</f>
        <v>0</v>
      </c>
      <c r="EN22" s="30">
        <f>+'Prestamo 5 años'!DT4</f>
        <v>0</v>
      </c>
      <c r="EO22" s="30">
        <f>+'Prestamo 5 años'!DU4</f>
        <v>0</v>
      </c>
      <c r="EP22" s="30">
        <f>+'Prestamo 5 años'!DV4</f>
        <v>0</v>
      </c>
      <c r="EQ22" s="30">
        <f>+'Prestamo 5 años'!DW4</f>
        <v>0</v>
      </c>
      <c r="ER22" s="30">
        <f>+'Prestamo 5 años'!DX4</f>
        <v>0</v>
      </c>
      <c r="ES22" s="30">
        <f>+'Prestamo 5 años'!DY4</f>
        <v>0</v>
      </c>
      <c r="ET22" s="30">
        <f>+'Prestamo 5 años'!DZ4</f>
        <v>0</v>
      </c>
      <c r="EU22" s="30">
        <f>+'Prestamo 5 años'!EA4</f>
        <v>0</v>
      </c>
      <c r="EV22" s="30">
        <f>+'Prestamo 5 años'!EB4</f>
        <v>0</v>
      </c>
      <c r="EW22" s="30">
        <f>+'Prestamo 5 años'!EC4</f>
        <v>0</v>
      </c>
      <c r="EX22" s="30">
        <f>+'Prestamo 5 años'!ED4</f>
        <v>0</v>
      </c>
      <c r="EY22" s="30">
        <f>+'Prestamo 5 años'!EE4</f>
        <v>0</v>
      </c>
      <c r="EZ22" s="30">
        <f>+'Prestamo 5 años'!EF4</f>
        <v>0</v>
      </c>
      <c r="FA22" s="30">
        <f>+'Prestamo 5 años'!EG4</f>
        <v>0</v>
      </c>
      <c r="FB22" s="30">
        <f>+'Prestamo 5 años'!EH4</f>
        <v>0</v>
      </c>
      <c r="FC22" s="30">
        <f>+'Prestamo 5 años'!EI4</f>
        <v>0</v>
      </c>
      <c r="FD22" s="30">
        <f>+'Prestamo 5 años'!EJ4</f>
        <v>0</v>
      </c>
      <c r="FE22" s="30">
        <f>+'Prestamo 5 años'!EK4</f>
        <v>0</v>
      </c>
      <c r="FF22" s="30">
        <f>+'Prestamo 5 años'!EL4</f>
        <v>0</v>
      </c>
      <c r="FG22" s="30">
        <f>+'Prestamo 5 años'!EM4</f>
        <v>0</v>
      </c>
      <c r="FH22" s="30">
        <f>+'Prestamo 5 años'!EN4</f>
        <v>0</v>
      </c>
      <c r="FI22" s="30">
        <f>+'Prestamo 5 años'!EO4</f>
        <v>0</v>
      </c>
      <c r="FJ22" s="30">
        <f>+'Prestamo 5 años'!EP4</f>
        <v>0</v>
      </c>
      <c r="FK22" s="30">
        <f>+'Prestamo 5 años'!EQ4</f>
        <v>0</v>
      </c>
      <c r="FL22" s="30">
        <f>+'Prestamo 5 años'!ER4</f>
        <v>0</v>
      </c>
      <c r="FM22" s="30">
        <f>+'Prestamo 5 años'!ES4</f>
        <v>0</v>
      </c>
      <c r="FN22" s="30">
        <f>+'Prestamo 5 años'!ET4</f>
        <v>0</v>
      </c>
      <c r="FO22" s="30">
        <f>+'Prestamo 5 años'!EU4</f>
        <v>0</v>
      </c>
      <c r="FP22" s="30">
        <f>+'Prestamo 5 años'!EV4</f>
        <v>0</v>
      </c>
      <c r="FQ22" s="30">
        <f>+'Prestamo 5 años'!EW4</f>
        <v>0</v>
      </c>
      <c r="FR22" s="30">
        <f>+'Prestamo 5 años'!EX4</f>
        <v>0</v>
      </c>
      <c r="FS22" s="30">
        <f>+'Prestamo 5 años'!EY4</f>
        <v>0</v>
      </c>
      <c r="FT22" s="30">
        <f>+'Prestamo 5 años'!EZ4</f>
        <v>0</v>
      </c>
      <c r="FU22" s="30">
        <f>+'Prestamo 5 años'!FA4</f>
        <v>0</v>
      </c>
      <c r="FV22" s="30">
        <f>+'Prestamo 5 años'!FB4</f>
        <v>0</v>
      </c>
      <c r="FW22" s="30">
        <f>+'Prestamo 5 años'!FC4</f>
        <v>0</v>
      </c>
      <c r="FX22" s="30">
        <f>+'Prestamo 5 años'!FD4</f>
        <v>0</v>
      </c>
      <c r="FY22" s="30">
        <f>+'Prestamo 5 años'!FE4</f>
        <v>0</v>
      </c>
      <c r="FZ22" s="30">
        <f>+'Prestamo 5 años'!FF4</f>
        <v>0</v>
      </c>
      <c r="GA22" s="30">
        <f>+'Prestamo 5 años'!FG4</f>
        <v>0</v>
      </c>
      <c r="GB22" s="30">
        <f>+'Prestamo 5 años'!FH4</f>
        <v>0</v>
      </c>
      <c r="GC22" s="30">
        <f>+'Prestamo 5 años'!FI4</f>
        <v>0</v>
      </c>
      <c r="GD22" s="30">
        <f>+'Prestamo 5 años'!FJ4</f>
        <v>0</v>
      </c>
      <c r="GE22" s="30">
        <f>+'Prestamo 5 años'!FK4</f>
        <v>0</v>
      </c>
      <c r="GF22" s="30">
        <f>+'Prestamo 5 años'!FL4</f>
        <v>0</v>
      </c>
      <c r="GG22" s="30">
        <f>+'Prestamo 5 años'!FM4</f>
        <v>0</v>
      </c>
      <c r="GH22" s="30">
        <f>+'Prestamo 5 años'!FN4</f>
        <v>0</v>
      </c>
      <c r="GI22" s="30">
        <f>+'Prestamo 5 años'!FO4</f>
        <v>0</v>
      </c>
      <c r="GJ22" s="30">
        <f>+'Prestamo 5 años'!FP4</f>
        <v>0</v>
      </c>
      <c r="GK22" s="30">
        <f>+'Prestamo 5 años'!FQ4</f>
        <v>0</v>
      </c>
      <c r="GL22" s="30">
        <f>+'Prestamo 5 años'!FR4</f>
        <v>0</v>
      </c>
      <c r="GM22" s="30">
        <f>+'Prestamo 5 años'!FS4</f>
        <v>0</v>
      </c>
      <c r="GN22" s="30">
        <f>+'Prestamo 5 años'!FT4</f>
        <v>0</v>
      </c>
      <c r="GO22" s="30">
        <f>+'Prestamo 5 años'!FU4</f>
        <v>0</v>
      </c>
      <c r="GP22" s="30">
        <f>+'Prestamo 5 años'!FV4</f>
        <v>0</v>
      </c>
      <c r="GQ22" s="30">
        <f>+'Prestamo 5 años'!FW4</f>
        <v>0</v>
      </c>
      <c r="GR22" s="30">
        <f>+'Prestamo 5 años'!FX4</f>
        <v>0</v>
      </c>
      <c r="GS22" s="30">
        <f>+'Prestamo 5 años'!FY4</f>
        <v>0</v>
      </c>
      <c r="GT22" s="30">
        <f>+'Prestamo 5 años'!FZ4</f>
        <v>0</v>
      </c>
      <c r="GU22" s="30">
        <f>+'Prestamo 5 años'!GA4</f>
        <v>0</v>
      </c>
      <c r="GV22" s="30">
        <f>+'Prestamo 5 años'!GB4</f>
        <v>0</v>
      </c>
      <c r="GW22" s="30">
        <f>+'Prestamo 5 años'!GC4</f>
        <v>0</v>
      </c>
      <c r="GX22" s="30">
        <f>+'Prestamo 5 años'!GD4</f>
        <v>0</v>
      </c>
      <c r="GY22" s="30">
        <f>+'Prestamo 5 años'!GE4</f>
        <v>0</v>
      </c>
      <c r="GZ22" s="30">
        <f>+'Prestamo 5 años'!GF4</f>
        <v>0</v>
      </c>
      <c r="HA22" s="30">
        <f>+'Prestamo 5 años'!GG4</f>
        <v>0</v>
      </c>
      <c r="HB22" s="30">
        <f>+'Prestamo 5 años'!GH4</f>
        <v>0</v>
      </c>
      <c r="HC22" s="30">
        <f>+'Prestamo 5 años'!GI4</f>
        <v>0</v>
      </c>
      <c r="HD22" s="30">
        <f>+'Prestamo 5 años'!GJ4</f>
        <v>0</v>
      </c>
      <c r="HE22" s="30">
        <f>+'Prestamo 5 años'!GK4</f>
        <v>0</v>
      </c>
      <c r="HF22" s="30">
        <f>+'Prestamo 5 años'!GL4</f>
        <v>0</v>
      </c>
      <c r="HG22" s="30">
        <f>+'Prestamo 5 años'!GM4</f>
        <v>0</v>
      </c>
      <c r="HH22" s="30">
        <f>+'Prestamo 5 años'!GN4</f>
        <v>0</v>
      </c>
      <c r="HI22" s="30">
        <f>+'Prestamo 5 años'!GO4</f>
        <v>0</v>
      </c>
      <c r="HJ22" s="30">
        <f>+'Prestamo 5 años'!GP4</f>
        <v>0</v>
      </c>
      <c r="HK22" s="30">
        <f>+'Prestamo 5 años'!GQ4</f>
        <v>0</v>
      </c>
      <c r="HL22" s="30">
        <f>+'Prestamo 5 años'!GR4</f>
        <v>0</v>
      </c>
      <c r="HM22" s="30">
        <f>+'Prestamo 5 años'!GS4</f>
        <v>0</v>
      </c>
      <c r="HN22" s="30">
        <f>+'Prestamo 5 años'!GT4</f>
        <v>0</v>
      </c>
      <c r="HO22" s="30">
        <f>+'Prestamo 5 años'!GU4</f>
        <v>0</v>
      </c>
      <c r="HP22" s="30">
        <f>+'Prestamo 5 años'!GV4</f>
        <v>0</v>
      </c>
      <c r="HQ22" s="30">
        <f>+'Prestamo 5 años'!GW4</f>
        <v>0</v>
      </c>
      <c r="HR22" s="30">
        <f>+'Prestamo 5 años'!GX4</f>
        <v>0</v>
      </c>
      <c r="HS22" s="30">
        <f>+'Prestamo 5 años'!GY4</f>
        <v>0</v>
      </c>
      <c r="HT22" s="30">
        <f>+'Prestamo 5 años'!GZ4</f>
        <v>0</v>
      </c>
      <c r="HU22" s="30">
        <f>+'Prestamo 5 años'!HA4</f>
        <v>0</v>
      </c>
      <c r="HV22" s="30">
        <f>+'Prestamo 5 años'!HB4</f>
        <v>0</v>
      </c>
      <c r="HW22" s="30">
        <f>+'Prestamo 5 años'!HC4</f>
        <v>0</v>
      </c>
      <c r="HX22" s="30">
        <f>+'Prestamo 5 años'!HD4</f>
        <v>0</v>
      </c>
      <c r="HY22" s="30">
        <f>+'Prestamo 5 años'!HE4</f>
        <v>0</v>
      </c>
      <c r="HZ22" s="30">
        <f>+'Prestamo 5 años'!HF4</f>
        <v>0</v>
      </c>
      <c r="IA22" s="30">
        <f>+'Prestamo 5 años'!HG4</f>
        <v>0</v>
      </c>
      <c r="IB22" s="30">
        <f>+'Prestamo 5 años'!HH4</f>
        <v>0</v>
      </c>
      <c r="IC22" s="30">
        <f>+'Prestamo 5 años'!HI4</f>
        <v>0</v>
      </c>
      <c r="ID22" s="30">
        <f>+'Prestamo 5 años'!HJ4</f>
        <v>0</v>
      </c>
      <c r="IE22" s="30">
        <f>+'Prestamo 5 años'!HK4</f>
        <v>0</v>
      </c>
      <c r="IF22" s="30">
        <f>+'Prestamo 5 años'!HL4</f>
        <v>0</v>
      </c>
      <c r="IG22" s="30">
        <f>+'Prestamo 5 años'!HM4</f>
        <v>0</v>
      </c>
      <c r="IH22" s="30">
        <f>+'Prestamo 5 años'!HN4</f>
        <v>0</v>
      </c>
      <c r="II22" s="30">
        <f>+'Prestamo 5 años'!HO4</f>
        <v>0</v>
      </c>
      <c r="IJ22" s="30">
        <f>+'Prestamo 5 años'!HP4</f>
        <v>0</v>
      </c>
      <c r="IK22" s="30">
        <f>+'Prestamo 5 años'!HQ4</f>
        <v>0</v>
      </c>
      <c r="IL22" s="30">
        <f>+'Prestamo 5 años'!HR4</f>
        <v>0</v>
      </c>
      <c r="IM22" s="30">
        <f>+'Prestamo 5 años'!HS4</f>
        <v>0</v>
      </c>
      <c r="IN22" s="30">
        <f>+'Prestamo 5 años'!HT4</f>
        <v>0</v>
      </c>
      <c r="IO22" s="30">
        <f>+'Prestamo 5 años'!HU4</f>
        <v>0</v>
      </c>
    </row>
    <row r="23" spans="1:249" x14ac:dyDescent="0.3">
      <c r="A23" t="s">
        <v>719</v>
      </c>
      <c r="B23" s="33"/>
      <c r="D23" s="38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>
        <f ca="1">+'Prestamo 5 años'!L6</f>
        <v>56783.072898434228</v>
      </c>
      <c r="AG23" s="30">
        <f ca="1">+'Prestamo 5 años'!M6</f>
        <v>56285.076704545318</v>
      </c>
      <c r="AH23" s="30">
        <f ca="1">+'Prestamo 5 años'!N6</f>
        <v>55776.705589950405</v>
      </c>
      <c r="AI23" s="30">
        <f ca="1">+'Prestamo 5 años'!O6</f>
        <v>55257.74341046808</v>
      </c>
      <c r="AJ23" s="30">
        <f ca="1">+'Prestamo 5 años'!P6</f>
        <v>54727.969518913211</v>
      </c>
      <c r="AK23" s="30">
        <f ca="1">+'Prestamo 5 años'!Q6</f>
        <v>54187.158671284291</v>
      </c>
      <c r="AL23" s="30">
        <f ca="1">+'Prestamo 5 años'!R6</f>
        <v>53635.080930996432</v>
      </c>
      <c r="AM23" s="30">
        <f ca="1">+'Prestamo 5 años'!S6</f>
        <v>53071.501571119239</v>
      </c>
      <c r="AN23" s="30">
        <f ca="1">+'Prestamo 5 años'!T6</f>
        <v>52496.180974577932</v>
      </c>
      <c r="AO23" s="30">
        <f ca="1">+'Prestamo 5 años'!U6</f>
        <v>51908.874532275368</v>
      </c>
      <c r="AP23" s="30">
        <f ca="1">+'Prestamo 5 años'!V6</f>
        <v>51309.332539091483</v>
      </c>
      <c r="AQ23" s="30">
        <f ca="1">+'Prestamo 5 años'!W6</f>
        <v>50697.30008771627</v>
      </c>
      <c r="AR23" s="30">
        <f ca="1">+'Prestamo 5 años'!X6</f>
        <v>50072.516960270739</v>
      </c>
      <c r="AS23" s="30">
        <f ca="1">+'Prestamo 5 años'!Y6</f>
        <v>49434.717517670098</v>
      </c>
      <c r="AT23" s="30">
        <f ca="1">+'Prestamo 5 años'!Z6</f>
        <v>48783.630586681953</v>
      </c>
      <c r="AU23" s="30">
        <f ca="1">+'Prestamo 5 años'!AA6</f>
        <v>48118.979344631516</v>
      </c>
      <c r="AV23" s="30">
        <f ca="1">+'Prestamo 5 años'!AB6</f>
        <v>47440.481201705072</v>
      </c>
      <c r="AW23" s="30">
        <f ca="1">+'Prestamo 5 años'!AC6</f>
        <v>46747.847680800973</v>
      </c>
      <c r="AX23" s="30">
        <f ca="1">+'Prestamo 5 años'!AD6</f>
        <v>46040.784294878038</v>
      </c>
      <c r="AY23" s="30">
        <f ca="1">+'Prestamo 5 años'!AE6</f>
        <v>45318.990421748393</v>
      </c>
      <c r="AZ23" s="30">
        <f ca="1">+'Prestamo 5 años'!AF6</f>
        <v>44582.159176261848</v>
      </c>
      <c r="BA23" s="30">
        <f ca="1">+'Prestamo 5 años'!AG6</f>
        <v>43829.977279827697</v>
      </c>
      <c r="BB23" s="30">
        <f ca="1">+'Prestamo 5 años'!AH6</f>
        <v>43062.124927217825</v>
      </c>
      <c r="BC23" s="30">
        <f ca="1">+'Prestamo 5 años'!AI6</f>
        <v>42278.275650595249</v>
      </c>
      <c r="BD23" s="30">
        <f ca="1">+'Prestamo 5 años'!AJ6</f>
        <v>41478.096180709697</v>
      </c>
      <c r="BE23" s="30">
        <f ca="1">+'Prestamo 5 años'!AK6</f>
        <v>40661.246305201537</v>
      </c>
      <c r="BF23" s="30">
        <f ca="1">+'Prestamo 5 años'!AL6</f>
        <v>39827.37872395361</v>
      </c>
      <c r="BG23" s="30">
        <f ca="1">+'Prestamo 5 años'!AM6</f>
        <v>38976.138901429709</v>
      </c>
      <c r="BH23" s="30">
        <f ca="1">+'Prestamo 5 años'!AN6</f>
        <v>38107.164915936526</v>
      </c>
      <c r="BI23" s="30">
        <f ca="1">+'Prestamo 5 años'!AO6</f>
        <v>37220.087305745605</v>
      </c>
      <c r="BJ23" s="30">
        <f ca="1">+'Prestamo 5 años'!AP6</f>
        <v>36314.528912009016</v>
      </c>
      <c r="BK23" s="30">
        <f ca="1">+'Prestamo 5 años'!AQ6</f>
        <v>35390.104718402945</v>
      </c>
      <c r="BL23" s="30">
        <f ca="1">+'Prestamo 5 años'!AR6</f>
        <v>34446.42168743004</v>
      </c>
      <c r="BM23" s="30">
        <f ca="1">+'Prestamo 5 años'!AS6</f>
        <v>33483.078593311882</v>
      </c>
      <c r="BN23" s="30">
        <f ca="1">+'Prestamo 5 años'!AT6</f>
        <v>32499.665851399594</v>
      </c>
      <c r="BO23" s="30">
        <f ca="1">+'Prestamo 5 años'!AU6</f>
        <v>31495.765344030799</v>
      </c>
      <c r="BP23" s="30">
        <f ca="1">+'Prestamo 5 años'!AV6</f>
        <v>30470.950242758496</v>
      </c>
      <c r="BQ23" s="30">
        <f ca="1">+'Prestamo 5 años'!AW6</f>
        <v>29424.784826876356</v>
      </c>
      <c r="BR23" s="30">
        <f ca="1">+'Prestamo 5 años'!AX6</f>
        <v>28356.824298163338</v>
      </c>
      <c r="BS23" s="30">
        <f ca="1">+'Prestamo 5 años'!AY6</f>
        <v>27266.614591768794</v>
      </c>
      <c r="BT23" s="30">
        <f ca="1">+'Prestamo 5 años'!AZ6</f>
        <v>26153.692183157709</v>
      </c>
      <c r="BU23" s="30">
        <f ca="1">+'Prestamo 5 años'!BA6</f>
        <v>25017.583891033857</v>
      </c>
      <c r="BV23" s="30">
        <f ca="1">+'Prestamo 5 años'!BB6</f>
        <v>23857.806676157441</v>
      </c>
      <c r="BW23" s="30">
        <f ca="1">+'Prestamo 5 años'!BC6</f>
        <v>22673.867435971126</v>
      </c>
      <c r="BX23" s="30">
        <f ca="1">+'Prestamo 5 años'!BD6</f>
        <v>21465.26279494755</v>
      </c>
      <c r="BY23" s="30">
        <f ca="1">+'Prestamo 5 años'!BE6</f>
        <v>20231.478890569364</v>
      </c>
      <c r="BZ23" s="30">
        <f ca="1">+'Prestamo 5 años'!BF6</f>
        <v>18971.991154849948</v>
      </c>
      <c r="CA23" s="30">
        <f ca="1">+'Prestamo 5 años'!BG6</f>
        <v>17686.264091303041</v>
      </c>
      <c r="CB23" s="30">
        <f ca="1">+'Prestamo 5 años'!BH6</f>
        <v>16373.751047265558</v>
      </c>
      <c r="CC23" s="30">
        <f ca="1">+'Prestamo 5 años'!BI6</f>
        <v>15033.89398147732</v>
      </c>
      <c r="CD23" s="30">
        <f ca="1">+'Prestamo 5 años'!BJ6</f>
        <v>13666.123226818494</v>
      </c>
      <c r="CE23" s="30">
        <f ca="1">+'Prestamo 5 años'!BK6</f>
        <v>12269.857248104267</v>
      </c>
      <c r="CF23" s="30">
        <f ca="1">+'Prestamo 5 años'!BL6</f>
        <v>10844.502394833489</v>
      </c>
      <c r="CG23" s="30">
        <f ca="1">+'Prestamo 5 años'!BM6</f>
        <v>9389.4526487862295</v>
      </c>
      <c r="CH23" s="30">
        <f ca="1">+'Prestamo 5 años'!BN6</f>
        <v>7904.0893663629931</v>
      </c>
      <c r="CI23" s="30">
        <f ca="1">+'Prestamo 5 años'!BO6</f>
        <v>6387.7810155559509</v>
      </c>
      <c r="CJ23" s="30">
        <f ca="1">+'Prestamo 5 años'!BP6</f>
        <v>4839.8829074404321</v>
      </c>
      <c r="CK23" s="30">
        <f ca="1">+'Prestamo 5 años'!BQ6</f>
        <v>3259.7369220724963</v>
      </c>
      <c r="CL23" s="30">
        <f ca="1">+'Prestamo 5 años'!BR6</f>
        <v>1646.6712286760783</v>
      </c>
      <c r="CM23" s="30">
        <f ca="1">+'Prestamo 5 años'!BS6</f>
        <v>5.5265426635742181E-10</v>
      </c>
      <c r="CN23" s="30">
        <f>+'Prestamo 5 años'!BT6</f>
        <v>0</v>
      </c>
      <c r="CO23" s="30">
        <f>+'Prestamo 5 años'!BU6</f>
        <v>0</v>
      </c>
      <c r="CP23" s="30">
        <f>+'Prestamo 5 años'!BV6</f>
        <v>0</v>
      </c>
      <c r="CQ23" s="30">
        <f>+'Prestamo 5 años'!BW6</f>
        <v>0</v>
      </c>
      <c r="CR23" s="30">
        <f>+'Prestamo 5 años'!BX6</f>
        <v>0</v>
      </c>
      <c r="CS23" s="30">
        <f>+'Prestamo 5 años'!BY6</f>
        <v>0</v>
      </c>
      <c r="CT23" s="30">
        <f>+'Prestamo 5 años'!BZ6</f>
        <v>0</v>
      </c>
      <c r="CU23" s="30">
        <f>+'Prestamo 5 años'!CA6</f>
        <v>0</v>
      </c>
      <c r="CV23" s="30">
        <f>+'Prestamo 5 años'!CB6</f>
        <v>0</v>
      </c>
      <c r="CW23" s="30">
        <f>+'Prestamo 5 años'!CC6</f>
        <v>0</v>
      </c>
      <c r="CX23" s="30">
        <f>+'Prestamo 5 años'!CD6</f>
        <v>0</v>
      </c>
      <c r="CY23" s="30">
        <f>+'Prestamo 5 años'!CE6</f>
        <v>0</v>
      </c>
      <c r="CZ23" s="30">
        <f>+'Prestamo 5 años'!CF6</f>
        <v>0</v>
      </c>
      <c r="DA23" s="30">
        <f>+'Prestamo 5 años'!CG6</f>
        <v>0</v>
      </c>
      <c r="DB23" s="30">
        <f>+'Prestamo 5 años'!CH6</f>
        <v>0</v>
      </c>
      <c r="DC23" s="30">
        <f>+'Prestamo 5 años'!CI6</f>
        <v>0</v>
      </c>
      <c r="DD23" s="30">
        <f>+'Prestamo 5 años'!CJ6</f>
        <v>0</v>
      </c>
      <c r="DE23" s="30">
        <f>+'Prestamo 5 años'!CK6</f>
        <v>0</v>
      </c>
      <c r="DF23" s="30">
        <f>+'Prestamo 5 años'!CL6</f>
        <v>0</v>
      </c>
      <c r="DG23" s="30">
        <f>+'Prestamo 5 años'!CM6</f>
        <v>0</v>
      </c>
      <c r="DH23" s="30">
        <f>+'Prestamo 5 años'!CN6</f>
        <v>0</v>
      </c>
      <c r="DI23" s="30">
        <f>+'Prestamo 5 años'!CO6</f>
        <v>0</v>
      </c>
      <c r="DJ23" s="30">
        <f>+'Prestamo 5 años'!CP6</f>
        <v>0</v>
      </c>
      <c r="DK23" s="30">
        <f>+'Prestamo 5 años'!CQ6</f>
        <v>0</v>
      </c>
      <c r="DL23" s="30">
        <f>+'Prestamo 5 años'!CR6</f>
        <v>0</v>
      </c>
      <c r="DM23" s="30">
        <f>+'Prestamo 5 años'!CS6</f>
        <v>0</v>
      </c>
      <c r="DN23" s="30">
        <f>+'Prestamo 5 años'!CT6</f>
        <v>0</v>
      </c>
      <c r="DO23" s="30">
        <f>+'Prestamo 5 años'!CU6</f>
        <v>0</v>
      </c>
      <c r="DP23" s="30">
        <f>+'Prestamo 5 años'!CV6</f>
        <v>0</v>
      </c>
      <c r="DQ23" s="30">
        <f>+'Prestamo 5 años'!CW6</f>
        <v>0</v>
      </c>
      <c r="DR23" s="30">
        <f>+'Prestamo 5 años'!CX6</f>
        <v>0</v>
      </c>
      <c r="DS23" s="30">
        <f>+'Prestamo 5 años'!CY6</f>
        <v>0</v>
      </c>
      <c r="DT23" s="30">
        <f>+'Prestamo 5 años'!CZ6</f>
        <v>0</v>
      </c>
      <c r="DU23" s="30">
        <f>+'Prestamo 5 años'!DA6</f>
        <v>0</v>
      </c>
      <c r="DV23" s="30">
        <f>+'Prestamo 5 años'!DB6</f>
        <v>0</v>
      </c>
      <c r="DW23" s="30">
        <f>+'Prestamo 5 años'!DC6</f>
        <v>0</v>
      </c>
      <c r="DX23" s="30">
        <f>+'Prestamo 5 años'!DD6</f>
        <v>0</v>
      </c>
      <c r="DY23" s="30">
        <f>+'Prestamo 5 años'!DE6</f>
        <v>0</v>
      </c>
      <c r="DZ23" s="30">
        <f>+'Prestamo 5 años'!DF6</f>
        <v>0</v>
      </c>
      <c r="EA23" s="30">
        <f>+'Prestamo 5 años'!DG6</f>
        <v>0</v>
      </c>
      <c r="EB23" s="30">
        <f>+'Prestamo 5 años'!DH6</f>
        <v>0</v>
      </c>
      <c r="EC23" s="30">
        <f>+'Prestamo 5 años'!DI6</f>
        <v>0</v>
      </c>
      <c r="ED23" s="30">
        <f>+'Prestamo 5 años'!DJ6</f>
        <v>0</v>
      </c>
      <c r="EE23" s="30">
        <f>+'Prestamo 5 años'!DK6</f>
        <v>0</v>
      </c>
      <c r="EF23" s="30">
        <f>+'Prestamo 5 años'!DL6</f>
        <v>0</v>
      </c>
      <c r="EG23" s="30">
        <f>+'Prestamo 5 años'!DM6</f>
        <v>0</v>
      </c>
      <c r="EH23" s="30">
        <f>+'Prestamo 5 años'!DN6</f>
        <v>0</v>
      </c>
      <c r="EI23" s="30">
        <f>+'Prestamo 5 años'!DO6</f>
        <v>0</v>
      </c>
      <c r="EJ23" s="30">
        <f>+'Prestamo 5 años'!DP6</f>
        <v>0</v>
      </c>
      <c r="EK23" s="30">
        <f>+'Prestamo 5 años'!DQ6</f>
        <v>0</v>
      </c>
      <c r="EL23" s="30">
        <f>+'Prestamo 5 años'!DR6</f>
        <v>0</v>
      </c>
      <c r="EM23" s="30">
        <f>+'Prestamo 5 años'!DS6</f>
        <v>0</v>
      </c>
      <c r="EN23" s="30">
        <f>+'Prestamo 5 años'!DT6</f>
        <v>0</v>
      </c>
      <c r="EO23" s="30">
        <f>+'Prestamo 5 años'!DU6</f>
        <v>0</v>
      </c>
      <c r="EP23" s="30">
        <f>+'Prestamo 5 años'!DV6</f>
        <v>0</v>
      </c>
      <c r="EQ23" s="30">
        <f>+'Prestamo 5 años'!DW6</f>
        <v>0</v>
      </c>
      <c r="ER23" s="30">
        <f>+'Prestamo 5 años'!DX6</f>
        <v>0</v>
      </c>
      <c r="ES23" s="30">
        <f>+'Prestamo 5 años'!DY6</f>
        <v>0</v>
      </c>
      <c r="ET23" s="30">
        <f>+'Prestamo 5 años'!DZ6</f>
        <v>0</v>
      </c>
      <c r="EU23" s="30">
        <f>+'Prestamo 5 años'!EA6</f>
        <v>0</v>
      </c>
      <c r="EV23" s="30">
        <f>+'Prestamo 5 años'!EB6</f>
        <v>0</v>
      </c>
      <c r="EW23" s="30">
        <f>+'Prestamo 5 años'!EC6</f>
        <v>0</v>
      </c>
      <c r="EX23" s="30">
        <f>+'Prestamo 5 años'!ED6</f>
        <v>0</v>
      </c>
      <c r="EY23" s="30">
        <f>+'Prestamo 5 años'!EE6</f>
        <v>0</v>
      </c>
      <c r="EZ23" s="30">
        <f>+'Prestamo 5 años'!EF6</f>
        <v>0</v>
      </c>
      <c r="FA23" s="30">
        <f>+'Prestamo 5 años'!EG6</f>
        <v>0</v>
      </c>
      <c r="FB23" s="30">
        <f>+'Prestamo 5 años'!EH6</f>
        <v>0</v>
      </c>
      <c r="FC23" s="30">
        <f>+'Prestamo 5 años'!EI6</f>
        <v>0</v>
      </c>
      <c r="FD23" s="30">
        <f>+'Prestamo 5 años'!EJ6</f>
        <v>0</v>
      </c>
      <c r="FE23" s="30">
        <f>+'Prestamo 5 años'!EK6</f>
        <v>0</v>
      </c>
      <c r="FF23" s="30">
        <f>+'Prestamo 5 años'!EL6</f>
        <v>0</v>
      </c>
      <c r="FG23" s="30">
        <f>+'Prestamo 5 años'!EM6</f>
        <v>0</v>
      </c>
      <c r="FH23" s="30">
        <f>+'Prestamo 5 años'!EN6</f>
        <v>0</v>
      </c>
      <c r="FI23" s="30">
        <f>+'Prestamo 5 años'!EO6</f>
        <v>0</v>
      </c>
      <c r="FJ23" s="30">
        <f>+'Prestamo 5 años'!EP6</f>
        <v>0</v>
      </c>
      <c r="FK23" s="30">
        <f>+'Prestamo 5 años'!EQ6</f>
        <v>0</v>
      </c>
      <c r="FL23" s="30">
        <f>+'Prestamo 5 años'!ER6</f>
        <v>0</v>
      </c>
      <c r="FM23" s="30">
        <f>+'Prestamo 5 años'!ES6</f>
        <v>0</v>
      </c>
      <c r="FN23" s="30">
        <f>+'Prestamo 5 años'!ET6</f>
        <v>0</v>
      </c>
      <c r="FO23" s="30">
        <f>+'Prestamo 5 años'!EU6</f>
        <v>0</v>
      </c>
      <c r="FP23" s="30">
        <f>+'Prestamo 5 años'!EV6</f>
        <v>0</v>
      </c>
      <c r="FQ23" s="30">
        <f>+'Prestamo 5 años'!EW6</f>
        <v>0</v>
      </c>
      <c r="FR23" s="30">
        <f>+'Prestamo 5 años'!EX6</f>
        <v>0</v>
      </c>
      <c r="FS23" s="30">
        <f>+'Prestamo 5 años'!EY6</f>
        <v>0</v>
      </c>
      <c r="FT23" s="30">
        <f>+'Prestamo 5 años'!EZ6</f>
        <v>0</v>
      </c>
      <c r="FU23" s="30">
        <f>+'Prestamo 5 años'!FA6</f>
        <v>0</v>
      </c>
      <c r="FV23" s="30">
        <f>+'Prestamo 5 años'!FB6</f>
        <v>0</v>
      </c>
      <c r="FW23" s="30">
        <f>+'Prestamo 5 años'!FC6</f>
        <v>0</v>
      </c>
      <c r="FX23" s="30">
        <f>+'Prestamo 5 años'!FD6</f>
        <v>0</v>
      </c>
      <c r="FY23" s="30">
        <f>+'Prestamo 5 años'!FE6</f>
        <v>0</v>
      </c>
      <c r="FZ23" s="30">
        <f>+'Prestamo 5 años'!FF6</f>
        <v>0</v>
      </c>
      <c r="GA23" s="30">
        <f>+'Prestamo 5 años'!FG6</f>
        <v>0</v>
      </c>
      <c r="GB23" s="30">
        <f>+'Prestamo 5 años'!FH6</f>
        <v>0</v>
      </c>
      <c r="GC23" s="30">
        <f>+'Prestamo 5 años'!FI6</f>
        <v>0</v>
      </c>
      <c r="GD23" s="30">
        <f>+'Prestamo 5 años'!FJ6</f>
        <v>0</v>
      </c>
      <c r="GE23" s="30">
        <f>+'Prestamo 5 años'!FK6</f>
        <v>0</v>
      </c>
      <c r="GF23" s="30">
        <f>+'Prestamo 5 años'!FL6</f>
        <v>0</v>
      </c>
      <c r="GG23" s="30">
        <f>+'Prestamo 5 años'!FM6</f>
        <v>0</v>
      </c>
      <c r="GH23" s="30">
        <f>+'Prestamo 5 años'!FN6</f>
        <v>0</v>
      </c>
      <c r="GI23" s="30">
        <f>+'Prestamo 5 años'!FO6</f>
        <v>0</v>
      </c>
      <c r="GJ23" s="30">
        <f>+'Prestamo 5 años'!FP6</f>
        <v>0</v>
      </c>
      <c r="GK23" s="30">
        <f>+'Prestamo 5 años'!FQ6</f>
        <v>0</v>
      </c>
      <c r="GL23" s="30">
        <f>+'Prestamo 5 años'!FR6</f>
        <v>0</v>
      </c>
      <c r="GM23" s="30">
        <f>+'Prestamo 5 años'!FS6</f>
        <v>0</v>
      </c>
      <c r="GN23" s="30">
        <f>+'Prestamo 5 años'!FT6</f>
        <v>0</v>
      </c>
      <c r="GO23" s="30">
        <f>+'Prestamo 5 años'!FU6</f>
        <v>0</v>
      </c>
      <c r="GP23" s="30">
        <f>+'Prestamo 5 años'!FV6</f>
        <v>0</v>
      </c>
      <c r="GQ23" s="30">
        <f>+'Prestamo 5 años'!FW6</f>
        <v>0</v>
      </c>
      <c r="GR23" s="30">
        <f>+'Prestamo 5 años'!FX6</f>
        <v>0</v>
      </c>
      <c r="GS23" s="30">
        <f>+'Prestamo 5 años'!FY6</f>
        <v>0</v>
      </c>
      <c r="GT23" s="30">
        <f>+'Prestamo 5 años'!FZ6</f>
        <v>0</v>
      </c>
      <c r="GU23" s="30">
        <f>+'Prestamo 5 años'!GA6</f>
        <v>0</v>
      </c>
      <c r="GV23" s="30">
        <f>+'Prestamo 5 años'!GB6</f>
        <v>0</v>
      </c>
      <c r="GW23" s="30">
        <f>+'Prestamo 5 años'!GC6</f>
        <v>0</v>
      </c>
      <c r="GX23" s="30">
        <f>+'Prestamo 5 años'!GD6</f>
        <v>0</v>
      </c>
      <c r="GY23" s="30">
        <f>+'Prestamo 5 años'!GE6</f>
        <v>0</v>
      </c>
      <c r="GZ23" s="30">
        <f>+'Prestamo 5 años'!GF6</f>
        <v>0</v>
      </c>
      <c r="HA23" s="30">
        <f>+'Prestamo 5 años'!GG6</f>
        <v>0</v>
      </c>
      <c r="HB23" s="30">
        <f>+'Prestamo 5 años'!GH6</f>
        <v>0</v>
      </c>
      <c r="HC23" s="30">
        <f>+'Prestamo 5 años'!GI6</f>
        <v>0</v>
      </c>
      <c r="HD23" s="30">
        <f>+'Prestamo 5 años'!GJ6</f>
        <v>0</v>
      </c>
      <c r="HE23" s="30">
        <f>+'Prestamo 5 años'!GK6</f>
        <v>0</v>
      </c>
      <c r="HF23" s="30">
        <f>+'Prestamo 5 años'!GL6</f>
        <v>0</v>
      </c>
      <c r="HG23" s="30">
        <f>+'Prestamo 5 años'!GM6</f>
        <v>0</v>
      </c>
      <c r="HH23" s="30">
        <f>+'Prestamo 5 años'!GN6</f>
        <v>0</v>
      </c>
      <c r="HI23" s="30">
        <f>+'Prestamo 5 años'!GO6</f>
        <v>0</v>
      </c>
      <c r="HJ23" s="30">
        <f>+'Prestamo 5 años'!GP6</f>
        <v>0</v>
      </c>
      <c r="HK23" s="30">
        <f>+'Prestamo 5 años'!GQ6</f>
        <v>0</v>
      </c>
      <c r="HL23" s="30">
        <f>+'Prestamo 5 años'!GR6</f>
        <v>0</v>
      </c>
      <c r="HM23" s="30">
        <f>+'Prestamo 5 años'!GS6</f>
        <v>0</v>
      </c>
      <c r="HN23" s="30">
        <f>+'Prestamo 5 años'!GT6</f>
        <v>0</v>
      </c>
      <c r="HO23" s="30">
        <f>+'Prestamo 5 años'!GU6</f>
        <v>0</v>
      </c>
      <c r="HP23" s="30">
        <f>+'Prestamo 5 años'!GV6</f>
        <v>0</v>
      </c>
      <c r="HQ23" s="30">
        <f>+'Prestamo 5 años'!GW6</f>
        <v>0</v>
      </c>
      <c r="HR23" s="30">
        <f>+'Prestamo 5 años'!GX6</f>
        <v>0</v>
      </c>
      <c r="HS23" s="30">
        <f>+'Prestamo 5 años'!GY6</f>
        <v>0</v>
      </c>
      <c r="HT23" s="30">
        <f>+'Prestamo 5 años'!GZ6</f>
        <v>0</v>
      </c>
      <c r="HU23" s="30">
        <f>+'Prestamo 5 años'!HA6</f>
        <v>0</v>
      </c>
      <c r="HV23" s="30">
        <f>+'Prestamo 5 años'!HB6</f>
        <v>0</v>
      </c>
      <c r="HW23" s="30">
        <f>+'Prestamo 5 años'!HC6</f>
        <v>0</v>
      </c>
      <c r="HX23" s="30">
        <f>+'Prestamo 5 años'!HD6</f>
        <v>0</v>
      </c>
      <c r="HY23" s="30">
        <f>+'Prestamo 5 años'!HE6</f>
        <v>0</v>
      </c>
      <c r="HZ23" s="30">
        <f>+'Prestamo 5 años'!HF6</f>
        <v>0</v>
      </c>
      <c r="IA23" s="30">
        <f>+'Prestamo 5 años'!HG6</f>
        <v>0</v>
      </c>
      <c r="IB23" s="30">
        <f>+'Prestamo 5 años'!HH6</f>
        <v>0</v>
      </c>
      <c r="IC23" s="30">
        <f>+'Prestamo 5 años'!HI6</f>
        <v>0</v>
      </c>
      <c r="ID23" s="30">
        <f>+'Prestamo 5 años'!HJ6</f>
        <v>0</v>
      </c>
      <c r="IE23" s="30">
        <f>+'Prestamo 5 años'!HK6</f>
        <v>0</v>
      </c>
      <c r="IF23" s="30">
        <f>+'Prestamo 5 años'!HL6</f>
        <v>0</v>
      </c>
      <c r="IG23" s="30">
        <f>+'Prestamo 5 años'!HM6</f>
        <v>0</v>
      </c>
      <c r="IH23" s="30">
        <f>+'Prestamo 5 años'!HN6</f>
        <v>0</v>
      </c>
      <c r="II23" s="30">
        <f>+'Prestamo 5 años'!HO6</f>
        <v>0</v>
      </c>
      <c r="IJ23" s="30">
        <f>+'Prestamo 5 años'!HP6</f>
        <v>0</v>
      </c>
      <c r="IK23" s="30">
        <f>+'Prestamo 5 años'!HQ6</f>
        <v>0</v>
      </c>
      <c r="IL23" s="30">
        <f>+'Prestamo 5 años'!HR6</f>
        <v>0</v>
      </c>
      <c r="IM23" s="30">
        <f>+'Prestamo 5 años'!HS6</f>
        <v>0</v>
      </c>
      <c r="IN23" s="30">
        <f>+'Prestamo 5 años'!HT6</f>
        <v>0</v>
      </c>
      <c r="IO23" s="30">
        <f>+'Prestamo 5 años'!HU6</f>
        <v>0</v>
      </c>
    </row>
    <row r="24" spans="1:249" x14ac:dyDescent="0.3">
      <c r="A24" t="s">
        <v>643</v>
      </c>
      <c r="B24" s="33">
        <f>+SUM(V24:CC24)</f>
        <v>3290000</v>
      </c>
      <c r="C24" s="33">
        <f>+B24</f>
        <v>3290000</v>
      </c>
      <c r="D24" s="38">
        <f ca="1">+B24/$B$27</f>
        <v>5.4572543846488825E-2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G24" s="30"/>
      <c r="AH24" s="30">
        <f>+'Capex GoodWe'!C194</f>
        <v>200000</v>
      </c>
      <c r="AI24" s="30"/>
      <c r="AJ24" s="30"/>
      <c r="AK24" s="30">
        <f>+'Capex GoodWe'!C194*(1+Tarifas!B2)</f>
        <v>206000</v>
      </c>
      <c r="AL24" s="30"/>
      <c r="AM24" s="30"/>
      <c r="AN24" s="30">
        <f>AK24</f>
        <v>206000</v>
      </c>
      <c r="AO24" s="30">
        <f t="shared" ref="AO24:AY24" si="189">AL24</f>
        <v>0</v>
      </c>
      <c r="AP24" s="30">
        <f t="shared" si="189"/>
        <v>0</v>
      </c>
      <c r="AQ24" s="30">
        <f t="shared" si="189"/>
        <v>206000</v>
      </c>
      <c r="AR24" s="30">
        <f t="shared" si="189"/>
        <v>0</v>
      </c>
      <c r="AS24" s="30">
        <f t="shared" si="189"/>
        <v>0</v>
      </c>
      <c r="AT24" s="30">
        <f t="shared" si="189"/>
        <v>206000</v>
      </c>
      <c r="AU24" s="30">
        <f t="shared" si="189"/>
        <v>0</v>
      </c>
      <c r="AV24" s="30">
        <f t="shared" si="189"/>
        <v>0</v>
      </c>
      <c r="AW24" s="30">
        <f t="shared" si="189"/>
        <v>206000</v>
      </c>
      <c r="AX24" s="30">
        <f t="shared" si="189"/>
        <v>0</v>
      </c>
      <c r="AY24" s="30">
        <f t="shared" si="189"/>
        <v>0</v>
      </c>
      <c r="AZ24" s="30">
        <f t="shared" ref="AZ24" si="190">AW24</f>
        <v>206000</v>
      </c>
      <c r="BA24" s="30">
        <f t="shared" ref="BA24" si="191">AX24</f>
        <v>0</v>
      </c>
      <c r="BB24" s="30">
        <f t="shared" ref="BB24" si="192">AY24</f>
        <v>0</v>
      </c>
      <c r="BC24" s="30">
        <f t="shared" ref="BC24" si="193">AZ24</f>
        <v>206000</v>
      </c>
      <c r="BD24" s="30">
        <f t="shared" ref="BD24" si="194">BA24</f>
        <v>0</v>
      </c>
      <c r="BE24" s="30">
        <f t="shared" ref="BE24" si="195">BB24</f>
        <v>0</v>
      </c>
      <c r="BF24" s="30">
        <f t="shared" ref="BF24" si="196">BC24</f>
        <v>206000</v>
      </c>
      <c r="BG24" s="30">
        <f t="shared" ref="BG24" si="197">BD24</f>
        <v>0</v>
      </c>
      <c r="BH24" s="30">
        <f t="shared" ref="BH24" si="198">BE24</f>
        <v>0</v>
      </c>
      <c r="BI24" s="30">
        <f t="shared" ref="BI24:BJ24" si="199">BF24</f>
        <v>206000</v>
      </c>
      <c r="BJ24" s="30">
        <f t="shared" si="199"/>
        <v>0</v>
      </c>
      <c r="BK24" s="30">
        <f t="shared" ref="BK24" si="200">BH24</f>
        <v>0</v>
      </c>
      <c r="BL24" s="30">
        <f t="shared" ref="BL24" si="201">BI24</f>
        <v>206000</v>
      </c>
      <c r="BM24" s="30">
        <f t="shared" ref="BM24" si="202">BJ24</f>
        <v>0</v>
      </c>
      <c r="BN24" s="30">
        <f t="shared" ref="BN24" si="203">BK24</f>
        <v>0</v>
      </c>
      <c r="BO24" s="30">
        <f t="shared" ref="BO24" si="204">BL24</f>
        <v>206000</v>
      </c>
      <c r="BP24" s="30">
        <f t="shared" ref="BP24" si="205">BM24</f>
        <v>0</v>
      </c>
      <c r="BQ24" s="30">
        <f t="shared" ref="BQ24" si="206">BN24</f>
        <v>0</v>
      </c>
      <c r="BR24" s="30">
        <f t="shared" ref="BR24" si="207">BO24</f>
        <v>206000</v>
      </c>
      <c r="BS24" s="30">
        <f t="shared" ref="BS24" si="208">BP24</f>
        <v>0</v>
      </c>
      <c r="BT24" s="30">
        <f t="shared" ref="BT24:BU24" si="209">BQ24</f>
        <v>0</v>
      </c>
      <c r="BU24" s="30">
        <f t="shared" si="209"/>
        <v>206000</v>
      </c>
      <c r="BV24" s="30">
        <f t="shared" ref="BV24" si="210">BS24</f>
        <v>0</v>
      </c>
      <c r="BW24" s="30">
        <f t="shared" ref="BW24" si="211">BT24</f>
        <v>0</v>
      </c>
      <c r="BX24" s="30">
        <f t="shared" ref="BX24" si="212">BU24</f>
        <v>206000</v>
      </c>
      <c r="BY24" s="30">
        <f t="shared" ref="BY24" si="213">BV24</f>
        <v>0</v>
      </c>
      <c r="BZ24" s="30">
        <f t="shared" ref="BZ24" si="214">BW24</f>
        <v>0</v>
      </c>
      <c r="CA24" s="30">
        <f t="shared" ref="CA24" si="215">BX24</f>
        <v>206000</v>
      </c>
      <c r="CB24" s="30">
        <f t="shared" ref="CB24" si="216">BY24</f>
        <v>0</v>
      </c>
      <c r="CC24" s="30">
        <f t="shared" ref="CC24" si="217">BZ24</f>
        <v>0</v>
      </c>
      <c r="CD24" s="30">
        <f t="shared" ref="CD24" si="218">CA24</f>
        <v>206000</v>
      </c>
      <c r="CE24" s="30">
        <f t="shared" ref="CE24:CF24" si="219">CB24</f>
        <v>0</v>
      </c>
      <c r="CF24" s="30">
        <f t="shared" si="219"/>
        <v>0</v>
      </c>
      <c r="CG24" s="30">
        <f t="shared" ref="CG24" si="220">CD24</f>
        <v>206000</v>
      </c>
      <c r="CH24" s="30">
        <f t="shared" ref="CH24" si="221">CE24</f>
        <v>0</v>
      </c>
      <c r="CI24" s="30">
        <f t="shared" ref="CI24" si="222">CF24</f>
        <v>0</v>
      </c>
      <c r="CJ24" s="30">
        <f t="shared" ref="CJ24" si="223">CG24</f>
        <v>206000</v>
      </c>
      <c r="CK24" s="30">
        <f t="shared" ref="CK24" si="224">CH24</f>
        <v>0</v>
      </c>
      <c r="CL24" s="30">
        <f t="shared" ref="CL24" si="225">CI24</f>
        <v>0</v>
      </c>
      <c r="CM24" s="30">
        <f t="shared" ref="CM24" si="226">CJ24</f>
        <v>206000</v>
      </c>
      <c r="CN24" s="30">
        <f t="shared" ref="CN24" si="227">CK24</f>
        <v>0</v>
      </c>
      <c r="CO24" s="30">
        <f t="shared" ref="CO24" si="228">CL24</f>
        <v>0</v>
      </c>
      <c r="CP24" s="30">
        <f t="shared" ref="CP24:CQ24" si="229">CM24</f>
        <v>206000</v>
      </c>
      <c r="CQ24" s="30">
        <f t="shared" si="229"/>
        <v>0</v>
      </c>
      <c r="CR24" s="30">
        <f t="shared" ref="CR24" si="230">CO24</f>
        <v>0</v>
      </c>
      <c r="CS24" s="30">
        <f t="shared" ref="CS24" si="231">CP24</f>
        <v>206000</v>
      </c>
      <c r="CT24" s="30">
        <f t="shared" ref="CT24" si="232">CQ24</f>
        <v>0</v>
      </c>
      <c r="CU24" s="30">
        <f t="shared" ref="CU24" si="233">CR24</f>
        <v>0</v>
      </c>
      <c r="CV24" s="30">
        <f t="shared" ref="CV24" si="234">CS24</f>
        <v>206000</v>
      </c>
      <c r="CW24" s="30">
        <f t="shared" ref="CW24" si="235">CT24</f>
        <v>0</v>
      </c>
      <c r="CX24" s="30">
        <f t="shared" ref="CX24" si="236">CU24</f>
        <v>0</v>
      </c>
      <c r="CY24" s="30">
        <f t="shared" ref="CY24" si="237">CV24</f>
        <v>206000</v>
      </c>
      <c r="CZ24" s="30">
        <f t="shared" ref="CZ24" si="238">CW24</f>
        <v>0</v>
      </c>
      <c r="DA24" s="30">
        <f t="shared" ref="DA24:DB24" si="239">CX24</f>
        <v>0</v>
      </c>
      <c r="DB24" s="30">
        <f t="shared" si="239"/>
        <v>206000</v>
      </c>
      <c r="DC24" s="30">
        <f t="shared" ref="DC24" si="240">CZ24</f>
        <v>0</v>
      </c>
      <c r="DD24" s="30">
        <f t="shared" ref="DD24" si="241">DA24</f>
        <v>0</v>
      </c>
      <c r="DE24" s="30">
        <f t="shared" ref="DE24" si="242">DB24</f>
        <v>206000</v>
      </c>
      <c r="DF24" s="30">
        <f t="shared" ref="DF24" si="243">DC24</f>
        <v>0</v>
      </c>
      <c r="DG24" s="30">
        <f t="shared" ref="DG24" si="244">DD24</f>
        <v>0</v>
      </c>
      <c r="DH24" s="30">
        <f t="shared" ref="DH24" si="245">DE24</f>
        <v>206000</v>
      </c>
      <c r="DI24" s="30">
        <f t="shared" ref="DI24" si="246">DF24</f>
        <v>0</v>
      </c>
      <c r="DJ24" s="30">
        <f t="shared" ref="DJ24" si="247">DG24</f>
        <v>0</v>
      </c>
      <c r="DK24" s="30">
        <f t="shared" ref="DK24" si="248">DH24</f>
        <v>206000</v>
      </c>
      <c r="DL24" s="30">
        <f t="shared" ref="DL24:DM24" si="249">DI24</f>
        <v>0</v>
      </c>
      <c r="DM24" s="30">
        <f t="shared" si="249"/>
        <v>0</v>
      </c>
      <c r="DN24" s="30">
        <f t="shared" ref="DN24" si="250">DK24</f>
        <v>206000</v>
      </c>
      <c r="DO24" s="30">
        <f t="shared" ref="DO24" si="251">DL24</f>
        <v>0</v>
      </c>
      <c r="DP24" s="30">
        <f t="shared" ref="DP24" si="252">DM24</f>
        <v>0</v>
      </c>
      <c r="DQ24" s="30">
        <f t="shared" ref="DQ24" si="253">DN24</f>
        <v>206000</v>
      </c>
      <c r="DR24" s="30">
        <f t="shared" ref="DR24" si="254">DO24</f>
        <v>0</v>
      </c>
      <c r="DS24" s="30">
        <f t="shared" ref="DS24" si="255">DP24</f>
        <v>0</v>
      </c>
      <c r="DT24" s="30">
        <f t="shared" ref="DT24" si="256">DQ24</f>
        <v>206000</v>
      </c>
      <c r="DU24" s="30">
        <f t="shared" ref="DU24" si="257">DR24</f>
        <v>0</v>
      </c>
      <c r="DV24" s="30">
        <f t="shared" ref="DV24" si="258">DS24</f>
        <v>0</v>
      </c>
      <c r="DW24" s="30">
        <f t="shared" ref="DW24:DX24" si="259">DT24</f>
        <v>206000</v>
      </c>
      <c r="DX24" s="30">
        <f t="shared" si="259"/>
        <v>0</v>
      </c>
      <c r="DY24" s="30">
        <f t="shared" ref="DY24" si="260">DV24</f>
        <v>0</v>
      </c>
      <c r="DZ24" s="30">
        <f t="shared" ref="DZ24" si="261">DW24</f>
        <v>206000</v>
      </c>
      <c r="EA24" s="30">
        <f t="shared" ref="EA24" si="262">DX24</f>
        <v>0</v>
      </c>
      <c r="EB24" s="30">
        <f t="shared" ref="EB24" si="263">DY24</f>
        <v>0</v>
      </c>
      <c r="EC24" s="30">
        <f t="shared" ref="EC24" si="264">DZ24</f>
        <v>206000</v>
      </c>
      <c r="ED24" s="30">
        <f t="shared" ref="ED24" si="265">EA24</f>
        <v>0</v>
      </c>
      <c r="EE24" s="30">
        <f t="shared" ref="EE24" si="266">EB24</f>
        <v>0</v>
      </c>
      <c r="EF24" s="30">
        <f t="shared" ref="EF24" si="267">EC24</f>
        <v>206000</v>
      </c>
      <c r="EG24" s="30">
        <f t="shared" ref="EG24" si="268">ED24</f>
        <v>0</v>
      </c>
      <c r="EH24" s="30">
        <f t="shared" ref="EH24:EI24" si="269">EE24</f>
        <v>0</v>
      </c>
      <c r="EI24" s="30">
        <f t="shared" si="269"/>
        <v>206000</v>
      </c>
      <c r="EJ24" s="30">
        <f t="shared" ref="EJ24" si="270">EG24</f>
        <v>0</v>
      </c>
      <c r="EK24" s="30">
        <f t="shared" ref="EK24" si="271">EH24</f>
        <v>0</v>
      </c>
      <c r="EL24" s="30">
        <f t="shared" ref="EL24" si="272">EI24</f>
        <v>206000</v>
      </c>
      <c r="EM24" s="30">
        <f t="shared" ref="EM24" si="273">EJ24</f>
        <v>0</v>
      </c>
      <c r="EN24" s="30">
        <f t="shared" ref="EN24" si="274">EK24</f>
        <v>0</v>
      </c>
      <c r="EO24" s="30">
        <f t="shared" ref="EO24" si="275">EL24</f>
        <v>206000</v>
      </c>
      <c r="EP24" s="30">
        <f t="shared" ref="EP24" si="276">EM24</f>
        <v>0</v>
      </c>
      <c r="EQ24" s="30">
        <f t="shared" ref="EQ24" si="277">EN24</f>
        <v>0</v>
      </c>
      <c r="ER24" s="30">
        <f t="shared" ref="ER24" si="278">EO24</f>
        <v>206000</v>
      </c>
      <c r="ES24" s="30">
        <f t="shared" ref="ES24:ET24" si="279">EP24</f>
        <v>0</v>
      </c>
      <c r="ET24" s="30">
        <f t="shared" si="279"/>
        <v>0</v>
      </c>
      <c r="EU24" s="30">
        <f t="shared" ref="EU24" si="280">ER24</f>
        <v>206000</v>
      </c>
      <c r="EV24" s="30">
        <f t="shared" ref="EV24" si="281">ES24</f>
        <v>0</v>
      </c>
      <c r="EW24" s="30">
        <f t="shared" ref="EW24" si="282">ET24</f>
        <v>0</v>
      </c>
      <c r="EX24" s="30">
        <f t="shared" ref="EX24" si="283">EU24</f>
        <v>206000</v>
      </c>
      <c r="EY24" s="30">
        <f t="shared" ref="EY24" si="284">EV24</f>
        <v>0</v>
      </c>
      <c r="EZ24" s="30">
        <f t="shared" ref="EZ24" si="285">EW24</f>
        <v>0</v>
      </c>
      <c r="FA24" s="30">
        <f t="shared" ref="FA24" si="286">EX24</f>
        <v>206000</v>
      </c>
      <c r="FB24" s="30">
        <f t="shared" ref="FB24" si="287">EY24</f>
        <v>0</v>
      </c>
      <c r="FC24" s="30">
        <f t="shared" ref="FC24" si="288">EZ24</f>
        <v>0</v>
      </c>
      <c r="FD24" s="30">
        <f t="shared" ref="FD24:FE24" si="289">FA24</f>
        <v>206000</v>
      </c>
      <c r="FE24" s="30">
        <f t="shared" si="289"/>
        <v>0</v>
      </c>
      <c r="FF24" s="30">
        <f t="shared" ref="FF24" si="290">FC24</f>
        <v>0</v>
      </c>
      <c r="FG24" s="30">
        <f t="shared" ref="FG24" si="291">FD24</f>
        <v>206000</v>
      </c>
      <c r="FH24" s="30">
        <f t="shared" ref="FH24" si="292">FE24</f>
        <v>0</v>
      </c>
      <c r="FI24" s="30">
        <f t="shared" ref="FI24" si="293">FF24</f>
        <v>0</v>
      </c>
      <c r="FJ24" s="30">
        <f t="shared" ref="FJ24" si="294">FG24</f>
        <v>206000</v>
      </c>
      <c r="FK24" s="30">
        <f t="shared" ref="FK24" si="295">FH24</f>
        <v>0</v>
      </c>
      <c r="FL24" s="30">
        <f t="shared" ref="FL24" si="296">FI24</f>
        <v>0</v>
      </c>
      <c r="FM24" s="30">
        <f t="shared" ref="FM24" si="297">FJ24</f>
        <v>206000</v>
      </c>
      <c r="FN24" s="30">
        <f t="shared" ref="FN24" si="298">FK24</f>
        <v>0</v>
      </c>
      <c r="FO24" s="30">
        <f t="shared" ref="FO24:FP24" si="299">FL24</f>
        <v>0</v>
      </c>
      <c r="FP24" s="30">
        <f t="shared" si="299"/>
        <v>206000</v>
      </c>
      <c r="FQ24" s="30">
        <f t="shared" ref="FQ24" si="300">FN24</f>
        <v>0</v>
      </c>
      <c r="FR24" s="30">
        <f t="shared" ref="FR24" si="301">FO24</f>
        <v>0</v>
      </c>
      <c r="FS24" s="30">
        <f t="shared" ref="FS24" si="302">FP24</f>
        <v>206000</v>
      </c>
      <c r="FT24" s="30">
        <f t="shared" ref="FT24" si="303">FQ24</f>
        <v>0</v>
      </c>
      <c r="FU24" s="30">
        <f t="shared" ref="FU24" si="304">FR24</f>
        <v>0</v>
      </c>
      <c r="FV24" s="30">
        <f t="shared" ref="FV24" si="305">FS24</f>
        <v>206000</v>
      </c>
      <c r="FW24" s="30">
        <f t="shared" ref="FW24" si="306">FT24</f>
        <v>0</v>
      </c>
      <c r="FX24" s="30">
        <f t="shared" ref="FX24" si="307">FU24</f>
        <v>0</v>
      </c>
      <c r="FY24" s="30">
        <f t="shared" ref="FY24" si="308">FV24</f>
        <v>206000</v>
      </c>
      <c r="FZ24" s="30">
        <f t="shared" ref="FZ24:GA24" si="309">FW24</f>
        <v>0</v>
      </c>
      <c r="GA24" s="30">
        <f t="shared" si="309"/>
        <v>0</v>
      </c>
      <c r="GB24" s="30">
        <f t="shared" ref="GB24" si="310">FY24</f>
        <v>206000</v>
      </c>
      <c r="GC24" s="30">
        <f t="shared" ref="GC24" si="311">FZ24</f>
        <v>0</v>
      </c>
      <c r="GD24" s="30">
        <f t="shared" ref="GD24" si="312">GA24</f>
        <v>0</v>
      </c>
      <c r="GE24" s="30">
        <f t="shared" ref="GE24" si="313">GB24</f>
        <v>206000</v>
      </c>
      <c r="GF24" s="30">
        <f t="shared" ref="GF24" si="314">GC24</f>
        <v>0</v>
      </c>
      <c r="GG24" s="30">
        <f t="shared" ref="GG24" si="315">GD24</f>
        <v>0</v>
      </c>
      <c r="GH24" s="30">
        <f t="shared" ref="GH24" si="316">GE24</f>
        <v>206000</v>
      </c>
      <c r="GI24" s="30">
        <f t="shared" ref="GI24" si="317">GF24</f>
        <v>0</v>
      </c>
      <c r="GJ24" s="30">
        <f t="shared" ref="GJ24" si="318">GG24</f>
        <v>0</v>
      </c>
      <c r="GK24" s="30">
        <f t="shared" ref="GK24:GL24" si="319">GH24</f>
        <v>206000</v>
      </c>
      <c r="GL24" s="30">
        <f t="shared" si="319"/>
        <v>0</v>
      </c>
      <c r="GM24" s="30">
        <f t="shared" ref="GM24" si="320">GJ24</f>
        <v>0</v>
      </c>
      <c r="GN24" s="30">
        <f t="shared" ref="GN24" si="321">GK24</f>
        <v>206000</v>
      </c>
      <c r="GO24" s="30">
        <f t="shared" ref="GO24" si="322">GL24</f>
        <v>0</v>
      </c>
      <c r="GP24" s="30">
        <f t="shared" ref="GP24" si="323">GM24</f>
        <v>0</v>
      </c>
      <c r="GQ24" s="30">
        <f t="shared" ref="GQ24" si="324">GN24</f>
        <v>206000</v>
      </c>
      <c r="GR24" s="30">
        <f t="shared" ref="GR24" si="325">GO24</f>
        <v>0</v>
      </c>
      <c r="GS24" s="30">
        <f t="shared" ref="GS24" si="326">GP24</f>
        <v>0</v>
      </c>
      <c r="GT24" s="30">
        <f t="shared" ref="GT24" si="327">GQ24</f>
        <v>206000</v>
      </c>
      <c r="GU24" s="30">
        <f t="shared" ref="GU24" si="328">GR24</f>
        <v>0</v>
      </c>
      <c r="GV24" s="30">
        <f t="shared" ref="GV24:GW24" si="329">GS24</f>
        <v>0</v>
      </c>
      <c r="GW24" s="30">
        <f t="shared" si="329"/>
        <v>206000</v>
      </c>
      <c r="GX24" s="30">
        <f t="shared" ref="GX24" si="330">GU24</f>
        <v>0</v>
      </c>
      <c r="GY24" s="30">
        <f t="shared" ref="GY24" si="331">GV24</f>
        <v>0</v>
      </c>
      <c r="GZ24" s="30">
        <f t="shared" ref="GZ24" si="332">GW24</f>
        <v>206000</v>
      </c>
      <c r="HA24" s="30">
        <f t="shared" ref="HA24" si="333">GX24</f>
        <v>0</v>
      </c>
      <c r="HB24" s="30">
        <f t="shared" ref="HB24" si="334">GY24</f>
        <v>0</v>
      </c>
      <c r="HC24" s="30">
        <f t="shared" ref="HC24" si="335">GZ24</f>
        <v>206000</v>
      </c>
      <c r="HD24" s="30">
        <f t="shared" ref="HD24" si="336">HA24</f>
        <v>0</v>
      </c>
      <c r="HE24" s="30">
        <f t="shared" ref="HE24" si="337">HB24</f>
        <v>0</v>
      </c>
      <c r="HF24" s="30">
        <f t="shared" ref="HF24" si="338">HC24</f>
        <v>206000</v>
      </c>
      <c r="HG24" s="30">
        <f t="shared" ref="HG24:HH24" si="339">HD24</f>
        <v>0</v>
      </c>
      <c r="HH24" s="30">
        <f t="shared" si="339"/>
        <v>0</v>
      </c>
      <c r="HI24" s="30">
        <f t="shared" ref="HI24" si="340">HF24</f>
        <v>206000</v>
      </c>
      <c r="HJ24" s="30">
        <f t="shared" ref="HJ24" si="341">HG24</f>
        <v>0</v>
      </c>
      <c r="HK24" s="30">
        <f t="shared" ref="HK24" si="342">HH24</f>
        <v>0</v>
      </c>
      <c r="HL24" s="30">
        <f t="shared" ref="HL24" si="343">HI24</f>
        <v>206000</v>
      </c>
      <c r="HM24" s="30">
        <f t="shared" ref="HM24" si="344">HJ24</f>
        <v>0</v>
      </c>
      <c r="HN24" s="30">
        <f t="shared" ref="HN24" si="345">HK24</f>
        <v>0</v>
      </c>
      <c r="HO24" s="30">
        <f t="shared" ref="HO24" si="346">HL24</f>
        <v>206000</v>
      </c>
      <c r="HP24" s="30">
        <f t="shared" ref="HP24" si="347">HM24</f>
        <v>0</v>
      </c>
      <c r="HQ24" s="30">
        <f t="shared" ref="HQ24" si="348">HN24</f>
        <v>0</v>
      </c>
      <c r="HR24" s="30">
        <f t="shared" ref="HR24:HS24" si="349">HO24</f>
        <v>206000</v>
      </c>
      <c r="HS24" s="30">
        <f t="shared" si="349"/>
        <v>0</v>
      </c>
      <c r="HT24" s="30">
        <f t="shared" ref="HT24" si="350">HQ24</f>
        <v>0</v>
      </c>
      <c r="HU24" s="30">
        <f t="shared" ref="HU24" si="351">HR24</f>
        <v>206000</v>
      </c>
      <c r="HV24" s="30">
        <f t="shared" ref="HV24" si="352">HS24</f>
        <v>0</v>
      </c>
      <c r="HW24" s="30">
        <f t="shared" ref="HW24" si="353">HT24</f>
        <v>0</v>
      </c>
      <c r="HX24" s="30">
        <f t="shared" ref="HX24" si="354">HU24</f>
        <v>206000</v>
      </c>
      <c r="HY24" s="30">
        <f t="shared" ref="HY24" si="355">HV24</f>
        <v>0</v>
      </c>
      <c r="HZ24" s="30">
        <f t="shared" ref="HZ24" si="356">HW24</f>
        <v>0</v>
      </c>
      <c r="IA24" s="30">
        <f t="shared" ref="IA24" si="357">HX24</f>
        <v>206000</v>
      </c>
      <c r="IB24" s="30">
        <f t="shared" ref="IB24" si="358">HY24</f>
        <v>0</v>
      </c>
      <c r="IC24" s="30">
        <f t="shared" ref="IC24:ID24" si="359">HZ24</f>
        <v>0</v>
      </c>
      <c r="ID24" s="30">
        <f t="shared" si="359"/>
        <v>206000</v>
      </c>
      <c r="IE24" s="30">
        <f t="shared" ref="IE24" si="360">IB24</f>
        <v>0</v>
      </c>
      <c r="IF24" s="30">
        <f t="shared" ref="IF24" si="361">IC24</f>
        <v>0</v>
      </c>
      <c r="IG24" s="30">
        <f t="shared" ref="IG24" si="362">ID24</f>
        <v>206000</v>
      </c>
      <c r="IH24" s="30">
        <f t="shared" ref="IH24" si="363">IE24</f>
        <v>0</v>
      </c>
      <c r="II24" s="30">
        <f t="shared" ref="II24" si="364">IF24</f>
        <v>0</v>
      </c>
      <c r="IJ24" s="30">
        <f t="shared" ref="IJ24" si="365">IG24</f>
        <v>206000</v>
      </c>
      <c r="IK24" s="30">
        <f t="shared" ref="IK24" si="366">IH24</f>
        <v>0</v>
      </c>
      <c r="IL24" s="30">
        <f t="shared" ref="IL24" si="367">II24</f>
        <v>0</v>
      </c>
      <c r="IM24" s="30">
        <f t="shared" ref="IM24" si="368">IJ24</f>
        <v>206000</v>
      </c>
      <c r="IN24" s="30">
        <f t="shared" ref="IN24:IO24" si="369">IK24</f>
        <v>0</v>
      </c>
      <c r="IO24" s="30">
        <f t="shared" si="369"/>
        <v>0</v>
      </c>
    </row>
    <row r="25" spans="1:249" x14ac:dyDescent="0.3">
      <c r="A25" t="s">
        <v>777</v>
      </c>
      <c r="B25" s="33">
        <f>+SUM(E25:BQ25)</f>
        <v>0</v>
      </c>
      <c r="C25" s="33">
        <f t="shared" ref="C25" si="370">+B25</f>
        <v>0</v>
      </c>
      <c r="D25" s="38">
        <f ca="1">+B25/$B$27</f>
        <v>0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>
        <v>0</v>
      </c>
      <c r="BS25" s="30">
        <v>0</v>
      </c>
      <c r="BT25" s="30">
        <v>0</v>
      </c>
      <c r="BU25" s="30">
        <v>0</v>
      </c>
      <c r="BV25" s="30">
        <v>0</v>
      </c>
      <c r="BW25" s="30">
        <f>(0.015*'Capex GoodWe'!M161)/12</f>
        <v>61767.586178486563</v>
      </c>
      <c r="BX25" s="30">
        <f t="shared" ref="BX25:DS25" si="371">+BW25</f>
        <v>61767.586178486563</v>
      </c>
      <c r="BY25" s="30">
        <f t="shared" si="371"/>
        <v>61767.586178486563</v>
      </c>
      <c r="BZ25" s="30">
        <f t="shared" si="371"/>
        <v>61767.586178486563</v>
      </c>
      <c r="CA25" s="30">
        <f t="shared" si="371"/>
        <v>61767.586178486563</v>
      </c>
      <c r="CB25" s="30">
        <f t="shared" si="371"/>
        <v>61767.586178486563</v>
      </c>
      <c r="CC25" s="30">
        <f t="shared" si="371"/>
        <v>61767.586178486563</v>
      </c>
      <c r="CD25" s="30">
        <f>+CC25*(1+$B$17)</f>
        <v>63620.61376384116</v>
      </c>
      <c r="CE25" s="30">
        <f t="shared" si="371"/>
        <v>63620.61376384116</v>
      </c>
      <c r="CF25" s="30">
        <f t="shared" si="371"/>
        <v>63620.61376384116</v>
      </c>
      <c r="CG25" s="30">
        <f t="shared" si="371"/>
        <v>63620.61376384116</v>
      </c>
      <c r="CH25" s="30">
        <f t="shared" si="371"/>
        <v>63620.61376384116</v>
      </c>
      <c r="CI25" s="30">
        <f t="shared" si="371"/>
        <v>63620.61376384116</v>
      </c>
      <c r="CJ25" s="30">
        <f t="shared" si="371"/>
        <v>63620.61376384116</v>
      </c>
      <c r="CK25" s="30">
        <f t="shared" si="371"/>
        <v>63620.61376384116</v>
      </c>
      <c r="CL25" s="30">
        <f t="shared" si="371"/>
        <v>63620.61376384116</v>
      </c>
      <c r="CM25" s="30">
        <f t="shared" si="371"/>
        <v>63620.61376384116</v>
      </c>
      <c r="CN25" s="30">
        <f t="shared" si="371"/>
        <v>63620.61376384116</v>
      </c>
      <c r="CO25" s="30">
        <f t="shared" si="371"/>
        <v>63620.61376384116</v>
      </c>
      <c r="CP25" s="30">
        <f>+CO25*(1+$B$17)</f>
        <v>65529.232176756399</v>
      </c>
      <c r="CQ25" s="30">
        <f t="shared" si="371"/>
        <v>65529.232176756399</v>
      </c>
      <c r="CR25" s="30">
        <f t="shared" si="371"/>
        <v>65529.232176756399</v>
      </c>
      <c r="CS25" s="30">
        <f t="shared" si="371"/>
        <v>65529.232176756399</v>
      </c>
      <c r="CT25" s="30">
        <f t="shared" si="371"/>
        <v>65529.232176756399</v>
      </c>
      <c r="CU25" s="30">
        <f t="shared" si="371"/>
        <v>65529.232176756399</v>
      </c>
      <c r="CV25" s="30">
        <f t="shared" si="371"/>
        <v>65529.232176756399</v>
      </c>
      <c r="CW25" s="30">
        <f t="shared" si="371"/>
        <v>65529.232176756399</v>
      </c>
      <c r="CX25" s="30">
        <f t="shared" si="371"/>
        <v>65529.232176756399</v>
      </c>
      <c r="CY25" s="30">
        <f t="shared" si="371"/>
        <v>65529.232176756399</v>
      </c>
      <c r="CZ25" s="30">
        <f t="shared" si="371"/>
        <v>65529.232176756399</v>
      </c>
      <c r="DA25" s="30">
        <f t="shared" si="371"/>
        <v>65529.232176756399</v>
      </c>
      <c r="DB25" s="30">
        <f>+DA25*(1+$B$17)</f>
        <v>67495.109142059096</v>
      </c>
      <c r="DC25" s="30">
        <f t="shared" si="371"/>
        <v>67495.109142059096</v>
      </c>
      <c r="DD25" s="30">
        <f t="shared" si="371"/>
        <v>67495.109142059096</v>
      </c>
      <c r="DE25" s="30">
        <f t="shared" si="371"/>
        <v>67495.109142059096</v>
      </c>
      <c r="DF25" s="30">
        <f t="shared" si="371"/>
        <v>67495.109142059096</v>
      </c>
      <c r="DG25" s="30">
        <f t="shared" si="371"/>
        <v>67495.109142059096</v>
      </c>
      <c r="DH25" s="30">
        <f t="shared" si="371"/>
        <v>67495.109142059096</v>
      </c>
      <c r="DI25" s="30">
        <f t="shared" si="371"/>
        <v>67495.109142059096</v>
      </c>
      <c r="DJ25" s="30">
        <f t="shared" si="371"/>
        <v>67495.109142059096</v>
      </c>
      <c r="DK25" s="30">
        <f t="shared" si="371"/>
        <v>67495.109142059096</v>
      </c>
      <c r="DL25" s="30">
        <f t="shared" si="371"/>
        <v>67495.109142059096</v>
      </c>
      <c r="DM25" s="30">
        <f t="shared" si="371"/>
        <v>67495.109142059096</v>
      </c>
      <c r="DN25" s="30">
        <f>+DM25*(1+$B$17)</f>
        <v>69519.962416320865</v>
      </c>
      <c r="DO25" s="30">
        <f t="shared" si="371"/>
        <v>69519.962416320865</v>
      </c>
      <c r="DP25" s="30">
        <f t="shared" si="371"/>
        <v>69519.962416320865</v>
      </c>
      <c r="DQ25" s="30">
        <f t="shared" si="371"/>
        <v>69519.962416320865</v>
      </c>
      <c r="DR25" s="30">
        <f t="shared" si="371"/>
        <v>69519.962416320865</v>
      </c>
      <c r="DS25" s="30">
        <f t="shared" si="371"/>
        <v>69519.962416320865</v>
      </c>
      <c r="DT25" s="30">
        <f t="shared" ref="DT25:GE25" si="372">+DS25</f>
        <v>69519.962416320865</v>
      </c>
      <c r="DU25" s="30">
        <f t="shared" si="372"/>
        <v>69519.962416320865</v>
      </c>
      <c r="DV25" s="30">
        <f t="shared" si="372"/>
        <v>69519.962416320865</v>
      </c>
      <c r="DW25" s="30">
        <f t="shared" si="372"/>
        <v>69519.962416320865</v>
      </c>
      <c r="DX25" s="30">
        <f t="shared" si="372"/>
        <v>69519.962416320865</v>
      </c>
      <c r="DY25" s="30">
        <f t="shared" si="372"/>
        <v>69519.962416320865</v>
      </c>
      <c r="DZ25" s="30">
        <f>+DY25*(1+$B$17)</f>
        <v>71605.561288810495</v>
      </c>
      <c r="EA25" s="30">
        <f t="shared" si="372"/>
        <v>71605.561288810495</v>
      </c>
      <c r="EB25" s="30">
        <f t="shared" si="372"/>
        <v>71605.561288810495</v>
      </c>
      <c r="EC25" s="30">
        <f t="shared" si="372"/>
        <v>71605.561288810495</v>
      </c>
      <c r="ED25" s="30">
        <f t="shared" si="372"/>
        <v>71605.561288810495</v>
      </c>
      <c r="EE25" s="30">
        <f t="shared" si="372"/>
        <v>71605.561288810495</v>
      </c>
      <c r="EF25" s="30">
        <f t="shared" si="372"/>
        <v>71605.561288810495</v>
      </c>
      <c r="EG25" s="30">
        <f t="shared" si="372"/>
        <v>71605.561288810495</v>
      </c>
      <c r="EH25" s="30">
        <f t="shared" si="372"/>
        <v>71605.561288810495</v>
      </c>
      <c r="EI25" s="30">
        <f t="shared" si="372"/>
        <v>71605.561288810495</v>
      </c>
      <c r="EJ25" s="30">
        <f t="shared" si="372"/>
        <v>71605.561288810495</v>
      </c>
      <c r="EK25" s="30">
        <f t="shared" si="372"/>
        <v>71605.561288810495</v>
      </c>
      <c r="EL25" s="30">
        <f>+EK25*(1+$B$17)</f>
        <v>73753.728127474809</v>
      </c>
      <c r="EM25" s="30">
        <f t="shared" si="372"/>
        <v>73753.728127474809</v>
      </c>
      <c r="EN25" s="30">
        <f t="shared" si="372"/>
        <v>73753.728127474809</v>
      </c>
      <c r="EO25" s="30">
        <f t="shared" si="372"/>
        <v>73753.728127474809</v>
      </c>
      <c r="EP25" s="30">
        <f t="shared" si="372"/>
        <v>73753.728127474809</v>
      </c>
      <c r="EQ25" s="30">
        <f t="shared" si="372"/>
        <v>73753.728127474809</v>
      </c>
      <c r="ER25" s="30">
        <f t="shared" si="372"/>
        <v>73753.728127474809</v>
      </c>
      <c r="ES25" s="30">
        <f t="shared" si="372"/>
        <v>73753.728127474809</v>
      </c>
      <c r="ET25" s="30">
        <f t="shared" si="372"/>
        <v>73753.728127474809</v>
      </c>
      <c r="EU25" s="30">
        <f t="shared" si="372"/>
        <v>73753.728127474809</v>
      </c>
      <c r="EV25" s="30">
        <f t="shared" si="372"/>
        <v>73753.728127474809</v>
      </c>
      <c r="EW25" s="30">
        <f t="shared" si="372"/>
        <v>73753.728127474809</v>
      </c>
      <c r="EX25" s="30">
        <f>+EW25*(1+$B$17)</f>
        <v>75966.33997129905</v>
      </c>
      <c r="EY25" s="30">
        <f t="shared" si="372"/>
        <v>75966.33997129905</v>
      </c>
      <c r="EZ25" s="30">
        <f t="shared" si="372"/>
        <v>75966.33997129905</v>
      </c>
      <c r="FA25" s="30">
        <f t="shared" si="372"/>
        <v>75966.33997129905</v>
      </c>
      <c r="FB25" s="30">
        <f t="shared" si="372"/>
        <v>75966.33997129905</v>
      </c>
      <c r="FC25" s="30">
        <f t="shared" si="372"/>
        <v>75966.33997129905</v>
      </c>
      <c r="FD25" s="30">
        <f t="shared" si="372"/>
        <v>75966.33997129905</v>
      </c>
      <c r="FE25" s="30">
        <f t="shared" si="372"/>
        <v>75966.33997129905</v>
      </c>
      <c r="FF25" s="30">
        <f t="shared" si="372"/>
        <v>75966.33997129905</v>
      </c>
      <c r="FG25" s="30">
        <f t="shared" si="372"/>
        <v>75966.33997129905</v>
      </c>
      <c r="FH25" s="30">
        <f t="shared" si="372"/>
        <v>75966.33997129905</v>
      </c>
      <c r="FI25" s="30">
        <f t="shared" si="372"/>
        <v>75966.33997129905</v>
      </c>
      <c r="FJ25" s="30">
        <f>+FI25*(1+$B$17)</f>
        <v>78245.330170438028</v>
      </c>
      <c r="FK25" s="30">
        <f t="shared" si="372"/>
        <v>78245.330170438028</v>
      </c>
      <c r="FL25" s="30">
        <f t="shared" si="372"/>
        <v>78245.330170438028</v>
      </c>
      <c r="FM25" s="30">
        <f t="shared" si="372"/>
        <v>78245.330170438028</v>
      </c>
      <c r="FN25" s="30">
        <f t="shared" si="372"/>
        <v>78245.330170438028</v>
      </c>
      <c r="FO25" s="30">
        <f t="shared" si="372"/>
        <v>78245.330170438028</v>
      </c>
      <c r="FP25" s="30">
        <f t="shared" si="372"/>
        <v>78245.330170438028</v>
      </c>
      <c r="FQ25" s="30">
        <f t="shared" si="372"/>
        <v>78245.330170438028</v>
      </c>
      <c r="FR25" s="30">
        <f t="shared" si="372"/>
        <v>78245.330170438028</v>
      </c>
      <c r="FS25" s="30">
        <f t="shared" si="372"/>
        <v>78245.330170438028</v>
      </c>
      <c r="FT25" s="30">
        <f t="shared" si="372"/>
        <v>78245.330170438028</v>
      </c>
      <c r="FU25" s="30">
        <f t="shared" si="372"/>
        <v>78245.330170438028</v>
      </c>
      <c r="FV25" s="30">
        <f>+FU25*(1+$B$17)</f>
        <v>80592.690075551174</v>
      </c>
      <c r="FW25" s="30">
        <f t="shared" si="372"/>
        <v>80592.690075551174</v>
      </c>
      <c r="FX25" s="30">
        <f t="shared" si="372"/>
        <v>80592.690075551174</v>
      </c>
      <c r="FY25" s="30">
        <f t="shared" si="372"/>
        <v>80592.690075551174</v>
      </c>
      <c r="FZ25" s="30">
        <f t="shared" si="372"/>
        <v>80592.690075551174</v>
      </c>
      <c r="GA25" s="30">
        <f t="shared" si="372"/>
        <v>80592.690075551174</v>
      </c>
      <c r="GB25" s="30">
        <f t="shared" si="372"/>
        <v>80592.690075551174</v>
      </c>
      <c r="GC25" s="30">
        <f t="shared" si="372"/>
        <v>80592.690075551174</v>
      </c>
      <c r="GD25" s="30">
        <f t="shared" si="372"/>
        <v>80592.690075551174</v>
      </c>
      <c r="GE25" s="30">
        <f t="shared" si="372"/>
        <v>80592.690075551174</v>
      </c>
      <c r="GF25" s="30">
        <f t="shared" ref="GF25:IO25" si="373">+GE25</f>
        <v>80592.690075551174</v>
      </c>
      <c r="GG25" s="30">
        <f t="shared" si="373"/>
        <v>80592.690075551174</v>
      </c>
      <c r="GH25" s="30">
        <f>+GG25*(1+$B$17)</f>
        <v>83010.470777817711</v>
      </c>
      <c r="GI25" s="30">
        <f t="shared" si="373"/>
        <v>83010.470777817711</v>
      </c>
      <c r="GJ25" s="30">
        <f t="shared" si="373"/>
        <v>83010.470777817711</v>
      </c>
      <c r="GK25" s="30">
        <f t="shared" si="373"/>
        <v>83010.470777817711</v>
      </c>
      <c r="GL25" s="30">
        <f t="shared" si="373"/>
        <v>83010.470777817711</v>
      </c>
      <c r="GM25" s="30">
        <f t="shared" si="373"/>
        <v>83010.470777817711</v>
      </c>
      <c r="GN25" s="30">
        <f t="shared" si="373"/>
        <v>83010.470777817711</v>
      </c>
      <c r="GO25" s="30">
        <f t="shared" si="373"/>
        <v>83010.470777817711</v>
      </c>
      <c r="GP25" s="30">
        <f t="shared" si="373"/>
        <v>83010.470777817711</v>
      </c>
      <c r="GQ25" s="30">
        <f t="shared" si="373"/>
        <v>83010.470777817711</v>
      </c>
      <c r="GR25" s="30">
        <f t="shared" si="373"/>
        <v>83010.470777817711</v>
      </c>
      <c r="GS25" s="30">
        <f t="shared" si="373"/>
        <v>83010.470777817711</v>
      </c>
      <c r="GT25" s="30">
        <f>+GS25*(1+$B$17)</f>
        <v>85500.784901152248</v>
      </c>
      <c r="GU25" s="30">
        <f t="shared" si="373"/>
        <v>85500.784901152248</v>
      </c>
      <c r="GV25" s="30">
        <f t="shared" si="373"/>
        <v>85500.784901152248</v>
      </c>
      <c r="GW25" s="30">
        <f t="shared" si="373"/>
        <v>85500.784901152248</v>
      </c>
      <c r="GX25" s="30">
        <f t="shared" si="373"/>
        <v>85500.784901152248</v>
      </c>
      <c r="GY25" s="30">
        <f t="shared" si="373"/>
        <v>85500.784901152248</v>
      </c>
      <c r="GZ25" s="30">
        <f t="shared" si="373"/>
        <v>85500.784901152248</v>
      </c>
      <c r="HA25" s="30">
        <f t="shared" si="373"/>
        <v>85500.784901152248</v>
      </c>
      <c r="HB25" s="30">
        <f t="shared" si="373"/>
        <v>85500.784901152248</v>
      </c>
      <c r="HC25" s="30">
        <f t="shared" si="373"/>
        <v>85500.784901152248</v>
      </c>
      <c r="HD25" s="30">
        <f t="shared" si="373"/>
        <v>85500.784901152248</v>
      </c>
      <c r="HE25" s="30">
        <f t="shared" si="373"/>
        <v>85500.784901152248</v>
      </c>
      <c r="HF25" s="30">
        <f>+HE25*(1+$B$17)</f>
        <v>88065.808448186814</v>
      </c>
      <c r="HG25" s="30">
        <f t="shared" si="373"/>
        <v>88065.808448186814</v>
      </c>
      <c r="HH25" s="30">
        <f t="shared" si="373"/>
        <v>88065.808448186814</v>
      </c>
      <c r="HI25" s="30">
        <f t="shared" si="373"/>
        <v>88065.808448186814</v>
      </c>
      <c r="HJ25" s="30">
        <f t="shared" si="373"/>
        <v>88065.808448186814</v>
      </c>
      <c r="HK25" s="30">
        <f t="shared" si="373"/>
        <v>88065.808448186814</v>
      </c>
      <c r="HL25" s="30">
        <f t="shared" si="373"/>
        <v>88065.808448186814</v>
      </c>
      <c r="HM25" s="30">
        <f t="shared" si="373"/>
        <v>88065.808448186814</v>
      </c>
      <c r="HN25" s="30">
        <f t="shared" si="373"/>
        <v>88065.808448186814</v>
      </c>
      <c r="HO25" s="30">
        <f t="shared" si="373"/>
        <v>88065.808448186814</v>
      </c>
      <c r="HP25" s="30">
        <f t="shared" si="373"/>
        <v>88065.808448186814</v>
      </c>
      <c r="HQ25" s="30">
        <f t="shared" si="373"/>
        <v>88065.808448186814</v>
      </c>
      <c r="HR25" s="30">
        <f>+HQ25*(1+$B$17)</f>
        <v>90707.782701632415</v>
      </c>
      <c r="HS25" s="30">
        <f t="shared" si="373"/>
        <v>90707.782701632415</v>
      </c>
      <c r="HT25" s="30">
        <f t="shared" si="373"/>
        <v>90707.782701632415</v>
      </c>
      <c r="HU25" s="30">
        <f t="shared" si="373"/>
        <v>90707.782701632415</v>
      </c>
      <c r="HV25" s="30">
        <f t="shared" si="373"/>
        <v>90707.782701632415</v>
      </c>
      <c r="HW25" s="30">
        <f t="shared" si="373"/>
        <v>90707.782701632415</v>
      </c>
      <c r="HX25" s="30">
        <f t="shared" si="373"/>
        <v>90707.782701632415</v>
      </c>
      <c r="HY25" s="30">
        <f t="shared" si="373"/>
        <v>90707.782701632415</v>
      </c>
      <c r="HZ25" s="30">
        <f t="shared" si="373"/>
        <v>90707.782701632415</v>
      </c>
      <c r="IA25" s="30">
        <f t="shared" si="373"/>
        <v>90707.782701632415</v>
      </c>
      <c r="IB25" s="30">
        <f t="shared" si="373"/>
        <v>90707.782701632415</v>
      </c>
      <c r="IC25" s="30">
        <f t="shared" si="373"/>
        <v>90707.782701632415</v>
      </c>
      <c r="ID25" s="30">
        <f>+IC25*(1+$B$17)</f>
        <v>93429.016182681386</v>
      </c>
      <c r="IE25" s="30">
        <f t="shared" si="373"/>
        <v>93429.016182681386</v>
      </c>
      <c r="IF25" s="30">
        <f t="shared" si="373"/>
        <v>93429.016182681386</v>
      </c>
      <c r="IG25" s="30">
        <f t="shared" si="373"/>
        <v>93429.016182681386</v>
      </c>
      <c r="IH25" s="30">
        <f t="shared" si="373"/>
        <v>93429.016182681386</v>
      </c>
      <c r="II25" s="30">
        <f t="shared" si="373"/>
        <v>93429.016182681386</v>
      </c>
      <c r="IJ25" s="30">
        <f t="shared" si="373"/>
        <v>93429.016182681386</v>
      </c>
      <c r="IK25" s="30">
        <f t="shared" si="373"/>
        <v>93429.016182681386</v>
      </c>
      <c r="IL25" s="30">
        <f t="shared" si="373"/>
        <v>93429.016182681386</v>
      </c>
      <c r="IM25" s="30">
        <f t="shared" si="373"/>
        <v>93429.016182681386</v>
      </c>
      <c r="IN25" s="30">
        <f t="shared" si="373"/>
        <v>93429.016182681386</v>
      </c>
      <c r="IO25" s="30">
        <f t="shared" si="373"/>
        <v>93429.016182681386</v>
      </c>
    </row>
    <row r="26" spans="1:249" x14ac:dyDescent="0.3">
      <c r="A26" t="s">
        <v>644</v>
      </c>
      <c r="B26" s="33">
        <f>+SUM(V26:CC26)</f>
        <v>1342740.7430000007</v>
      </c>
      <c r="C26" s="33">
        <f>+B26</f>
        <v>1342740.7430000007</v>
      </c>
      <c r="D26" s="38">
        <f ca="1">+B26/$B$27</f>
        <v>2.227257692153025E-2</v>
      </c>
      <c r="E26" s="30"/>
      <c r="F26" s="30"/>
      <c r="G26" s="30"/>
      <c r="H26" s="30"/>
      <c r="I26" s="30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4"/>
      <c r="X26" s="34"/>
      <c r="Y26" s="34"/>
      <c r="Z26" s="34"/>
      <c r="AA26" s="34"/>
      <c r="AB26" s="34"/>
      <c r="AC26" s="34"/>
      <c r="AD26" s="34"/>
      <c r="AE26" s="34"/>
      <c r="AF26" s="34">
        <f>'Capex GoodWe'!C195</f>
        <v>25000</v>
      </c>
      <c r="AG26" s="34">
        <f t="shared" ref="AG26" si="374">+AF26</f>
        <v>25000</v>
      </c>
      <c r="AH26" s="34">
        <f>+AG26*(1+$B$17)</f>
        <v>25750</v>
      </c>
      <c r="AI26" s="34">
        <f>+AH26</f>
        <v>25750</v>
      </c>
      <c r="AJ26" s="34">
        <f t="shared" ref="AJ26:AS26" si="375">+AI26</f>
        <v>25750</v>
      </c>
      <c r="AK26" s="34">
        <f t="shared" si="375"/>
        <v>25750</v>
      </c>
      <c r="AL26" s="34">
        <f t="shared" si="375"/>
        <v>25750</v>
      </c>
      <c r="AM26" s="34">
        <f t="shared" si="375"/>
        <v>25750</v>
      </c>
      <c r="AN26" s="34">
        <f t="shared" si="375"/>
        <v>25750</v>
      </c>
      <c r="AO26" s="34">
        <f t="shared" si="375"/>
        <v>25750</v>
      </c>
      <c r="AP26" s="34">
        <f t="shared" si="375"/>
        <v>25750</v>
      </c>
      <c r="AQ26" s="34">
        <f t="shared" si="375"/>
        <v>25750</v>
      </c>
      <c r="AR26" s="34">
        <f t="shared" si="375"/>
        <v>25750</v>
      </c>
      <c r="AS26" s="34">
        <f t="shared" si="375"/>
        <v>25750</v>
      </c>
      <c r="AT26" s="34">
        <f>+AS26*(1+$B$17)</f>
        <v>26522.5</v>
      </c>
      <c r="AU26" s="34">
        <f>+AT26</f>
        <v>26522.5</v>
      </c>
      <c r="AV26" s="34">
        <f t="shared" ref="AV26:BE26" si="376">+AU26</f>
        <v>26522.5</v>
      </c>
      <c r="AW26" s="34">
        <f t="shared" si="376"/>
        <v>26522.5</v>
      </c>
      <c r="AX26" s="34">
        <f t="shared" si="376"/>
        <v>26522.5</v>
      </c>
      <c r="AY26" s="34">
        <f t="shared" si="376"/>
        <v>26522.5</v>
      </c>
      <c r="AZ26" s="34">
        <f t="shared" si="376"/>
        <v>26522.5</v>
      </c>
      <c r="BA26" s="34">
        <f t="shared" si="376"/>
        <v>26522.5</v>
      </c>
      <c r="BB26" s="34">
        <f t="shared" si="376"/>
        <v>26522.5</v>
      </c>
      <c r="BC26" s="34">
        <f t="shared" si="376"/>
        <v>26522.5</v>
      </c>
      <c r="BD26" s="34">
        <f t="shared" si="376"/>
        <v>26522.5</v>
      </c>
      <c r="BE26" s="34">
        <f t="shared" si="376"/>
        <v>26522.5</v>
      </c>
      <c r="BF26" s="34">
        <f>+BE26*(1+$B$17)</f>
        <v>27318.174999999999</v>
      </c>
      <c r="BG26" s="34">
        <f>+BF26</f>
        <v>27318.174999999999</v>
      </c>
      <c r="BH26" s="34">
        <f t="shared" ref="BH26:BQ26" si="377">+BG26</f>
        <v>27318.174999999999</v>
      </c>
      <c r="BI26" s="34">
        <f t="shared" si="377"/>
        <v>27318.174999999999</v>
      </c>
      <c r="BJ26" s="34">
        <f t="shared" si="377"/>
        <v>27318.174999999999</v>
      </c>
      <c r="BK26" s="34">
        <f t="shared" si="377"/>
        <v>27318.174999999999</v>
      </c>
      <c r="BL26" s="34">
        <f t="shared" si="377"/>
        <v>27318.174999999999</v>
      </c>
      <c r="BM26" s="34">
        <f t="shared" si="377"/>
        <v>27318.174999999999</v>
      </c>
      <c r="BN26" s="34">
        <f t="shared" si="377"/>
        <v>27318.174999999999</v>
      </c>
      <c r="BO26" s="34">
        <f t="shared" si="377"/>
        <v>27318.174999999999</v>
      </c>
      <c r="BP26" s="34">
        <f t="shared" si="377"/>
        <v>27318.174999999999</v>
      </c>
      <c r="BQ26" s="34">
        <f t="shared" si="377"/>
        <v>27318.174999999999</v>
      </c>
      <c r="BR26" s="34">
        <f>+BQ26*(1+$B$17)</f>
        <v>28137.720249999998</v>
      </c>
      <c r="BS26" s="34">
        <f>+BR26</f>
        <v>28137.720249999998</v>
      </c>
      <c r="BT26" s="34">
        <f t="shared" ref="BT26:CC26" si="378">+BS26</f>
        <v>28137.720249999998</v>
      </c>
      <c r="BU26" s="34">
        <f t="shared" si="378"/>
        <v>28137.720249999998</v>
      </c>
      <c r="BV26" s="34">
        <f t="shared" si="378"/>
        <v>28137.720249999998</v>
      </c>
      <c r="BW26" s="34">
        <f t="shared" si="378"/>
        <v>28137.720249999998</v>
      </c>
      <c r="BX26" s="34">
        <f t="shared" si="378"/>
        <v>28137.720249999998</v>
      </c>
      <c r="BY26" s="34">
        <f t="shared" si="378"/>
        <v>28137.720249999998</v>
      </c>
      <c r="BZ26" s="34">
        <f t="shared" si="378"/>
        <v>28137.720249999998</v>
      </c>
      <c r="CA26" s="34">
        <f t="shared" si="378"/>
        <v>28137.720249999998</v>
      </c>
      <c r="CB26" s="34">
        <f t="shared" si="378"/>
        <v>28137.720249999998</v>
      </c>
      <c r="CC26" s="34">
        <f t="shared" si="378"/>
        <v>28137.720249999998</v>
      </c>
      <c r="CD26" s="34">
        <f>+CC26*(1+$B$17)</f>
        <v>28981.851857499998</v>
      </c>
      <c r="CE26" s="34">
        <f>+CD26</f>
        <v>28981.851857499998</v>
      </c>
      <c r="CF26" s="34">
        <f t="shared" ref="CF26:CO26" si="379">+CE26</f>
        <v>28981.851857499998</v>
      </c>
      <c r="CG26" s="34">
        <f t="shared" si="379"/>
        <v>28981.851857499998</v>
      </c>
      <c r="CH26" s="34">
        <f t="shared" si="379"/>
        <v>28981.851857499998</v>
      </c>
      <c r="CI26" s="34">
        <f t="shared" si="379"/>
        <v>28981.851857499998</v>
      </c>
      <c r="CJ26" s="34">
        <f t="shared" si="379"/>
        <v>28981.851857499998</v>
      </c>
      <c r="CK26" s="34">
        <f t="shared" si="379"/>
        <v>28981.851857499998</v>
      </c>
      <c r="CL26" s="34">
        <f t="shared" si="379"/>
        <v>28981.851857499998</v>
      </c>
      <c r="CM26" s="34">
        <f t="shared" si="379"/>
        <v>28981.851857499998</v>
      </c>
      <c r="CN26" s="34">
        <f t="shared" si="379"/>
        <v>28981.851857499998</v>
      </c>
      <c r="CO26" s="34">
        <f t="shared" si="379"/>
        <v>28981.851857499998</v>
      </c>
      <c r="CP26" s="34">
        <f>+CO26*(1+$B$17)</f>
        <v>29851.307413225</v>
      </c>
      <c r="CQ26" s="34">
        <f>+CP26</f>
        <v>29851.307413225</v>
      </c>
      <c r="CR26" s="34">
        <f t="shared" ref="CR26:CZ26" si="380">+CQ26</f>
        <v>29851.307413225</v>
      </c>
      <c r="CS26" s="34">
        <f t="shared" si="380"/>
        <v>29851.307413225</v>
      </c>
      <c r="CT26" s="34">
        <f t="shared" si="380"/>
        <v>29851.307413225</v>
      </c>
      <c r="CU26" s="34">
        <f t="shared" si="380"/>
        <v>29851.307413225</v>
      </c>
      <c r="CV26" s="34">
        <f t="shared" si="380"/>
        <v>29851.307413225</v>
      </c>
      <c r="CW26" s="34">
        <f t="shared" si="380"/>
        <v>29851.307413225</v>
      </c>
      <c r="CX26" s="34">
        <f t="shared" si="380"/>
        <v>29851.307413225</v>
      </c>
      <c r="CY26" s="34">
        <f t="shared" si="380"/>
        <v>29851.307413225</v>
      </c>
      <c r="CZ26" s="34">
        <f t="shared" si="380"/>
        <v>29851.307413225</v>
      </c>
      <c r="DA26" s="34">
        <f>+CZ26</f>
        <v>29851.307413225</v>
      </c>
      <c r="DB26" s="34">
        <f>+DA26*(1+$B$17)</f>
        <v>30746.84663562175</v>
      </c>
      <c r="DC26" s="34">
        <f>+DB26</f>
        <v>30746.84663562175</v>
      </c>
      <c r="DD26" s="34">
        <f t="shared" ref="DD26:DM26" si="381">+DC26</f>
        <v>30746.84663562175</v>
      </c>
      <c r="DE26" s="34">
        <f t="shared" si="381"/>
        <v>30746.84663562175</v>
      </c>
      <c r="DF26" s="34">
        <f t="shared" si="381"/>
        <v>30746.84663562175</v>
      </c>
      <c r="DG26" s="34">
        <f t="shared" si="381"/>
        <v>30746.84663562175</v>
      </c>
      <c r="DH26" s="34">
        <f t="shared" si="381"/>
        <v>30746.84663562175</v>
      </c>
      <c r="DI26" s="34">
        <f t="shared" si="381"/>
        <v>30746.84663562175</v>
      </c>
      <c r="DJ26" s="34">
        <f t="shared" si="381"/>
        <v>30746.84663562175</v>
      </c>
      <c r="DK26" s="34">
        <f t="shared" si="381"/>
        <v>30746.84663562175</v>
      </c>
      <c r="DL26" s="34">
        <f t="shared" si="381"/>
        <v>30746.84663562175</v>
      </c>
      <c r="DM26" s="34">
        <f t="shared" si="381"/>
        <v>30746.84663562175</v>
      </c>
      <c r="DN26" s="34">
        <f>+DM26*(1+$B$17)</f>
        <v>31669.252034690402</v>
      </c>
      <c r="DO26" s="34">
        <f>+DN26</f>
        <v>31669.252034690402</v>
      </c>
      <c r="DP26" s="34">
        <f t="shared" ref="DP26:DT26" si="382">+DO26</f>
        <v>31669.252034690402</v>
      </c>
      <c r="DQ26" s="34">
        <f t="shared" si="382"/>
        <v>31669.252034690402</v>
      </c>
      <c r="DR26" s="34">
        <f t="shared" si="382"/>
        <v>31669.252034690402</v>
      </c>
      <c r="DS26" s="34">
        <f t="shared" si="382"/>
        <v>31669.252034690402</v>
      </c>
      <c r="DT26" s="34">
        <f t="shared" si="382"/>
        <v>31669.252034690402</v>
      </c>
      <c r="DU26" s="34">
        <f>+DT26</f>
        <v>31669.252034690402</v>
      </c>
      <c r="DV26" s="34">
        <f>+DU26</f>
        <v>31669.252034690402</v>
      </c>
      <c r="DW26" s="34">
        <f t="shared" ref="DW26" si="383">+DV26</f>
        <v>31669.252034690402</v>
      </c>
      <c r="DX26" s="34">
        <f t="shared" ref="DX26" si="384">+DW26</f>
        <v>31669.252034690402</v>
      </c>
      <c r="DY26" s="34">
        <f t="shared" ref="DY26" si="385">+DX26</f>
        <v>31669.252034690402</v>
      </c>
      <c r="DZ26" s="34">
        <f>+DY26*(1+$B$17)</f>
        <v>32619.329595731117</v>
      </c>
      <c r="EA26" s="34">
        <f>+DZ26</f>
        <v>32619.329595731117</v>
      </c>
      <c r="EB26" s="34">
        <f t="shared" ref="EB26" si="386">+EA26</f>
        <v>32619.329595731117</v>
      </c>
      <c r="EC26" s="34">
        <f t="shared" ref="EC26" si="387">+EB26</f>
        <v>32619.329595731117</v>
      </c>
      <c r="ED26" s="34">
        <f t="shared" ref="ED26" si="388">+EC26</f>
        <v>32619.329595731117</v>
      </c>
      <c r="EE26" s="34">
        <f t="shared" ref="EE26" si="389">+ED26</f>
        <v>32619.329595731117</v>
      </c>
      <c r="EF26" s="34">
        <f t="shared" ref="EF26" si="390">+EE26</f>
        <v>32619.329595731117</v>
      </c>
      <c r="EG26" s="34">
        <f t="shared" ref="EG26" si="391">+EF26</f>
        <v>32619.329595731117</v>
      </c>
      <c r="EH26" s="34">
        <f t="shared" ref="EH26" si="392">+EG26</f>
        <v>32619.329595731117</v>
      </c>
      <c r="EI26" s="34">
        <f t="shared" ref="EI26" si="393">+EH26</f>
        <v>32619.329595731117</v>
      </c>
      <c r="EJ26" s="34">
        <f t="shared" ref="EJ26" si="394">+EI26</f>
        <v>32619.329595731117</v>
      </c>
      <c r="EK26" s="34">
        <f t="shared" ref="EK26" si="395">+EJ26</f>
        <v>32619.329595731117</v>
      </c>
      <c r="EL26" s="34">
        <f>+EK26*(1+$B$17)</f>
        <v>33597.909483603049</v>
      </c>
      <c r="EM26" s="34">
        <f>+EL26</f>
        <v>33597.909483603049</v>
      </c>
      <c r="EN26" s="34">
        <f t="shared" ref="EN26" si="396">+EM26</f>
        <v>33597.909483603049</v>
      </c>
      <c r="EO26" s="34">
        <f t="shared" ref="EO26" si="397">+EN26</f>
        <v>33597.909483603049</v>
      </c>
      <c r="EP26" s="34">
        <f t="shared" ref="EP26" si="398">+EO26</f>
        <v>33597.909483603049</v>
      </c>
      <c r="EQ26" s="34">
        <f t="shared" ref="EQ26" si="399">+EP26</f>
        <v>33597.909483603049</v>
      </c>
      <c r="ER26" s="34">
        <f t="shared" ref="ER26" si="400">+EQ26</f>
        <v>33597.909483603049</v>
      </c>
      <c r="ES26" s="34">
        <f t="shared" ref="ES26" si="401">+ER26</f>
        <v>33597.909483603049</v>
      </c>
      <c r="ET26" s="34">
        <f t="shared" ref="ET26" si="402">+ES26</f>
        <v>33597.909483603049</v>
      </c>
      <c r="EU26" s="34">
        <f t="shared" ref="EU26" si="403">+ET26</f>
        <v>33597.909483603049</v>
      </c>
      <c r="EV26" s="34">
        <f t="shared" ref="EV26" si="404">+EU26</f>
        <v>33597.909483603049</v>
      </c>
      <c r="EW26" s="34">
        <f t="shared" ref="EW26" si="405">+EV26</f>
        <v>33597.909483603049</v>
      </c>
      <c r="EX26" s="34">
        <f>+EW26*(1+$B$17)</f>
        <v>34605.846768111143</v>
      </c>
      <c r="EY26" s="34">
        <f>+EX26</f>
        <v>34605.846768111143</v>
      </c>
      <c r="EZ26" s="34">
        <f t="shared" ref="EZ26" si="406">+EY26</f>
        <v>34605.846768111143</v>
      </c>
      <c r="FA26" s="34">
        <f t="shared" ref="FA26" si="407">+EZ26</f>
        <v>34605.846768111143</v>
      </c>
      <c r="FB26" s="34">
        <f t="shared" ref="FB26" si="408">+FA26</f>
        <v>34605.846768111143</v>
      </c>
      <c r="FC26" s="34">
        <f t="shared" ref="FC26:FD26" si="409">+FB26</f>
        <v>34605.846768111143</v>
      </c>
      <c r="FD26" s="34">
        <f t="shared" si="409"/>
        <v>34605.846768111143</v>
      </c>
      <c r="FE26" s="34">
        <f t="shared" ref="FE26:FI26" si="410">+FD26</f>
        <v>34605.846768111143</v>
      </c>
      <c r="FF26" s="34">
        <f t="shared" si="410"/>
        <v>34605.846768111143</v>
      </c>
      <c r="FG26" s="34">
        <f t="shared" si="410"/>
        <v>34605.846768111143</v>
      </c>
      <c r="FH26" s="34">
        <f>+FG26</f>
        <v>34605.846768111143</v>
      </c>
      <c r="FI26" s="34">
        <f t="shared" si="410"/>
        <v>34605.846768111143</v>
      </c>
      <c r="FJ26" s="34">
        <f>+FI26*(1+$B$17)</f>
        <v>35644.02217115448</v>
      </c>
      <c r="FK26" s="34">
        <f>+FJ26</f>
        <v>35644.02217115448</v>
      </c>
      <c r="FL26" s="34">
        <f t="shared" ref="FL26:FU26" si="411">+FK26</f>
        <v>35644.02217115448</v>
      </c>
      <c r="FM26" s="34">
        <f t="shared" si="411"/>
        <v>35644.02217115448</v>
      </c>
      <c r="FN26" s="34">
        <f t="shared" si="411"/>
        <v>35644.02217115448</v>
      </c>
      <c r="FO26" s="34">
        <f t="shared" si="411"/>
        <v>35644.02217115448</v>
      </c>
      <c r="FP26" s="34">
        <f t="shared" si="411"/>
        <v>35644.02217115448</v>
      </c>
      <c r="FQ26" s="34">
        <f t="shared" si="411"/>
        <v>35644.02217115448</v>
      </c>
      <c r="FR26" s="34">
        <f t="shared" si="411"/>
        <v>35644.02217115448</v>
      </c>
      <c r="FS26" s="34">
        <f t="shared" si="411"/>
        <v>35644.02217115448</v>
      </c>
      <c r="FT26" s="34">
        <f t="shared" si="411"/>
        <v>35644.02217115448</v>
      </c>
      <c r="FU26" s="34">
        <f t="shared" si="411"/>
        <v>35644.02217115448</v>
      </c>
      <c r="FV26" s="34">
        <f>+FU26*(1+$B$17)</f>
        <v>36713.342836289114</v>
      </c>
      <c r="FW26" s="34">
        <f>+FV26</f>
        <v>36713.342836289114</v>
      </c>
      <c r="FX26" s="34">
        <f t="shared" ref="FX26:GG26" si="412">+FW26</f>
        <v>36713.342836289114</v>
      </c>
      <c r="FY26" s="34">
        <f t="shared" si="412"/>
        <v>36713.342836289114</v>
      </c>
      <c r="FZ26" s="34">
        <f t="shared" si="412"/>
        <v>36713.342836289114</v>
      </c>
      <c r="GA26" s="34">
        <f t="shared" si="412"/>
        <v>36713.342836289114</v>
      </c>
      <c r="GB26" s="34">
        <f t="shared" si="412"/>
        <v>36713.342836289114</v>
      </c>
      <c r="GC26" s="34">
        <f t="shared" si="412"/>
        <v>36713.342836289114</v>
      </c>
      <c r="GD26" s="34">
        <f t="shared" si="412"/>
        <v>36713.342836289114</v>
      </c>
      <c r="GE26" s="34">
        <f t="shared" si="412"/>
        <v>36713.342836289114</v>
      </c>
      <c r="GF26" s="34">
        <f t="shared" si="412"/>
        <v>36713.342836289114</v>
      </c>
      <c r="GG26" s="34">
        <f t="shared" si="412"/>
        <v>36713.342836289114</v>
      </c>
      <c r="GH26" s="34">
        <f>+GG26*(1+$B$17)</f>
        <v>37814.743121377789</v>
      </c>
      <c r="GI26" s="34">
        <f>+GH26</f>
        <v>37814.743121377789</v>
      </c>
      <c r="GJ26" s="34">
        <f t="shared" ref="GJ26:GS26" si="413">+GI26</f>
        <v>37814.743121377789</v>
      </c>
      <c r="GK26" s="34">
        <f t="shared" si="413"/>
        <v>37814.743121377789</v>
      </c>
      <c r="GL26" s="34">
        <f t="shared" si="413"/>
        <v>37814.743121377789</v>
      </c>
      <c r="GM26" s="34">
        <f t="shared" si="413"/>
        <v>37814.743121377789</v>
      </c>
      <c r="GN26" s="34">
        <f t="shared" si="413"/>
        <v>37814.743121377789</v>
      </c>
      <c r="GO26" s="34">
        <f t="shared" si="413"/>
        <v>37814.743121377789</v>
      </c>
      <c r="GP26" s="34">
        <f t="shared" si="413"/>
        <v>37814.743121377789</v>
      </c>
      <c r="GQ26" s="34">
        <f t="shared" si="413"/>
        <v>37814.743121377789</v>
      </c>
      <c r="GR26" s="34">
        <f t="shared" si="413"/>
        <v>37814.743121377789</v>
      </c>
      <c r="GS26" s="34">
        <f t="shared" si="413"/>
        <v>37814.743121377789</v>
      </c>
      <c r="GT26" s="34">
        <f>+GS26*(1+$B$17)</f>
        <v>38949.185415019121</v>
      </c>
      <c r="GU26" s="34">
        <f>+GT26</f>
        <v>38949.185415019121</v>
      </c>
      <c r="GV26" s="34">
        <f t="shared" ref="GV26:HE26" si="414">+GU26</f>
        <v>38949.185415019121</v>
      </c>
      <c r="GW26" s="34">
        <f t="shared" si="414"/>
        <v>38949.185415019121</v>
      </c>
      <c r="GX26" s="34">
        <f t="shared" si="414"/>
        <v>38949.185415019121</v>
      </c>
      <c r="GY26" s="34">
        <f t="shared" si="414"/>
        <v>38949.185415019121</v>
      </c>
      <c r="GZ26" s="34">
        <f t="shared" si="414"/>
        <v>38949.185415019121</v>
      </c>
      <c r="HA26" s="34">
        <f t="shared" si="414"/>
        <v>38949.185415019121</v>
      </c>
      <c r="HB26" s="34">
        <f t="shared" si="414"/>
        <v>38949.185415019121</v>
      </c>
      <c r="HC26" s="34">
        <f t="shared" si="414"/>
        <v>38949.185415019121</v>
      </c>
      <c r="HD26" s="34">
        <f t="shared" si="414"/>
        <v>38949.185415019121</v>
      </c>
      <c r="HE26" s="34">
        <f t="shared" si="414"/>
        <v>38949.185415019121</v>
      </c>
      <c r="HF26" s="34">
        <f>+HE26*(1+$B$17)</f>
        <v>40117.660977469699</v>
      </c>
      <c r="HG26" s="34">
        <f>+HF26</f>
        <v>40117.660977469699</v>
      </c>
      <c r="HH26" s="34">
        <f t="shared" ref="HH26:HQ26" si="415">+HG26</f>
        <v>40117.660977469699</v>
      </c>
      <c r="HI26" s="34">
        <f t="shared" si="415"/>
        <v>40117.660977469699</v>
      </c>
      <c r="HJ26" s="34">
        <f t="shared" si="415"/>
        <v>40117.660977469699</v>
      </c>
      <c r="HK26" s="34">
        <f t="shared" si="415"/>
        <v>40117.660977469699</v>
      </c>
      <c r="HL26" s="34">
        <f t="shared" si="415"/>
        <v>40117.660977469699</v>
      </c>
      <c r="HM26" s="34">
        <f t="shared" si="415"/>
        <v>40117.660977469699</v>
      </c>
      <c r="HN26" s="34">
        <f t="shared" si="415"/>
        <v>40117.660977469699</v>
      </c>
      <c r="HO26" s="34">
        <f t="shared" si="415"/>
        <v>40117.660977469699</v>
      </c>
      <c r="HP26" s="34">
        <f t="shared" si="415"/>
        <v>40117.660977469699</v>
      </c>
      <c r="HQ26" s="34">
        <f t="shared" si="415"/>
        <v>40117.660977469699</v>
      </c>
      <c r="HR26" s="34">
        <f>+HQ26*(1+$B$17)</f>
        <v>41321.190806793791</v>
      </c>
      <c r="HS26" s="34">
        <f>+HR26</f>
        <v>41321.190806793791</v>
      </c>
      <c r="HT26" s="34">
        <f>+HS26</f>
        <v>41321.190806793791</v>
      </c>
      <c r="HU26" s="34">
        <f t="shared" ref="HU26:IC26" si="416">+HT26</f>
        <v>41321.190806793791</v>
      </c>
      <c r="HV26" s="34">
        <f t="shared" si="416"/>
        <v>41321.190806793791</v>
      </c>
      <c r="HW26" s="34">
        <f t="shared" si="416"/>
        <v>41321.190806793791</v>
      </c>
      <c r="HX26" s="34">
        <f t="shared" si="416"/>
        <v>41321.190806793791</v>
      </c>
      <c r="HY26" s="34">
        <f t="shared" si="416"/>
        <v>41321.190806793791</v>
      </c>
      <c r="HZ26" s="34">
        <f t="shared" si="416"/>
        <v>41321.190806793791</v>
      </c>
      <c r="IA26" s="34">
        <f t="shared" si="416"/>
        <v>41321.190806793791</v>
      </c>
      <c r="IB26" s="34">
        <f t="shared" si="416"/>
        <v>41321.190806793791</v>
      </c>
      <c r="IC26" s="34">
        <f t="shared" si="416"/>
        <v>41321.190806793791</v>
      </c>
      <c r="ID26" s="34">
        <f>+IC26*(1+$B$17)</f>
        <v>42560.826530997605</v>
      </c>
      <c r="IE26" s="34">
        <f>+ID26</f>
        <v>42560.826530997605</v>
      </c>
      <c r="IF26" s="34">
        <f t="shared" ref="IF26:IJ26" si="417">+IE26</f>
        <v>42560.826530997605</v>
      </c>
      <c r="IG26" s="34">
        <f t="shared" si="417"/>
        <v>42560.826530997605</v>
      </c>
      <c r="IH26" s="34">
        <f t="shared" si="417"/>
        <v>42560.826530997605</v>
      </c>
      <c r="II26" s="34">
        <f t="shared" si="417"/>
        <v>42560.826530997605</v>
      </c>
      <c r="IJ26" s="34">
        <f t="shared" si="417"/>
        <v>42560.826530997605</v>
      </c>
      <c r="IK26" s="34">
        <f>+IJ26*(1+$B$17)</f>
        <v>43837.651326927531</v>
      </c>
      <c r="IL26" s="34">
        <f>+IK26*(1+$B$17)</f>
        <v>45152.78086673536</v>
      </c>
      <c r="IM26" s="34">
        <f>+IL26</f>
        <v>45152.78086673536</v>
      </c>
      <c r="IN26" s="34">
        <f t="shared" ref="IN26" si="418">+IM26</f>
        <v>45152.78086673536</v>
      </c>
      <c r="IO26" s="34">
        <f t="shared" ref="IO26" si="419">+IN26</f>
        <v>45152.78086673536</v>
      </c>
    </row>
    <row r="27" spans="1:249" x14ac:dyDescent="0.3">
      <c r="A27" t="s">
        <v>11</v>
      </c>
      <c r="B27" s="33">
        <f ca="1">+SUM(E27:BQ27)</f>
        <v>60286726.036717035</v>
      </c>
      <c r="C27" s="33">
        <f>+SUM(C20:C26)</f>
        <v>54046809.685789257</v>
      </c>
      <c r="D27" s="33"/>
      <c r="E27" s="30">
        <f>+SUM(E20:E26)</f>
        <v>0</v>
      </c>
      <c r="F27" s="30">
        <f>+SUM(F20:F26)</f>
        <v>0</v>
      </c>
      <c r="G27" s="30">
        <f t="shared" ref="G27" si="420">+SUM(G20:G26)</f>
        <v>0</v>
      </c>
      <c r="H27" s="30">
        <f>+SUM(H20:H26)</f>
        <v>0</v>
      </c>
      <c r="I27" s="30">
        <f>+SUM(I20:I26)</f>
        <v>0</v>
      </c>
      <c r="J27" s="30">
        <f>+SUM(J20:J26)</f>
        <v>0</v>
      </c>
      <c r="K27" s="30">
        <f>+SUM(K21:K26)</f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>
        <f t="shared" ref="AF27:BW27" ca="1" si="421">+SUM(AF21:AF26)</f>
        <v>1532151.3897862288</v>
      </c>
      <c r="AG27" s="30">
        <f t="shared" ca="1" si="421"/>
        <v>1531653.3935923402</v>
      </c>
      <c r="AH27" s="30">
        <f t="shared" ca="1" si="421"/>
        <v>1731895.0224777448</v>
      </c>
      <c r="AI27" s="30">
        <f t="shared" ca="1" si="421"/>
        <v>1531376.0602982626</v>
      </c>
      <c r="AJ27" s="30">
        <f t="shared" ca="1" si="421"/>
        <v>1530846.2864067077</v>
      </c>
      <c r="AK27" s="30">
        <f t="shared" ca="1" si="421"/>
        <v>1736305.4755590789</v>
      </c>
      <c r="AL27" s="30">
        <f t="shared" ca="1" si="421"/>
        <v>1529753.397818791</v>
      </c>
      <c r="AM27" s="30">
        <f t="shared" ca="1" si="421"/>
        <v>1529189.8184589138</v>
      </c>
      <c r="AN27" s="30">
        <f t="shared" ca="1" si="421"/>
        <v>1734614.4978623725</v>
      </c>
      <c r="AO27" s="30">
        <f t="shared" ca="1" si="421"/>
        <v>1528027.1914200699</v>
      </c>
      <c r="AP27" s="30">
        <f t="shared" ca="1" si="421"/>
        <v>1527427.6494268861</v>
      </c>
      <c r="AQ27" s="30">
        <f t="shared" ca="1" si="421"/>
        <v>1732815.6169755107</v>
      </c>
      <c r="AR27" s="30">
        <f t="shared" ca="1" si="421"/>
        <v>1526190.8338480652</v>
      </c>
      <c r="AS27" s="30">
        <f t="shared" ca="1" si="421"/>
        <v>1525553.0344054645</v>
      </c>
      <c r="AT27" s="30">
        <f t="shared" ca="1" si="421"/>
        <v>1731674.4474744764</v>
      </c>
      <c r="AU27" s="30">
        <f t="shared" ca="1" si="421"/>
        <v>1525009.7962324261</v>
      </c>
      <c r="AV27" s="30">
        <f t="shared" ca="1" si="421"/>
        <v>1524331.2980894996</v>
      </c>
      <c r="AW27" s="30">
        <f t="shared" ca="1" si="421"/>
        <v>1729638.6645685958</v>
      </c>
      <c r="AX27" s="30">
        <f t="shared" ca="1" si="421"/>
        <v>1522931.6011826727</v>
      </c>
      <c r="AY27" s="30">
        <f t="shared" ca="1" si="421"/>
        <v>1522209.8073095435</v>
      </c>
      <c r="AZ27" s="30">
        <f t="shared" ca="1" si="421"/>
        <v>1727472.9760640564</v>
      </c>
      <c r="BA27" s="30">
        <f t="shared" ca="1" si="421"/>
        <v>1520720.7941676225</v>
      </c>
      <c r="BB27" s="30">
        <f t="shared" ca="1" si="421"/>
        <v>1519952.9418150124</v>
      </c>
      <c r="BC27" s="30">
        <f t="shared" ca="1" si="421"/>
        <v>1725169.0925383898</v>
      </c>
      <c r="BD27" s="30">
        <f t="shared" ca="1" si="421"/>
        <v>1518368.9130685043</v>
      </c>
      <c r="BE27" s="30">
        <f t="shared" ca="1" si="421"/>
        <v>1517552.063192996</v>
      </c>
      <c r="BF27" s="30">
        <f t="shared" ca="1" si="421"/>
        <v>1723513.8706117482</v>
      </c>
      <c r="BG27" s="30">
        <f t="shared" ca="1" si="421"/>
        <v>1516662.6307892243</v>
      </c>
      <c r="BH27" s="30">
        <f t="shared" ca="1" si="421"/>
        <v>1515793.6568037311</v>
      </c>
      <c r="BI27" s="30">
        <f t="shared" ca="1" si="421"/>
        <v>1720906.5791935402</v>
      </c>
      <c r="BJ27" s="30">
        <f t="shared" ca="1" si="421"/>
        <v>1514001.0207998035</v>
      </c>
      <c r="BK27" s="30">
        <f t="shared" ca="1" si="421"/>
        <v>1513076.5966061978</v>
      </c>
      <c r="BL27" s="30">
        <f t="shared" ca="1" si="421"/>
        <v>1718132.9135752246</v>
      </c>
      <c r="BM27" s="30">
        <f t="shared" ca="1" si="421"/>
        <v>1511169.5704811066</v>
      </c>
      <c r="BN27" s="30">
        <f t="shared" ca="1" si="421"/>
        <v>1510186.1577391941</v>
      </c>
      <c r="BO27" s="30">
        <f t="shared" ca="1" si="421"/>
        <v>1715182.2572318253</v>
      </c>
      <c r="BP27" s="30">
        <f t="shared" ca="1" si="421"/>
        <v>1508157.4421305531</v>
      </c>
      <c r="BQ27" s="30">
        <f t="shared" ca="1" si="421"/>
        <v>1507111.2767146709</v>
      </c>
      <c r="BR27" s="30">
        <f t="shared" ca="1" si="421"/>
        <v>1712862.861435958</v>
      </c>
      <c r="BS27" s="30">
        <f t="shared" ca="1" si="421"/>
        <v>1505772.6517295633</v>
      </c>
      <c r="BT27" s="30">
        <f t="shared" ca="1" si="421"/>
        <v>1504659.7293209524</v>
      </c>
      <c r="BU27" s="30">
        <f t="shared" ca="1" si="421"/>
        <v>1709523.6210288287</v>
      </c>
      <c r="BV27" s="30">
        <f t="shared" ca="1" si="421"/>
        <v>1502363.8438139521</v>
      </c>
      <c r="BW27" s="30">
        <f t="shared" ca="1" si="421"/>
        <v>1562947.4907522521</v>
      </c>
      <c r="BX27" s="30">
        <f t="shared" ref="BX27:EI27" ca="1" si="422">+SUM(BX21:BX26)</f>
        <v>1767738.8861112285</v>
      </c>
      <c r="BY27" s="30">
        <f t="shared" ca="1" si="422"/>
        <v>1560505.1022068504</v>
      </c>
      <c r="BZ27" s="30">
        <f t="shared" ca="1" si="422"/>
        <v>1559245.614471131</v>
      </c>
      <c r="CA27" s="30">
        <f t="shared" ca="1" si="422"/>
        <v>1763959.8874075841</v>
      </c>
      <c r="CB27" s="30">
        <f t="shared" ca="1" si="422"/>
        <v>1556647.3743635467</v>
      </c>
      <c r="CC27" s="30">
        <f t="shared" ca="1" si="422"/>
        <v>1555307.5172977583</v>
      </c>
      <c r="CD27" s="30">
        <f t="shared" ca="1" si="422"/>
        <v>1762636.9057359542</v>
      </c>
      <c r="CE27" s="30">
        <f t="shared" ca="1" si="422"/>
        <v>1555240.63975724</v>
      </c>
      <c r="CF27" s="30">
        <f t="shared" ca="1" si="422"/>
        <v>1553815.2849039692</v>
      </c>
      <c r="CG27" s="30">
        <f t="shared" ca="1" si="422"/>
        <v>1758360.2351579217</v>
      </c>
      <c r="CH27" s="30">
        <f t="shared" ca="1" si="422"/>
        <v>1550874.8718754984</v>
      </c>
      <c r="CI27" s="30">
        <f t="shared" ca="1" si="422"/>
        <v>1549358.5635246916</v>
      </c>
      <c r="CJ27" s="30">
        <f t="shared" ca="1" si="422"/>
        <v>1753810.6654165762</v>
      </c>
      <c r="CK27" s="30">
        <f t="shared" ca="1" si="422"/>
        <v>1546230.519431208</v>
      </c>
      <c r="CL27" s="30">
        <f t="shared" ca="1" si="422"/>
        <v>1544617.4537378117</v>
      </c>
      <c r="CM27" s="30">
        <f t="shared" ca="1" si="422"/>
        <v>1748970.782509136</v>
      </c>
      <c r="CN27" s="30">
        <f t="shared" si="422"/>
        <v>92602.465621341165</v>
      </c>
      <c r="CO27" s="30">
        <f t="shared" si="422"/>
        <v>92602.465621341165</v>
      </c>
      <c r="CP27" s="30">
        <f t="shared" si="422"/>
        <v>301380.53958998137</v>
      </c>
      <c r="CQ27" s="30">
        <f t="shared" si="422"/>
        <v>95380.539589981403</v>
      </c>
      <c r="CR27" s="30">
        <f t="shared" si="422"/>
        <v>95380.539589981403</v>
      </c>
      <c r="CS27" s="30">
        <f t="shared" si="422"/>
        <v>301380.53958998137</v>
      </c>
      <c r="CT27" s="30">
        <f t="shared" si="422"/>
        <v>95380.539589981403</v>
      </c>
      <c r="CU27" s="30">
        <f t="shared" si="422"/>
        <v>95380.539589981403</v>
      </c>
      <c r="CV27" s="30">
        <f t="shared" si="422"/>
        <v>301380.53958998137</v>
      </c>
      <c r="CW27" s="30">
        <f t="shared" si="422"/>
        <v>95380.539589981403</v>
      </c>
      <c r="CX27" s="30">
        <f t="shared" si="422"/>
        <v>95380.539589981403</v>
      </c>
      <c r="CY27" s="30">
        <f t="shared" si="422"/>
        <v>301380.53958998137</v>
      </c>
      <c r="CZ27" s="30">
        <f t="shared" si="422"/>
        <v>95380.539589981403</v>
      </c>
      <c r="DA27" s="30">
        <f t="shared" si="422"/>
        <v>95380.539589981403</v>
      </c>
      <c r="DB27" s="30">
        <f t="shared" si="422"/>
        <v>304241.95577768085</v>
      </c>
      <c r="DC27" s="30">
        <f t="shared" si="422"/>
        <v>98241.955777680851</v>
      </c>
      <c r="DD27" s="30">
        <f t="shared" si="422"/>
        <v>98241.955777680851</v>
      </c>
      <c r="DE27" s="30">
        <f t="shared" si="422"/>
        <v>304241.95577768085</v>
      </c>
      <c r="DF27" s="30">
        <f t="shared" si="422"/>
        <v>98241.955777680851</v>
      </c>
      <c r="DG27" s="30">
        <f t="shared" si="422"/>
        <v>98241.955777680851</v>
      </c>
      <c r="DH27" s="30">
        <f t="shared" si="422"/>
        <v>304241.95577768085</v>
      </c>
      <c r="DI27" s="30">
        <f t="shared" si="422"/>
        <v>98241.955777680851</v>
      </c>
      <c r="DJ27" s="30">
        <f t="shared" si="422"/>
        <v>98241.955777680851</v>
      </c>
      <c r="DK27" s="30">
        <f t="shared" si="422"/>
        <v>304241.95577768085</v>
      </c>
      <c r="DL27" s="30">
        <f t="shared" si="422"/>
        <v>98241.955777680851</v>
      </c>
      <c r="DM27" s="30">
        <f t="shared" si="422"/>
        <v>98241.955777680851</v>
      </c>
      <c r="DN27" s="30">
        <f t="shared" si="422"/>
        <v>307189.21445101127</v>
      </c>
      <c r="DO27" s="30">
        <f t="shared" si="422"/>
        <v>101189.21445101127</v>
      </c>
      <c r="DP27" s="30">
        <f t="shared" si="422"/>
        <v>101189.21445101127</v>
      </c>
      <c r="DQ27" s="30">
        <f t="shared" si="422"/>
        <v>307189.21445101127</v>
      </c>
      <c r="DR27" s="30">
        <f t="shared" si="422"/>
        <v>101189.21445101127</v>
      </c>
      <c r="DS27" s="30">
        <f t="shared" si="422"/>
        <v>101189.21445101127</v>
      </c>
      <c r="DT27" s="30">
        <f t="shared" si="422"/>
        <v>307189.21445101127</v>
      </c>
      <c r="DU27" s="30">
        <f t="shared" si="422"/>
        <v>101189.21445101127</v>
      </c>
      <c r="DV27" s="30">
        <f t="shared" si="422"/>
        <v>101189.21445101127</v>
      </c>
      <c r="DW27" s="30">
        <f t="shared" si="422"/>
        <v>307189.21445101127</v>
      </c>
      <c r="DX27" s="30">
        <f t="shared" si="422"/>
        <v>101189.21445101127</v>
      </c>
      <c r="DY27" s="30">
        <f t="shared" si="422"/>
        <v>101189.21445101127</v>
      </c>
      <c r="DZ27" s="30">
        <f t="shared" si="422"/>
        <v>310224.89088454162</v>
      </c>
      <c r="EA27" s="30">
        <f t="shared" si="422"/>
        <v>104224.89088454162</v>
      </c>
      <c r="EB27" s="30">
        <f t="shared" si="422"/>
        <v>104224.89088454162</v>
      </c>
      <c r="EC27" s="30">
        <f t="shared" si="422"/>
        <v>310224.89088454162</v>
      </c>
      <c r="ED27" s="30">
        <f t="shared" si="422"/>
        <v>104224.89088454162</v>
      </c>
      <c r="EE27" s="30">
        <f t="shared" si="422"/>
        <v>104224.89088454162</v>
      </c>
      <c r="EF27" s="30">
        <f t="shared" si="422"/>
        <v>310224.89088454162</v>
      </c>
      <c r="EG27" s="30">
        <f t="shared" si="422"/>
        <v>104224.89088454162</v>
      </c>
      <c r="EH27" s="30">
        <f t="shared" si="422"/>
        <v>104224.89088454162</v>
      </c>
      <c r="EI27" s="30">
        <f t="shared" si="422"/>
        <v>310224.89088454162</v>
      </c>
      <c r="EJ27" s="30">
        <f t="shared" ref="EJ27:GU27" si="423">+SUM(EJ21:EJ26)</f>
        <v>104224.89088454162</v>
      </c>
      <c r="EK27" s="30">
        <f t="shared" si="423"/>
        <v>104224.89088454162</v>
      </c>
      <c r="EL27" s="30">
        <f t="shared" si="423"/>
        <v>313351.63761107781</v>
      </c>
      <c r="EM27" s="30">
        <f t="shared" si="423"/>
        <v>107351.63761107787</v>
      </c>
      <c r="EN27" s="30">
        <f t="shared" si="423"/>
        <v>107351.63761107787</v>
      </c>
      <c r="EO27" s="30">
        <f t="shared" si="423"/>
        <v>313351.63761107781</v>
      </c>
      <c r="EP27" s="30">
        <f t="shared" si="423"/>
        <v>107351.63761107787</v>
      </c>
      <c r="EQ27" s="30">
        <f t="shared" si="423"/>
        <v>107351.63761107787</v>
      </c>
      <c r="ER27" s="30">
        <f t="shared" si="423"/>
        <v>313351.63761107781</v>
      </c>
      <c r="ES27" s="30">
        <f t="shared" si="423"/>
        <v>107351.63761107787</v>
      </c>
      <c r="ET27" s="30">
        <f t="shared" si="423"/>
        <v>107351.63761107787</v>
      </c>
      <c r="EU27" s="30">
        <f t="shared" si="423"/>
        <v>313351.63761107781</v>
      </c>
      <c r="EV27" s="30">
        <f t="shared" si="423"/>
        <v>107351.63761107787</v>
      </c>
      <c r="EW27" s="30">
        <f t="shared" si="423"/>
        <v>107351.63761107787</v>
      </c>
      <c r="EX27" s="30">
        <f t="shared" si="423"/>
        <v>316572.18673941022</v>
      </c>
      <c r="EY27" s="30">
        <f t="shared" si="423"/>
        <v>110572.18673941019</v>
      </c>
      <c r="EZ27" s="30">
        <f t="shared" si="423"/>
        <v>110572.18673941019</v>
      </c>
      <c r="FA27" s="30">
        <f t="shared" si="423"/>
        <v>316572.18673941022</v>
      </c>
      <c r="FB27" s="30">
        <f t="shared" si="423"/>
        <v>110572.18673941019</v>
      </c>
      <c r="FC27" s="30">
        <f t="shared" si="423"/>
        <v>110572.18673941019</v>
      </c>
      <c r="FD27" s="30">
        <f t="shared" si="423"/>
        <v>316572.18673941022</v>
      </c>
      <c r="FE27" s="30">
        <f t="shared" si="423"/>
        <v>110572.18673941019</v>
      </c>
      <c r="FF27" s="30">
        <f t="shared" si="423"/>
        <v>110572.18673941019</v>
      </c>
      <c r="FG27" s="30">
        <f t="shared" si="423"/>
        <v>316572.18673941022</v>
      </c>
      <c r="FH27" s="30">
        <f t="shared" si="423"/>
        <v>110572.18673941019</v>
      </c>
      <c r="FI27" s="30">
        <f t="shared" si="423"/>
        <v>110572.18673941019</v>
      </c>
      <c r="FJ27" s="30">
        <f t="shared" si="423"/>
        <v>319889.35234159254</v>
      </c>
      <c r="FK27" s="30">
        <f t="shared" si="423"/>
        <v>113889.35234159252</v>
      </c>
      <c r="FL27" s="30">
        <f t="shared" si="423"/>
        <v>113889.35234159252</v>
      </c>
      <c r="FM27" s="30">
        <f t="shared" si="423"/>
        <v>319889.35234159254</v>
      </c>
      <c r="FN27" s="30">
        <f t="shared" si="423"/>
        <v>113889.35234159252</v>
      </c>
      <c r="FO27" s="30">
        <f t="shared" si="423"/>
        <v>113889.35234159252</v>
      </c>
      <c r="FP27" s="30">
        <f t="shared" si="423"/>
        <v>319889.35234159254</v>
      </c>
      <c r="FQ27" s="30">
        <f t="shared" si="423"/>
        <v>113889.35234159252</v>
      </c>
      <c r="FR27" s="30">
        <f t="shared" si="423"/>
        <v>113889.35234159252</v>
      </c>
      <c r="FS27" s="30">
        <f t="shared" si="423"/>
        <v>319889.35234159254</v>
      </c>
      <c r="FT27" s="30">
        <f t="shared" si="423"/>
        <v>113889.35234159252</v>
      </c>
      <c r="FU27" s="30">
        <f t="shared" si="423"/>
        <v>113889.35234159252</v>
      </c>
      <c r="FV27" s="30">
        <f t="shared" si="423"/>
        <v>323306.03291184024</v>
      </c>
      <c r="FW27" s="30">
        <f t="shared" si="423"/>
        <v>117306.03291184029</v>
      </c>
      <c r="FX27" s="30">
        <f t="shared" si="423"/>
        <v>117306.03291184029</v>
      </c>
      <c r="FY27" s="30">
        <f t="shared" si="423"/>
        <v>323306.03291184024</v>
      </c>
      <c r="FZ27" s="30">
        <f t="shared" si="423"/>
        <v>117306.03291184029</v>
      </c>
      <c r="GA27" s="30">
        <f t="shared" si="423"/>
        <v>117306.03291184029</v>
      </c>
      <c r="GB27" s="30">
        <f t="shared" si="423"/>
        <v>323306.03291184024</v>
      </c>
      <c r="GC27" s="30">
        <f t="shared" si="423"/>
        <v>117306.03291184029</v>
      </c>
      <c r="GD27" s="30">
        <f t="shared" si="423"/>
        <v>117306.03291184029</v>
      </c>
      <c r="GE27" s="30">
        <f t="shared" si="423"/>
        <v>323306.03291184024</v>
      </c>
      <c r="GF27" s="30">
        <f t="shared" si="423"/>
        <v>117306.03291184029</v>
      </c>
      <c r="GG27" s="30">
        <f t="shared" si="423"/>
        <v>117306.03291184029</v>
      </c>
      <c r="GH27" s="30">
        <f t="shared" si="423"/>
        <v>326825.21389919549</v>
      </c>
      <c r="GI27" s="30">
        <f t="shared" si="423"/>
        <v>120825.2138991955</v>
      </c>
      <c r="GJ27" s="30">
        <f t="shared" si="423"/>
        <v>120825.2138991955</v>
      </c>
      <c r="GK27" s="30">
        <f t="shared" si="423"/>
        <v>326825.21389919549</v>
      </c>
      <c r="GL27" s="30">
        <f t="shared" si="423"/>
        <v>120825.2138991955</v>
      </c>
      <c r="GM27" s="30">
        <f t="shared" si="423"/>
        <v>120825.2138991955</v>
      </c>
      <c r="GN27" s="30">
        <f t="shared" si="423"/>
        <v>326825.21389919549</v>
      </c>
      <c r="GO27" s="30">
        <f t="shared" si="423"/>
        <v>120825.2138991955</v>
      </c>
      <c r="GP27" s="30">
        <f t="shared" si="423"/>
        <v>120825.2138991955</v>
      </c>
      <c r="GQ27" s="30">
        <f t="shared" si="423"/>
        <v>326825.21389919549</v>
      </c>
      <c r="GR27" s="30">
        <f t="shared" si="423"/>
        <v>120825.2138991955</v>
      </c>
      <c r="GS27" s="30">
        <f t="shared" si="423"/>
        <v>120825.2138991955</v>
      </c>
      <c r="GT27" s="30">
        <f t="shared" si="423"/>
        <v>330449.97031617136</v>
      </c>
      <c r="GU27" s="30">
        <f t="shared" si="423"/>
        <v>124449.97031617137</v>
      </c>
      <c r="GV27" s="30">
        <f t="shared" ref="GV27:IO27" si="424">+SUM(GV21:GV26)</f>
        <v>124449.97031617137</v>
      </c>
      <c r="GW27" s="30">
        <f t="shared" si="424"/>
        <v>330449.97031617136</v>
      </c>
      <c r="GX27" s="30">
        <f t="shared" si="424"/>
        <v>124449.97031617137</v>
      </c>
      <c r="GY27" s="30">
        <f t="shared" si="424"/>
        <v>124449.97031617137</v>
      </c>
      <c r="GZ27" s="30">
        <f t="shared" si="424"/>
        <v>330449.97031617136</v>
      </c>
      <c r="HA27" s="30">
        <f t="shared" si="424"/>
        <v>124449.97031617137</v>
      </c>
      <c r="HB27" s="30">
        <f t="shared" si="424"/>
        <v>124449.97031617137</v>
      </c>
      <c r="HC27" s="30">
        <f t="shared" si="424"/>
        <v>330449.97031617136</v>
      </c>
      <c r="HD27" s="30">
        <f t="shared" si="424"/>
        <v>124449.97031617137</v>
      </c>
      <c r="HE27" s="30">
        <f t="shared" si="424"/>
        <v>124449.97031617137</v>
      </c>
      <c r="HF27" s="30">
        <f t="shared" si="424"/>
        <v>334183.46942565654</v>
      </c>
      <c r="HG27" s="30">
        <f t="shared" si="424"/>
        <v>128183.46942565651</v>
      </c>
      <c r="HH27" s="30">
        <f t="shared" si="424"/>
        <v>128183.46942565651</v>
      </c>
      <c r="HI27" s="30">
        <f t="shared" si="424"/>
        <v>334183.46942565654</v>
      </c>
      <c r="HJ27" s="30">
        <f t="shared" si="424"/>
        <v>128183.46942565651</v>
      </c>
      <c r="HK27" s="30">
        <f t="shared" si="424"/>
        <v>128183.46942565651</v>
      </c>
      <c r="HL27" s="30">
        <f t="shared" si="424"/>
        <v>334183.46942565654</v>
      </c>
      <c r="HM27" s="30">
        <f t="shared" si="424"/>
        <v>128183.46942565651</v>
      </c>
      <c r="HN27" s="30">
        <f t="shared" si="424"/>
        <v>128183.46942565651</v>
      </c>
      <c r="HO27" s="30">
        <f t="shared" si="424"/>
        <v>334183.46942565654</v>
      </c>
      <c r="HP27" s="30">
        <f t="shared" si="424"/>
        <v>128183.46942565651</v>
      </c>
      <c r="HQ27" s="30">
        <f t="shared" si="424"/>
        <v>128183.46942565651</v>
      </c>
      <c r="HR27" s="30">
        <f t="shared" si="424"/>
        <v>338028.97350842622</v>
      </c>
      <c r="HS27" s="30">
        <f t="shared" si="424"/>
        <v>132028.97350842622</v>
      </c>
      <c r="HT27" s="30">
        <f t="shared" si="424"/>
        <v>132028.97350842622</v>
      </c>
      <c r="HU27" s="30">
        <f t="shared" si="424"/>
        <v>338028.97350842622</v>
      </c>
      <c r="HV27" s="30">
        <f t="shared" si="424"/>
        <v>132028.97350842622</v>
      </c>
      <c r="HW27" s="30">
        <f t="shared" si="424"/>
        <v>132028.97350842622</v>
      </c>
      <c r="HX27" s="30">
        <f t="shared" si="424"/>
        <v>338028.97350842622</v>
      </c>
      <c r="HY27" s="30">
        <f t="shared" si="424"/>
        <v>132028.97350842622</v>
      </c>
      <c r="HZ27" s="30">
        <f t="shared" si="424"/>
        <v>132028.97350842622</v>
      </c>
      <c r="IA27" s="30">
        <f t="shared" si="424"/>
        <v>338028.97350842622</v>
      </c>
      <c r="IB27" s="30">
        <f t="shared" si="424"/>
        <v>132028.97350842622</v>
      </c>
      <c r="IC27" s="30">
        <f t="shared" si="424"/>
        <v>132028.97350842622</v>
      </c>
      <c r="ID27" s="30">
        <f t="shared" si="424"/>
        <v>341989.84271367895</v>
      </c>
      <c r="IE27" s="30">
        <f t="shared" si="424"/>
        <v>135989.84271367898</v>
      </c>
      <c r="IF27" s="30">
        <f t="shared" si="424"/>
        <v>135989.84271367898</v>
      </c>
      <c r="IG27" s="30">
        <f t="shared" si="424"/>
        <v>341989.84271367895</v>
      </c>
      <c r="IH27" s="30">
        <f t="shared" si="424"/>
        <v>135989.84271367898</v>
      </c>
      <c r="II27" s="30">
        <f t="shared" si="424"/>
        <v>135989.84271367898</v>
      </c>
      <c r="IJ27" s="30">
        <f t="shared" si="424"/>
        <v>341989.84271367895</v>
      </c>
      <c r="IK27" s="30">
        <f t="shared" si="424"/>
        <v>137266.6675096089</v>
      </c>
      <c r="IL27" s="30">
        <f t="shared" si="424"/>
        <v>138581.79704941675</v>
      </c>
      <c r="IM27" s="30">
        <f t="shared" si="424"/>
        <v>344581.79704941675</v>
      </c>
      <c r="IN27" s="30">
        <f t="shared" si="424"/>
        <v>138581.79704941675</v>
      </c>
      <c r="IO27" s="30">
        <f t="shared" si="424"/>
        <v>138581.79704941675</v>
      </c>
    </row>
    <row r="28" spans="1:249" x14ac:dyDescent="0.3">
      <c r="A28" t="s">
        <v>778</v>
      </c>
      <c r="B28" s="31">
        <f>+B8</f>
        <v>481211.0719293427</v>
      </c>
      <c r="C28" s="31">
        <f>+B28</f>
        <v>481211.0719293427</v>
      </c>
    </row>
    <row r="29" spans="1:249" x14ac:dyDescent="0.3">
      <c r="A29" s="6" t="s">
        <v>779</v>
      </c>
      <c r="B29" s="31">
        <f ca="1">+B27/B28</f>
        <v>125.28125297492961</v>
      </c>
      <c r="C29" s="31">
        <f>+C27/C28</f>
        <v>112.31414412203108</v>
      </c>
      <c r="D29" s="31"/>
      <c r="E29" s="31">
        <f t="shared" ref="E29:BP29" si="425">+E27/E8</f>
        <v>0</v>
      </c>
      <c r="F29" s="31">
        <f t="shared" si="425"/>
        <v>0</v>
      </c>
      <c r="G29" s="31">
        <f t="shared" si="425"/>
        <v>0</v>
      </c>
      <c r="H29" s="31">
        <f t="shared" si="425"/>
        <v>0</v>
      </c>
      <c r="I29" s="31">
        <f t="shared" si="425"/>
        <v>0</v>
      </c>
      <c r="J29" s="31">
        <f t="shared" si="425"/>
        <v>0</v>
      </c>
      <c r="K29" s="31">
        <f t="shared" si="425"/>
        <v>0</v>
      </c>
      <c r="L29" s="31">
        <f t="shared" si="425"/>
        <v>0</v>
      </c>
      <c r="M29" s="31">
        <f t="shared" si="425"/>
        <v>0</v>
      </c>
      <c r="N29" s="31">
        <f t="shared" si="425"/>
        <v>0</v>
      </c>
      <c r="O29" s="31">
        <f t="shared" si="425"/>
        <v>0</v>
      </c>
      <c r="P29" s="31">
        <f t="shared" si="425"/>
        <v>0</v>
      </c>
      <c r="Q29" s="31">
        <f t="shared" si="425"/>
        <v>0</v>
      </c>
      <c r="R29" s="31">
        <f t="shared" si="425"/>
        <v>0</v>
      </c>
      <c r="S29" s="31">
        <f t="shared" si="425"/>
        <v>0</v>
      </c>
      <c r="T29" s="31">
        <f t="shared" si="425"/>
        <v>0</v>
      </c>
      <c r="U29" s="31">
        <f t="shared" si="425"/>
        <v>0</v>
      </c>
      <c r="V29" s="31">
        <f t="shared" si="425"/>
        <v>0</v>
      </c>
      <c r="W29" s="31">
        <f t="shared" si="425"/>
        <v>0</v>
      </c>
      <c r="X29" s="31">
        <f t="shared" si="425"/>
        <v>0</v>
      </c>
      <c r="Y29" s="31">
        <f t="shared" si="425"/>
        <v>0</v>
      </c>
      <c r="Z29" s="31">
        <f t="shared" si="425"/>
        <v>0</v>
      </c>
      <c r="AA29" s="31">
        <f t="shared" si="425"/>
        <v>0</v>
      </c>
      <c r="AB29" s="31">
        <f t="shared" si="425"/>
        <v>0</v>
      </c>
      <c r="AC29" s="31">
        <f t="shared" si="425"/>
        <v>0</v>
      </c>
      <c r="AD29" s="31">
        <f t="shared" si="425"/>
        <v>0</v>
      </c>
      <c r="AE29" s="31">
        <f t="shared" si="425"/>
        <v>0</v>
      </c>
      <c r="AF29" s="31">
        <f t="shared" ca="1" si="425"/>
        <v>867.94696326291682</v>
      </c>
      <c r="AG29" s="31">
        <f t="shared" ca="1" si="425"/>
        <v>820.80752594178307</v>
      </c>
      <c r="AH29" s="31">
        <f t="shared" ca="1" si="425"/>
        <v>807.78865609841296</v>
      </c>
      <c r="AI29" s="31">
        <f t="shared" ca="1" si="425"/>
        <v>774.76567052305472</v>
      </c>
      <c r="AJ29" s="31">
        <f t="shared" ca="1" si="425"/>
        <v>650.42682835731648</v>
      </c>
      <c r="AK29" s="31">
        <f t="shared" ca="1" si="425"/>
        <v>812.11949850399651</v>
      </c>
      <c r="AL29" s="31">
        <f t="shared" ca="1" si="425"/>
        <v>737.96513827603212</v>
      </c>
      <c r="AM29" s="31">
        <f t="shared" ca="1" si="425"/>
        <v>733.8926088311764</v>
      </c>
      <c r="AN29" s="31">
        <f t="shared" ca="1" si="425"/>
        <v>782.31706405064131</v>
      </c>
      <c r="AO29" s="31">
        <f t="shared" ca="1" si="425"/>
        <v>698.69582577714198</v>
      </c>
      <c r="AP29" s="31">
        <f t="shared" ca="1" si="425"/>
        <v>746.30589696311063</v>
      </c>
      <c r="AQ29" s="31">
        <f t="shared" ca="1" si="425"/>
        <v>939.09105003454033</v>
      </c>
      <c r="AR29" s="31">
        <f t="shared" ca="1" si="425"/>
        <v>865.4562039784945</v>
      </c>
      <c r="AS29" s="31">
        <f t="shared" ca="1" si="425"/>
        <v>818.37600723742162</v>
      </c>
      <c r="AT29" s="31">
        <f t="shared" ca="1" si="425"/>
        <v>808.51332263859103</v>
      </c>
      <c r="AU29" s="31">
        <f t="shared" ca="1" si="425"/>
        <v>745.70306563046233</v>
      </c>
      <c r="AV29" s="31">
        <f t="shared" ca="1" si="425"/>
        <v>648.32232123978611</v>
      </c>
      <c r="AW29" s="31">
        <f t="shared" ca="1" si="425"/>
        <v>809.83013593332305</v>
      </c>
      <c r="AX29" s="31">
        <f t="shared" ca="1" si="425"/>
        <v>735.4269896334846</v>
      </c>
      <c r="AY29" s="31">
        <f t="shared" ca="1" si="425"/>
        <v>731.29125130323519</v>
      </c>
      <c r="AZ29" s="31">
        <f t="shared" ca="1" si="425"/>
        <v>779.89446764079753</v>
      </c>
      <c r="BA29" s="31">
        <f t="shared" ca="1" si="425"/>
        <v>696.06813441269026</v>
      </c>
      <c r="BB29" s="31">
        <f t="shared" ca="1" si="425"/>
        <v>743.41542772650564</v>
      </c>
      <c r="BC29" s="31">
        <f t="shared" ca="1" si="425"/>
        <v>935.9059731210134</v>
      </c>
      <c r="BD29" s="31">
        <f t="shared" ca="1" si="425"/>
        <v>861.9037297107343</v>
      </c>
      <c r="BE29" s="31">
        <f t="shared" ca="1" si="425"/>
        <v>814.91888038249681</v>
      </c>
      <c r="BF29" s="31">
        <f t="shared" ca="1" si="425"/>
        <v>805.5285117012653</v>
      </c>
      <c r="BG29" s="31">
        <f t="shared" ca="1" si="425"/>
        <v>768.8957312962973</v>
      </c>
      <c r="BH29" s="31">
        <f t="shared" ca="1" si="425"/>
        <v>645.35234841447482</v>
      </c>
      <c r="BI29" s="31">
        <f t="shared" ca="1" si="425"/>
        <v>806.56810809918738</v>
      </c>
      <c r="BJ29" s="31">
        <f t="shared" ca="1" si="425"/>
        <v>731.86425381706192</v>
      </c>
      <c r="BK29" s="31">
        <f t="shared" ca="1" si="425"/>
        <v>727.64906900169785</v>
      </c>
      <c r="BL29" s="31">
        <f t="shared" ca="1" si="425"/>
        <v>776.47331849328418</v>
      </c>
      <c r="BM29" s="31">
        <f t="shared" ca="1" si="425"/>
        <v>695.26176933254442</v>
      </c>
      <c r="BN29" s="31">
        <f t="shared" ca="1" si="425"/>
        <v>742.44586693066583</v>
      </c>
      <c r="BO29" s="31">
        <f t="shared" ca="1" si="425"/>
        <v>935.28443532967492</v>
      </c>
      <c r="BP29" s="31">
        <f t="shared" ca="1" si="425"/>
        <v>860.5201009579996</v>
      </c>
      <c r="BQ29" s="31">
        <f t="shared" ref="BQ29:EB29" ca="1" si="426">+BQ27/BQ8</f>
        <v>813.48393578854098</v>
      </c>
      <c r="BR29" s="31">
        <f t="shared" ca="1" si="426"/>
        <v>804.67703768163381</v>
      </c>
      <c r="BS29" s="31">
        <f t="shared" ca="1" si="426"/>
        <v>767.30980897978486</v>
      </c>
      <c r="BT29" s="31">
        <f t="shared" ca="1" si="426"/>
        <v>643.91417928725627</v>
      </c>
      <c r="BU29" s="31">
        <f t="shared" ca="1" si="426"/>
        <v>805.36312051075379</v>
      </c>
      <c r="BV29" s="31">
        <f t="shared" ca="1" si="426"/>
        <v>729.98237131506608</v>
      </c>
      <c r="BW29" s="31">
        <f t="shared" ca="1" si="426"/>
        <v>755.50672263572721</v>
      </c>
      <c r="BX29" s="31">
        <f t="shared" ca="1" si="426"/>
        <v>803.00967211354032</v>
      </c>
      <c r="BY29" s="31">
        <f t="shared" ca="1" si="426"/>
        <v>721.68015537666929</v>
      </c>
      <c r="BZ29" s="31">
        <f t="shared" ca="1" si="426"/>
        <v>770.53657978488889</v>
      </c>
      <c r="CA29" s="31">
        <f t="shared" ca="1" si="426"/>
        <v>966.86659897353479</v>
      </c>
      <c r="CB29" s="31">
        <f t="shared" ca="1" si="426"/>
        <v>892.78935288560899</v>
      </c>
      <c r="CC29" s="31">
        <f t="shared" ca="1" si="426"/>
        <v>843.84824943297497</v>
      </c>
      <c r="CD29" s="31">
        <f t="shared" ca="1" si="426"/>
        <v>832.35059705532058</v>
      </c>
      <c r="CE29" s="31">
        <f t="shared" ca="1" si="426"/>
        <v>796.62395561394089</v>
      </c>
      <c r="CF29" s="31">
        <f t="shared" ca="1" si="426"/>
        <v>668.39547502689118</v>
      </c>
      <c r="CG29" s="31">
        <f t="shared" ca="1" si="426"/>
        <v>832.66231009656565</v>
      </c>
      <c r="CH29" s="31">
        <f t="shared" ca="1" si="426"/>
        <v>757.45777763106969</v>
      </c>
      <c r="CI29" s="31">
        <f t="shared" ca="1" si="426"/>
        <v>752.81853522547306</v>
      </c>
      <c r="CJ29" s="31">
        <f t="shared" ca="1" si="426"/>
        <v>800.81055478244605</v>
      </c>
      <c r="CK29" s="31">
        <f t="shared" ca="1" si="426"/>
        <v>718.80301778006083</v>
      </c>
      <c r="CL29" s="31">
        <f t="shared" ca="1" si="426"/>
        <v>767.28330359064273</v>
      </c>
      <c r="CM29" s="31">
        <f t="shared" ca="1" si="426"/>
        <v>963.64370166007836</v>
      </c>
      <c r="CN29" s="31">
        <f t="shared" si="426"/>
        <v>53.387230182208398</v>
      </c>
      <c r="CO29" s="31">
        <f t="shared" si="426"/>
        <v>50.504108961914369</v>
      </c>
      <c r="CP29" s="31">
        <f t="shared" si="426"/>
        <v>143.0588477496531</v>
      </c>
      <c r="CQ29" s="31">
        <f t="shared" si="426"/>
        <v>47.416735922141925</v>
      </c>
      <c r="CR29" s="31">
        <f t="shared" si="426"/>
        <v>41.242973309461078</v>
      </c>
      <c r="CS29" s="31">
        <f t="shared" si="426"/>
        <v>143.46049986193648</v>
      </c>
      <c r="CT29" s="31">
        <f t="shared" si="426"/>
        <v>46.827128303005132</v>
      </c>
      <c r="CU29" s="31">
        <f t="shared" si="426"/>
        <v>46.585871217396843</v>
      </c>
      <c r="CV29" s="31">
        <f t="shared" si="426"/>
        <v>138.33063423658692</v>
      </c>
      <c r="CW29" s="31">
        <f t="shared" si="426"/>
        <v>44.572119592941547</v>
      </c>
      <c r="CX29" s="31">
        <f t="shared" si="426"/>
        <v>47.628011125639425</v>
      </c>
      <c r="CY29" s="31">
        <f t="shared" si="426"/>
        <v>166.92331476742399</v>
      </c>
      <c r="CZ29" s="31">
        <f t="shared" si="426"/>
        <v>55.276746810646763</v>
      </c>
      <c r="DA29" s="31">
        <f t="shared" si="426"/>
        <v>52.291584231980032</v>
      </c>
      <c r="DB29" s="31">
        <f t="shared" si="426"/>
        <v>145.17321082688053</v>
      </c>
      <c r="DC29" s="31">
        <f t="shared" si="426"/>
        <v>50.84833156000763</v>
      </c>
      <c r="DD29" s="31">
        <f t="shared" si="426"/>
        <v>42.70267226009959</v>
      </c>
      <c r="DE29" s="31">
        <f t="shared" si="426"/>
        <v>145.58079922628957</v>
      </c>
      <c r="DF29" s="31">
        <f t="shared" si="426"/>
        <v>48.484465409436098</v>
      </c>
      <c r="DG29" s="31">
        <f t="shared" si="426"/>
        <v>48.234669591373823</v>
      </c>
      <c r="DH29" s="31">
        <f t="shared" si="426"/>
        <v>140.37511586131751</v>
      </c>
      <c r="DI29" s="31">
        <f t="shared" si="426"/>
        <v>46.150910986944155</v>
      </c>
      <c r="DJ29" s="31">
        <f t="shared" si="426"/>
        <v>49.315045414458126</v>
      </c>
      <c r="DK29" s="31">
        <f t="shared" si="426"/>
        <v>169.39503025496157</v>
      </c>
      <c r="DL29" s="31">
        <f t="shared" si="426"/>
        <v>57.234707368729154</v>
      </c>
      <c r="DM29" s="31">
        <f t="shared" si="426"/>
        <v>54.143807189249642</v>
      </c>
      <c r="DN29" s="31">
        <f t="shared" si="426"/>
        <v>147.35100685755265</v>
      </c>
      <c r="DO29" s="31">
        <f t="shared" si="426"/>
        <v>52.649432988422639</v>
      </c>
      <c r="DP29" s="31">
        <f t="shared" si="426"/>
        <v>44.215245861733649</v>
      </c>
      <c r="DQ29" s="31">
        <f t="shared" si="426"/>
        <v>147.76470963848783</v>
      </c>
      <c r="DR29" s="31">
        <f t="shared" si="426"/>
        <v>50.201836210517705</v>
      </c>
      <c r="DS29" s="31">
        <f t="shared" si="426"/>
        <v>49.943192361636697</v>
      </c>
      <c r="DT29" s="31">
        <f t="shared" si="426"/>
        <v>142.48093392779586</v>
      </c>
      <c r="DU29" s="31">
        <f t="shared" si="426"/>
        <v>48.041134468856221</v>
      </c>
      <c r="DV29" s="31">
        <f t="shared" si="426"/>
        <v>49.678900416658138</v>
      </c>
      <c r="DW29" s="31">
        <f t="shared" si="426"/>
        <v>172.85552901671997</v>
      </c>
      <c r="DX29" s="31">
        <f t="shared" si="426"/>
        <v>57.656995017468915</v>
      </c>
      <c r="DY29" s="31">
        <f t="shared" si="426"/>
        <v>56.361399292213591</v>
      </c>
      <c r="DZ29" s="31">
        <f t="shared" si="426"/>
        <v>150.39019988822253</v>
      </c>
      <c r="EA29" s="31">
        <f t="shared" si="426"/>
        <v>54.8058193395442</v>
      </c>
      <c r="EB29" s="31">
        <f t="shared" si="426"/>
        <v>46.026189442240835</v>
      </c>
      <c r="EC29" s="31">
        <f t="shared" ref="EC29:GN29" si="427">+EC27/EC8</f>
        <v>150.81243550945118</v>
      </c>
      <c r="ED29" s="31">
        <f t="shared" si="427"/>
        <v>52.257975246799553</v>
      </c>
      <c r="EE29" s="31">
        <f t="shared" si="427"/>
        <v>51.988738006235643</v>
      </c>
      <c r="EF29" s="31">
        <f t="shared" si="427"/>
        <v>145.41967910932902</v>
      </c>
      <c r="EG29" s="31">
        <f t="shared" si="427"/>
        <v>50.014436981447965</v>
      </c>
      <c r="EH29" s="31">
        <f t="shared" si="427"/>
        <v>51.719474605815499</v>
      </c>
      <c r="EI29" s="31">
        <f t="shared" si="427"/>
        <v>176.44073480131735</v>
      </c>
      <c r="EJ29" s="31">
        <f t="shared" si="427"/>
        <v>60.025271587003672</v>
      </c>
      <c r="EK29" s="31">
        <f t="shared" si="427"/>
        <v>58.676458919055058</v>
      </c>
      <c r="EL29" s="31">
        <f t="shared" si="427"/>
        <v>153.53937550171071</v>
      </c>
      <c r="EM29" s="31">
        <f t="shared" si="427"/>
        <v>55.0895009257437</v>
      </c>
      <c r="EN29" s="31">
        <f t="shared" si="427"/>
        <v>47.916727546212435</v>
      </c>
      <c r="EO29" s="31">
        <f t="shared" si="427"/>
        <v>153.9704527504025</v>
      </c>
      <c r="EP29" s="31">
        <f t="shared" si="427"/>
        <v>54.404485627904648</v>
      </c>
      <c r="EQ29" s="31">
        <f t="shared" si="427"/>
        <v>54.124189395308989</v>
      </c>
      <c r="ER29" s="31">
        <f t="shared" si="427"/>
        <v>148.46477185814345</v>
      </c>
      <c r="ES29" s="31">
        <f t="shared" si="427"/>
        <v>52.07481433100979</v>
      </c>
      <c r="ET29" s="31">
        <f t="shared" si="427"/>
        <v>53.850092092294197</v>
      </c>
      <c r="EU29" s="31">
        <f t="shared" si="427"/>
        <v>180.15623917110727</v>
      </c>
      <c r="EV29" s="31">
        <f t="shared" si="427"/>
        <v>62.498051796946534</v>
      </c>
      <c r="EW29" s="31">
        <f t="shared" si="427"/>
        <v>61.093673911481346</v>
      </c>
      <c r="EX29" s="31">
        <f t="shared" si="427"/>
        <v>156.80347334554639</v>
      </c>
      <c r="EY29" s="31">
        <f t="shared" si="427"/>
        <v>59.40748273161207</v>
      </c>
      <c r="EZ29" s="31">
        <f t="shared" si="427"/>
        <v>49.890688387518352</v>
      </c>
      <c r="FA29" s="31">
        <f t="shared" si="427"/>
        <v>157.24371487742863</v>
      </c>
      <c r="FB29" s="31">
        <f t="shared" si="427"/>
        <v>56.645713894532456</v>
      </c>
      <c r="FC29" s="31">
        <f t="shared" si="427"/>
        <v>56.353870675833122</v>
      </c>
      <c r="FD29" s="31">
        <f t="shared" si="427"/>
        <v>151.62098856232251</v>
      </c>
      <c r="FE29" s="31">
        <f t="shared" si="427"/>
        <v>54.226476989082265</v>
      </c>
      <c r="FF29" s="31">
        <f t="shared" si="427"/>
        <v>56.075106886437332</v>
      </c>
      <c r="FG29" s="31">
        <f t="shared" si="427"/>
        <v>184.00792572503093</v>
      </c>
      <c r="FH29" s="31">
        <f t="shared" si="427"/>
        <v>65.080388882183001</v>
      </c>
      <c r="FI29" s="31">
        <f t="shared" si="427"/>
        <v>63.617983954417269</v>
      </c>
      <c r="FJ29" s="31">
        <f t="shared" si="427"/>
        <v>160.18769123852056</v>
      </c>
      <c r="FK29" s="31">
        <f t="shared" si="427"/>
        <v>61.86212157854461</v>
      </c>
      <c r="FL29" s="31">
        <f t="shared" si="427"/>
        <v>51.952105841771875</v>
      </c>
      <c r="FM29" s="31">
        <f t="shared" si="427"/>
        <v>160.63743430271987</v>
      </c>
      <c r="FN29" s="31">
        <f t="shared" si="427"/>
        <v>58.98624009500984</v>
      </c>
      <c r="FO29" s="31">
        <f t="shared" si="427"/>
        <v>58.682338299362058</v>
      </c>
      <c r="FP29" s="31">
        <f t="shared" si="427"/>
        <v>154.89335524843722</v>
      </c>
      <c r="FQ29" s="31">
        <f t="shared" si="427"/>
        <v>56.473863202074249</v>
      </c>
      <c r="FR29" s="31">
        <f t="shared" si="427"/>
        <v>58.399108538508592</v>
      </c>
      <c r="FS29" s="31">
        <f t="shared" si="427"/>
        <v>188.0019877258982</v>
      </c>
      <c r="FT29" s="31">
        <f t="shared" si="427"/>
        <v>67.77760944363348</v>
      </c>
      <c r="FU29" s="31">
        <f t="shared" si="427"/>
        <v>66.254595956083676</v>
      </c>
      <c r="FV29" s="31">
        <f t="shared" si="427"/>
        <v>163.6975007585325</v>
      </c>
      <c r="FW29" s="31">
        <f t="shared" si="427"/>
        <v>64.425962839522072</v>
      </c>
      <c r="FX29" s="31">
        <f t="shared" si="427"/>
        <v>54.105232006103087</v>
      </c>
      <c r="FY29" s="31">
        <f t="shared" si="427"/>
        <v>164.15709796618114</v>
      </c>
      <c r="FZ29" s="31">
        <f t="shared" si="427"/>
        <v>61.430892045614144</v>
      </c>
      <c r="GA29" s="31">
        <f t="shared" si="427"/>
        <v>61.114395208880062</v>
      </c>
      <c r="GB29" s="31">
        <f t="shared" si="427"/>
        <v>158.28716265420138</v>
      </c>
      <c r="GC29" s="31">
        <f t="shared" si="427"/>
        <v>58.821653020587441</v>
      </c>
      <c r="GD29" s="31">
        <f t="shared" si="427"/>
        <v>60.826936646289283</v>
      </c>
      <c r="GE29" s="31">
        <f t="shared" si="427"/>
        <v>192.14494695858926</v>
      </c>
      <c r="GF29" s="31">
        <f t="shared" si="427"/>
        <v>70.59533028567219</v>
      </c>
      <c r="GG29" s="31">
        <f t="shared" si="427"/>
        <v>69.009000507066929</v>
      </c>
      <c r="GH29" s="31">
        <f t="shared" si="427"/>
        <v>167.33866391907139</v>
      </c>
      <c r="GI29" s="31">
        <f t="shared" si="427"/>
        <v>64.790402613817704</v>
      </c>
      <c r="GJ29" s="31">
        <f t="shared" si="427"/>
        <v>56.354550640064673</v>
      </c>
      <c r="GK29" s="31">
        <f t="shared" si="427"/>
        <v>167.80848405873448</v>
      </c>
      <c r="GL29" s="31">
        <f t="shared" si="427"/>
        <v>63.984760591330684</v>
      </c>
      <c r="GM29" s="31">
        <f t="shared" si="427"/>
        <v>63.655106020934639</v>
      </c>
      <c r="GN29" s="31">
        <f t="shared" si="427"/>
        <v>161.80798235378174</v>
      </c>
      <c r="GO29" s="31">
        <f t="shared" ref="GO29:IO29" si="428">+GO27/GO8</f>
        <v>61.274783322696031</v>
      </c>
      <c r="GP29" s="31">
        <f t="shared" si="428"/>
        <v>63.363696390515223</v>
      </c>
      <c r="GQ29" s="31">
        <f t="shared" si="428"/>
        <v>196.44367391838139</v>
      </c>
      <c r="GR29" s="31">
        <f t="shared" si="428"/>
        <v>73.539476446449655</v>
      </c>
      <c r="GS29" s="31">
        <f t="shared" si="428"/>
        <v>71.886989505486653</v>
      </c>
      <c r="GT29" s="31">
        <f t="shared" si="428"/>
        <v>171.11725102207581</v>
      </c>
      <c r="GU29" s="31">
        <f t="shared" si="428"/>
        <v>69.902901794095541</v>
      </c>
      <c r="GV29" s="31">
        <f t="shared" si="428"/>
        <v>58.704791558803748</v>
      </c>
      <c r="GW29" s="31">
        <f t="shared" si="428"/>
        <v>171.59767992530183</v>
      </c>
      <c r="GX29" s="31">
        <f t="shared" si="428"/>
        <v>66.653215947810054</v>
      </c>
      <c r="GY29" s="31">
        <f t="shared" si="428"/>
        <v>66.309813283398611</v>
      </c>
      <c r="GZ29" s="31">
        <f t="shared" si="428"/>
        <v>165.46168402060545</v>
      </c>
      <c r="HA29" s="31">
        <f t="shared" si="428"/>
        <v>63.838463912289292</v>
      </c>
      <c r="HB29" s="31">
        <f t="shared" si="428"/>
        <v>66.014775182026426</v>
      </c>
      <c r="HC29" s="31">
        <f t="shared" si="428"/>
        <v>200.90540943776753</v>
      </c>
      <c r="HD29" s="31">
        <f t="shared" si="428"/>
        <v>76.616300518462026</v>
      </c>
      <c r="HE29" s="31">
        <f t="shared" si="428"/>
        <v>74.894675043417379</v>
      </c>
      <c r="HF29" s="31">
        <f t="shared" si="428"/>
        <v>175.03965978301548</v>
      </c>
      <c r="HG29" s="31">
        <f t="shared" si="428"/>
        <v>72.827574926630106</v>
      </c>
      <c r="HH29" s="31">
        <f t="shared" si="428"/>
        <v>61.160946056206569</v>
      </c>
      <c r="HI29" s="31">
        <f t="shared" si="428"/>
        <v>175.53110124358315</v>
      </c>
      <c r="HJ29" s="31">
        <f t="shared" si="428"/>
        <v>69.441925212752921</v>
      </c>
      <c r="HK29" s="31">
        <f t="shared" si="428"/>
        <v>69.08415489663507</v>
      </c>
      <c r="HL29" s="31">
        <f t="shared" si="428"/>
        <v>169.25445392034237</v>
      </c>
      <c r="HM29" s="31">
        <f t="shared" si="428"/>
        <v>66.518194781165633</v>
      </c>
      <c r="HN29" s="31">
        <f t="shared" si="428"/>
        <v>68.785860512341714</v>
      </c>
      <c r="HO29" s="31">
        <f t="shared" si="428"/>
        <v>205.53778787025621</v>
      </c>
      <c r="HP29" s="31">
        <f t="shared" si="428"/>
        <v>79.832403365806769</v>
      </c>
      <c r="HQ29" s="31">
        <f t="shared" si="428"/>
        <v>78.038509658611986</v>
      </c>
      <c r="HR29" s="31">
        <f t="shared" si="428"/>
        <v>179.11263583299313</v>
      </c>
      <c r="HS29" s="31">
        <f t="shared" si="428"/>
        <v>75.884639409015406</v>
      </c>
      <c r="HT29" s="31">
        <f t="shared" si="428"/>
        <v>63.728283442984548</v>
      </c>
      <c r="HU29" s="31">
        <f t="shared" si="428"/>
        <v>179.61551258371924</v>
      </c>
      <c r="HV29" s="31">
        <f t="shared" si="428"/>
        <v>72.356871143195221</v>
      </c>
      <c r="HW29" s="31">
        <f t="shared" si="428"/>
        <v>71.984082794040333</v>
      </c>
      <c r="HX29" s="31">
        <f t="shared" si="428"/>
        <v>173.19281473539519</v>
      </c>
      <c r="HY29" s="31">
        <f t="shared" si="428"/>
        <v>69.319784631948835</v>
      </c>
      <c r="HZ29" s="31">
        <f t="shared" si="428"/>
        <v>71.682959108038006</v>
      </c>
      <c r="IA29" s="31">
        <f t="shared" si="428"/>
        <v>210.34886196083505</v>
      </c>
      <c r="IB29" s="31">
        <f t="shared" si="428"/>
        <v>83.194756354625468</v>
      </c>
      <c r="IC29" s="31">
        <f t="shared" si="428"/>
        <v>81.325308065410013</v>
      </c>
      <c r="ID29" s="31">
        <f t="shared" si="428"/>
        <v>183.34329471256379</v>
      </c>
      <c r="IE29" s="31">
        <f t="shared" si="428"/>
        <v>76.353800425077623</v>
      </c>
      <c r="IF29" s="31">
        <f t="shared" si="428"/>
        <v>66.412368792700832</v>
      </c>
      <c r="IG29" s="31">
        <f t="shared" si="428"/>
        <v>183.85804946386145</v>
      </c>
      <c r="IH29" s="31">
        <f t="shared" si="428"/>
        <v>75.404372304285076</v>
      </c>
      <c r="II29" s="31">
        <f t="shared" si="428"/>
        <v>75.015882987012844</v>
      </c>
      <c r="IJ29" s="31">
        <f t="shared" si="428"/>
        <v>177.28364683180479</v>
      </c>
      <c r="IK29" s="31">
        <f t="shared" si="428"/>
        <v>72.740171748001387</v>
      </c>
      <c r="IL29" s="31">
        <f t="shared" si="428"/>
        <v>75.764424063681133</v>
      </c>
      <c r="IM29" s="31">
        <f t="shared" si="428"/>
        <v>215.41927226261856</v>
      </c>
      <c r="IN29" s="31">
        <f t="shared" si="428"/>
        <v>87.52552597858093</v>
      </c>
      <c r="IO29" s="31">
        <f t="shared" si="428"/>
        <v>85.361622057772564</v>
      </c>
    </row>
    <row r="30" spans="1:249" x14ac:dyDescent="0.3">
      <c r="A30" s="6" t="s">
        <v>780</v>
      </c>
      <c r="B30" s="30">
        <f ca="1">+B27/240</f>
        <v>251194.69181965431</v>
      </c>
      <c r="C30" s="30"/>
      <c r="D30" s="30"/>
    </row>
    <row r="31" spans="1:249" x14ac:dyDescent="0.3">
      <c r="B31" s="31">
        <f ca="1">+B20/B28</f>
        <v>185.06855563231991</v>
      </c>
      <c r="C31" s="31">
        <f>+C20/C28</f>
        <v>102.68689110720386</v>
      </c>
    </row>
    <row r="32" spans="1:249" x14ac:dyDescent="0.3">
      <c r="E32">
        <v>2024</v>
      </c>
      <c r="F32">
        <v>2025</v>
      </c>
      <c r="G32">
        <v>2026</v>
      </c>
      <c r="H32">
        <v>2027</v>
      </c>
      <c r="I32">
        <v>2028</v>
      </c>
      <c r="J32">
        <v>2029</v>
      </c>
      <c r="K32">
        <v>2030</v>
      </c>
      <c r="L32">
        <v>2031</v>
      </c>
      <c r="M32">
        <v>2032</v>
      </c>
      <c r="N32">
        <v>2033</v>
      </c>
      <c r="O32">
        <v>2034</v>
      </c>
      <c r="P32">
        <v>2035</v>
      </c>
      <c r="Q32">
        <v>2036</v>
      </c>
      <c r="R32">
        <v>2037</v>
      </c>
      <c r="S32">
        <v>2038</v>
      </c>
      <c r="T32">
        <v>2039</v>
      </c>
      <c r="U32">
        <v>2040</v>
      </c>
      <c r="V32">
        <v>2041</v>
      </c>
      <c r="W32">
        <v>2042</v>
      </c>
      <c r="X32">
        <v>2043</v>
      </c>
      <c r="Y32">
        <v>2044</v>
      </c>
    </row>
    <row r="33" spans="1:249" x14ac:dyDescent="0.3">
      <c r="B33" t="s">
        <v>781</v>
      </c>
      <c r="E33" s="10">
        <f t="shared" ref="E33:Y33" si="429">+SUMIFS(8:8,2:2,E32)</f>
        <v>9746.1817221999991</v>
      </c>
      <c r="F33" s="10">
        <f t="shared" si="429"/>
        <v>24758.347586719996</v>
      </c>
      <c r="G33" s="10">
        <f t="shared" si="429"/>
        <v>24717.724837960002</v>
      </c>
      <c r="H33" s="10">
        <f t="shared" si="429"/>
        <v>24692.440921884998</v>
      </c>
      <c r="I33" s="10">
        <f t="shared" si="429"/>
        <v>24737.676421810003</v>
      </c>
      <c r="J33" s="10">
        <f t="shared" si="429"/>
        <v>24602.092756175</v>
      </c>
      <c r="K33" s="10">
        <f t="shared" si="429"/>
        <v>24475.673175800002</v>
      </c>
      <c r="L33" s="10">
        <f t="shared" si="429"/>
        <v>24349.253595425002</v>
      </c>
      <c r="M33" s="10">
        <f t="shared" si="429"/>
        <v>24292.197375050004</v>
      </c>
      <c r="N33" s="10">
        <f t="shared" si="429"/>
        <v>24096.414434675</v>
      </c>
      <c r="O33" s="10">
        <f t="shared" si="429"/>
        <v>24042.588328549995</v>
      </c>
      <c r="P33" s="10">
        <f t="shared" si="429"/>
        <v>23788.447903000004</v>
      </c>
      <c r="Q33" s="10">
        <f t="shared" si="429"/>
        <v>23601.503232450003</v>
      </c>
      <c r="R33" s="10">
        <f t="shared" si="429"/>
        <v>23280.1670519</v>
      </c>
      <c r="S33" s="10">
        <f t="shared" si="429"/>
        <v>23026.026626350002</v>
      </c>
      <c r="T33" s="10">
        <f t="shared" si="429"/>
        <v>22771.8862008</v>
      </c>
      <c r="U33" s="10">
        <f t="shared" si="429"/>
        <v>22582.051390250002</v>
      </c>
      <c r="V33" s="10">
        <f t="shared" si="429"/>
        <v>22263.605349699996</v>
      </c>
      <c r="W33" s="10">
        <f t="shared" si="429"/>
        <v>22009.464924149997</v>
      </c>
      <c r="X33" s="10">
        <f t="shared" si="429"/>
        <v>21755.324498599999</v>
      </c>
      <c r="Y33" s="10">
        <f t="shared" si="429"/>
        <v>21622.003595892849</v>
      </c>
    </row>
    <row r="34" spans="1:249" x14ac:dyDescent="0.3">
      <c r="B34" t="s">
        <v>782</v>
      </c>
      <c r="E34" s="10">
        <f t="shared" ref="E34:Y34" si="430">+SUMIFS(27:27,2:2,E32)</f>
        <v>0</v>
      </c>
      <c r="F34" s="10">
        <f t="shared" si="430"/>
        <v>0</v>
      </c>
      <c r="G34" s="10">
        <f t="shared" ca="1" si="430"/>
        <v>3063804.7833785689</v>
      </c>
      <c r="H34" s="10">
        <f t="shared" ca="1" si="430"/>
        <v>19163994.884957872</v>
      </c>
      <c r="I34" s="10">
        <f t="shared" ca="1" si="430"/>
        <v>19085032.395703796</v>
      </c>
      <c r="J34" s="10">
        <f t="shared" ca="1" si="430"/>
        <v>18973893.972676821</v>
      </c>
      <c r="K34" s="10">
        <f t="shared" ca="1" si="430"/>
        <v>19261534.579939608</v>
      </c>
      <c r="L34" s="10">
        <f t="shared" ca="1" si="430"/>
        <v>16509120.853292689</v>
      </c>
      <c r="M34" s="10">
        <f t="shared" si="430"/>
        <v>1968566.4750797763</v>
      </c>
      <c r="N34" s="10">
        <f t="shared" si="430"/>
        <v>2002903.4693321707</v>
      </c>
      <c r="O34" s="10">
        <f t="shared" si="430"/>
        <v>2038270.5734121352</v>
      </c>
      <c r="P34" s="10">
        <f t="shared" si="430"/>
        <v>2074698.6906144999</v>
      </c>
      <c r="Q34" s="10">
        <f t="shared" si="430"/>
        <v>2112219.6513329344</v>
      </c>
      <c r="R34" s="10">
        <f t="shared" si="430"/>
        <v>2150866.2408729228</v>
      </c>
      <c r="S34" s="10">
        <f t="shared" si="430"/>
        <v>2190672.2280991105</v>
      </c>
      <c r="T34" s="10">
        <f t="shared" si="430"/>
        <v>2231672.3949420839</v>
      </c>
      <c r="U34" s="10">
        <f t="shared" si="430"/>
        <v>2273902.5667903461</v>
      </c>
      <c r="V34" s="10">
        <f t="shared" si="430"/>
        <v>2317399.6437940565</v>
      </c>
      <c r="W34" s="10">
        <f t="shared" si="430"/>
        <v>2362201.6331078783</v>
      </c>
      <c r="X34" s="10">
        <f t="shared" si="430"/>
        <v>2408347.6821011147</v>
      </c>
      <c r="Y34" s="10">
        <f t="shared" si="430"/>
        <v>2467522.7547030286</v>
      </c>
    </row>
    <row r="35" spans="1:249" x14ac:dyDescent="0.3">
      <c r="B35" t="s">
        <v>783</v>
      </c>
      <c r="E35" s="31">
        <f>+E34/E33</f>
        <v>0</v>
      </c>
      <c r="F35" s="31">
        <f>+F34/F33</f>
        <v>0</v>
      </c>
      <c r="G35" s="31">
        <f ca="1">+G34/G33</f>
        <v>123.95173113479122</v>
      </c>
      <c r="H35" s="31">
        <f ca="1">+H34/H33</f>
        <v>776.10775482195265</v>
      </c>
      <c r="I35" s="31">
        <f ca="1">+I34/I33</f>
        <v>771.49656541216029</v>
      </c>
      <c r="J35" s="31">
        <f t="shared" ref="J35:N35" ca="1" si="431">+J34/J33</f>
        <v>771.23089327083653</v>
      </c>
      <c r="K35" s="31">
        <f t="shared" ca="1" si="431"/>
        <v>786.96648879035513</v>
      </c>
      <c r="L35" s="31">
        <f t="shared" ca="1" si="431"/>
        <v>678.01342610332006</v>
      </c>
      <c r="M35" s="31">
        <f t="shared" si="431"/>
        <v>81.036986678761664</v>
      </c>
      <c r="N35" s="31">
        <f t="shared" si="431"/>
        <v>83.120394312689569</v>
      </c>
      <c r="O35" s="31">
        <f>+O34/O33</f>
        <v>84.777501721465569</v>
      </c>
      <c r="P35" s="31">
        <f t="shared" ref="P35:Y35" si="432">+P34/P33</f>
        <v>87.214546282057171</v>
      </c>
      <c r="Q35" s="31">
        <f t="shared" si="432"/>
        <v>89.495132175683494</v>
      </c>
      <c r="R35" s="31">
        <f t="shared" si="432"/>
        <v>92.390498576657805</v>
      </c>
      <c r="S35" s="31">
        <f t="shared" si="432"/>
        <v>95.138960084072806</v>
      </c>
      <c r="T35" s="31">
        <f t="shared" si="432"/>
        <v>98.001209704959919</v>
      </c>
      <c r="U35" s="31">
        <f t="shared" si="432"/>
        <v>100.6951285113151</v>
      </c>
      <c r="V35" s="31">
        <f t="shared" si="432"/>
        <v>104.0891449248261</v>
      </c>
      <c r="W35" s="31">
        <f t="shared" si="432"/>
        <v>107.32662703289714</v>
      </c>
      <c r="X35" s="31">
        <f t="shared" si="432"/>
        <v>110.70152882601668</v>
      </c>
      <c r="Y35" s="31">
        <f t="shared" si="432"/>
        <v>114.12091130961335</v>
      </c>
    </row>
    <row r="36" spans="1:249" x14ac:dyDescent="0.3">
      <c r="B36" t="s">
        <v>780</v>
      </c>
      <c r="E36" s="30">
        <f>+E34/5</f>
        <v>0</v>
      </c>
      <c r="F36" s="30">
        <f>+F34/12</f>
        <v>0</v>
      </c>
      <c r="G36" s="30">
        <f t="shared" ref="G36:N36" ca="1" si="433">+G34/12</f>
        <v>255317.0652815474</v>
      </c>
      <c r="H36" s="30">
        <f ca="1">+H34/12</f>
        <v>1596999.5737464894</v>
      </c>
      <c r="I36" s="30">
        <f ca="1">+I34/12</f>
        <v>1590419.3663086498</v>
      </c>
      <c r="J36" s="30">
        <f ca="1">+J34/12</f>
        <v>1581157.8310564018</v>
      </c>
      <c r="K36" s="30">
        <f ca="1">+K34/12</f>
        <v>1605127.881661634</v>
      </c>
      <c r="L36" s="30">
        <f t="shared" ca="1" si="433"/>
        <v>1375760.071107724</v>
      </c>
      <c r="M36" s="30">
        <f t="shared" si="433"/>
        <v>164047.20625664803</v>
      </c>
      <c r="N36" s="30">
        <f t="shared" si="433"/>
        <v>166908.62244434757</v>
      </c>
      <c r="O36" s="30">
        <f t="shared" ref="O36:X36" si="434">+O34/12</f>
        <v>169855.88111767793</v>
      </c>
      <c r="P36" s="30">
        <f t="shared" si="434"/>
        <v>172891.55755120833</v>
      </c>
      <c r="Q36" s="30">
        <f t="shared" si="434"/>
        <v>176018.30427774452</v>
      </c>
      <c r="R36" s="30">
        <f t="shared" si="434"/>
        <v>179238.8534060769</v>
      </c>
      <c r="S36" s="30">
        <f t="shared" si="434"/>
        <v>182556.0190082592</v>
      </c>
      <c r="T36" s="30">
        <f t="shared" si="434"/>
        <v>185972.69957850699</v>
      </c>
      <c r="U36" s="30">
        <f t="shared" si="434"/>
        <v>189491.88056586217</v>
      </c>
      <c r="V36" s="30">
        <f t="shared" si="434"/>
        <v>193116.63698283804</v>
      </c>
      <c r="W36" s="30">
        <f t="shared" si="434"/>
        <v>196850.1360923232</v>
      </c>
      <c r="X36" s="30">
        <f t="shared" si="434"/>
        <v>200695.64017509288</v>
      </c>
      <c r="Y36" s="30">
        <f>+Y34/7</f>
        <v>352503.25067186123</v>
      </c>
    </row>
    <row r="37" spans="1:249" x14ac:dyDescent="0.3"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1:249" x14ac:dyDescent="0.3">
      <c r="E38" s="30" t="s">
        <v>784</v>
      </c>
      <c r="F38" s="30" t="s">
        <v>785</v>
      </c>
      <c r="G38" s="30" t="s">
        <v>786</v>
      </c>
      <c r="H38" s="30" t="s">
        <v>787</v>
      </c>
      <c r="I38" s="30" t="s">
        <v>788</v>
      </c>
      <c r="J38" s="30" t="s">
        <v>789</v>
      </c>
      <c r="K38" s="30" t="s">
        <v>790</v>
      </c>
      <c r="L38" s="30" t="s">
        <v>791</v>
      </c>
      <c r="M38" s="30" t="s">
        <v>792</v>
      </c>
      <c r="N38" s="30" t="s">
        <v>793</v>
      </c>
      <c r="O38" s="30" t="s">
        <v>794</v>
      </c>
      <c r="P38" s="30" t="s">
        <v>795</v>
      </c>
      <c r="Q38" s="30" t="s">
        <v>796</v>
      </c>
      <c r="R38" s="30" t="s">
        <v>797</v>
      </c>
      <c r="S38" s="30" t="s">
        <v>798</v>
      </c>
      <c r="T38" s="30" t="s">
        <v>799</v>
      </c>
      <c r="U38" s="30" t="s">
        <v>800</v>
      </c>
      <c r="V38" s="30" t="s">
        <v>801</v>
      </c>
      <c r="W38" s="30" t="s">
        <v>802</v>
      </c>
      <c r="X38" s="30" t="s">
        <v>803</v>
      </c>
    </row>
    <row r="39" spans="1:249" x14ac:dyDescent="0.3">
      <c r="B39" t="s">
        <v>804</v>
      </c>
      <c r="E39" s="33">
        <f>+E35</f>
        <v>0</v>
      </c>
      <c r="F39" s="33">
        <f>+AVERAGE(E35:F35)</f>
        <v>0</v>
      </c>
      <c r="G39" s="33">
        <f ca="1">+AVERAGE(E35:G35)</f>
        <v>41.317243711597072</v>
      </c>
      <c r="H39" s="33">
        <f ca="1">+AVERAGE(E35:H35)</f>
        <v>225.01487148918596</v>
      </c>
      <c r="I39" s="33">
        <f ca="1">+AVERAGE(E35:I35)</f>
        <v>334.31121027378083</v>
      </c>
      <c r="J39" s="33">
        <f ca="1">+AVERAGE(E35:J35)</f>
        <v>407.13115743995678</v>
      </c>
      <c r="K39" s="33">
        <f ca="1">+AVERAGE(E35:K35)</f>
        <v>461.39334763287081</v>
      </c>
      <c r="L39" s="33">
        <f ca="1">+AVERAGE(E35:L35)</f>
        <v>488.47085744167697</v>
      </c>
      <c r="M39" s="33">
        <f ca="1">+AVERAGE(E35:M35)</f>
        <v>443.20042735690862</v>
      </c>
      <c r="N39" s="33">
        <f ca="1">+AVERAGE(E35:N35)</f>
        <v>407.19242405248673</v>
      </c>
      <c r="O39" s="33">
        <f ca="1">+AVERAGE(E35:O35)</f>
        <v>377.88197656784848</v>
      </c>
      <c r="P39" s="33">
        <f ca="1">+AVERAGE(E35:P35)</f>
        <v>353.65969071069918</v>
      </c>
      <c r="Q39" s="33">
        <f ca="1">+AVERAGE(E35:Q35)</f>
        <v>333.33934005415955</v>
      </c>
      <c r="R39" s="33">
        <f ca="1">+AVERAGE(E35:R35)</f>
        <v>316.12870852005227</v>
      </c>
      <c r="S39" s="33">
        <f ca="1">+AVERAGE(E35:S35)</f>
        <v>301.39605862432029</v>
      </c>
      <c r="T39" s="41">
        <f ca="1">+AVERAGE(E35:T35)</f>
        <v>288.6838805668603</v>
      </c>
      <c r="U39" s="33">
        <f ca="1">+AVERAGE(E35:U35)</f>
        <v>277.62571868124002</v>
      </c>
      <c r="V39" s="33">
        <f ca="1">+AVERAGE(E35:V35)</f>
        <v>267.98479791699481</v>
      </c>
      <c r="W39" s="33">
        <f ca="1">+AVERAGE(E35:W35)</f>
        <v>259.5291047125686</v>
      </c>
      <c r="X39" s="33">
        <f ca="1">+AVERAGE(E35:X35)</f>
        <v>252.08772591824101</v>
      </c>
    </row>
    <row r="40" spans="1:249" x14ac:dyDescent="0.3">
      <c r="B40" t="s">
        <v>805</v>
      </c>
      <c r="E40" s="33">
        <f>+E36</f>
        <v>0</v>
      </c>
      <c r="F40" s="33">
        <f>+AVERAGE(E36:F36)</f>
        <v>0</v>
      </c>
      <c r="G40" s="33"/>
      <c r="H40" s="33"/>
      <c r="I40" s="33"/>
      <c r="J40" s="33"/>
      <c r="K40" s="33">
        <f ca="1">+AVERAGE(E36:K36)</f>
        <v>947003.10257924604</v>
      </c>
      <c r="L40" s="33">
        <f ca="1">+AVERAGE(E36:L36)</f>
        <v>1000597.7236453057</v>
      </c>
      <c r="M40" s="33">
        <f ca="1">+AVERAGE(E36:M36)</f>
        <v>907647.66615767707</v>
      </c>
      <c r="N40" s="33">
        <f ca="1">+AVERAGE(E36:N36)</f>
        <v>833573.76178634411</v>
      </c>
      <c r="O40" s="33">
        <f ca="1">+AVERAGE(E36:O36)</f>
        <v>773235.77263464709</v>
      </c>
      <c r="P40" s="33">
        <f ca="1">+AVERAGE(E36:P36)</f>
        <v>723207.08804436063</v>
      </c>
      <c r="Q40" s="33">
        <f ca="1">+AVERAGE(E36:Q36)</f>
        <v>681115.64313923626</v>
      </c>
      <c r="R40" s="33">
        <f ca="1">+AVERAGE(E36:R36)</f>
        <v>645267.30101543921</v>
      </c>
      <c r="S40" s="33">
        <f ca="1">+AVERAGE(E36:S36)</f>
        <v>614419.88221496041</v>
      </c>
      <c r="T40" s="33">
        <f ca="1">+AVERAGE(E36:T36)</f>
        <v>587641.93330018211</v>
      </c>
      <c r="U40" s="33">
        <f ca="1">+AVERAGE(E36:U36)</f>
        <v>564221.34196286916</v>
      </c>
      <c r="V40" s="33">
        <f ca="1">+AVERAGE(E36:V36)</f>
        <v>543604.41390842292</v>
      </c>
      <c r="W40" s="33">
        <f ca="1">+AVERAGE(E36:W36)</f>
        <v>525354.18876020715</v>
      </c>
      <c r="X40" s="33">
        <f ca="1">+AVERAGE(E36:X36)</f>
        <v>509121.26133095147</v>
      </c>
    </row>
    <row r="41" spans="1:249" x14ac:dyDescent="0.3"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9" x14ac:dyDescent="0.3">
      <c r="A42" s="6" t="s">
        <v>806</v>
      </c>
      <c r="B42" s="33">
        <f>+SUM(E24:DY26)</f>
        <v>13010083.951529564</v>
      </c>
      <c r="E42" s="33"/>
      <c r="F42" s="33"/>
      <c r="G42" s="33"/>
      <c r="H42" s="33"/>
      <c r="I42" s="33"/>
      <c r="J42" s="33"/>
      <c r="K42" s="33" t="e">
        <f ca="1">+'Prestamo 10 años'!L7</f>
        <v>#VALUE!</v>
      </c>
      <c r="L42" s="33" t="e">
        <f ca="1">+'Prestamo 10 años'!M7</f>
        <v>#VALUE!</v>
      </c>
      <c r="M42" s="33" t="e">
        <f ca="1">+'Prestamo 10 años'!N7</f>
        <v>#VALUE!</v>
      </c>
      <c r="N42" s="33" t="e">
        <f ca="1">+'Prestamo 10 años'!O7</f>
        <v>#VALUE!</v>
      </c>
      <c r="O42" s="33" t="e">
        <f ca="1">+'Prestamo 10 años'!P7</f>
        <v>#VALUE!</v>
      </c>
      <c r="P42" s="33" t="e">
        <f ca="1">+'Prestamo 10 años'!Q7</f>
        <v>#VALUE!</v>
      </c>
      <c r="Q42" s="33" t="e">
        <f ca="1">+'Prestamo 10 años'!R7</f>
        <v>#VALUE!</v>
      </c>
      <c r="R42" s="33" t="e">
        <f ca="1">+'Prestamo 10 años'!S7</f>
        <v>#VALUE!</v>
      </c>
      <c r="S42" s="33" t="e">
        <f ca="1">+'Prestamo 10 años'!T7</f>
        <v>#VALUE!</v>
      </c>
      <c r="T42" s="33" t="e">
        <f ca="1">+'Prestamo 10 años'!U7</f>
        <v>#VALUE!</v>
      </c>
      <c r="U42" s="33" t="e">
        <f ca="1">+'Prestamo 10 años'!V7</f>
        <v>#VALUE!</v>
      </c>
      <c r="V42" s="33" t="e">
        <f ca="1">+'Prestamo 10 años'!W7</f>
        <v>#VALUE!</v>
      </c>
      <c r="W42" s="33" t="e">
        <f ca="1">+'Prestamo 10 años'!X7</f>
        <v>#VALUE!</v>
      </c>
      <c r="X42" s="33" t="e">
        <f ca="1">+'Prestamo 10 años'!Y7</f>
        <v>#VALUE!</v>
      </c>
      <c r="Y42" s="33" t="e">
        <f ca="1">+'Prestamo 10 años'!Z7</f>
        <v>#VALUE!</v>
      </c>
      <c r="Z42" s="33" t="e">
        <f ca="1">+'Prestamo 10 años'!AA7</f>
        <v>#VALUE!</v>
      </c>
      <c r="AA42" s="33" t="e">
        <f ca="1">+'Prestamo 10 años'!AB7</f>
        <v>#VALUE!</v>
      </c>
      <c r="AB42" s="33" t="e">
        <f ca="1">+'Prestamo 10 años'!AC7</f>
        <v>#VALUE!</v>
      </c>
      <c r="AC42" s="33" t="e">
        <f ca="1">+'Prestamo 10 años'!AD7</f>
        <v>#VALUE!</v>
      </c>
      <c r="AD42" s="33" t="e">
        <f ca="1">+'Prestamo 10 años'!AE7</f>
        <v>#VALUE!</v>
      </c>
      <c r="AE42" s="33" t="e">
        <f ca="1">+'Prestamo 10 años'!AF7</f>
        <v>#VALUE!</v>
      </c>
      <c r="AF42" s="33" t="e">
        <f ca="1">+'Prestamo 10 años'!AG7</f>
        <v>#VALUE!</v>
      </c>
      <c r="AG42" s="33" t="e">
        <f ca="1">+'Prestamo 10 años'!AH7</f>
        <v>#VALUE!</v>
      </c>
      <c r="AH42" s="33" t="e">
        <f ca="1">+'Prestamo 10 años'!AI7</f>
        <v>#VALUE!</v>
      </c>
      <c r="AI42" s="33" t="e">
        <f ca="1">+'Prestamo 10 años'!AJ7</f>
        <v>#VALUE!</v>
      </c>
      <c r="AJ42" s="33" t="e">
        <f ca="1">+'Prestamo 10 años'!AK7</f>
        <v>#VALUE!</v>
      </c>
      <c r="AK42" s="33" t="e">
        <f ca="1">+'Prestamo 10 años'!AL7</f>
        <v>#VALUE!</v>
      </c>
      <c r="AL42" s="33" t="e">
        <f ca="1">+'Prestamo 10 años'!AM7</f>
        <v>#VALUE!</v>
      </c>
      <c r="AM42" s="33" t="e">
        <f ca="1">+'Prestamo 10 años'!AN7</f>
        <v>#VALUE!</v>
      </c>
      <c r="AN42" s="33" t="e">
        <f ca="1">+'Prestamo 10 años'!AO7</f>
        <v>#VALUE!</v>
      </c>
      <c r="AO42" s="33" t="e">
        <f ca="1">+'Prestamo 10 años'!AP7</f>
        <v>#VALUE!</v>
      </c>
      <c r="AP42" s="33" t="e">
        <f ca="1">+'Prestamo 10 años'!AQ7</f>
        <v>#VALUE!</v>
      </c>
      <c r="AQ42" s="33" t="e">
        <f ca="1">+'Prestamo 10 años'!AR7</f>
        <v>#VALUE!</v>
      </c>
      <c r="AR42" s="33" t="e">
        <f ca="1">+'Prestamo 10 años'!AS7</f>
        <v>#VALUE!</v>
      </c>
      <c r="AS42" s="33" t="e">
        <f ca="1">+'Prestamo 10 años'!AT7</f>
        <v>#VALUE!</v>
      </c>
      <c r="AT42" s="33" t="e">
        <f ca="1">+'Prestamo 10 años'!AU7</f>
        <v>#VALUE!</v>
      </c>
      <c r="AU42" s="33" t="e">
        <f ca="1">+'Prestamo 10 años'!AV7</f>
        <v>#VALUE!</v>
      </c>
      <c r="AV42" s="33" t="e">
        <f ca="1">+'Prestamo 10 años'!AW7</f>
        <v>#VALUE!</v>
      </c>
      <c r="AW42" s="33" t="e">
        <f ca="1">+'Prestamo 10 años'!AX7</f>
        <v>#VALUE!</v>
      </c>
      <c r="AX42" s="33" t="e">
        <f ca="1">+'Prestamo 10 años'!AY7</f>
        <v>#VALUE!</v>
      </c>
      <c r="AY42" s="33" t="e">
        <f ca="1">+'Prestamo 10 años'!AZ7</f>
        <v>#VALUE!</v>
      </c>
      <c r="AZ42" s="33" t="e">
        <f ca="1">+'Prestamo 10 años'!BA7</f>
        <v>#VALUE!</v>
      </c>
      <c r="BA42" s="33" t="e">
        <f ca="1">+'Prestamo 10 años'!BB7</f>
        <v>#VALUE!</v>
      </c>
      <c r="BB42" s="33" t="e">
        <f ca="1">+'Prestamo 10 años'!BC7</f>
        <v>#VALUE!</v>
      </c>
      <c r="BC42" s="33" t="e">
        <f ca="1">+'Prestamo 10 años'!BD7</f>
        <v>#VALUE!</v>
      </c>
      <c r="BD42" s="33" t="e">
        <f ca="1">+'Prestamo 10 años'!BE7</f>
        <v>#VALUE!</v>
      </c>
      <c r="BE42" s="33" t="e">
        <f ca="1">+'Prestamo 10 años'!BF7</f>
        <v>#VALUE!</v>
      </c>
      <c r="BF42" s="33" t="e">
        <f ca="1">+'Prestamo 10 años'!BG7</f>
        <v>#VALUE!</v>
      </c>
      <c r="BG42" s="33" t="e">
        <f ca="1">+'Prestamo 10 años'!BH7</f>
        <v>#VALUE!</v>
      </c>
      <c r="BH42" s="33" t="e">
        <f ca="1">+'Prestamo 10 años'!BI7</f>
        <v>#VALUE!</v>
      </c>
      <c r="BI42" s="33" t="e">
        <f ca="1">+'Prestamo 10 años'!BJ7</f>
        <v>#VALUE!</v>
      </c>
      <c r="BJ42" s="33" t="e">
        <f ca="1">+'Prestamo 10 años'!BK7</f>
        <v>#VALUE!</v>
      </c>
      <c r="BK42" s="33" t="e">
        <f ca="1">+'Prestamo 10 años'!BL7</f>
        <v>#VALUE!</v>
      </c>
      <c r="BL42" s="33" t="e">
        <f ca="1">+'Prestamo 10 años'!BM7</f>
        <v>#VALUE!</v>
      </c>
      <c r="BM42" s="33" t="e">
        <f ca="1">+'Prestamo 10 años'!BN7</f>
        <v>#VALUE!</v>
      </c>
      <c r="BN42" s="33" t="e">
        <f ca="1">+'Prestamo 10 años'!BO7</f>
        <v>#VALUE!</v>
      </c>
      <c r="BO42" s="33" t="e">
        <f ca="1">+'Prestamo 10 años'!BP7</f>
        <v>#VALUE!</v>
      </c>
      <c r="BP42" s="33" t="e">
        <f ca="1">+'Prestamo 10 años'!BQ7</f>
        <v>#VALUE!</v>
      </c>
      <c r="BQ42" s="33" t="e">
        <f ca="1">+'Prestamo 10 años'!BR7</f>
        <v>#VALUE!</v>
      </c>
      <c r="BR42" s="33" t="e">
        <f ca="1">+'Prestamo 10 años'!BS7</f>
        <v>#VALUE!</v>
      </c>
      <c r="BS42" s="33" t="e">
        <f ca="1">+'Prestamo 10 años'!BT7</f>
        <v>#VALUE!</v>
      </c>
      <c r="BT42" s="33" t="e">
        <f ca="1">+'Prestamo 10 años'!BU7</f>
        <v>#VALUE!</v>
      </c>
      <c r="BU42" s="33" t="e">
        <f ca="1">+'Prestamo 10 años'!BV7</f>
        <v>#VALUE!</v>
      </c>
      <c r="BV42" s="33" t="e">
        <f ca="1">+'Prestamo 10 años'!BW7</f>
        <v>#VALUE!</v>
      </c>
      <c r="BW42" s="33" t="e">
        <f ca="1">+'Prestamo 10 años'!BX7</f>
        <v>#VALUE!</v>
      </c>
      <c r="BX42" s="33" t="e">
        <f ca="1">+'Prestamo 10 años'!BY7</f>
        <v>#VALUE!</v>
      </c>
      <c r="BY42" s="33" t="e">
        <f ca="1">+'Prestamo 10 años'!BZ7</f>
        <v>#VALUE!</v>
      </c>
      <c r="BZ42" s="33" t="e">
        <f ca="1">+'Prestamo 10 años'!CA7</f>
        <v>#VALUE!</v>
      </c>
      <c r="CA42" s="33" t="e">
        <f ca="1">+'Prestamo 10 años'!CB7</f>
        <v>#VALUE!</v>
      </c>
      <c r="CB42" s="33" t="e">
        <f ca="1">+'Prestamo 10 años'!CC7</f>
        <v>#VALUE!</v>
      </c>
      <c r="CC42" s="33" t="e">
        <f ca="1">+'Prestamo 10 años'!CD7</f>
        <v>#VALUE!</v>
      </c>
      <c r="CD42" s="33" t="e">
        <f ca="1">+'Prestamo 10 años'!CE7</f>
        <v>#VALUE!</v>
      </c>
      <c r="CE42" s="33" t="e">
        <f ca="1">+'Prestamo 10 años'!CF7</f>
        <v>#VALUE!</v>
      </c>
      <c r="CF42" s="33" t="e">
        <f ca="1">+'Prestamo 10 años'!CG7</f>
        <v>#VALUE!</v>
      </c>
      <c r="CG42" s="33" t="e">
        <f ca="1">+'Prestamo 10 años'!CH7</f>
        <v>#VALUE!</v>
      </c>
      <c r="CH42" s="33" t="e">
        <f ca="1">+'Prestamo 10 años'!CI7</f>
        <v>#VALUE!</v>
      </c>
      <c r="CI42" s="33" t="e">
        <f ca="1">+'Prestamo 10 años'!CJ7</f>
        <v>#VALUE!</v>
      </c>
      <c r="CJ42" s="33" t="e">
        <f ca="1">+'Prestamo 10 años'!CK7</f>
        <v>#VALUE!</v>
      </c>
      <c r="CK42" s="33" t="e">
        <f ca="1">+'Prestamo 10 años'!CL7</f>
        <v>#VALUE!</v>
      </c>
      <c r="CL42" s="33" t="e">
        <f ca="1">+'Prestamo 10 años'!CM7</f>
        <v>#VALUE!</v>
      </c>
      <c r="CM42" s="33" t="e">
        <f ca="1">+'Prestamo 10 años'!CN7</f>
        <v>#VALUE!</v>
      </c>
      <c r="CN42" s="33" t="e">
        <f ca="1">+'Prestamo 10 años'!CO7</f>
        <v>#VALUE!</v>
      </c>
      <c r="CO42" s="33" t="e">
        <f ca="1">+'Prestamo 10 años'!CP7</f>
        <v>#VALUE!</v>
      </c>
      <c r="CP42" s="33" t="e">
        <f ca="1">+'Prestamo 10 años'!CQ7</f>
        <v>#VALUE!</v>
      </c>
      <c r="CQ42" s="33" t="e">
        <f ca="1">+'Prestamo 10 años'!CR7</f>
        <v>#VALUE!</v>
      </c>
      <c r="CR42" s="33" t="e">
        <f ca="1">+'Prestamo 10 años'!CS7</f>
        <v>#VALUE!</v>
      </c>
      <c r="CS42" s="33" t="e">
        <f ca="1">+'Prestamo 10 años'!CT7</f>
        <v>#VALUE!</v>
      </c>
      <c r="CT42" s="33" t="e">
        <f ca="1">+'Prestamo 10 años'!CU7</f>
        <v>#VALUE!</v>
      </c>
      <c r="CU42" s="33" t="e">
        <f ca="1">+'Prestamo 10 años'!CV7</f>
        <v>#VALUE!</v>
      </c>
      <c r="CV42" s="33" t="e">
        <f ca="1">+'Prestamo 10 años'!CW7</f>
        <v>#VALUE!</v>
      </c>
      <c r="CW42" s="33" t="e">
        <f ca="1">+'Prestamo 10 años'!CX7</f>
        <v>#VALUE!</v>
      </c>
      <c r="CX42" s="33" t="e">
        <f ca="1">+'Prestamo 10 años'!CY7</f>
        <v>#VALUE!</v>
      </c>
      <c r="CY42" s="33" t="e">
        <f ca="1">+'Prestamo 10 años'!CZ7</f>
        <v>#VALUE!</v>
      </c>
      <c r="CZ42" s="33" t="e">
        <f ca="1">+'Prestamo 10 años'!DA7</f>
        <v>#VALUE!</v>
      </c>
      <c r="DA42" s="33" t="e">
        <f ca="1">+'Prestamo 10 años'!DB7</f>
        <v>#VALUE!</v>
      </c>
      <c r="DB42" s="33" t="e">
        <f ca="1">+'Prestamo 10 años'!DC7</f>
        <v>#VALUE!</v>
      </c>
      <c r="DC42" s="33" t="e">
        <f ca="1">+'Prestamo 10 años'!DD7</f>
        <v>#VALUE!</v>
      </c>
      <c r="DD42" s="33" t="e">
        <f ca="1">+'Prestamo 10 años'!DE7</f>
        <v>#VALUE!</v>
      </c>
      <c r="DE42" s="33" t="e">
        <f ca="1">+'Prestamo 10 años'!DF7</f>
        <v>#VALUE!</v>
      </c>
      <c r="DF42" s="33" t="e">
        <f ca="1">+'Prestamo 10 años'!DG7</f>
        <v>#VALUE!</v>
      </c>
      <c r="DG42" s="33" t="e">
        <f ca="1">+'Prestamo 10 años'!DH7</f>
        <v>#VALUE!</v>
      </c>
      <c r="DH42" s="33" t="e">
        <f ca="1">+'Prestamo 10 años'!DI7</f>
        <v>#VALUE!</v>
      </c>
      <c r="DI42" s="33" t="e">
        <f ca="1">+'Prestamo 10 años'!DJ7</f>
        <v>#VALUE!</v>
      </c>
      <c r="DJ42" s="33" t="e">
        <f ca="1">+'Prestamo 10 años'!DK7</f>
        <v>#VALUE!</v>
      </c>
      <c r="DK42" s="33" t="e">
        <f ca="1">+'Prestamo 10 años'!DL7</f>
        <v>#VALUE!</v>
      </c>
      <c r="DL42" s="33" t="e">
        <f ca="1">+'Prestamo 10 años'!DM7</f>
        <v>#VALUE!</v>
      </c>
      <c r="DM42" s="33" t="e">
        <f ca="1">+'Prestamo 10 años'!DN7</f>
        <v>#VALUE!</v>
      </c>
      <c r="DN42" s="33" t="e">
        <f ca="1">+'Prestamo 10 años'!DO7</f>
        <v>#VALUE!</v>
      </c>
      <c r="DO42" s="33" t="e">
        <f ca="1">+'Prestamo 10 años'!DP7</f>
        <v>#VALUE!</v>
      </c>
      <c r="DP42" s="33" t="e">
        <f ca="1">+'Prestamo 10 años'!DQ7</f>
        <v>#VALUE!</v>
      </c>
      <c r="DQ42" s="33" t="e">
        <f ca="1">+'Prestamo 10 años'!DR7</f>
        <v>#VALUE!</v>
      </c>
      <c r="DR42" s="33" t="e">
        <f ca="1">+'Prestamo 10 años'!DS7</f>
        <v>#VALUE!</v>
      </c>
      <c r="DS42" s="33" t="e">
        <f ca="1">+'Prestamo 10 años'!DT7</f>
        <v>#VALUE!</v>
      </c>
      <c r="DT42" s="33" t="e">
        <f ca="1">+'Prestamo 10 años'!DU7</f>
        <v>#VALUE!</v>
      </c>
      <c r="DU42" s="33" t="e">
        <f ca="1">+'Prestamo 10 años'!DV7</f>
        <v>#VALUE!</v>
      </c>
      <c r="DV42" s="33" t="e">
        <f ca="1">+'Prestamo 10 años'!DW7</f>
        <v>#VALUE!</v>
      </c>
      <c r="DW42" s="33" t="e">
        <f ca="1">+'Prestamo 10 años'!DX7</f>
        <v>#VALUE!</v>
      </c>
      <c r="DX42" s="33" t="e">
        <f ca="1">+'Prestamo 10 años'!DY7</f>
        <v>#VALUE!</v>
      </c>
      <c r="DY42" s="33" t="e">
        <f ca="1">+'Prestamo 10 años'!DZ7</f>
        <v>#VALUE!</v>
      </c>
      <c r="DZ42" s="33" t="e">
        <f ca="1">+'Prestamo 10 años'!EA7</f>
        <v>#VALUE!</v>
      </c>
      <c r="EA42" s="33">
        <f>+'Prestamo 10 años'!EB7</f>
        <v>0</v>
      </c>
      <c r="EB42" s="33">
        <f>+'Prestamo 10 años'!EC7</f>
        <v>0</v>
      </c>
      <c r="EC42" s="33">
        <f>+'Prestamo 10 años'!ED7</f>
        <v>0</v>
      </c>
      <c r="ED42" s="33">
        <f>+'Prestamo 10 años'!EE7</f>
        <v>0</v>
      </c>
      <c r="EE42" s="33">
        <f>+'Prestamo 10 años'!EF7</f>
        <v>0</v>
      </c>
      <c r="EF42" s="33">
        <f>+'Prestamo 10 años'!EG7</f>
        <v>0</v>
      </c>
      <c r="EG42" s="33">
        <f>+'Prestamo 10 años'!EH7</f>
        <v>0</v>
      </c>
      <c r="EH42" s="33">
        <f>+'Prestamo 10 años'!EI7</f>
        <v>0</v>
      </c>
      <c r="EI42" s="33">
        <f>+'Prestamo 10 años'!EJ7</f>
        <v>0</v>
      </c>
      <c r="EJ42" s="33">
        <f>+'Prestamo 10 años'!EK7</f>
        <v>0</v>
      </c>
      <c r="EK42" s="33">
        <f>+'Prestamo 10 años'!EL7</f>
        <v>0</v>
      </c>
      <c r="EL42" s="33">
        <f>+'Prestamo 10 años'!EM7</f>
        <v>0</v>
      </c>
      <c r="EM42" s="33">
        <f>+'Prestamo 10 años'!EN7</f>
        <v>0</v>
      </c>
      <c r="EN42" s="33">
        <f>+'Prestamo 10 años'!EO7</f>
        <v>0</v>
      </c>
      <c r="EO42" s="33">
        <f>+'Prestamo 10 años'!EP7</f>
        <v>0</v>
      </c>
      <c r="EP42" s="33">
        <f>+'Prestamo 10 años'!EQ7</f>
        <v>0</v>
      </c>
      <c r="EQ42" s="33">
        <f>+'Prestamo 10 años'!ER7</f>
        <v>0</v>
      </c>
      <c r="ER42" s="33">
        <f>+'Prestamo 10 años'!ES7</f>
        <v>0</v>
      </c>
      <c r="ES42" s="33">
        <f>+'Prestamo 10 años'!ET7</f>
        <v>0</v>
      </c>
      <c r="ET42" s="33">
        <f>+'Prestamo 10 años'!EU7</f>
        <v>0</v>
      </c>
      <c r="EU42" s="33">
        <f>+'Prestamo 10 años'!EV7</f>
        <v>0</v>
      </c>
      <c r="EV42" s="33">
        <f>+'Prestamo 10 años'!EW7</f>
        <v>0</v>
      </c>
      <c r="EW42" s="33">
        <f>+'Prestamo 10 años'!EX7</f>
        <v>0</v>
      </c>
      <c r="EX42" s="33">
        <f>+'Prestamo 10 años'!EY7</f>
        <v>0</v>
      </c>
      <c r="EY42" s="33">
        <f>+'Prestamo 10 años'!EZ7</f>
        <v>0</v>
      </c>
      <c r="EZ42" s="33">
        <f>+'Prestamo 10 años'!FA7</f>
        <v>0</v>
      </c>
      <c r="FA42" s="33">
        <f>+'Prestamo 10 años'!FB7</f>
        <v>0</v>
      </c>
      <c r="FB42" s="33">
        <f>+'Prestamo 10 años'!FC7</f>
        <v>0</v>
      </c>
      <c r="FC42" s="33">
        <f>+'Prestamo 10 años'!FD7</f>
        <v>0</v>
      </c>
      <c r="FD42" s="33">
        <f>+'Prestamo 10 años'!FE7</f>
        <v>0</v>
      </c>
      <c r="FE42" s="33">
        <f>+'Prestamo 10 años'!FF7</f>
        <v>0</v>
      </c>
      <c r="FF42" s="33">
        <f>+'Prestamo 10 años'!FG7</f>
        <v>0</v>
      </c>
      <c r="FG42" s="33">
        <f>+'Prestamo 10 años'!FH7</f>
        <v>0</v>
      </c>
      <c r="FH42" s="33">
        <f>+'Prestamo 10 años'!FI7</f>
        <v>0</v>
      </c>
      <c r="FI42" s="33">
        <f>+'Prestamo 10 años'!FJ7</f>
        <v>0</v>
      </c>
      <c r="FJ42" s="33">
        <f>+'Prestamo 10 años'!FK7</f>
        <v>0</v>
      </c>
      <c r="FK42" s="33">
        <f>+'Prestamo 10 años'!FL7</f>
        <v>0</v>
      </c>
      <c r="FL42" s="33">
        <f>+'Prestamo 10 años'!FM7</f>
        <v>0</v>
      </c>
      <c r="FM42" s="33">
        <f>+'Prestamo 10 años'!FN7</f>
        <v>0</v>
      </c>
      <c r="FN42" s="33">
        <f>+'Prestamo 10 años'!FO7</f>
        <v>0</v>
      </c>
      <c r="FO42" s="33">
        <f>+'Prestamo 10 años'!FP7</f>
        <v>0</v>
      </c>
      <c r="FP42" s="33">
        <f>+'Prestamo 10 años'!FQ7</f>
        <v>0</v>
      </c>
      <c r="FQ42" s="33">
        <f>+'Prestamo 10 años'!FR7</f>
        <v>0</v>
      </c>
      <c r="FR42" s="33">
        <f>+'Prestamo 10 años'!FS7</f>
        <v>0</v>
      </c>
      <c r="FS42" s="33">
        <f>+'Prestamo 10 años'!FT7</f>
        <v>0</v>
      </c>
      <c r="FT42" s="33">
        <f>+'Prestamo 10 años'!FU7</f>
        <v>0</v>
      </c>
      <c r="FU42" s="33">
        <f>+'Prestamo 10 años'!FV7</f>
        <v>0</v>
      </c>
      <c r="FV42" s="33">
        <f>+'Prestamo 10 años'!FW7</f>
        <v>0</v>
      </c>
      <c r="FW42" s="33">
        <f>+'Prestamo 10 años'!FX7</f>
        <v>0</v>
      </c>
      <c r="FX42" s="33">
        <f>+'Prestamo 10 años'!FY7</f>
        <v>0</v>
      </c>
      <c r="FY42" s="33">
        <f>+'Prestamo 10 años'!FZ7</f>
        <v>0</v>
      </c>
      <c r="FZ42" s="33">
        <f>+'Prestamo 10 años'!GA7</f>
        <v>0</v>
      </c>
      <c r="GA42" s="33">
        <f>+'Prestamo 10 años'!GB7</f>
        <v>0</v>
      </c>
      <c r="GB42" s="33">
        <f>+'Prestamo 10 años'!GC7</f>
        <v>0</v>
      </c>
      <c r="GC42" s="33">
        <f>+'Prestamo 10 años'!GD7</f>
        <v>0</v>
      </c>
      <c r="GD42" s="33">
        <f>+'Prestamo 10 años'!GE7</f>
        <v>0</v>
      </c>
      <c r="GE42" s="33">
        <f>+'Prestamo 10 años'!GF7</f>
        <v>0</v>
      </c>
      <c r="GF42" s="33">
        <f>+'Prestamo 10 años'!GG7</f>
        <v>0</v>
      </c>
      <c r="GG42" s="33">
        <f>+'Prestamo 10 años'!GH7</f>
        <v>0</v>
      </c>
      <c r="GH42" s="33">
        <f>+'Prestamo 10 años'!GI7</f>
        <v>0</v>
      </c>
      <c r="GI42" s="33">
        <f>+'Prestamo 10 años'!GJ7</f>
        <v>0</v>
      </c>
      <c r="GJ42" s="33">
        <f>+'Prestamo 10 años'!GK7</f>
        <v>0</v>
      </c>
      <c r="GK42" s="33">
        <f>+'Prestamo 10 años'!GL7</f>
        <v>0</v>
      </c>
      <c r="GL42" s="33">
        <f>+'Prestamo 10 años'!GM7</f>
        <v>0</v>
      </c>
      <c r="GM42" s="33">
        <f>+'Prestamo 10 años'!GN7</f>
        <v>0</v>
      </c>
      <c r="GN42" s="33">
        <f>+'Prestamo 10 años'!GO7</f>
        <v>0</v>
      </c>
      <c r="GO42" s="33">
        <f>+'Prestamo 10 años'!GP7</f>
        <v>0</v>
      </c>
      <c r="GP42" s="33">
        <f>+'Prestamo 10 años'!GQ7</f>
        <v>0</v>
      </c>
      <c r="GQ42" s="33">
        <f>+'Prestamo 10 años'!GR7</f>
        <v>0</v>
      </c>
      <c r="GR42" s="33">
        <f>+'Prestamo 10 años'!GS7</f>
        <v>0</v>
      </c>
      <c r="GS42" s="33">
        <f>+'Prestamo 10 años'!GT7</f>
        <v>0</v>
      </c>
      <c r="GT42" s="33">
        <f>+'Prestamo 10 años'!GU7</f>
        <v>0</v>
      </c>
      <c r="GU42" s="33">
        <f>+'Prestamo 10 años'!GV7</f>
        <v>0</v>
      </c>
      <c r="GV42" s="33">
        <f>+'Prestamo 10 años'!GW7</f>
        <v>0</v>
      </c>
      <c r="GW42" s="33">
        <f>+'Prestamo 10 años'!GX7</f>
        <v>0</v>
      </c>
      <c r="GX42" s="33">
        <f>+'Prestamo 10 años'!GY7</f>
        <v>0</v>
      </c>
      <c r="GY42" s="33">
        <f>+'Prestamo 10 años'!GZ7</f>
        <v>0</v>
      </c>
      <c r="GZ42" s="33">
        <f>+'Prestamo 10 años'!HA7</f>
        <v>0</v>
      </c>
      <c r="HA42" s="33">
        <f>+'Prestamo 10 años'!HB7</f>
        <v>0</v>
      </c>
      <c r="HB42" s="33">
        <f>+'Prestamo 10 años'!HC7</f>
        <v>0</v>
      </c>
      <c r="HC42" s="33">
        <f>+'Prestamo 10 años'!HD7</f>
        <v>0</v>
      </c>
      <c r="HD42" s="33">
        <f>+'Prestamo 10 años'!HE7</f>
        <v>0</v>
      </c>
      <c r="HE42" s="33">
        <f>+'Prestamo 10 años'!HF7</f>
        <v>0</v>
      </c>
      <c r="HF42" s="33">
        <f>+'Prestamo 10 años'!HG7</f>
        <v>0</v>
      </c>
      <c r="HG42" s="33">
        <f>+'Prestamo 10 años'!HH7</f>
        <v>0</v>
      </c>
      <c r="HH42" s="33">
        <f>+'Prestamo 10 años'!HI7</f>
        <v>0</v>
      </c>
      <c r="HI42" s="33">
        <f>+'Prestamo 10 años'!HJ7</f>
        <v>0</v>
      </c>
      <c r="HJ42" s="33">
        <f>+'Prestamo 10 años'!HK7</f>
        <v>0</v>
      </c>
      <c r="HK42" s="33">
        <f>+'Prestamo 10 años'!HL7</f>
        <v>0</v>
      </c>
      <c r="HL42" s="33">
        <f>+'Prestamo 10 años'!HM7</f>
        <v>0</v>
      </c>
      <c r="HM42" s="33">
        <f>+'Prestamo 10 años'!HN7</f>
        <v>0</v>
      </c>
      <c r="HN42" s="33">
        <f>+'Prestamo 10 años'!HO7</f>
        <v>0</v>
      </c>
      <c r="HO42" s="33">
        <f>+'Prestamo 10 años'!HP7</f>
        <v>0</v>
      </c>
      <c r="HP42" s="33">
        <f>+'Prestamo 10 años'!HQ7</f>
        <v>0</v>
      </c>
      <c r="HQ42" s="33">
        <f>+'Prestamo 10 años'!HR7</f>
        <v>0</v>
      </c>
      <c r="HR42" s="33">
        <f>+'Prestamo 10 años'!HS7</f>
        <v>0</v>
      </c>
      <c r="HS42" s="33">
        <f>+'Prestamo 10 años'!HT7</f>
        <v>0</v>
      </c>
      <c r="HT42" s="33">
        <f>+'Prestamo 10 años'!HU7</f>
        <v>0</v>
      </c>
      <c r="HU42" s="33">
        <f>+'Prestamo 10 años'!HV7</f>
        <v>0</v>
      </c>
      <c r="HV42" s="33">
        <f>+'Prestamo 10 años'!HW7</f>
        <v>0</v>
      </c>
      <c r="HW42" s="33">
        <f>+'Prestamo 10 años'!HX7</f>
        <v>0</v>
      </c>
      <c r="HX42" s="33">
        <f>+'Prestamo 10 años'!HY7</f>
        <v>0</v>
      </c>
      <c r="HY42" s="33">
        <f>+'Prestamo 10 años'!HZ7</f>
        <v>0</v>
      </c>
      <c r="HZ42" s="33">
        <f>+'Prestamo 10 años'!IA7</f>
        <v>0</v>
      </c>
      <c r="IA42" s="33">
        <f>+'Prestamo 10 años'!IB7</f>
        <v>0</v>
      </c>
      <c r="IB42" s="33">
        <f>+'Prestamo 10 años'!IC7</f>
        <v>0</v>
      </c>
      <c r="IC42" s="33">
        <f>+'Prestamo 10 años'!ID7</f>
        <v>0</v>
      </c>
      <c r="ID42" s="33">
        <f>+'Prestamo 10 años'!IE7</f>
        <v>0</v>
      </c>
      <c r="IE42" s="33">
        <f>+'Prestamo 10 años'!IF7</f>
        <v>0</v>
      </c>
      <c r="IF42" s="33">
        <f>+'Prestamo 10 años'!IG7</f>
        <v>0</v>
      </c>
      <c r="IG42" s="33">
        <f>+'Prestamo 10 años'!IH7</f>
        <v>0</v>
      </c>
      <c r="IH42" s="33">
        <f>+'Prestamo 10 años'!II7</f>
        <v>0</v>
      </c>
      <c r="II42" s="33">
        <f>+'Prestamo 10 años'!IJ7</f>
        <v>0</v>
      </c>
      <c r="IJ42" s="33">
        <f>+'Prestamo 10 años'!IK7</f>
        <v>0</v>
      </c>
      <c r="IK42" s="33">
        <f>+'Prestamo 10 años'!IL7</f>
        <v>0</v>
      </c>
      <c r="IL42" s="33">
        <f>+'Prestamo 10 años'!IM7</f>
        <v>0</v>
      </c>
      <c r="IM42" s="33">
        <f>+'Prestamo 10 años'!IN7</f>
        <v>0</v>
      </c>
      <c r="IN42" s="33">
        <f>+'Prestamo 10 años'!IO7</f>
        <v>0</v>
      </c>
      <c r="IO42" s="33">
        <f>+'Prestamo 10 años'!IP7</f>
        <v>0</v>
      </c>
    </row>
    <row r="43" spans="1:249" x14ac:dyDescent="0.3">
      <c r="A43" t="s">
        <v>640</v>
      </c>
      <c r="B43" s="33"/>
      <c r="E43" s="33"/>
      <c r="F43" s="33"/>
      <c r="G43" s="33"/>
      <c r="H43" s="33"/>
      <c r="I43" s="33"/>
      <c r="J43" s="33"/>
      <c r="K43" s="33" t="str">
        <f ca="1">+'Prestamo 10 años'!L3</f>
        <v/>
      </c>
      <c r="L43" s="33" t="str">
        <f ca="1">+'Prestamo 10 años'!M3</f>
        <v/>
      </c>
      <c r="M43" s="33" t="str">
        <f ca="1">+'Prestamo 10 años'!N3</f>
        <v/>
      </c>
      <c r="N43" s="33" t="str">
        <f ca="1">+'Prestamo 10 años'!O3</f>
        <v/>
      </c>
      <c r="O43" s="33" t="str">
        <f ca="1">+'Prestamo 10 años'!P3</f>
        <v/>
      </c>
      <c r="P43" s="33" t="str">
        <f ca="1">+'Prestamo 10 años'!Q3</f>
        <v/>
      </c>
      <c r="Q43" s="33" t="str">
        <f ca="1">+'Prestamo 10 años'!R3</f>
        <v/>
      </c>
      <c r="R43" s="33" t="str">
        <f ca="1">+'Prestamo 10 años'!S3</f>
        <v/>
      </c>
      <c r="S43" s="33" t="str">
        <f ca="1">+'Prestamo 10 años'!T3</f>
        <v/>
      </c>
      <c r="T43" s="33" t="str">
        <f ca="1">+'Prestamo 10 años'!U3</f>
        <v/>
      </c>
      <c r="U43" s="33" t="str">
        <f ca="1">+'Prestamo 10 años'!V3</f>
        <v/>
      </c>
      <c r="V43" s="33" t="str">
        <f ca="1">+'Prestamo 10 años'!W3</f>
        <v/>
      </c>
      <c r="W43" s="33" t="str">
        <f ca="1">+'Prestamo 10 años'!X3</f>
        <v/>
      </c>
      <c r="X43" s="33" t="str">
        <f ca="1">+'Prestamo 10 años'!Y3</f>
        <v/>
      </c>
      <c r="Y43" s="33" t="str">
        <f ca="1">+'Prestamo 10 años'!Z3</f>
        <v/>
      </c>
      <c r="Z43" s="33" t="str">
        <f ca="1">+'Prestamo 10 años'!AA3</f>
        <v/>
      </c>
      <c r="AA43" s="33" t="str">
        <f ca="1">+'Prestamo 10 años'!AB3</f>
        <v/>
      </c>
      <c r="AB43" s="33" t="str">
        <f ca="1">+'Prestamo 10 años'!AC3</f>
        <v/>
      </c>
      <c r="AC43" s="33" t="str">
        <f ca="1">+'Prestamo 10 años'!AD3</f>
        <v/>
      </c>
      <c r="AD43" s="33" t="str">
        <f ca="1">+'Prestamo 10 años'!AE3</f>
        <v/>
      </c>
      <c r="AE43" s="33" t="str">
        <f ca="1">+'Prestamo 10 años'!AF3</f>
        <v/>
      </c>
      <c r="AF43" s="33" t="str">
        <f ca="1">+'Prestamo 10 años'!AG3</f>
        <v/>
      </c>
      <c r="AG43" s="33" t="str">
        <f ca="1">+'Prestamo 10 años'!AH3</f>
        <v/>
      </c>
      <c r="AH43" s="33" t="str">
        <f ca="1">+'Prestamo 10 años'!AI3</f>
        <v/>
      </c>
      <c r="AI43" s="33" t="str">
        <f ca="1">+'Prestamo 10 años'!AJ3</f>
        <v/>
      </c>
      <c r="AJ43" s="33" t="str">
        <f ca="1">+'Prestamo 10 años'!AK3</f>
        <v/>
      </c>
      <c r="AK43" s="33" t="str">
        <f ca="1">+'Prestamo 10 años'!AL3</f>
        <v/>
      </c>
      <c r="AL43" s="33" t="str">
        <f ca="1">+'Prestamo 10 años'!AM3</f>
        <v/>
      </c>
      <c r="AM43" s="33" t="str">
        <f ca="1">+'Prestamo 10 años'!AN3</f>
        <v/>
      </c>
      <c r="AN43" s="33" t="str">
        <f ca="1">+'Prestamo 10 años'!AO3</f>
        <v/>
      </c>
      <c r="AO43" s="33" t="str">
        <f ca="1">+'Prestamo 10 años'!AP3</f>
        <v/>
      </c>
      <c r="AP43" s="33" t="str">
        <f ca="1">+'Prestamo 10 años'!AQ3</f>
        <v/>
      </c>
      <c r="AQ43" s="33" t="str">
        <f ca="1">+'Prestamo 10 años'!AR3</f>
        <v/>
      </c>
      <c r="AR43" s="33" t="str">
        <f ca="1">+'Prestamo 10 años'!AS3</f>
        <v/>
      </c>
      <c r="AS43" s="33" t="str">
        <f ca="1">+'Prestamo 10 años'!AT3</f>
        <v/>
      </c>
      <c r="AT43" s="33" t="str">
        <f ca="1">+'Prestamo 10 años'!AU3</f>
        <v/>
      </c>
      <c r="AU43" s="33" t="str">
        <f ca="1">+'Prestamo 10 años'!AV3</f>
        <v/>
      </c>
      <c r="AV43" s="33" t="str">
        <f ca="1">+'Prestamo 10 años'!AW3</f>
        <v/>
      </c>
      <c r="AW43" s="33" t="str">
        <f ca="1">+'Prestamo 10 años'!AX3</f>
        <v/>
      </c>
      <c r="AX43" s="33" t="str">
        <f ca="1">+'Prestamo 10 años'!AY3</f>
        <v/>
      </c>
      <c r="AY43" s="33" t="str">
        <f ca="1">+'Prestamo 10 años'!AZ3</f>
        <v/>
      </c>
      <c r="AZ43" s="33" t="str">
        <f ca="1">+'Prestamo 10 años'!BA3</f>
        <v/>
      </c>
      <c r="BA43" s="33" t="str">
        <f ca="1">+'Prestamo 10 años'!BB3</f>
        <v/>
      </c>
      <c r="BB43" s="33" t="str">
        <f ca="1">+'Prestamo 10 años'!BC3</f>
        <v/>
      </c>
      <c r="BC43" s="33" t="str">
        <f ca="1">+'Prestamo 10 años'!BD3</f>
        <v/>
      </c>
      <c r="BD43" s="33" t="str">
        <f ca="1">+'Prestamo 10 años'!BE3</f>
        <v/>
      </c>
      <c r="BE43" s="33" t="str">
        <f ca="1">+'Prestamo 10 años'!BF3</f>
        <v/>
      </c>
      <c r="BF43" s="33" t="str">
        <f ca="1">+'Prestamo 10 años'!BG3</f>
        <v/>
      </c>
      <c r="BG43" s="33" t="str">
        <f ca="1">+'Prestamo 10 años'!BH3</f>
        <v/>
      </c>
      <c r="BH43" s="33" t="str">
        <f ca="1">+'Prestamo 10 años'!BI3</f>
        <v/>
      </c>
      <c r="BI43" s="33" t="str">
        <f ca="1">+'Prestamo 10 años'!BJ3</f>
        <v/>
      </c>
      <c r="BJ43" s="33" t="str">
        <f ca="1">+'Prestamo 10 años'!BK3</f>
        <v/>
      </c>
      <c r="BK43" s="33" t="str">
        <f ca="1">+'Prestamo 10 años'!BL3</f>
        <v/>
      </c>
      <c r="BL43" s="33" t="str">
        <f ca="1">+'Prestamo 10 años'!BM3</f>
        <v/>
      </c>
      <c r="BM43" s="33" t="str">
        <f ca="1">+'Prestamo 10 años'!BN3</f>
        <v/>
      </c>
      <c r="BN43" s="33" t="str">
        <f ca="1">+'Prestamo 10 años'!BO3</f>
        <v/>
      </c>
      <c r="BO43" s="33" t="str">
        <f ca="1">+'Prestamo 10 años'!BP3</f>
        <v/>
      </c>
      <c r="BP43" s="33" t="str">
        <f ca="1">+'Prestamo 10 años'!BQ3</f>
        <v/>
      </c>
      <c r="BQ43" s="33" t="str">
        <f ca="1">+'Prestamo 10 años'!BR3</f>
        <v/>
      </c>
      <c r="BR43" s="33" t="str">
        <f ca="1">+'Prestamo 10 años'!BS3</f>
        <v/>
      </c>
      <c r="BS43" s="33" t="str">
        <f ca="1">+'Prestamo 10 años'!BT3</f>
        <v/>
      </c>
      <c r="BT43" s="33" t="str">
        <f ca="1">+'Prestamo 10 años'!BU3</f>
        <v/>
      </c>
      <c r="BU43" s="33" t="str">
        <f ca="1">+'Prestamo 10 años'!BV3</f>
        <v/>
      </c>
      <c r="BV43" s="33" t="str">
        <f ca="1">+'Prestamo 10 años'!BW3</f>
        <v/>
      </c>
      <c r="BW43" s="33" t="str">
        <f ca="1">+'Prestamo 10 años'!BX3</f>
        <v/>
      </c>
      <c r="BX43" s="33" t="str">
        <f ca="1">+'Prestamo 10 años'!BY3</f>
        <v/>
      </c>
      <c r="BY43" s="33" t="str">
        <f ca="1">+'Prestamo 10 años'!BZ3</f>
        <v/>
      </c>
      <c r="BZ43" s="33" t="str">
        <f ca="1">+'Prestamo 10 años'!CA3</f>
        <v/>
      </c>
      <c r="CA43" s="33" t="str">
        <f ca="1">+'Prestamo 10 años'!CB3</f>
        <v/>
      </c>
      <c r="CB43" s="33" t="str">
        <f ca="1">+'Prestamo 10 años'!CC3</f>
        <v/>
      </c>
      <c r="CC43" s="33" t="str">
        <f ca="1">+'Prestamo 10 años'!CD3</f>
        <v/>
      </c>
      <c r="CD43" s="33" t="str">
        <f ca="1">+'Prestamo 10 años'!CE3</f>
        <v/>
      </c>
      <c r="CE43" s="33" t="str">
        <f ca="1">+'Prestamo 10 años'!CF3</f>
        <v/>
      </c>
      <c r="CF43" s="33" t="str">
        <f ca="1">+'Prestamo 10 años'!CG3</f>
        <v/>
      </c>
      <c r="CG43" s="33" t="str">
        <f ca="1">+'Prestamo 10 años'!CH3</f>
        <v/>
      </c>
      <c r="CH43" s="33" t="str">
        <f ca="1">+'Prestamo 10 años'!CI3</f>
        <v/>
      </c>
      <c r="CI43" s="33" t="str">
        <f ca="1">+'Prestamo 10 años'!CJ3</f>
        <v/>
      </c>
      <c r="CJ43" s="33" t="str">
        <f ca="1">+'Prestamo 10 años'!CK3</f>
        <v/>
      </c>
      <c r="CK43" s="33" t="str">
        <f ca="1">+'Prestamo 10 años'!CL3</f>
        <v/>
      </c>
      <c r="CL43" s="33" t="str">
        <f ca="1">+'Prestamo 10 años'!CM3</f>
        <v/>
      </c>
      <c r="CM43" s="33" t="str">
        <f ca="1">+'Prestamo 10 años'!CN3</f>
        <v/>
      </c>
      <c r="CN43" s="33" t="str">
        <f ca="1">+'Prestamo 10 años'!CO3</f>
        <v/>
      </c>
      <c r="CO43" s="33" t="str">
        <f ca="1">+'Prestamo 10 años'!CP3</f>
        <v/>
      </c>
      <c r="CP43" s="33" t="str">
        <f ca="1">+'Prestamo 10 años'!CQ3</f>
        <v/>
      </c>
      <c r="CQ43" s="33" t="str">
        <f ca="1">+'Prestamo 10 años'!CR3</f>
        <v/>
      </c>
      <c r="CR43" s="33" t="str">
        <f ca="1">+'Prestamo 10 años'!CS3</f>
        <v/>
      </c>
      <c r="CS43" s="33" t="str">
        <f ca="1">+'Prestamo 10 años'!CT3</f>
        <v/>
      </c>
      <c r="CT43" s="33" t="str">
        <f ca="1">+'Prestamo 10 años'!CU3</f>
        <v/>
      </c>
      <c r="CU43" s="33" t="str">
        <f ca="1">+'Prestamo 10 años'!CV3</f>
        <v/>
      </c>
      <c r="CV43" s="33" t="str">
        <f ca="1">+'Prestamo 10 años'!CW3</f>
        <v/>
      </c>
      <c r="CW43" s="33" t="str">
        <f ca="1">+'Prestamo 10 años'!CX3</f>
        <v/>
      </c>
      <c r="CX43" s="33" t="str">
        <f ca="1">+'Prestamo 10 años'!CY3</f>
        <v/>
      </c>
      <c r="CY43" s="33" t="str">
        <f ca="1">+'Prestamo 10 años'!CZ3</f>
        <v/>
      </c>
      <c r="CZ43" s="33" t="str">
        <f ca="1">+'Prestamo 10 años'!DA3</f>
        <v/>
      </c>
      <c r="DA43" s="33" t="str">
        <f ca="1">+'Prestamo 10 años'!DB3</f>
        <v/>
      </c>
      <c r="DB43" s="33" t="str">
        <f ca="1">+'Prestamo 10 años'!DC3</f>
        <v/>
      </c>
      <c r="DC43" s="33" t="str">
        <f ca="1">+'Prestamo 10 años'!DD3</f>
        <v/>
      </c>
      <c r="DD43" s="33" t="str">
        <f ca="1">+'Prestamo 10 años'!DE3</f>
        <v/>
      </c>
      <c r="DE43" s="33" t="str">
        <f ca="1">+'Prestamo 10 años'!DF3</f>
        <v/>
      </c>
      <c r="DF43" s="33" t="str">
        <f ca="1">+'Prestamo 10 años'!DG3</f>
        <v/>
      </c>
      <c r="DG43" s="33" t="str">
        <f ca="1">+'Prestamo 10 años'!DH3</f>
        <v/>
      </c>
      <c r="DH43" s="33" t="str">
        <f ca="1">+'Prestamo 10 años'!DI3</f>
        <v/>
      </c>
      <c r="DI43" s="33" t="str">
        <f ca="1">+'Prestamo 10 años'!DJ3</f>
        <v/>
      </c>
      <c r="DJ43" s="33" t="str">
        <f ca="1">+'Prestamo 10 años'!DK3</f>
        <v/>
      </c>
      <c r="DK43" s="33" t="str">
        <f ca="1">+'Prestamo 10 años'!DL3</f>
        <v/>
      </c>
      <c r="DL43" s="33" t="str">
        <f ca="1">+'Prestamo 10 años'!DM3</f>
        <v/>
      </c>
      <c r="DM43" s="33" t="str">
        <f ca="1">+'Prestamo 10 años'!DN3</f>
        <v/>
      </c>
      <c r="DN43" s="33" t="str">
        <f ca="1">+'Prestamo 10 años'!DO3</f>
        <v/>
      </c>
      <c r="DO43" s="33" t="str">
        <f ca="1">+'Prestamo 10 años'!DP3</f>
        <v/>
      </c>
      <c r="DP43" s="33" t="str">
        <f ca="1">+'Prestamo 10 años'!DQ3</f>
        <v/>
      </c>
      <c r="DQ43" s="33" t="str">
        <f ca="1">+'Prestamo 10 años'!DR3</f>
        <v/>
      </c>
      <c r="DR43" s="33" t="str">
        <f ca="1">+'Prestamo 10 años'!DS3</f>
        <v/>
      </c>
      <c r="DS43" s="33" t="str">
        <f ca="1">+'Prestamo 10 años'!DT3</f>
        <v/>
      </c>
      <c r="DT43" s="33" t="str">
        <f ca="1">+'Prestamo 10 años'!DU3</f>
        <v/>
      </c>
      <c r="DU43" s="33" t="str">
        <f ca="1">+'Prestamo 10 años'!DV3</f>
        <v/>
      </c>
      <c r="DV43" s="33" t="str">
        <f ca="1">+'Prestamo 10 años'!DW3</f>
        <v/>
      </c>
      <c r="DW43" s="33" t="str">
        <f ca="1">+'Prestamo 10 años'!DX3</f>
        <v/>
      </c>
      <c r="DX43" s="33" t="str">
        <f ca="1">+'Prestamo 10 años'!DY3</f>
        <v/>
      </c>
      <c r="DY43" s="33" t="str">
        <f ca="1">+'Prestamo 10 años'!DZ3</f>
        <v/>
      </c>
      <c r="DZ43" s="33" t="str">
        <f ca="1">+'Prestamo 10 años'!EA3</f>
        <v/>
      </c>
      <c r="EA43" s="33">
        <f>+'Prestamo 10 años'!EB3</f>
        <v>0</v>
      </c>
      <c r="EB43" s="33">
        <f>+'Prestamo 10 años'!EC3</f>
        <v>0</v>
      </c>
      <c r="EC43" s="33">
        <f>+'Prestamo 10 años'!ED3</f>
        <v>0</v>
      </c>
      <c r="ED43" s="33">
        <f>+'Prestamo 10 años'!EE3</f>
        <v>0</v>
      </c>
      <c r="EE43" s="33">
        <f>+'Prestamo 10 años'!EF3</f>
        <v>0</v>
      </c>
      <c r="EF43" s="33">
        <f>+'Prestamo 10 años'!EG3</f>
        <v>0</v>
      </c>
      <c r="EG43" s="33">
        <f>+'Prestamo 10 años'!EH3</f>
        <v>0</v>
      </c>
      <c r="EH43" s="33">
        <f>+'Prestamo 10 años'!EI3</f>
        <v>0</v>
      </c>
      <c r="EI43" s="33">
        <f>+'Prestamo 10 años'!EJ3</f>
        <v>0</v>
      </c>
      <c r="EJ43" s="33">
        <f>+'Prestamo 10 años'!EK3</f>
        <v>0</v>
      </c>
      <c r="EK43" s="33">
        <f>+'Prestamo 10 años'!EL3</f>
        <v>0</v>
      </c>
      <c r="EL43" s="33">
        <f>+'Prestamo 10 años'!EM3</f>
        <v>0</v>
      </c>
      <c r="EM43" s="33">
        <f>+'Prestamo 10 años'!EN3</f>
        <v>0</v>
      </c>
      <c r="EN43" s="33">
        <f>+'Prestamo 10 años'!EO3</f>
        <v>0</v>
      </c>
      <c r="EO43" s="33">
        <f>+'Prestamo 10 años'!EP3</f>
        <v>0</v>
      </c>
      <c r="EP43" s="33">
        <f>+'Prestamo 10 años'!EQ3</f>
        <v>0</v>
      </c>
      <c r="EQ43" s="33">
        <f>+'Prestamo 10 años'!ER3</f>
        <v>0</v>
      </c>
      <c r="ER43" s="33">
        <f>+'Prestamo 10 años'!ES3</f>
        <v>0</v>
      </c>
      <c r="ES43" s="33">
        <f>+'Prestamo 10 años'!ET3</f>
        <v>0</v>
      </c>
      <c r="ET43" s="33">
        <f>+'Prestamo 10 años'!EU3</f>
        <v>0</v>
      </c>
      <c r="EU43" s="33">
        <f>+'Prestamo 10 años'!EV3</f>
        <v>0</v>
      </c>
      <c r="EV43" s="33">
        <f>+'Prestamo 10 años'!EW3</f>
        <v>0</v>
      </c>
      <c r="EW43" s="33">
        <f>+'Prestamo 10 años'!EX3</f>
        <v>0</v>
      </c>
      <c r="EX43" s="33">
        <f>+'Prestamo 10 años'!EY3</f>
        <v>0</v>
      </c>
      <c r="EY43" s="33">
        <f>+'Prestamo 10 años'!EZ3</f>
        <v>0</v>
      </c>
      <c r="EZ43" s="33">
        <f>+'Prestamo 10 años'!FA3</f>
        <v>0</v>
      </c>
      <c r="FA43" s="33">
        <f>+'Prestamo 10 años'!FB3</f>
        <v>0</v>
      </c>
      <c r="FB43" s="33">
        <f>+'Prestamo 10 años'!FC3</f>
        <v>0</v>
      </c>
      <c r="FC43" s="33">
        <f>+'Prestamo 10 años'!FD3</f>
        <v>0</v>
      </c>
      <c r="FD43" s="33">
        <f>+'Prestamo 10 años'!FE3</f>
        <v>0</v>
      </c>
      <c r="FE43" s="33">
        <f>+'Prestamo 10 años'!FF3</f>
        <v>0</v>
      </c>
      <c r="FF43" s="33">
        <f>+'Prestamo 10 años'!FG3</f>
        <v>0</v>
      </c>
      <c r="FG43" s="33">
        <f>+'Prestamo 10 años'!FH3</f>
        <v>0</v>
      </c>
      <c r="FH43" s="33">
        <f>+'Prestamo 10 años'!FI3</f>
        <v>0</v>
      </c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</row>
    <row r="44" spans="1:249" x14ac:dyDescent="0.3">
      <c r="A44" t="s">
        <v>807</v>
      </c>
      <c r="B44" s="33"/>
      <c r="E44" s="33"/>
      <c r="F44" s="33"/>
      <c r="G44" s="33"/>
      <c r="H44" s="33"/>
      <c r="I44" s="33"/>
      <c r="J44" s="33"/>
      <c r="K44" s="33" t="str">
        <f ca="1">+'Prestamo 10 años'!L4</f>
        <v/>
      </c>
      <c r="L44" s="33" t="str">
        <f ca="1">+'Prestamo 10 años'!M4</f>
        <v/>
      </c>
      <c r="M44" s="33" t="str">
        <f ca="1">+'Prestamo 10 años'!N4</f>
        <v/>
      </c>
      <c r="N44" s="33" t="str">
        <f ca="1">+'Prestamo 10 años'!O4</f>
        <v/>
      </c>
      <c r="O44" s="33" t="str">
        <f ca="1">+'Prestamo 10 años'!P4</f>
        <v/>
      </c>
      <c r="P44" s="33" t="str">
        <f ca="1">+'Prestamo 10 años'!Q4</f>
        <v/>
      </c>
      <c r="Q44" s="33" t="str">
        <f ca="1">+'Prestamo 10 años'!R4</f>
        <v/>
      </c>
      <c r="R44" s="33" t="str">
        <f ca="1">+'Prestamo 10 años'!S4</f>
        <v/>
      </c>
      <c r="S44" s="33" t="str">
        <f ca="1">+'Prestamo 10 años'!T4</f>
        <v/>
      </c>
      <c r="T44" s="33" t="str">
        <f ca="1">+'Prestamo 10 años'!U4</f>
        <v/>
      </c>
      <c r="U44" s="33" t="str">
        <f ca="1">+'Prestamo 10 años'!V4</f>
        <v/>
      </c>
      <c r="V44" s="33" t="str">
        <f ca="1">+'Prestamo 10 años'!W4</f>
        <v/>
      </c>
      <c r="W44" s="33" t="str">
        <f ca="1">+'Prestamo 10 años'!X4</f>
        <v/>
      </c>
      <c r="X44" s="33" t="str">
        <f ca="1">+'Prestamo 10 años'!Y4</f>
        <v/>
      </c>
      <c r="Y44" s="33" t="str">
        <f ca="1">+'Prestamo 10 años'!Z4</f>
        <v/>
      </c>
      <c r="Z44" s="33" t="str">
        <f ca="1">+'Prestamo 10 años'!AA4</f>
        <v/>
      </c>
      <c r="AA44" s="33" t="str">
        <f ca="1">+'Prestamo 10 años'!AB4</f>
        <v/>
      </c>
      <c r="AB44" s="33" t="str">
        <f ca="1">+'Prestamo 10 años'!AC4</f>
        <v/>
      </c>
      <c r="AC44" s="33" t="str">
        <f ca="1">+'Prestamo 10 años'!AD4</f>
        <v/>
      </c>
      <c r="AD44" s="33" t="str">
        <f ca="1">+'Prestamo 10 años'!AE4</f>
        <v/>
      </c>
      <c r="AE44" s="33" t="str">
        <f ca="1">+'Prestamo 10 años'!AF4</f>
        <v/>
      </c>
      <c r="AF44" s="33" t="str">
        <f ca="1">+'Prestamo 10 años'!AG4</f>
        <v/>
      </c>
      <c r="AG44" s="33" t="str">
        <f ca="1">+'Prestamo 10 años'!AH4</f>
        <v/>
      </c>
      <c r="AH44" s="33" t="str">
        <f ca="1">+'Prestamo 10 años'!AI4</f>
        <v/>
      </c>
      <c r="AI44" s="33" t="str">
        <f ca="1">+'Prestamo 10 años'!AJ4</f>
        <v/>
      </c>
      <c r="AJ44" s="33" t="str">
        <f ca="1">+'Prestamo 10 años'!AK4</f>
        <v/>
      </c>
      <c r="AK44" s="33" t="str">
        <f ca="1">+'Prestamo 10 años'!AL4</f>
        <v/>
      </c>
      <c r="AL44" s="33" t="str">
        <f ca="1">+'Prestamo 10 años'!AM4</f>
        <v/>
      </c>
      <c r="AM44" s="33" t="str">
        <f ca="1">+'Prestamo 10 años'!AN4</f>
        <v/>
      </c>
      <c r="AN44" s="33" t="str">
        <f ca="1">+'Prestamo 10 años'!AO4</f>
        <v/>
      </c>
      <c r="AO44" s="33" t="str">
        <f ca="1">+'Prestamo 10 años'!AP4</f>
        <v/>
      </c>
      <c r="AP44" s="33" t="str">
        <f ca="1">+'Prestamo 10 años'!AQ4</f>
        <v/>
      </c>
      <c r="AQ44" s="33" t="str">
        <f ca="1">+'Prestamo 10 años'!AR4</f>
        <v/>
      </c>
      <c r="AR44" s="33" t="str">
        <f ca="1">+'Prestamo 10 años'!AS4</f>
        <v/>
      </c>
      <c r="AS44" s="33" t="str">
        <f ca="1">+'Prestamo 10 años'!AT4</f>
        <v/>
      </c>
      <c r="AT44" s="33" t="str">
        <f ca="1">+'Prestamo 10 años'!AU4</f>
        <v/>
      </c>
      <c r="AU44" s="33" t="str">
        <f ca="1">+'Prestamo 10 años'!AV4</f>
        <v/>
      </c>
      <c r="AV44" s="33" t="str">
        <f ca="1">+'Prestamo 10 años'!AW4</f>
        <v/>
      </c>
      <c r="AW44" s="33" t="str">
        <f ca="1">+'Prestamo 10 años'!AX4</f>
        <v/>
      </c>
      <c r="AX44" s="33" t="str">
        <f ca="1">+'Prestamo 10 años'!AY4</f>
        <v/>
      </c>
      <c r="AY44" s="33" t="str">
        <f ca="1">+'Prestamo 10 años'!AZ4</f>
        <v/>
      </c>
      <c r="AZ44" s="33" t="str">
        <f ca="1">+'Prestamo 10 años'!BA4</f>
        <v/>
      </c>
      <c r="BA44" s="33" t="str">
        <f ca="1">+'Prestamo 10 años'!BB4</f>
        <v/>
      </c>
      <c r="BB44" s="33" t="str">
        <f ca="1">+'Prestamo 10 años'!BC4</f>
        <v/>
      </c>
      <c r="BC44" s="33" t="str">
        <f ca="1">+'Prestamo 10 años'!BD4</f>
        <v/>
      </c>
      <c r="BD44" s="33" t="str">
        <f ca="1">+'Prestamo 10 años'!BE4</f>
        <v/>
      </c>
      <c r="BE44" s="33" t="str">
        <f ca="1">+'Prestamo 10 años'!BF4</f>
        <v/>
      </c>
      <c r="BF44" s="33" t="str">
        <f ca="1">+'Prestamo 10 años'!BG4</f>
        <v/>
      </c>
      <c r="BG44" s="33" t="str">
        <f ca="1">+'Prestamo 10 años'!BH4</f>
        <v/>
      </c>
      <c r="BH44" s="33" t="str">
        <f ca="1">+'Prestamo 10 años'!BI4</f>
        <v/>
      </c>
      <c r="BI44" s="33" t="str">
        <f ca="1">+'Prestamo 10 años'!BJ4</f>
        <v/>
      </c>
      <c r="BJ44" s="33" t="str">
        <f ca="1">+'Prestamo 10 años'!BK4</f>
        <v/>
      </c>
      <c r="BK44" s="33" t="str">
        <f ca="1">+'Prestamo 10 años'!BL4</f>
        <v/>
      </c>
      <c r="BL44" s="33" t="str">
        <f ca="1">+'Prestamo 10 años'!BM4</f>
        <v/>
      </c>
      <c r="BM44" s="33" t="str">
        <f ca="1">+'Prestamo 10 años'!BN4</f>
        <v/>
      </c>
      <c r="BN44" s="33" t="str">
        <f ca="1">+'Prestamo 10 años'!BO4</f>
        <v/>
      </c>
      <c r="BO44" s="33" t="str">
        <f ca="1">+'Prestamo 10 años'!BP4</f>
        <v/>
      </c>
      <c r="BP44" s="33" t="str">
        <f ca="1">+'Prestamo 10 años'!BQ4</f>
        <v/>
      </c>
      <c r="BQ44" s="33" t="str">
        <f ca="1">+'Prestamo 10 años'!BR4</f>
        <v/>
      </c>
      <c r="BR44" s="33" t="str">
        <f ca="1">+'Prestamo 10 años'!BS4</f>
        <v/>
      </c>
      <c r="BS44" s="33" t="str">
        <f ca="1">+'Prestamo 10 años'!BT4</f>
        <v/>
      </c>
      <c r="BT44" s="33" t="str">
        <f ca="1">+'Prestamo 10 años'!BU4</f>
        <v/>
      </c>
      <c r="BU44" s="33" t="str">
        <f ca="1">+'Prestamo 10 años'!BV4</f>
        <v/>
      </c>
      <c r="BV44" s="33" t="str">
        <f ca="1">+'Prestamo 10 años'!BW4</f>
        <v/>
      </c>
      <c r="BW44" s="33" t="str">
        <f ca="1">+'Prestamo 10 años'!BX4</f>
        <v/>
      </c>
      <c r="BX44" s="33" t="str">
        <f ca="1">+'Prestamo 10 años'!BY4</f>
        <v/>
      </c>
      <c r="BY44" s="33" t="str">
        <f ca="1">+'Prestamo 10 años'!BZ4</f>
        <v/>
      </c>
      <c r="BZ44" s="33" t="str">
        <f ca="1">+'Prestamo 10 años'!CA4</f>
        <v/>
      </c>
      <c r="CA44" s="33" t="str">
        <f ca="1">+'Prestamo 10 años'!CB4</f>
        <v/>
      </c>
      <c r="CB44" s="33" t="str">
        <f ca="1">+'Prestamo 10 años'!CC4</f>
        <v/>
      </c>
      <c r="CC44" s="33" t="str">
        <f ca="1">+'Prestamo 10 años'!CD4</f>
        <v/>
      </c>
      <c r="CD44" s="33" t="str">
        <f ca="1">+'Prestamo 10 años'!CE4</f>
        <v/>
      </c>
      <c r="CE44" s="33" t="str">
        <f ca="1">+'Prestamo 10 años'!CF4</f>
        <v/>
      </c>
      <c r="CF44" s="33" t="str">
        <f ca="1">+'Prestamo 10 años'!CG4</f>
        <v/>
      </c>
      <c r="CG44" s="33" t="str">
        <f ca="1">+'Prestamo 10 años'!CH4</f>
        <v/>
      </c>
      <c r="CH44" s="33" t="str">
        <f ca="1">+'Prestamo 10 años'!CI4</f>
        <v/>
      </c>
      <c r="CI44" s="33" t="str">
        <f ca="1">+'Prestamo 10 años'!CJ4</f>
        <v/>
      </c>
      <c r="CJ44" s="33" t="str">
        <f ca="1">+'Prestamo 10 años'!CK4</f>
        <v/>
      </c>
      <c r="CK44" s="33" t="str">
        <f ca="1">+'Prestamo 10 años'!CL4</f>
        <v/>
      </c>
      <c r="CL44" s="33" t="str">
        <f ca="1">+'Prestamo 10 años'!CM4</f>
        <v/>
      </c>
      <c r="CM44" s="33" t="str">
        <f ca="1">+'Prestamo 10 años'!CN4</f>
        <v/>
      </c>
      <c r="CN44" s="33" t="str">
        <f ca="1">+'Prestamo 10 años'!CO4</f>
        <v/>
      </c>
      <c r="CO44" s="33" t="str">
        <f ca="1">+'Prestamo 10 años'!CP4</f>
        <v/>
      </c>
      <c r="CP44" s="33" t="str">
        <f ca="1">+'Prestamo 10 años'!CQ4</f>
        <v/>
      </c>
      <c r="CQ44" s="33" t="str">
        <f ca="1">+'Prestamo 10 años'!CR4</f>
        <v/>
      </c>
      <c r="CR44" s="33" t="str">
        <f ca="1">+'Prestamo 10 años'!CS4</f>
        <v/>
      </c>
      <c r="CS44" s="33" t="str">
        <f ca="1">+'Prestamo 10 años'!CT4</f>
        <v/>
      </c>
      <c r="CT44" s="33" t="str">
        <f ca="1">+'Prestamo 10 años'!CU4</f>
        <v/>
      </c>
      <c r="CU44" s="33" t="str">
        <f ca="1">+'Prestamo 10 años'!CV4</f>
        <v/>
      </c>
      <c r="CV44" s="33" t="str">
        <f ca="1">+'Prestamo 10 años'!CW4</f>
        <v/>
      </c>
      <c r="CW44" s="33" t="str">
        <f ca="1">+'Prestamo 10 años'!CX4</f>
        <v/>
      </c>
      <c r="CX44" s="33" t="str">
        <f ca="1">+'Prestamo 10 años'!CY4</f>
        <v/>
      </c>
      <c r="CY44" s="33" t="str">
        <f ca="1">+'Prestamo 10 años'!CZ4</f>
        <v/>
      </c>
      <c r="CZ44" s="33" t="str">
        <f ca="1">+'Prestamo 10 años'!DA4</f>
        <v/>
      </c>
      <c r="DA44" s="33" t="str">
        <f ca="1">+'Prestamo 10 años'!DB4</f>
        <v/>
      </c>
      <c r="DB44" s="33" t="str">
        <f ca="1">+'Prestamo 10 años'!DC4</f>
        <v/>
      </c>
      <c r="DC44" s="33" t="str">
        <f ca="1">+'Prestamo 10 años'!DD4</f>
        <v/>
      </c>
      <c r="DD44" s="33" t="str">
        <f ca="1">+'Prestamo 10 años'!DE4</f>
        <v/>
      </c>
      <c r="DE44" s="33" t="str">
        <f ca="1">+'Prestamo 10 años'!DF4</f>
        <v/>
      </c>
      <c r="DF44" s="33" t="str">
        <f ca="1">+'Prestamo 10 años'!DG4</f>
        <v/>
      </c>
      <c r="DG44" s="33" t="str">
        <f ca="1">+'Prestamo 10 años'!DH4</f>
        <v/>
      </c>
      <c r="DH44" s="33" t="str">
        <f ca="1">+'Prestamo 10 años'!DI4</f>
        <v/>
      </c>
      <c r="DI44" s="33" t="str">
        <f ca="1">+'Prestamo 10 años'!DJ4</f>
        <v/>
      </c>
      <c r="DJ44" s="33" t="str">
        <f ca="1">+'Prestamo 10 años'!DK4</f>
        <v/>
      </c>
      <c r="DK44" s="33" t="str">
        <f ca="1">+'Prestamo 10 años'!DL4</f>
        <v/>
      </c>
      <c r="DL44" s="33" t="str">
        <f ca="1">+'Prestamo 10 años'!DM4</f>
        <v/>
      </c>
      <c r="DM44" s="33" t="str">
        <f ca="1">+'Prestamo 10 años'!DN4</f>
        <v/>
      </c>
      <c r="DN44" s="33" t="str">
        <f ca="1">+'Prestamo 10 años'!DO4</f>
        <v/>
      </c>
      <c r="DO44" s="33" t="str">
        <f ca="1">+'Prestamo 10 años'!DP4</f>
        <v/>
      </c>
      <c r="DP44" s="33" t="str">
        <f ca="1">+'Prestamo 10 años'!DQ4</f>
        <v/>
      </c>
      <c r="DQ44" s="33" t="str">
        <f ca="1">+'Prestamo 10 años'!DR4</f>
        <v/>
      </c>
      <c r="DR44" s="33" t="str">
        <f ca="1">+'Prestamo 10 años'!DS4</f>
        <v/>
      </c>
      <c r="DS44" s="33" t="str">
        <f ca="1">+'Prestamo 10 años'!DT4</f>
        <v/>
      </c>
      <c r="DT44" s="33" t="str">
        <f ca="1">+'Prestamo 10 años'!DU4</f>
        <v/>
      </c>
      <c r="DU44" s="33" t="str">
        <f ca="1">+'Prestamo 10 años'!DV4</f>
        <v/>
      </c>
      <c r="DV44" s="33" t="str">
        <f ca="1">+'Prestamo 10 años'!DW4</f>
        <v/>
      </c>
      <c r="DW44" s="33" t="str">
        <f ca="1">+'Prestamo 10 años'!DX4</f>
        <v/>
      </c>
      <c r="DX44" s="33" t="str">
        <f ca="1">+'Prestamo 10 años'!DY4</f>
        <v/>
      </c>
      <c r="DY44" s="33" t="str">
        <f ca="1">+'Prestamo 10 años'!DZ4</f>
        <v/>
      </c>
      <c r="DZ44" s="33" t="str">
        <f ca="1">+'Prestamo 10 años'!EA4</f>
        <v/>
      </c>
      <c r="EA44" s="33">
        <f>+'Prestamo 10 años'!EB4</f>
        <v>0</v>
      </c>
      <c r="EB44" s="33">
        <f>+'Prestamo 10 años'!EC4</f>
        <v>0</v>
      </c>
      <c r="EC44" s="33">
        <f>+'Prestamo 10 años'!ED4</f>
        <v>0</v>
      </c>
      <c r="ED44" s="33">
        <f>+'Prestamo 10 años'!EE4</f>
        <v>0</v>
      </c>
      <c r="EE44" s="33">
        <f>+'Prestamo 10 años'!EF4</f>
        <v>0</v>
      </c>
      <c r="EF44" s="33">
        <f>+'Prestamo 10 años'!EG4</f>
        <v>0</v>
      </c>
      <c r="EG44" s="33">
        <f>+'Prestamo 10 años'!EH4</f>
        <v>0</v>
      </c>
      <c r="EH44" s="33">
        <f>+'Prestamo 10 años'!EI4</f>
        <v>0</v>
      </c>
      <c r="EI44" s="33">
        <f>+'Prestamo 10 años'!EJ4</f>
        <v>0</v>
      </c>
      <c r="EJ44" s="33">
        <f>+'Prestamo 10 años'!EK4</f>
        <v>0</v>
      </c>
      <c r="EK44" s="33">
        <f>+'Prestamo 10 años'!EL4</f>
        <v>0</v>
      </c>
      <c r="EL44" s="33">
        <f>+'Prestamo 10 años'!EM4</f>
        <v>0</v>
      </c>
      <c r="EM44" s="33">
        <f>+'Prestamo 10 años'!EN4</f>
        <v>0</v>
      </c>
      <c r="EN44" s="33">
        <f>+'Prestamo 10 años'!EO4</f>
        <v>0</v>
      </c>
      <c r="EO44" s="33">
        <f>+'Prestamo 10 años'!EP4</f>
        <v>0</v>
      </c>
      <c r="EP44" s="33">
        <f>+'Prestamo 10 años'!EQ4</f>
        <v>0</v>
      </c>
      <c r="EQ44" s="33">
        <f>+'Prestamo 10 años'!ER4</f>
        <v>0</v>
      </c>
      <c r="ER44" s="33">
        <f>+'Prestamo 10 años'!ES4</f>
        <v>0</v>
      </c>
      <c r="ES44" s="33">
        <f>+'Prestamo 10 años'!ET4</f>
        <v>0</v>
      </c>
      <c r="ET44" s="33">
        <f>+'Prestamo 10 años'!EU4</f>
        <v>0</v>
      </c>
      <c r="EU44" s="33">
        <f>+'Prestamo 10 años'!EV4</f>
        <v>0</v>
      </c>
      <c r="EV44" s="33">
        <f>+'Prestamo 10 años'!EW4</f>
        <v>0</v>
      </c>
      <c r="EW44" s="33">
        <f>+'Prestamo 10 años'!EX4</f>
        <v>0</v>
      </c>
      <c r="EX44" s="33">
        <f>+'Prestamo 10 años'!EY4</f>
        <v>0</v>
      </c>
      <c r="EY44" s="33">
        <f>+'Prestamo 10 años'!EZ4</f>
        <v>0</v>
      </c>
      <c r="EZ44" s="33">
        <f>+'Prestamo 10 años'!FA4</f>
        <v>0</v>
      </c>
      <c r="FA44" s="33">
        <f>+'Prestamo 10 años'!FB4</f>
        <v>0</v>
      </c>
      <c r="FB44" s="33">
        <f>+'Prestamo 10 años'!FC4</f>
        <v>0</v>
      </c>
      <c r="FC44" s="33">
        <f>+'Prestamo 10 años'!FD4</f>
        <v>0</v>
      </c>
      <c r="FD44" s="33">
        <f>+'Prestamo 10 años'!FE4</f>
        <v>0</v>
      </c>
      <c r="FE44" s="33">
        <f>+'Prestamo 10 años'!FF4</f>
        <v>0</v>
      </c>
      <c r="FF44" s="33">
        <f>+'Prestamo 10 años'!FG4</f>
        <v>0</v>
      </c>
      <c r="FG44" s="33">
        <f>+'Prestamo 10 años'!FH4</f>
        <v>0</v>
      </c>
      <c r="FH44" s="33">
        <f>+'Prestamo 10 años'!FI4</f>
        <v>0</v>
      </c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33"/>
      <c r="HR44" s="33"/>
      <c r="HS44" s="33"/>
      <c r="HT44" s="33"/>
      <c r="HU44" s="33"/>
      <c r="HV44" s="33"/>
      <c r="HW44" s="33"/>
      <c r="HX44" s="33"/>
      <c r="HY44" s="33"/>
      <c r="HZ44" s="33"/>
      <c r="IA44" s="33"/>
      <c r="IB44" s="33"/>
      <c r="IC44" s="33"/>
      <c r="ID44" s="33"/>
      <c r="IE44" s="33"/>
      <c r="IF44" s="33"/>
      <c r="IG44" s="33"/>
      <c r="IH44" s="33"/>
      <c r="II44" s="33"/>
      <c r="IJ44" s="33"/>
      <c r="IK44" s="33"/>
      <c r="IL44" s="33"/>
      <c r="IM44" s="33"/>
      <c r="IN44" s="33"/>
      <c r="IO44" s="33"/>
    </row>
    <row r="45" spans="1:249" x14ac:dyDescent="0.3">
      <c r="A45" t="s">
        <v>719</v>
      </c>
      <c r="B45" s="33"/>
      <c r="E45" s="33"/>
      <c r="F45" s="33"/>
      <c r="G45" s="33"/>
      <c r="H45" s="33"/>
      <c r="I45" s="33"/>
      <c r="J45" s="33"/>
      <c r="K45" s="33" t="e">
        <f ca="1">+'Prestamo 10 años'!L6</f>
        <v>#VALUE!</v>
      </c>
      <c r="L45" s="33" t="e">
        <f ca="1">+'Prestamo 10 años'!M6</f>
        <v>#VALUE!</v>
      </c>
      <c r="M45" s="33" t="e">
        <f ca="1">+'Prestamo 10 años'!N6</f>
        <v>#VALUE!</v>
      </c>
      <c r="N45" s="33" t="e">
        <f ca="1">+'Prestamo 10 años'!O6</f>
        <v>#VALUE!</v>
      </c>
      <c r="O45" s="33" t="e">
        <f ca="1">+'Prestamo 10 años'!P6</f>
        <v>#VALUE!</v>
      </c>
      <c r="P45" s="33" t="e">
        <f ca="1">+'Prestamo 10 años'!Q6</f>
        <v>#VALUE!</v>
      </c>
      <c r="Q45" s="33" t="e">
        <f ca="1">+'Prestamo 10 años'!R6</f>
        <v>#VALUE!</v>
      </c>
      <c r="R45" s="33" t="e">
        <f ca="1">+'Prestamo 10 años'!S6</f>
        <v>#VALUE!</v>
      </c>
      <c r="S45" s="33" t="e">
        <f ca="1">+'Prestamo 10 años'!T6</f>
        <v>#VALUE!</v>
      </c>
      <c r="T45" s="33" t="e">
        <f ca="1">+'Prestamo 10 años'!U6</f>
        <v>#VALUE!</v>
      </c>
      <c r="U45" s="33" t="e">
        <f ca="1">+'Prestamo 10 años'!V6</f>
        <v>#VALUE!</v>
      </c>
      <c r="V45" s="33" t="e">
        <f ca="1">+'Prestamo 10 años'!W6</f>
        <v>#VALUE!</v>
      </c>
      <c r="W45" s="33" t="e">
        <f ca="1">+'Prestamo 10 años'!X6</f>
        <v>#VALUE!</v>
      </c>
      <c r="X45" s="33" t="e">
        <f ca="1">+'Prestamo 10 años'!Y6</f>
        <v>#VALUE!</v>
      </c>
      <c r="Y45" s="33" t="e">
        <f ca="1">+'Prestamo 10 años'!Z6</f>
        <v>#VALUE!</v>
      </c>
      <c r="Z45" s="33" t="e">
        <f ca="1">+'Prestamo 10 años'!AA6</f>
        <v>#VALUE!</v>
      </c>
      <c r="AA45" s="33" t="e">
        <f ca="1">+'Prestamo 10 años'!AB6</f>
        <v>#VALUE!</v>
      </c>
      <c r="AB45" s="33" t="e">
        <f ca="1">+'Prestamo 10 años'!AC6</f>
        <v>#VALUE!</v>
      </c>
      <c r="AC45" s="33" t="e">
        <f ca="1">+'Prestamo 10 años'!AD6</f>
        <v>#VALUE!</v>
      </c>
      <c r="AD45" s="33" t="e">
        <f ca="1">+'Prestamo 10 años'!AE6</f>
        <v>#VALUE!</v>
      </c>
      <c r="AE45" s="33" t="e">
        <f ca="1">+'Prestamo 10 años'!AF6</f>
        <v>#VALUE!</v>
      </c>
      <c r="AF45" s="33" t="e">
        <f ca="1">+'Prestamo 10 años'!AG6</f>
        <v>#VALUE!</v>
      </c>
      <c r="AG45" s="33" t="e">
        <f ca="1">+'Prestamo 10 años'!AH6</f>
        <v>#VALUE!</v>
      </c>
      <c r="AH45" s="33" t="e">
        <f ca="1">+'Prestamo 10 años'!AI6</f>
        <v>#VALUE!</v>
      </c>
      <c r="AI45" s="33" t="e">
        <f ca="1">+'Prestamo 10 años'!AJ6</f>
        <v>#VALUE!</v>
      </c>
      <c r="AJ45" s="33" t="e">
        <f ca="1">+'Prestamo 10 años'!AK6</f>
        <v>#VALUE!</v>
      </c>
      <c r="AK45" s="33" t="e">
        <f ca="1">+'Prestamo 10 años'!AL6</f>
        <v>#VALUE!</v>
      </c>
      <c r="AL45" s="33" t="e">
        <f ca="1">+'Prestamo 10 años'!AM6</f>
        <v>#VALUE!</v>
      </c>
      <c r="AM45" s="33" t="e">
        <f ca="1">+'Prestamo 10 años'!AN6</f>
        <v>#VALUE!</v>
      </c>
      <c r="AN45" s="33" t="e">
        <f ca="1">+'Prestamo 10 años'!AO6</f>
        <v>#VALUE!</v>
      </c>
      <c r="AO45" s="33" t="e">
        <f ca="1">+'Prestamo 10 años'!AP6</f>
        <v>#VALUE!</v>
      </c>
      <c r="AP45" s="33" t="e">
        <f ca="1">+'Prestamo 10 años'!AQ6</f>
        <v>#VALUE!</v>
      </c>
      <c r="AQ45" s="33" t="e">
        <f ca="1">+'Prestamo 10 años'!AR6</f>
        <v>#VALUE!</v>
      </c>
      <c r="AR45" s="33" t="e">
        <f ca="1">+'Prestamo 10 años'!AS6</f>
        <v>#VALUE!</v>
      </c>
      <c r="AS45" s="33" t="e">
        <f ca="1">+'Prestamo 10 años'!AT6</f>
        <v>#VALUE!</v>
      </c>
      <c r="AT45" s="33" t="e">
        <f ca="1">+'Prestamo 10 años'!AU6</f>
        <v>#VALUE!</v>
      </c>
      <c r="AU45" s="33" t="e">
        <f ca="1">+'Prestamo 10 años'!AV6</f>
        <v>#VALUE!</v>
      </c>
      <c r="AV45" s="33" t="e">
        <f ca="1">+'Prestamo 10 años'!AW6</f>
        <v>#VALUE!</v>
      </c>
      <c r="AW45" s="33" t="e">
        <f ca="1">+'Prestamo 10 años'!AX6</f>
        <v>#VALUE!</v>
      </c>
      <c r="AX45" s="33" t="e">
        <f ca="1">+'Prestamo 10 años'!AY6</f>
        <v>#VALUE!</v>
      </c>
      <c r="AY45" s="33" t="e">
        <f ca="1">+'Prestamo 10 años'!AZ6</f>
        <v>#VALUE!</v>
      </c>
      <c r="AZ45" s="33" t="e">
        <f ca="1">+'Prestamo 10 años'!BA6</f>
        <v>#VALUE!</v>
      </c>
      <c r="BA45" s="33" t="e">
        <f ca="1">+'Prestamo 10 años'!BB6</f>
        <v>#VALUE!</v>
      </c>
      <c r="BB45" s="33" t="e">
        <f ca="1">+'Prestamo 10 años'!BC6</f>
        <v>#VALUE!</v>
      </c>
      <c r="BC45" s="33" t="e">
        <f ca="1">+'Prestamo 10 años'!BD6</f>
        <v>#VALUE!</v>
      </c>
      <c r="BD45" s="33" t="e">
        <f ca="1">+'Prestamo 10 años'!BE6</f>
        <v>#VALUE!</v>
      </c>
      <c r="BE45" s="33" t="e">
        <f ca="1">+'Prestamo 10 años'!BF6</f>
        <v>#VALUE!</v>
      </c>
      <c r="BF45" s="33" t="e">
        <f ca="1">+'Prestamo 10 años'!BG6</f>
        <v>#VALUE!</v>
      </c>
      <c r="BG45" s="33" t="e">
        <f ca="1">+'Prestamo 10 años'!BH6</f>
        <v>#VALUE!</v>
      </c>
      <c r="BH45" s="33" t="e">
        <f ca="1">+'Prestamo 10 años'!BI6</f>
        <v>#VALUE!</v>
      </c>
      <c r="BI45" s="33" t="e">
        <f ca="1">+'Prestamo 10 años'!BJ6</f>
        <v>#VALUE!</v>
      </c>
      <c r="BJ45" s="33" t="e">
        <f ca="1">+'Prestamo 10 años'!BK6</f>
        <v>#VALUE!</v>
      </c>
      <c r="BK45" s="33" t="e">
        <f ca="1">+'Prestamo 10 años'!BL6</f>
        <v>#VALUE!</v>
      </c>
      <c r="BL45" s="33" t="e">
        <f ca="1">+'Prestamo 10 años'!BM6</f>
        <v>#VALUE!</v>
      </c>
      <c r="BM45" s="33" t="e">
        <f ca="1">+'Prestamo 10 años'!BN6</f>
        <v>#VALUE!</v>
      </c>
      <c r="BN45" s="33" t="e">
        <f ca="1">+'Prestamo 10 años'!BO6</f>
        <v>#VALUE!</v>
      </c>
      <c r="BO45" s="33" t="e">
        <f ca="1">+'Prestamo 10 años'!BP6</f>
        <v>#VALUE!</v>
      </c>
      <c r="BP45" s="33" t="e">
        <f ca="1">+'Prestamo 10 años'!BQ6</f>
        <v>#VALUE!</v>
      </c>
      <c r="BQ45" s="33" t="e">
        <f ca="1">+'Prestamo 10 años'!BR6</f>
        <v>#VALUE!</v>
      </c>
      <c r="BR45" s="33" t="e">
        <f ca="1">+'Prestamo 10 años'!BS6</f>
        <v>#VALUE!</v>
      </c>
      <c r="BS45" s="33" t="e">
        <f ca="1">+'Prestamo 10 años'!BT6</f>
        <v>#VALUE!</v>
      </c>
      <c r="BT45" s="33" t="e">
        <f ca="1">+'Prestamo 10 años'!BU6</f>
        <v>#VALUE!</v>
      </c>
      <c r="BU45" s="33" t="e">
        <f ca="1">+'Prestamo 10 años'!BV6</f>
        <v>#VALUE!</v>
      </c>
      <c r="BV45" s="33" t="e">
        <f ca="1">+'Prestamo 10 años'!BW6</f>
        <v>#VALUE!</v>
      </c>
      <c r="BW45" s="33" t="e">
        <f ca="1">+'Prestamo 10 años'!BX6</f>
        <v>#VALUE!</v>
      </c>
      <c r="BX45" s="33" t="e">
        <f ca="1">+'Prestamo 10 años'!BY6</f>
        <v>#VALUE!</v>
      </c>
      <c r="BY45" s="33" t="e">
        <f ca="1">+'Prestamo 10 años'!BZ6</f>
        <v>#VALUE!</v>
      </c>
      <c r="BZ45" s="33" t="e">
        <f ca="1">+'Prestamo 10 años'!CA6</f>
        <v>#VALUE!</v>
      </c>
      <c r="CA45" s="33" t="e">
        <f ca="1">+'Prestamo 10 años'!CB6</f>
        <v>#VALUE!</v>
      </c>
      <c r="CB45" s="33" t="e">
        <f ca="1">+'Prestamo 10 años'!CC6</f>
        <v>#VALUE!</v>
      </c>
      <c r="CC45" s="33" t="e">
        <f ca="1">+'Prestamo 10 años'!CD6</f>
        <v>#VALUE!</v>
      </c>
      <c r="CD45" s="33" t="e">
        <f ca="1">+'Prestamo 10 años'!CE6</f>
        <v>#VALUE!</v>
      </c>
      <c r="CE45" s="33" t="e">
        <f ca="1">+'Prestamo 10 años'!CF6</f>
        <v>#VALUE!</v>
      </c>
      <c r="CF45" s="33" t="e">
        <f ca="1">+'Prestamo 10 años'!CG6</f>
        <v>#VALUE!</v>
      </c>
      <c r="CG45" s="33" t="e">
        <f ca="1">+'Prestamo 10 años'!CH6</f>
        <v>#VALUE!</v>
      </c>
      <c r="CH45" s="33" t="e">
        <f ca="1">+'Prestamo 10 años'!CI6</f>
        <v>#VALUE!</v>
      </c>
      <c r="CI45" s="33" t="e">
        <f ca="1">+'Prestamo 10 años'!CJ6</f>
        <v>#VALUE!</v>
      </c>
      <c r="CJ45" s="33" t="e">
        <f ca="1">+'Prestamo 10 años'!CK6</f>
        <v>#VALUE!</v>
      </c>
      <c r="CK45" s="33" t="e">
        <f ca="1">+'Prestamo 10 años'!CL6</f>
        <v>#VALUE!</v>
      </c>
      <c r="CL45" s="33" t="e">
        <f ca="1">+'Prestamo 10 años'!CM6</f>
        <v>#VALUE!</v>
      </c>
      <c r="CM45" s="33" t="e">
        <f ca="1">+'Prestamo 10 años'!CN6</f>
        <v>#VALUE!</v>
      </c>
      <c r="CN45" s="33" t="e">
        <f ca="1">+'Prestamo 10 años'!CO6</f>
        <v>#VALUE!</v>
      </c>
      <c r="CO45" s="33" t="e">
        <f ca="1">+'Prestamo 10 años'!CP6</f>
        <v>#VALUE!</v>
      </c>
      <c r="CP45" s="33" t="e">
        <f ca="1">+'Prestamo 10 años'!CQ6</f>
        <v>#VALUE!</v>
      </c>
      <c r="CQ45" s="33" t="e">
        <f ca="1">+'Prestamo 10 años'!CR6</f>
        <v>#VALUE!</v>
      </c>
      <c r="CR45" s="33" t="e">
        <f ca="1">+'Prestamo 10 años'!CS6</f>
        <v>#VALUE!</v>
      </c>
      <c r="CS45" s="33" t="e">
        <f ca="1">+'Prestamo 10 años'!CT6</f>
        <v>#VALUE!</v>
      </c>
      <c r="CT45" s="33" t="e">
        <f ca="1">+'Prestamo 10 años'!CU6</f>
        <v>#VALUE!</v>
      </c>
      <c r="CU45" s="33" t="e">
        <f ca="1">+'Prestamo 10 años'!CV6</f>
        <v>#VALUE!</v>
      </c>
      <c r="CV45" s="33" t="e">
        <f ca="1">+'Prestamo 10 años'!CW6</f>
        <v>#VALUE!</v>
      </c>
      <c r="CW45" s="33" t="e">
        <f ca="1">+'Prestamo 10 años'!CX6</f>
        <v>#VALUE!</v>
      </c>
      <c r="CX45" s="33" t="e">
        <f ca="1">+'Prestamo 10 años'!CY6</f>
        <v>#VALUE!</v>
      </c>
      <c r="CY45" s="33" t="e">
        <f ca="1">+'Prestamo 10 años'!CZ6</f>
        <v>#VALUE!</v>
      </c>
      <c r="CZ45" s="33" t="e">
        <f ca="1">+'Prestamo 10 años'!DA6</f>
        <v>#VALUE!</v>
      </c>
      <c r="DA45" s="33" t="e">
        <f ca="1">+'Prestamo 10 años'!DB6</f>
        <v>#VALUE!</v>
      </c>
      <c r="DB45" s="33" t="e">
        <f ca="1">+'Prestamo 10 años'!DC6</f>
        <v>#VALUE!</v>
      </c>
      <c r="DC45" s="33" t="e">
        <f ca="1">+'Prestamo 10 años'!DD6</f>
        <v>#VALUE!</v>
      </c>
      <c r="DD45" s="33" t="e">
        <f ca="1">+'Prestamo 10 años'!DE6</f>
        <v>#VALUE!</v>
      </c>
      <c r="DE45" s="33" t="e">
        <f ca="1">+'Prestamo 10 años'!DF6</f>
        <v>#VALUE!</v>
      </c>
      <c r="DF45" s="33" t="e">
        <f ca="1">+'Prestamo 10 años'!DG6</f>
        <v>#VALUE!</v>
      </c>
      <c r="DG45" s="33" t="e">
        <f ca="1">+'Prestamo 10 años'!DH6</f>
        <v>#VALUE!</v>
      </c>
      <c r="DH45" s="33" t="e">
        <f ca="1">+'Prestamo 10 años'!DI6</f>
        <v>#VALUE!</v>
      </c>
      <c r="DI45" s="33" t="e">
        <f ca="1">+'Prestamo 10 años'!DJ6</f>
        <v>#VALUE!</v>
      </c>
      <c r="DJ45" s="33" t="e">
        <f ca="1">+'Prestamo 10 años'!DK6</f>
        <v>#VALUE!</v>
      </c>
      <c r="DK45" s="33" t="e">
        <f ca="1">+'Prestamo 10 años'!DL6</f>
        <v>#VALUE!</v>
      </c>
      <c r="DL45" s="33" t="e">
        <f ca="1">+'Prestamo 10 años'!DM6</f>
        <v>#VALUE!</v>
      </c>
      <c r="DM45" s="33" t="e">
        <f ca="1">+'Prestamo 10 años'!DN6</f>
        <v>#VALUE!</v>
      </c>
      <c r="DN45" s="33" t="e">
        <f ca="1">+'Prestamo 10 años'!DO6</f>
        <v>#VALUE!</v>
      </c>
      <c r="DO45" s="33" t="e">
        <f ca="1">+'Prestamo 10 años'!DP6</f>
        <v>#VALUE!</v>
      </c>
      <c r="DP45" s="33" t="e">
        <f ca="1">+'Prestamo 10 años'!DQ6</f>
        <v>#VALUE!</v>
      </c>
      <c r="DQ45" s="33" t="e">
        <f ca="1">+'Prestamo 10 años'!DR6</f>
        <v>#VALUE!</v>
      </c>
      <c r="DR45" s="33" t="e">
        <f ca="1">+'Prestamo 10 años'!DS6</f>
        <v>#VALUE!</v>
      </c>
      <c r="DS45" s="33" t="e">
        <f ca="1">+'Prestamo 10 años'!DT6</f>
        <v>#VALUE!</v>
      </c>
      <c r="DT45" s="33" t="e">
        <f ca="1">+'Prestamo 10 años'!DU6</f>
        <v>#VALUE!</v>
      </c>
      <c r="DU45" s="33" t="e">
        <f ca="1">+'Prestamo 10 años'!DV6</f>
        <v>#VALUE!</v>
      </c>
      <c r="DV45" s="33" t="e">
        <f ca="1">+'Prestamo 10 años'!DW6</f>
        <v>#VALUE!</v>
      </c>
      <c r="DW45" s="33" t="e">
        <f ca="1">+'Prestamo 10 años'!DX6</f>
        <v>#VALUE!</v>
      </c>
      <c r="DX45" s="33" t="e">
        <f ca="1">+'Prestamo 10 años'!DY6</f>
        <v>#VALUE!</v>
      </c>
      <c r="DY45" s="33" t="e">
        <f ca="1">+'Prestamo 10 años'!DZ6</f>
        <v>#VALUE!</v>
      </c>
      <c r="DZ45" s="33" t="e">
        <f ca="1">+'Prestamo 10 años'!EA6</f>
        <v>#VALUE!</v>
      </c>
      <c r="EA45" s="33">
        <f>+'Prestamo 10 años'!EB6</f>
        <v>0</v>
      </c>
      <c r="EB45" s="33">
        <f>+'Prestamo 10 años'!EC6</f>
        <v>0</v>
      </c>
      <c r="EC45" s="33">
        <f>+'Prestamo 10 años'!ED6</f>
        <v>0</v>
      </c>
      <c r="ED45" s="33">
        <f>+'Prestamo 10 años'!EE6</f>
        <v>0</v>
      </c>
      <c r="EE45" s="33">
        <f>+'Prestamo 10 años'!EF6</f>
        <v>0</v>
      </c>
      <c r="EF45" s="33">
        <f>+'Prestamo 10 años'!EG6</f>
        <v>0</v>
      </c>
      <c r="EG45" s="33">
        <f>+'Prestamo 10 años'!EH6</f>
        <v>0</v>
      </c>
      <c r="EH45" s="33">
        <f>+'Prestamo 10 años'!EI6</f>
        <v>0</v>
      </c>
      <c r="EI45" s="33">
        <f>+'Prestamo 10 años'!EJ6</f>
        <v>0</v>
      </c>
      <c r="EJ45" s="33">
        <f>+'Prestamo 10 años'!EK6</f>
        <v>0</v>
      </c>
      <c r="EK45" s="33">
        <f>+'Prestamo 10 años'!EL6</f>
        <v>0</v>
      </c>
      <c r="EL45" s="33">
        <f>+'Prestamo 10 años'!EM6</f>
        <v>0</v>
      </c>
      <c r="EM45" s="33">
        <f>+'Prestamo 10 años'!EN6</f>
        <v>0</v>
      </c>
      <c r="EN45" s="33">
        <f>+'Prestamo 10 años'!EO6</f>
        <v>0</v>
      </c>
      <c r="EO45" s="33">
        <f>+'Prestamo 10 años'!EP6</f>
        <v>0</v>
      </c>
      <c r="EP45" s="33">
        <f>+'Prestamo 10 años'!EQ6</f>
        <v>0</v>
      </c>
      <c r="EQ45" s="33">
        <f>+'Prestamo 10 años'!ER6</f>
        <v>0</v>
      </c>
      <c r="ER45" s="33">
        <f>+'Prestamo 10 años'!ES6</f>
        <v>0</v>
      </c>
      <c r="ES45" s="33">
        <f>+'Prestamo 10 años'!ET6</f>
        <v>0</v>
      </c>
      <c r="ET45" s="33">
        <f>+'Prestamo 10 años'!EU6</f>
        <v>0</v>
      </c>
      <c r="EU45" s="33">
        <f>+'Prestamo 10 años'!EV6</f>
        <v>0</v>
      </c>
      <c r="EV45" s="33">
        <f>+'Prestamo 10 años'!EW6</f>
        <v>0</v>
      </c>
      <c r="EW45" s="33">
        <f>+'Prestamo 10 años'!EX6</f>
        <v>0</v>
      </c>
      <c r="EX45" s="33">
        <f>+'Prestamo 10 años'!EY6</f>
        <v>0</v>
      </c>
      <c r="EY45" s="33">
        <f>+'Prestamo 10 años'!EZ6</f>
        <v>0</v>
      </c>
      <c r="EZ45" s="33">
        <f>+'Prestamo 10 años'!FA6</f>
        <v>0</v>
      </c>
      <c r="FA45" s="33">
        <f>+'Prestamo 10 años'!FB6</f>
        <v>0</v>
      </c>
      <c r="FB45" s="33">
        <f>+'Prestamo 10 años'!FC6</f>
        <v>0</v>
      </c>
      <c r="FC45" s="33">
        <f>+'Prestamo 10 años'!FD6</f>
        <v>0</v>
      </c>
      <c r="FD45" s="33">
        <f>+'Prestamo 10 años'!FE6</f>
        <v>0</v>
      </c>
      <c r="FE45" s="33">
        <f>+'Prestamo 10 años'!FF6</f>
        <v>0</v>
      </c>
      <c r="FF45" s="33">
        <f>+'Prestamo 10 años'!FG6</f>
        <v>0</v>
      </c>
      <c r="FG45" s="33">
        <f>+'Prestamo 10 años'!FH6</f>
        <v>0</v>
      </c>
      <c r="FH45" s="33">
        <f>+'Prestamo 10 años'!FI6</f>
        <v>0</v>
      </c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</row>
    <row r="46" spans="1:249" x14ac:dyDescent="0.3">
      <c r="A46" s="6" t="s">
        <v>808</v>
      </c>
      <c r="B46" s="33">
        <f>+SUM(E24:GG26)</f>
        <v>23770213.157391094</v>
      </c>
      <c r="E46" s="33"/>
      <c r="F46" s="33"/>
      <c r="G46" s="33"/>
      <c r="H46" s="33"/>
      <c r="I46" s="33"/>
      <c r="J46" s="33"/>
      <c r="K46" s="33" t="e">
        <f ca="1">+'Prestamo 15 años'!L7</f>
        <v>#VALUE!</v>
      </c>
      <c r="L46" s="33" t="e">
        <f ca="1">+'Prestamo 15 años'!M7</f>
        <v>#VALUE!</v>
      </c>
      <c r="M46" s="33" t="e">
        <f ca="1">+'Prestamo 15 años'!N7</f>
        <v>#VALUE!</v>
      </c>
      <c r="N46" s="33" t="e">
        <f ca="1">+'Prestamo 15 años'!O7</f>
        <v>#VALUE!</v>
      </c>
      <c r="O46" s="33" t="e">
        <f ca="1">+'Prestamo 15 años'!P7</f>
        <v>#VALUE!</v>
      </c>
      <c r="P46" s="33" t="e">
        <f ca="1">+'Prestamo 15 años'!Q7</f>
        <v>#VALUE!</v>
      </c>
      <c r="Q46" s="33" t="e">
        <f ca="1">+'Prestamo 15 años'!R7</f>
        <v>#VALUE!</v>
      </c>
      <c r="R46" s="33" t="e">
        <f ca="1">+'Prestamo 15 años'!S7</f>
        <v>#VALUE!</v>
      </c>
      <c r="S46" s="33" t="e">
        <f ca="1">+'Prestamo 15 años'!T7</f>
        <v>#VALUE!</v>
      </c>
      <c r="T46" s="33" t="e">
        <f ca="1">+'Prestamo 15 años'!U7</f>
        <v>#VALUE!</v>
      </c>
      <c r="U46" s="33" t="e">
        <f ca="1">+'Prestamo 15 años'!V7</f>
        <v>#VALUE!</v>
      </c>
      <c r="V46" s="33" t="e">
        <f ca="1">+'Prestamo 15 años'!W7</f>
        <v>#VALUE!</v>
      </c>
      <c r="W46" s="33" t="e">
        <f ca="1">+'Prestamo 15 años'!X7</f>
        <v>#VALUE!</v>
      </c>
      <c r="X46" s="33" t="e">
        <f ca="1">+'Prestamo 15 años'!Y7</f>
        <v>#VALUE!</v>
      </c>
      <c r="Y46" s="33" t="e">
        <f ca="1">+'Prestamo 15 años'!Z7</f>
        <v>#VALUE!</v>
      </c>
      <c r="Z46" s="33" t="e">
        <f ca="1">+'Prestamo 15 años'!AA7</f>
        <v>#VALUE!</v>
      </c>
      <c r="AA46" s="33" t="e">
        <f ca="1">+'Prestamo 15 años'!AB7</f>
        <v>#VALUE!</v>
      </c>
      <c r="AB46" s="33" t="e">
        <f ca="1">+'Prestamo 15 años'!AC7</f>
        <v>#VALUE!</v>
      </c>
      <c r="AC46" s="33" t="e">
        <f ca="1">+'Prestamo 15 años'!AD7</f>
        <v>#VALUE!</v>
      </c>
      <c r="AD46" s="33" t="e">
        <f ca="1">+'Prestamo 15 años'!AE7</f>
        <v>#VALUE!</v>
      </c>
      <c r="AE46" s="33" t="e">
        <f ca="1">+'Prestamo 15 años'!AF7</f>
        <v>#VALUE!</v>
      </c>
      <c r="AF46" s="33" t="e">
        <f ca="1">+'Prestamo 15 años'!AG7</f>
        <v>#VALUE!</v>
      </c>
      <c r="AG46" s="33" t="e">
        <f ca="1">+'Prestamo 15 años'!AH7</f>
        <v>#VALUE!</v>
      </c>
      <c r="AH46" s="33" t="e">
        <f ca="1">+'Prestamo 15 años'!AI7</f>
        <v>#VALUE!</v>
      </c>
      <c r="AI46" s="33" t="e">
        <f ca="1">+'Prestamo 15 años'!AJ7</f>
        <v>#VALUE!</v>
      </c>
      <c r="AJ46" s="33" t="e">
        <f ca="1">+'Prestamo 15 años'!AK7</f>
        <v>#VALUE!</v>
      </c>
      <c r="AK46" s="33" t="e">
        <f ca="1">+'Prestamo 15 años'!AL7</f>
        <v>#VALUE!</v>
      </c>
      <c r="AL46" s="33" t="e">
        <f ca="1">+'Prestamo 15 años'!AM7</f>
        <v>#VALUE!</v>
      </c>
      <c r="AM46" s="33" t="e">
        <f ca="1">+'Prestamo 15 años'!AN7</f>
        <v>#VALUE!</v>
      </c>
      <c r="AN46" s="33" t="e">
        <f ca="1">+'Prestamo 15 años'!AO7</f>
        <v>#VALUE!</v>
      </c>
      <c r="AO46" s="33" t="e">
        <f ca="1">+'Prestamo 15 años'!AP7</f>
        <v>#VALUE!</v>
      </c>
      <c r="AP46" s="33" t="e">
        <f ca="1">+'Prestamo 15 años'!AQ7</f>
        <v>#VALUE!</v>
      </c>
      <c r="AQ46" s="33" t="e">
        <f ca="1">+'Prestamo 15 años'!AR7</f>
        <v>#VALUE!</v>
      </c>
      <c r="AR46" s="33" t="e">
        <f ca="1">+'Prestamo 15 años'!AS7</f>
        <v>#VALUE!</v>
      </c>
      <c r="AS46" s="33" t="e">
        <f ca="1">+'Prestamo 15 años'!AT7</f>
        <v>#VALUE!</v>
      </c>
      <c r="AT46" s="33" t="e">
        <f ca="1">+'Prestamo 15 años'!AU7</f>
        <v>#VALUE!</v>
      </c>
      <c r="AU46" s="33" t="e">
        <f ca="1">+'Prestamo 15 años'!AV7</f>
        <v>#VALUE!</v>
      </c>
      <c r="AV46" s="33" t="e">
        <f ca="1">+'Prestamo 15 años'!AW7</f>
        <v>#VALUE!</v>
      </c>
      <c r="AW46" s="33" t="e">
        <f ca="1">+'Prestamo 15 años'!AX7</f>
        <v>#VALUE!</v>
      </c>
      <c r="AX46" s="33" t="e">
        <f ca="1">+'Prestamo 15 años'!AY7</f>
        <v>#VALUE!</v>
      </c>
      <c r="AY46" s="33" t="e">
        <f ca="1">+'Prestamo 15 años'!AZ7</f>
        <v>#VALUE!</v>
      </c>
      <c r="AZ46" s="33" t="e">
        <f ca="1">+'Prestamo 15 años'!BA7</f>
        <v>#VALUE!</v>
      </c>
      <c r="BA46" s="33" t="e">
        <f ca="1">+'Prestamo 15 años'!BB7</f>
        <v>#VALUE!</v>
      </c>
      <c r="BB46" s="33" t="e">
        <f ca="1">+'Prestamo 15 años'!BC7</f>
        <v>#VALUE!</v>
      </c>
      <c r="BC46" s="33" t="e">
        <f ca="1">+'Prestamo 15 años'!BD7</f>
        <v>#VALUE!</v>
      </c>
      <c r="BD46" s="33" t="e">
        <f ca="1">+'Prestamo 15 años'!BE7</f>
        <v>#VALUE!</v>
      </c>
      <c r="BE46" s="33" t="e">
        <f ca="1">+'Prestamo 15 años'!BF7</f>
        <v>#VALUE!</v>
      </c>
      <c r="BF46" s="33" t="e">
        <f ca="1">+'Prestamo 15 años'!BG7</f>
        <v>#VALUE!</v>
      </c>
      <c r="BG46" s="33" t="e">
        <f ca="1">+'Prestamo 15 años'!BH7</f>
        <v>#VALUE!</v>
      </c>
      <c r="BH46" s="33" t="e">
        <f ca="1">+'Prestamo 15 años'!BI7</f>
        <v>#VALUE!</v>
      </c>
      <c r="BI46" s="33" t="e">
        <f ca="1">+'Prestamo 15 años'!BJ7</f>
        <v>#VALUE!</v>
      </c>
      <c r="BJ46" s="33" t="e">
        <f ca="1">+'Prestamo 15 años'!BK7</f>
        <v>#VALUE!</v>
      </c>
      <c r="BK46" s="33" t="e">
        <f ca="1">+'Prestamo 15 años'!BL7</f>
        <v>#VALUE!</v>
      </c>
      <c r="BL46" s="33" t="e">
        <f ca="1">+'Prestamo 15 años'!BM7</f>
        <v>#VALUE!</v>
      </c>
      <c r="BM46" s="33" t="e">
        <f ca="1">+'Prestamo 15 años'!BN7</f>
        <v>#VALUE!</v>
      </c>
      <c r="BN46" s="33" t="e">
        <f ca="1">+'Prestamo 15 años'!BO7</f>
        <v>#VALUE!</v>
      </c>
      <c r="BO46" s="33" t="e">
        <f ca="1">+'Prestamo 15 años'!BP7</f>
        <v>#VALUE!</v>
      </c>
      <c r="BP46" s="33" t="e">
        <f ca="1">+'Prestamo 15 años'!BQ7</f>
        <v>#VALUE!</v>
      </c>
      <c r="BQ46" s="33" t="e">
        <f ca="1">+'Prestamo 15 años'!BR7</f>
        <v>#VALUE!</v>
      </c>
      <c r="BR46" s="33" t="e">
        <f ca="1">+'Prestamo 15 años'!BS7</f>
        <v>#VALUE!</v>
      </c>
      <c r="BS46" s="33" t="e">
        <f ca="1">+'Prestamo 15 años'!BT7</f>
        <v>#VALUE!</v>
      </c>
      <c r="BT46" s="33" t="e">
        <f ca="1">+'Prestamo 15 años'!BU7</f>
        <v>#VALUE!</v>
      </c>
      <c r="BU46" s="33" t="e">
        <f ca="1">+'Prestamo 15 años'!BV7</f>
        <v>#VALUE!</v>
      </c>
      <c r="BV46" s="33" t="e">
        <f ca="1">+'Prestamo 15 años'!BW7</f>
        <v>#VALUE!</v>
      </c>
      <c r="BW46" s="33" t="e">
        <f ca="1">+'Prestamo 15 años'!BX7</f>
        <v>#VALUE!</v>
      </c>
      <c r="BX46" s="33" t="e">
        <f ca="1">+'Prestamo 15 años'!BY7</f>
        <v>#VALUE!</v>
      </c>
      <c r="BY46" s="33" t="e">
        <f ca="1">+'Prestamo 15 años'!BZ7</f>
        <v>#VALUE!</v>
      </c>
      <c r="BZ46" s="33" t="e">
        <f ca="1">+'Prestamo 15 años'!CA7</f>
        <v>#VALUE!</v>
      </c>
      <c r="CA46" s="33" t="e">
        <f ca="1">+'Prestamo 15 años'!CB7</f>
        <v>#VALUE!</v>
      </c>
      <c r="CB46" s="33" t="e">
        <f ca="1">+'Prestamo 15 años'!CC7</f>
        <v>#VALUE!</v>
      </c>
      <c r="CC46" s="33" t="e">
        <f ca="1">+'Prestamo 15 años'!CD7</f>
        <v>#VALUE!</v>
      </c>
      <c r="CD46" s="33" t="e">
        <f ca="1">+'Prestamo 15 años'!CE7</f>
        <v>#VALUE!</v>
      </c>
      <c r="CE46" s="33" t="e">
        <f ca="1">+'Prestamo 15 años'!CF7</f>
        <v>#VALUE!</v>
      </c>
      <c r="CF46" s="33" t="e">
        <f ca="1">+'Prestamo 15 años'!CG7</f>
        <v>#VALUE!</v>
      </c>
      <c r="CG46" s="33" t="e">
        <f ca="1">+'Prestamo 15 años'!CH7</f>
        <v>#VALUE!</v>
      </c>
      <c r="CH46" s="33" t="e">
        <f ca="1">+'Prestamo 15 años'!CI7</f>
        <v>#VALUE!</v>
      </c>
      <c r="CI46" s="33" t="e">
        <f ca="1">+'Prestamo 15 años'!CJ7</f>
        <v>#VALUE!</v>
      </c>
      <c r="CJ46" s="33" t="e">
        <f ca="1">+'Prestamo 15 años'!CK7</f>
        <v>#VALUE!</v>
      </c>
      <c r="CK46" s="33" t="e">
        <f ca="1">+'Prestamo 15 años'!CL7</f>
        <v>#VALUE!</v>
      </c>
      <c r="CL46" s="33" t="e">
        <f ca="1">+'Prestamo 15 años'!CM7</f>
        <v>#VALUE!</v>
      </c>
      <c r="CM46" s="33" t="e">
        <f ca="1">+'Prestamo 15 años'!CN7</f>
        <v>#VALUE!</v>
      </c>
      <c r="CN46" s="33" t="e">
        <f ca="1">+'Prestamo 15 años'!CO7</f>
        <v>#VALUE!</v>
      </c>
      <c r="CO46" s="33" t="e">
        <f ca="1">+'Prestamo 15 años'!CP7</f>
        <v>#VALUE!</v>
      </c>
      <c r="CP46" s="33" t="e">
        <f ca="1">+'Prestamo 15 años'!CQ7</f>
        <v>#VALUE!</v>
      </c>
      <c r="CQ46" s="33" t="e">
        <f ca="1">+'Prestamo 15 años'!CR7</f>
        <v>#VALUE!</v>
      </c>
      <c r="CR46" s="33" t="e">
        <f ca="1">+'Prestamo 15 años'!CS7</f>
        <v>#VALUE!</v>
      </c>
      <c r="CS46" s="33" t="e">
        <f ca="1">+'Prestamo 15 años'!CT7</f>
        <v>#VALUE!</v>
      </c>
      <c r="CT46" s="33" t="e">
        <f ca="1">+'Prestamo 15 años'!CU7</f>
        <v>#VALUE!</v>
      </c>
      <c r="CU46" s="33" t="e">
        <f ca="1">+'Prestamo 15 años'!CV7</f>
        <v>#VALUE!</v>
      </c>
      <c r="CV46" s="33" t="e">
        <f ca="1">+'Prestamo 15 años'!CW7</f>
        <v>#VALUE!</v>
      </c>
      <c r="CW46" s="33" t="e">
        <f ca="1">+'Prestamo 15 años'!CX7</f>
        <v>#VALUE!</v>
      </c>
      <c r="CX46" s="33" t="e">
        <f ca="1">+'Prestamo 15 años'!CY7</f>
        <v>#VALUE!</v>
      </c>
      <c r="CY46" s="33" t="e">
        <f ca="1">+'Prestamo 15 años'!CZ7</f>
        <v>#VALUE!</v>
      </c>
      <c r="CZ46" s="33" t="e">
        <f ca="1">+'Prestamo 15 años'!DA7</f>
        <v>#VALUE!</v>
      </c>
      <c r="DA46" s="33" t="e">
        <f ca="1">+'Prestamo 15 años'!DB7</f>
        <v>#VALUE!</v>
      </c>
      <c r="DB46" s="33" t="e">
        <f ca="1">+'Prestamo 15 años'!DC7</f>
        <v>#VALUE!</v>
      </c>
      <c r="DC46" s="33" t="e">
        <f ca="1">+'Prestamo 15 años'!DD7</f>
        <v>#VALUE!</v>
      </c>
      <c r="DD46" s="33" t="e">
        <f ca="1">+'Prestamo 15 años'!DE7</f>
        <v>#VALUE!</v>
      </c>
      <c r="DE46" s="33" t="e">
        <f ca="1">+'Prestamo 15 años'!DF7</f>
        <v>#VALUE!</v>
      </c>
      <c r="DF46" s="33" t="e">
        <f ca="1">+'Prestamo 15 años'!DG7</f>
        <v>#VALUE!</v>
      </c>
      <c r="DG46" s="33" t="e">
        <f ca="1">+'Prestamo 15 años'!DH7</f>
        <v>#VALUE!</v>
      </c>
      <c r="DH46" s="33" t="e">
        <f ca="1">+'Prestamo 15 años'!DI7</f>
        <v>#VALUE!</v>
      </c>
      <c r="DI46" s="33" t="e">
        <f ca="1">+'Prestamo 15 años'!DJ7</f>
        <v>#VALUE!</v>
      </c>
      <c r="DJ46" s="33" t="e">
        <f ca="1">+'Prestamo 15 años'!DK7</f>
        <v>#VALUE!</v>
      </c>
      <c r="DK46" s="33" t="e">
        <f ca="1">+'Prestamo 15 años'!DL7</f>
        <v>#VALUE!</v>
      </c>
      <c r="DL46" s="33" t="e">
        <f ca="1">+'Prestamo 15 años'!DM7</f>
        <v>#VALUE!</v>
      </c>
      <c r="DM46" s="33" t="e">
        <f ca="1">+'Prestamo 15 años'!DN7</f>
        <v>#VALUE!</v>
      </c>
      <c r="DN46" s="33" t="e">
        <f ca="1">+'Prestamo 15 años'!DO7</f>
        <v>#VALUE!</v>
      </c>
      <c r="DO46" s="33" t="e">
        <f ca="1">+'Prestamo 15 años'!DP7</f>
        <v>#VALUE!</v>
      </c>
      <c r="DP46" s="33" t="e">
        <f ca="1">+'Prestamo 15 años'!DQ7</f>
        <v>#VALUE!</v>
      </c>
      <c r="DQ46" s="33" t="e">
        <f ca="1">+'Prestamo 15 años'!DR7</f>
        <v>#VALUE!</v>
      </c>
      <c r="DR46" s="33" t="e">
        <f ca="1">+'Prestamo 15 años'!DS7</f>
        <v>#VALUE!</v>
      </c>
      <c r="DS46" s="33" t="e">
        <f ca="1">+'Prestamo 15 años'!DT7</f>
        <v>#VALUE!</v>
      </c>
      <c r="DT46" s="33" t="e">
        <f ca="1">+'Prestamo 15 años'!DU7</f>
        <v>#VALUE!</v>
      </c>
      <c r="DU46" s="33" t="e">
        <f ca="1">+'Prestamo 15 años'!DV7</f>
        <v>#VALUE!</v>
      </c>
      <c r="DV46" s="33" t="e">
        <f ca="1">+'Prestamo 15 años'!DW7</f>
        <v>#VALUE!</v>
      </c>
      <c r="DW46" s="33" t="e">
        <f ca="1">+'Prestamo 15 años'!DX7</f>
        <v>#VALUE!</v>
      </c>
      <c r="DX46" s="33" t="e">
        <f ca="1">+'Prestamo 15 años'!DY7</f>
        <v>#VALUE!</v>
      </c>
      <c r="DY46" s="33" t="e">
        <f ca="1">+'Prestamo 15 años'!DZ7</f>
        <v>#VALUE!</v>
      </c>
      <c r="DZ46" s="33" t="e">
        <f ca="1">+'Prestamo 15 años'!EA7</f>
        <v>#VALUE!</v>
      </c>
      <c r="EA46" s="33" t="e">
        <f ca="1">+'Prestamo 15 años'!EB7</f>
        <v>#VALUE!</v>
      </c>
      <c r="EB46" s="33" t="e">
        <f ca="1">+'Prestamo 15 años'!EC7</f>
        <v>#VALUE!</v>
      </c>
      <c r="EC46" s="33" t="e">
        <f ca="1">+'Prestamo 15 años'!ED7</f>
        <v>#VALUE!</v>
      </c>
      <c r="ED46" s="33" t="e">
        <f ca="1">+'Prestamo 15 años'!EE7</f>
        <v>#VALUE!</v>
      </c>
      <c r="EE46" s="33" t="e">
        <f ca="1">+'Prestamo 15 años'!EF7</f>
        <v>#VALUE!</v>
      </c>
      <c r="EF46" s="33" t="e">
        <f ca="1">+'Prestamo 15 años'!EG7</f>
        <v>#VALUE!</v>
      </c>
      <c r="EG46" s="33" t="e">
        <f ca="1">+'Prestamo 15 años'!EH7</f>
        <v>#VALUE!</v>
      </c>
      <c r="EH46" s="33" t="e">
        <f ca="1">+'Prestamo 15 años'!EI7</f>
        <v>#VALUE!</v>
      </c>
      <c r="EI46" s="33" t="e">
        <f ca="1">+'Prestamo 15 años'!EJ7</f>
        <v>#VALUE!</v>
      </c>
      <c r="EJ46" s="33" t="e">
        <f ca="1">+'Prestamo 15 años'!EK7</f>
        <v>#VALUE!</v>
      </c>
      <c r="EK46" s="33" t="e">
        <f ca="1">+'Prestamo 15 años'!EL7</f>
        <v>#VALUE!</v>
      </c>
      <c r="EL46" s="33" t="e">
        <f ca="1">+'Prestamo 15 años'!EM7</f>
        <v>#VALUE!</v>
      </c>
      <c r="EM46" s="33" t="e">
        <f ca="1">+'Prestamo 15 años'!EN7</f>
        <v>#VALUE!</v>
      </c>
      <c r="EN46" s="33" t="e">
        <f ca="1">+'Prestamo 15 años'!EO7</f>
        <v>#VALUE!</v>
      </c>
      <c r="EO46" s="33" t="e">
        <f ca="1">+'Prestamo 15 años'!EP7</f>
        <v>#VALUE!</v>
      </c>
      <c r="EP46" s="33" t="e">
        <f ca="1">+'Prestamo 15 años'!EQ7</f>
        <v>#VALUE!</v>
      </c>
      <c r="EQ46" s="33" t="e">
        <f ca="1">+'Prestamo 15 años'!ER7</f>
        <v>#VALUE!</v>
      </c>
      <c r="ER46" s="33" t="e">
        <f ca="1">+'Prestamo 15 años'!ES7</f>
        <v>#VALUE!</v>
      </c>
      <c r="ES46" s="33" t="e">
        <f ca="1">+'Prestamo 15 años'!ET7</f>
        <v>#VALUE!</v>
      </c>
      <c r="ET46" s="33" t="e">
        <f ca="1">+'Prestamo 15 años'!EU7</f>
        <v>#VALUE!</v>
      </c>
      <c r="EU46" s="33" t="e">
        <f ca="1">+'Prestamo 15 años'!EV7</f>
        <v>#VALUE!</v>
      </c>
      <c r="EV46" s="33" t="e">
        <f ca="1">+'Prestamo 15 años'!EW7</f>
        <v>#VALUE!</v>
      </c>
      <c r="EW46" s="33" t="e">
        <f ca="1">+'Prestamo 15 años'!EX7</f>
        <v>#VALUE!</v>
      </c>
      <c r="EX46" s="33" t="e">
        <f ca="1">+'Prestamo 15 años'!EY7</f>
        <v>#VALUE!</v>
      </c>
      <c r="EY46" s="33" t="e">
        <f ca="1">+'Prestamo 15 años'!EZ7</f>
        <v>#VALUE!</v>
      </c>
      <c r="EZ46" s="33" t="e">
        <f ca="1">+'Prestamo 15 años'!FA7</f>
        <v>#VALUE!</v>
      </c>
      <c r="FA46" s="33" t="e">
        <f ca="1">+'Prestamo 15 años'!FB7</f>
        <v>#VALUE!</v>
      </c>
      <c r="FB46" s="33" t="e">
        <f ca="1">+'Prestamo 15 años'!FC7</f>
        <v>#VALUE!</v>
      </c>
      <c r="FC46" s="33" t="e">
        <f ca="1">+'Prestamo 15 años'!FD7</f>
        <v>#VALUE!</v>
      </c>
      <c r="FD46" s="33" t="e">
        <f ca="1">+'Prestamo 15 años'!FE7</f>
        <v>#VALUE!</v>
      </c>
      <c r="FE46" s="33" t="e">
        <f ca="1">+'Prestamo 15 años'!FF7</f>
        <v>#VALUE!</v>
      </c>
      <c r="FF46" s="33" t="e">
        <f ca="1">+'Prestamo 15 años'!FG7</f>
        <v>#VALUE!</v>
      </c>
      <c r="FG46" s="33" t="e">
        <f ca="1">+'Prestamo 15 años'!FH7</f>
        <v>#VALUE!</v>
      </c>
      <c r="FH46" s="33" t="e">
        <f ca="1">+'Prestamo 15 años'!FI7</f>
        <v>#VALUE!</v>
      </c>
      <c r="FI46" s="33" t="e">
        <f ca="1">+'Prestamo 15 años'!FJ7</f>
        <v>#VALUE!</v>
      </c>
      <c r="FJ46" s="33" t="e">
        <f ca="1">+'Prestamo 15 años'!FK7</f>
        <v>#VALUE!</v>
      </c>
      <c r="FK46" s="33" t="e">
        <f ca="1">+'Prestamo 15 años'!FL7</f>
        <v>#VALUE!</v>
      </c>
      <c r="FL46" s="33" t="e">
        <f ca="1">+'Prestamo 15 años'!FM7</f>
        <v>#VALUE!</v>
      </c>
      <c r="FM46" s="33" t="e">
        <f ca="1">+'Prestamo 15 años'!FN7</f>
        <v>#VALUE!</v>
      </c>
      <c r="FN46" s="33" t="e">
        <f ca="1">+'Prestamo 15 años'!FO7</f>
        <v>#VALUE!</v>
      </c>
      <c r="FO46" s="33" t="e">
        <f ca="1">+'Prestamo 15 años'!FP7</f>
        <v>#VALUE!</v>
      </c>
      <c r="FP46" s="33" t="e">
        <f ca="1">+'Prestamo 15 años'!FQ7</f>
        <v>#VALUE!</v>
      </c>
      <c r="FQ46" s="33" t="e">
        <f ca="1">+'Prestamo 15 años'!FR7</f>
        <v>#VALUE!</v>
      </c>
      <c r="FR46" s="33" t="e">
        <f ca="1">+'Prestamo 15 años'!FS7</f>
        <v>#VALUE!</v>
      </c>
      <c r="FS46" s="33" t="e">
        <f ca="1">+'Prestamo 15 años'!FT7</f>
        <v>#VALUE!</v>
      </c>
      <c r="FT46" s="33" t="e">
        <f ca="1">+'Prestamo 15 años'!FU7</f>
        <v>#VALUE!</v>
      </c>
      <c r="FU46" s="33" t="e">
        <f ca="1">+'Prestamo 15 años'!FV7</f>
        <v>#VALUE!</v>
      </c>
      <c r="FV46" s="33" t="e">
        <f ca="1">+'Prestamo 15 años'!FW7</f>
        <v>#VALUE!</v>
      </c>
      <c r="FW46" s="33" t="e">
        <f ca="1">+'Prestamo 15 años'!FX7</f>
        <v>#VALUE!</v>
      </c>
      <c r="FX46" s="33" t="e">
        <f ca="1">+'Prestamo 15 años'!FY7</f>
        <v>#VALUE!</v>
      </c>
      <c r="FY46" s="33" t="e">
        <f ca="1">+'Prestamo 15 años'!FZ7</f>
        <v>#VALUE!</v>
      </c>
      <c r="FZ46" s="33" t="e">
        <f ca="1">+'Prestamo 15 años'!GA7</f>
        <v>#VALUE!</v>
      </c>
      <c r="GA46" s="33" t="e">
        <f ca="1">+'Prestamo 15 años'!GB7</f>
        <v>#VALUE!</v>
      </c>
      <c r="GB46" s="33" t="e">
        <f ca="1">+'Prestamo 15 años'!GC7</f>
        <v>#VALUE!</v>
      </c>
      <c r="GC46" s="33" t="e">
        <f ca="1">+'Prestamo 15 años'!GD7</f>
        <v>#VALUE!</v>
      </c>
      <c r="GD46" s="33" t="e">
        <f ca="1">+'Prestamo 15 años'!GE7</f>
        <v>#VALUE!</v>
      </c>
      <c r="GE46" s="33" t="e">
        <f ca="1">+'Prestamo 15 años'!GF7</f>
        <v>#VALUE!</v>
      </c>
      <c r="GF46" s="33" t="e">
        <f ca="1">+'Prestamo 15 años'!GG7</f>
        <v>#VALUE!</v>
      </c>
      <c r="GG46" s="33" t="e">
        <f ca="1">+'Prestamo 15 años'!GH7</f>
        <v>#VALUE!</v>
      </c>
      <c r="GH46" s="33" t="e">
        <f ca="1">+'Prestamo 15 años'!GI7</f>
        <v>#VALUE!</v>
      </c>
      <c r="GI46" s="33">
        <f>+'Prestamo 15 años'!GJ7</f>
        <v>0</v>
      </c>
      <c r="GJ46" s="33">
        <f>+'Prestamo 15 años'!GK7</f>
        <v>0</v>
      </c>
      <c r="GK46" s="33">
        <f>+'Prestamo 15 años'!GL7</f>
        <v>0</v>
      </c>
      <c r="GL46" s="33">
        <f>+'Prestamo 15 años'!GM7</f>
        <v>0</v>
      </c>
      <c r="GM46" s="33">
        <f>+'Prestamo 15 años'!GN7</f>
        <v>0</v>
      </c>
      <c r="GN46" s="33">
        <f>+'Prestamo 15 años'!GO7</f>
        <v>0</v>
      </c>
      <c r="GO46" s="33">
        <f>+'Prestamo 15 años'!GP7</f>
        <v>0</v>
      </c>
      <c r="GP46" s="33">
        <f>+'Prestamo 15 años'!GQ7</f>
        <v>0</v>
      </c>
      <c r="GQ46" s="33">
        <f>+'Prestamo 15 años'!GR7</f>
        <v>0</v>
      </c>
      <c r="GR46" s="33">
        <f>+'Prestamo 15 años'!GS7</f>
        <v>0</v>
      </c>
      <c r="GS46" s="33">
        <f>+'Prestamo 15 años'!GT7</f>
        <v>0</v>
      </c>
      <c r="GT46" s="33">
        <f>+'Prestamo 15 años'!GU7</f>
        <v>0</v>
      </c>
      <c r="GU46" s="33">
        <f>+'Prestamo 15 años'!GV7</f>
        <v>0</v>
      </c>
      <c r="GV46" s="33">
        <f>+'Prestamo 15 años'!GW7</f>
        <v>0</v>
      </c>
      <c r="GW46" s="33">
        <f>+'Prestamo 15 años'!GX7</f>
        <v>0</v>
      </c>
      <c r="GX46" s="33">
        <f>+'Prestamo 15 años'!GY7</f>
        <v>0</v>
      </c>
      <c r="GY46" s="33">
        <f>+'Prestamo 15 años'!GZ7</f>
        <v>0</v>
      </c>
      <c r="GZ46" s="33">
        <f>+'Prestamo 15 años'!HA7</f>
        <v>0</v>
      </c>
      <c r="HA46" s="33">
        <f>+'Prestamo 15 años'!HB7</f>
        <v>0</v>
      </c>
      <c r="HB46" s="33">
        <f>+'Prestamo 15 años'!HC7</f>
        <v>0</v>
      </c>
      <c r="HC46" s="33">
        <f>+'Prestamo 15 años'!HD7</f>
        <v>0</v>
      </c>
      <c r="HD46" s="33">
        <f>+'Prestamo 15 años'!HE7</f>
        <v>0</v>
      </c>
      <c r="HE46" s="33">
        <f>+'Prestamo 15 años'!HF7</f>
        <v>0</v>
      </c>
      <c r="HF46" s="33">
        <f>+'Prestamo 15 años'!HG7</f>
        <v>0</v>
      </c>
      <c r="HG46" s="33">
        <f>+'Prestamo 15 años'!HH7</f>
        <v>0</v>
      </c>
      <c r="HH46" s="33">
        <f>+'Prestamo 15 años'!HI7</f>
        <v>0</v>
      </c>
      <c r="HI46" s="33">
        <f>+'Prestamo 15 años'!HJ7</f>
        <v>0</v>
      </c>
      <c r="HJ46" s="33">
        <f>+'Prestamo 15 años'!HK7</f>
        <v>0</v>
      </c>
      <c r="HK46" s="33">
        <f>+'Prestamo 15 años'!HL7</f>
        <v>0</v>
      </c>
      <c r="HL46" s="33">
        <f>+'Prestamo 15 años'!HM7</f>
        <v>0</v>
      </c>
      <c r="HM46" s="33">
        <f>+'Prestamo 15 años'!HN7</f>
        <v>0</v>
      </c>
      <c r="HN46" s="33">
        <f>+'Prestamo 15 años'!HO7</f>
        <v>0</v>
      </c>
      <c r="HO46" s="33">
        <f>+'Prestamo 15 años'!HP7</f>
        <v>0</v>
      </c>
      <c r="HP46" s="33">
        <f>+'Prestamo 15 años'!HQ7</f>
        <v>0</v>
      </c>
      <c r="HQ46" s="33">
        <f>+'Prestamo 15 años'!HR7</f>
        <v>0</v>
      </c>
      <c r="HR46" s="33">
        <f>+'Prestamo 15 años'!HS7</f>
        <v>0</v>
      </c>
      <c r="HS46" s="33">
        <f>+'Prestamo 15 años'!HT7</f>
        <v>0</v>
      </c>
      <c r="HT46" s="33">
        <f>+'Prestamo 15 años'!HU7</f>
        <v>0</v>
      </c>
      <c r="HU46" s="33">
        <f>+'Prestamo 15 años'!HV7</f>
        <v>0</v>
      </c>
      <c r="HV46" s="33">
        <f>+'Prestamo 15 años'!HW7</f>
        <v>0</v>
      </c>
      <c r="HW46" s="33">
        <f>+'Prestamo 15 años'!HX7</f>
        <v>0</v>
      </c>
      <c r="HX46" s="33">
        <f>+'Prestamo 15 años'!HY7</f>
        <v>0</v>
      </c>
      <c r="HY46" s="33">
        <f>+'Prestamo 15 años'!HZ7</f>
        <v>0</v>
      </c>
      <c r="HZ46" s="33">
        <f>+'Prestamo 15 años'!IA7</f>
        <v>0</v>
      </c>
      <c r="IA46" s="33">
        <f>+'Prestamo 15 años'!IB7</f>
        <v>0</v>
      </c>
      <c r="IB46" s="33">
        <f>+'Prestamo 15 años'!IC7</f>
        <v>0</v>
      </c>
      <c r="IC46" s="33">
        <f>+'Prestamo 15 años'!ID7</f>
        <v>0</v>
      </c>
      <c r="ID46" s="33">
        <f>+'Prestamo 15 años'!IE7</f>
        <v>0</v>
      </c>
      <c r="IE46" s="33">
        <f>+'Prestamo 15 años'!IF7</f>
        <v>0</v>
      </c>
      <c r="IF46" s="33">
        <f>+'Prestamo 15 años'!IG7</f>
        <v>0</v>
      </c>
      <c r="IG46" s="33">
        <f>+'Prestamo 15 años'!IH7</f>
        <v>0</v>
      </c>
      <c r="IH46" s="33">
        <f>+'Prestamo 15 años'!II7</f>
        <v>0</v>
      </c>
      <c r="II46" s="33">
        <f>+'Prestamo 15 años'!IJ7</f>
        <v>0</v>
      </c>
      <c r="IJ46" s="33">
        <f>+'Prestamo 15 años'!IK7</f>
        <v>0</v>
      </c>
      <c r="IK46" s="33">
        <f>+'Prestamo 15 años'!IL7</f>
        <v>0</v>
      </c>
      <c r="IL46" s="33">
        <f>+'Prestamo 15 años'!IM7</f>
        <v>0</v>
      </c>
      <c r="IM46" s="33">
        <f>+'Prestamo 15 años'!IN7</f>
        <v>0</v>
      </c>
      <c r="IN46" s="33">
        <f>+'Prestamo 15 años'!IO7</f>
        <v>0</v>
      </c>
      <c r="IO46" s="33">
        <f>+'Prestamo 15 años'!IP7</f>
        <v>0</v>
      </c>
    </row>
    <row r="47" spans="1:249" x14ac:dyDescent="0.3">
      <c r="A47" t="s">
        <v>640</v>
      </c>
      <c r="E47" s="33"/>
      <c r="F47" s="33"/>
      <c r="G47" s="33"/>
      <c r="H47" s="33"/>
      <c r="I47" s="33"/>
      <c r="J47" s="33"/>
      <c r="K47" s="33" t="str">
        <f ca="1">+'Prestamo 15 años'!L3</f>
        <v/>
      </c>
      <c r="L47" s="33" t="str">
        <f ca="1">+'Prestamo 15 años'!M3</f>
        <v/>
      </c>
      <c r="M47" s="33" t="str">
        <f ca="1">+'Prestamo 15 años'!N3</f>
        <v/>
      </c>
      <c r="N47" s="33" t="str">
        <f ca="1">+'Prestamo 15 años'!O3</f>
        <v/>
      </c>
      <c r="O47" s="33" t="str">
        <f ca="1">+'Prestamo 15 años'!P3</f>
        <v/>
      </c>
      <c r="P47" s="33" t="str">
        <f ca="1">+'Prestamo 15 años'!Q3</f>
        <v/>
      </c>
      <c r="Q47" s="33" t="str">
        <f ca="1">+'Prestamo 15 años'!R3</f>
        <v/>
      </c>
      <c r="R47" s="33" t="str">
        <f ca="1">+'Prestamo 15 años'!S3</f>
        <v/>
      </c>
      <c r="S47" s="33" t="str">
        <f ca="1">+'Prestamo 15 años'!T3</f>
        <v/>
      </c>
      <c r="T47" s="33" t="str">
        <f ca="1">+'Prestamo 15 años'!U3</f>
        <v/>
      </c>
      <c r="U47" s="33" t="str">
        <f ca="1">+'Prestamo 15 años'!V3</f>
        <v/>
      </c>
      <c r="V47" s="33" t="str">
        <f ca="1">+'Prestamo 15 años'!W3</f>
        <v/>
      </c>
      <c r="W47" s="33" t="str">
        <f ca="1">+'Prestamo 15 años'!X3</f>
        <v/>
      </c>
      <c r="X47" s="33" t="str">
        <f ca="1">+'Prestamo 15 años'!Y3</f>
        <v/>
      </c>
      <c r="Y47" s="33" t="str">
        <f ca="1">+'Prestamo 15 años'!Z3</f>
        <v/>
      </c>
      <c r="Z47" s="33" t="str">
        <f ca="1">+'Prestamo 15 años'!AA3</f>
        <v/>
      </c>
      <c r="AA47" s="33" t="str">
        <f ca="1">+'Prestamo 15 años'!AB3</f>
        <v/>
      </c>
      <c r="AB47" s="33" t="str">
        <f ca="1">+'Prestamo 15 años'!AC3</f>
        <v/>
      </c>
      <c r="AC47" s="33" t="str">
        <f ca="1">+'Prestamo 15 años'!AD3</f>
        <v/>
      </c>
      <c r="AD47" s="33" t="str">
        <f ca="1">+'Prestamo 15 años'!AE3</f>
        <v/>
      </c>
      <c r="AE47" s="33" t="str">
        <f ca="1">+'Prestamo 15 años'!AF3</f>
        <v/>
      </c>
      <c r="AF47" s="33" t="str">
        <f ca="1">+'Prestamo 15 años'!AG3</f>
        <v/>
      </c>
      <c r="AG47" s="33" t="str">
        <f ca="1">+'Prestamo 15 años'!AH3</f>
        <v/>
      </c>
      <c r="AH47" s="33" t="str">
        <f ca="1">+'Prestamo 15 años'!AI3</f>
        <v/>
      </c>
      <c r="AI47" s="33" t="str">
        <f ca="1">+'Prestamo 15 años'!AJ3</f>
        <v/>
      </c>
      <c r="AJ47" s="33" t="str">
        <f ca="1">+'Prestamo 15 años'!AK3</f>
        <v/>
      </c>
      <c r="AK47" s="33" t="str">
        <f ca="1">+'Prestamo 15 años'!AL3</f>
        <v/>
      </c>
      <c r="AL47" s="33" t="str">
        <f ca="1">+'Prestamo 15 años'!AM3</f>
        <v/>
      </c>
      <c r="AM47" s="33" t="str">
        <f ca="1">+'Prestamo 15 años'!AN3</f>
        <v/>
      </c>
      <c r="AN47" s="33" t="str">
        <f ca="1">+'Prestamo 15 años'!AO3</f>
        <v/>
      </c>
      <c r="AO47" s="33" t="str">
        <f ca="1">+'Prestamo 15 años'!AP3</f>
        <v/>
      </c>
      <c r="AP47" s="33" t="str">
        <f ca="1">+'Prestamo 15 años'!AQ3</f>
        <v/>
      </c>
      <c r="AQ47" s="33" t="str">
        <f ca="1">+'Prestamo 15 años'!AR3</f>
        <v/>
      </c>
      <c r="AR47" s="33" t="str">
        <f ca="1">+'Prestamo 15 años'!AS3</f>
        <v/>
      </c>
      <c r="AS47" s="33" t="str">
        <f ca="1">+'Prestamo 15 años'!AT3</f>
        <v/>
      </c>
      <c r="AT47" s="33" t="str">
        <f ca="1">+'Prestamo 15 años'!AU3</f>
        <v/>
      </c>
      <c r="AU47" s="33" t="str">
        <f ca="1">+'Prestamo 15 años'!AV3</f>
        <v/>
      </c>
      <c r="AV47" s="33" t="str">
        <f ca="1">+'Prestamo 15 años'!AW3</f>
        <v/>
      </c>
      <c r="AW47" s="33" t="str">
        <f ca="1">+'Prestamo 15 años'!AX3</f>
        <v/>
      </c>
      <c r="AX47" s="33" t="str">
        <f ca="1">+'Prestamo 15 años'!AY3</f>
        <v/>
      </c>
      <c r="AY47" s="33" t="str">
        <f ca="1">+'Prestamo 15 años'!AZ3</f>
        <v/>
      </c>
      <c r="AZ47" s="33" t="str">
        <f ca="1">+'Prestamo 15 años'!BA3</f>
        <v/>
      </c>
      <c r="BA47" s="33" t="str">
        <f ca="1">+'Prestamo 15 años'!BB3</f>
        <v/>
      </c>
      <c r="BB47" s="33" t="str">
        <f ca="1">+'Prestamo 15 años'!BC3</f>
        <v/>
      </c>
      <c r="BC47" s="33" t="str">
        <f ca="1">+'Prestamo 15 años'!BD3</f>
        <v/>
      </c>
      <c r="BD47" s="33" t="str">
        <f ca="1">+'Prestamo 15 años'!BE3</f>
        <v/>
      </c>
      <c r="BE47" s="33" t="str">
        <f ca="1">+'Prestamo 15 años'!BF3</f>
        <v/>
      </c>
      <c r="BF47" s="33" t="str">
        <f ca="1">+'Prestamo 15 años'!BG3</f>
        <v/>
      </c>
      <c r="BG47" s="33" t="str">
        <f ca="1">+'Prestamo 15 años'!BH3</f>
        <v/>
      </c>
      <c r="BH47" s="33" t="str">
        <f ca="1">+'Prestamo 15 años'!BI3</f>
        <v/>
      </c>
      <c r="BI47" s="33" t="str">
        <f ca="1">+'Prestamo 15 años'!BJ3</f>
        <v/>
      </c>
      <c r="BJ47" s="33" t="str">
        <f ca="1">+'Prestamo 15 años'!BK3</f>
        <v/>
      </c>
      <c r="BK47" s="33" t="str">
        <f ca="1">+'Prestamo 15 años'!BL3</f>
        <v/>
      </c>
      <c r="BL47" s="33" t="str">
        <f ca="1">+'Prestamo 15 años'!BM3</f>
        <v/>
      </c>
      <c r="BM47" s="33" t="str">
        <f ca="1">+'Prestamo 15 años'!BN3</f>
        <v/>
      </c>
      <c r="BN47" s="33" t="str">
        <f ca="1">+'Prestamo 15 años'!BO3</f>
        <v/>
      </c>
      <c r="BO47" s="33" t="str">
        <f ca="1">+'Prestamo 15 años'!BP3</f>
        <v/>
      </c>
      <c r="BP47" s="33" t="str">
        <f ca="1">+'Prestamo 15 años'!BQ3</f>
        <v/>
      </c>
      <c r="BQ47" s="33" t="str">
        <f ca="1">+'Prestamo 15 años'!BR3</f>
        <v/>
      </c>
      <c r="BR47" s="33" t="str">
        <f ca="1">+'Prestamo 15 años'!BS3</f>
        <v/>
      </c>
      <c r="BS47" s="33" t="str">
        <f ca="1">+'Prestamo 15 años'!BT3</f>
        <v/>
      </c>
      <c r="BT47" s="33" t="str">
        <f ca="1">+'Prestamo 15 años'!BU3</f>
        <v/>
      </c>
      <c r="BU47" s="33" t="str">
        <f ca="1">+'Prestamo 15 años'!BV3</f>
        <v/>
      </c>
      <c r="BV47" s="33" t="str">
        <f ca="1">+'Prestamo 15 años'!BW3</f>
        <v/>
      </c>
      <c r="BW47" s="33" t="str">
        <f ca="1">+'Prestamo 15 años'!BX3</f>
        <v/>
      </c>
      <c r="BX47" s="33" t="str">
        <f ca="1">+'Prestamo 15 años'!BY3</f>
        <v/>
      </c>
      <c r="BY47" s="33" t="str">
        <f ca="1">+'Prestamo 15 años'!BZ3</f>
        <v/>
      </c>
      <c r="BZ47" s="33" t="str">
        <f ca="1">+'Prestamo 15 años'!CA3</f>
        <v/>
      </c>
      <c r="CA47" s="33" t="str">
        <f ca="1">+'Prestamo 15 años'!CB3</f>
        <v/>
      </c>
      <c r="CB47" s="33" t="str">
        <f ca="1">+'Prestamo 15 años'!CC3</f>
        <v/>
      </c>
      <c r="CC47" s="33" t="str">
        <f ca="1">+'Prestamo 15 años'!CD3</f>
        <v/>
      </c>
      <c r="CD47" s="33" t="str">
        <f ca="1">+'Prestamo 15 años'!CE3</f>
        <v/>
      </c>
      <c r="CE47" s="33" t="str">
        <f ca="1">+'Prestamo 15 años'!CF3</f>
        <v/>
      </c>
      <c r="CF47" s="33" t="str">
        <f ca="1">+'Prestamo 15 años'!CG3</f>
        <v/>
      </c>
      <c r="CG47" s="33" t="str">
        <f ca="1">+'Prestamo 15 años'!CH3</f>
        <v/>
      </c>
      <c r="CH47" s="33" t="str">
        <f ca="1">+'Prestamo 15 años'!CI3</f>
        <v/>
      </c>
      <c r="CI47" s="33" t="str">
        <f ca="1">+'Prestamo 15 años'!CJ3</f>
        <v/>
      </c>
      <c r="CJ47" s="33" t="str">
        <f ca="1">+'Prestamo 15 años'!CK3</f>
        <v/>
      </c>
      <c r="CK47" s="33" t="str">
        <f ca="1">+'Prestamo 15 años'!CL3</f>
        <v/>
      </c>
      <c r="CL47" s="33" t="str">
        <f ca="1">+'Prestamo 15 años'!CM3</f>
        <v/>
      </c>
      <c r="CM47" s="33" t="str">
        <f ca="1">+'Prestamo 15 años'!CN3</f>
        <v/>
      </c>
      <c r="CN47" s="33" t="str">
        <f ca="1">+'Prestamo 15 años'!CO3</f>
        <v/>
      </c>
      <c r="CO47" s="33" t="str">
        <f ca="1">+'Prestamo 15 años'!CP3</f>
        <v/>
      </c>
      <c r="CP47" s="33" t="str">
        <f ca="1">+'Prestamo 15 años'!CQ3</f>
        <v/>
      </c>
      <c r="CQ47" s="33" t="str">
        <f ca="1">+'Prestamo 15 años'!CR3</f>
        <v/>
      </c>
      <c r="CR47" s="33" t="str">
        <f ca="1">+'Prestamo 15 años'!CS3</f>
        <v/>
      </c>
      <c r="CS47" s="33" t="str">
        <f ca="1">+'Prestamo 15 años'!CT3</f>
        <v/>
      </c>
      <c r="CT47" s="33" t="str">
        <f ca="1">+'Prestamo 15 años'!CU3</f>
        <v/>
      </c>
      <c r="CU47" s="33" t="str">
        <f ca="1">+'Prestamo 15 años'!CV3</f>
        <v/>
      </c>
      <c r="CV47" s="33" t="str">
        <f ca="1">+'Prestamo 15 años'!CW3</f>
        <v/>
      </c>
      <c r="CW47" s="33" t="str">
        <f ca="1">+'Prestamo 15 años'!CX3</f>
        <v/>
      </c>
      <c r="CX47" s="33" t="str">
        <f ca="1">+'Prestamo 15 años'!CY3</f>
        <v/>
      </c>
      <c r="CY47" s="33" t="str">
        <f ca="1">+'Prestamo 15 años'!CZ3</f>
        <v/>
      </c>
      <c r="CZ47" s="33" t="str">
        <f ca="1">+'Prestamo 15 años'!DA3</f>
        <v/>
      </c>
      <c r="DA47" s="33" t="str">
        <f ca="1">+'Prestamo 15 años'!DB3</f>
        <v/>
      </c>
      <c r="DB47" s="33" t="str">
        <f ca="1">+'Prestamo 15 años'!DC3</f>
        <v/>
      </c>
      <c r="DC47" s="33" t="str">
        <f ca="1">+'Prestamo 15 años'!DD3</f>
        <v/>
      </c>
      <c r="DD47" s="33" t="str">
        <f ca="1">+'Prestamo 15 años'!DE3</f>
        <v/>
      </c>
      <c r="DE47" s="33" t="str">
        <f ca="1">+'Prestamo 15 años'!DF3</f>
        <v/>
      </c>
      <c r="DF47" s="33" t="str">
        <f ca="1">+'Prestamo 15 años'!DG3</f>
        <v/>
      </c>
      <c r="DG47" s="33" t="str">
        <f ca="1">+'Prestamo 15 años'!DH3</f>
        <v/>
      </c>
      <c r="DH47" s="33" t="str">
        <f ca="1">+'Prestamo 15 años'!DI3</f>
        <v/>
      </c>
      <c r="DI47" s="33" t="str">
        <f ca="1">+'Prestamo 15 años'!DJ3</f>
        <v/>
      </c>
      <c r="DJ47" s="33" t="str">
        <f ca="1">+'Prestamo 15 años'!DK3</f>
        <v/>
      </c>
      <c r="DK47" s="33" t="str">
        <f ca="1">+'Prestamo 15 años'!DL3</f>
        <v/>
      </c>
      <c r="DL47" s="33" t="str">
        <f ca="1">+'Prestamo 15 años'!DM3</f>
        <v/>
      </c>
      <c r="DM47" s="33" t="str">
        <f ca="1">+'Prestamo 15 años'!DN3</f>
        <v/>
      </c>
      <c r="DN47" s="33" t="str">
        <f ca="1">+'Prestamo 15 años'!DO3</f>
        <v/>
      </c>
      <c r="DO47" s="33" t="str">
        <f ca="1">+'Prestamo 15 años'!DP3</f>
        <v/>
      </c>
      <c r="DP47" s="33" t="str">
        <f ca="1">+'Prestamo 15 años'!DQ3</f>
        <v/>
      </c>
      <c r="DQ47" s="33" t="str">
        <f ca="1">+'Prestamo 15 años'!DR3</f>
        <v/>
      </c>
      <c r="DR47" s="33" t="str">
        <f ca="1">+'Prestamo 15 años'!DS3</f>
        <v/>
      </c>
      <c r="DS47" s="33" t="str">
        <f ca="1">+'Prestamo 15 años'!DT3</f>
        <v/>
      </c>
      <c r="DT47" s="33" t="str">
        <f ca="1">+'Prestamo 15 años'!DU3</f>
        <v/>
      </c>
      <c r="DU47" s="33" t="str">
        <f ca="1">+'Prestamo 15 años'!DV3</f>
        <v/>
      </c>
      <c r="DV47" s="33" t="str">
        <f ca="1">+'Prestamo 15 años'!DW3</f>
        <v/>
      </c>
      <c r="DW47" s="33" t="str">
        <f ca="1">+'Prestamo 15 años'!DX3</f>
        <v/>
      </c>
      <c r="DX47" s="33" t="str">
        <f ca="1">+'Prestamo 15 años'!DY3</f>
        <v/>
      </c>
      <c r="DY47" s="33" t="str">
        <f ca="1">+'Prestamo 15 años'!DZ3</f>
        <v/>
      </c>
      <c r="DZ47" s="33" t="str">
        <f ca="1">+'Prestamo 15 años'!EA3</f>
        <v/>
      </c>
      <c r="EA47" s="33" t="str">
        <f ca="1">+'Prestamo 15 años'!EB3</f>
        <v/>
      </c>
      <c r="EB47" s="33" t="str">
        <f ca="1">+'Prestamo 15 años'!EC3</f>
        <v/>
      </c>
      <c r="EC47" s="33" t="str">
        <f ca="1">+'Prestamo 15 años'!ED3</f>
        <v/>
      </c>
      <c r="ED47" s="33" t="str">
        <f ca="1">+'Prestamo 15 años'!EE3</f>
        <v/>
      </c>
      <c r="EE47" s="33" t="str">
        <f ca="1">+'Prestamo 15 años'!EF3</f>
        <v/>
      </c>
      <c r="EF47" s="33" t="str">
        <f ca="1">+'Prestamo 15 años'!EG3</f>
        <v/>
      </c>
      <c r="EG47" s="33" t="str">
        <f ca="1">+'Prestamo 15 años'!EH3</f>
        <v/>
      </c>
      <c r="EH47" s="33" t="str">
        <f ca="1">+'Prestamo 15 años'!EI3</f>
        <v/>
      </c>
      <c r="EI47" s="33" t="str">
        <f ca="1">+'Prestamo 15 años'!EJ3</f>
        <v/>
      </c>
      <c r="EJ47" s="33" t="str">
        <f ca="1">+'Prestamo 15 años'!EK3</f>
        <v/>
      </c>
      <c r="EK47" s="33" t="str">
        <f ca="1">+'Prestamo 15 años'!EL3</f>
        <v/>
      </c>
      <c r="EL47" s="33" t="str">
        <f ca="1">+'Prestamo 15 años'!EM3</f>
        <v/>
      </c>
      <c r="EM47" s="33" t="str">
        <f ca="1">+'Prestamo 15 años'!EN3</f>
        <v/>
      </c>
      <c r="EN47" s="33" t="str">
        <f ca="1">+'Prestamo 15 años'!EO3</f>
        <v/>
      </c>
      <c r="EO47" s="33" t="str">
        <f ca="1">+'Prestamo 15 años'!EP3</f>
        <v/>
      </c>
      <c r="EP47" s="33" t="str">
        <f ca="1">+'Prestamo 15 años'!EQ3</f>
        <v/>
      </c>
      <c r="EQ47" s="33" t="str">
        <f ca="1">+'Prestamo 15 años'!ER3</f>
        <v/>
      </c>
      <c r="ER47" s="33" t="str">
        <f ca="1">+'Prestamo 15 años'!ES3</f>
        <v/>
      </c>
      <c r="ES47" s="33" t="str">
        <f ca="1">+'Prestamo 15 años'!ET3</f>
        <v/>
      </c>
      <c r="ET47" s="33" t="str">
        <f ca="1">+'Prestamo 15 años'!EU3</f>
        <v/>
      </c>
      <c r="EU47" s="33" t="str">
        <f ca="1">+'Prestamo 15 años'!EV3</f>
        <v/>
      </c>
      <c r="EV47" s="33" t="str">
        <f ca="1">+'Prestamo 15 años'!EW3</f>
        <v/>
      </c>
      <c r="EW47" s="33" t="str">
        <f ca="1">+'Prestamo 15 años'!EX3</f>
        <v/>
      </c>
      <c r="EX47" s="33" t="str">
        <f ca="1">+'Prestamo 15 años'!EY3</f>
        <v/>
      </c>
      <c r="EY47" s="33" t="str">
        <f ca="1">+'Prestamo 15 años'!EZ3</f>
        <v/>
      </c>
      <c r="EZ47" s="33" t="str">
        <f ca="1">+'Prestamo 15 años'!FA3</f>
        <v/>
      </c>
      <c r="FA47" s="33" t="str">
        <f ca="1">+'Prestamo 15 años'!FB3</f>
        <v/>
      </c>
      <c r="FB47" s="33" t="str">
        <f ca="1">+'Prestamo 15 años'!FC3</f>
        <v/>
      </c>
      <c r="FC47" s="33" t="str">
        <f ca="1">+'Prestamo 15 años'!FD3</f>
        <v/>
      </c>
      <c r="FD47" s="33" t="str">
        <f ca="1">+'Prestamo 15 años'!FE3</f>
        <v/>
      </c>
      <c r="FE47" s="33" t="str">
        <f ca="1">+'Prestamo 15 años'!FF3</f>
        <v/>
      </c>
      <c r="FF47" s="33" t="str">
        <f ca="1">+'Prestamo 15 años'!FG3</f>
        <v/>
      </c>
      <c r="FG47" s="33" t="str">
        <f ca="1">+'Prestamo 15 años'!FH3</f>
        <v/>
      </c>
      <c r="FH47" s="33" t="str">
        <f ca="1">+'Prestamo 15 años'!FI3</f>
        <v/>
      </c>
      <c r="FI47" s="33" t="str">
        <f ca="1">+'Prestamo 15 años'!FJ3</f>
        <v/>
      </c>
      <c r="FJ47" s="33" t="str">
        <f ca="1">+'Prestamo 15 años'!FK3</f>
        <v/>
      </c>
      <c r="FK47" s="33" t="str">
        <f ca="1">+'Prestamo 15 años'!FL3</f>
        <v/>
      </c>
      <c r="FL47" s="33" t="str">
        <f ca="1">+'Prestamo 15 años'!FM3</f>
        <v/>
      </c>
      <c r="FM47" s="33" t="str">
        <f ca="1">+'Prestamo 15 años'!FN3</f>
        <v/>
      </c>
      <c r="FN47" s="33" t="str">
        <f ca="1">+'Prestamo 15 años'!FO3</f>
        <v/>
      </c>
      <c r="FO47" s="33" t="str">
        <f ca="1">+'Prestamo 15 años'!FP3</f>
        <v/>
      </c>
      <c r="FP47" s="33" t="str">
        <f ca="1">+'Prestamo 15 años'!FQ3</f>
        <v/>
      </c>
      <c r="FQ47" s="33" t="str">
        <f ca="1">+'Prestamo 15 años'!FR3</f>
        <v/>
      </c>
      <c r="FR47" s="33" t="str">
        <f ca="1">+'Prestamo 15 años'!FS3</f>
        <v/>
      </c>
      <c r="FS47" s="33" t="str">
        <f ca="1">+'Prestamo 15 años'!FT3</f>
        <v/>
      </c>
      <c r="FT47" s="33" t="str">
        <f ca="1">+'Prestamo 15 años'!FU3</f>
        <v/>
      </c>
      <c r="FU47" s="33" t="str">
        <f ca="1">+'Prestamo 15 años'!FV3</f>
        <v/>
      </c>
      <c r="FV47" s="33" t="str">
        <f ca="1">+'Prestamo 15 años'!FW3</f>
        <v/>
      </c>
      <c r="FW47" s="33" t="str">
        <f ca="1">+'Prestamo 15 años'!FX3</f>
        <v/>
      </c>
      <c r="FX47" s="33" t="str">
        <f ca="1">+'Prestamo 15 años'!FY3</f>
        <v/>
      </c>
      <c r="FY47" s="33" t="str">
        <f ca="1">+'Prestamo 15 años'!FZ3</f>
        <v/>
      </c>
      <c r="FZ47" s="33" t="str">
        <f ca="1">+'Prestamo 15 años'!GA3</f>
        <v/>
      </c>
      <c r="GA47" s="33" t="str">
        <f ca="1">+'Prestamo 15 años'!GB3</f>
        <v/>
      </c>
      <c r="GB47" s="33" t="str">
        <f ca="1">+'Prestamo 15 años'!GC3</f>
        <v/>
      </c>
      <c r="GC47" s="33" t="str">
        <f ca="1">+'Prestamo 15 años'!GD3</f>
        <v/>
      </c>
      <c r="GD47" s="33" t="str">
        <f ca="1">+'Prestamo 15 años'!GE3</f>
        <v/>
      </c>
      <c r="GE47" s="33" t="str">
        <f ca="1">+'Prestamo 15 años'!GF3</f>
        <v/>
      </c>
      <c r="GF47" s="33" t="str">
        <f ca="1">+'Prestamo 15 años'!GG3</f>
        <v/>
      </c>
      <c r="GG47" s="33" t="str">
        <f ca="1">+'Prestamo 15 años'!GH3</f>
        <v/>
      </c>
      <c r="GH47" s="33" t="str">
        <f ca="1">+'Prestamo 15 años'!GI3</f>
        <v/>
      </c>
      <c r="GI47" s="33">
        <f>+'Prestamo 15 años'!GJ3</f>
        <v>0</v>
      </c>
      <c r="GJ47" s="33">
        <f>+'Prestamo 15 años'!GK3</f>
        <v>0</v>
      </c>
      <c r="GK47" s="33">
        <f>+'Prestamo 15 años'!GL3</f>
        <v>0</v>
      </c>
      <c r="GL47" s="33">
        <f>+'Prestamo 15 años'!GM3</f>
        <v>0</v>
      </c>
      <c r="GM47" s="33">
        <f>+'Prestamo 15 años'!GN3</f>
        <v>0</v>
      </c>
      <c r="GN47" s="33">
        <f>+'Prestamo 15 años'!GO3</f>
        <v>0</v>
      </c>
      <c r="GO47" s="33">
        <f>+'Prestamo 15 años'!GP3</f>
        <v>0</v>
      </c>
      <c r="GP47" s="33">
        <f>+'Prestamo 15 años'!GQ3</f>
        <v>0</v>
      </c>
      <c r="GQ47" s="33">
        <f>+'Prestamo 15 años'!GR3</f>
        <v>0</v>
      </c>
      <c r="GR47" s="33">
        <f>+'Prestamo 15 años'!GS3</f>
        <v>0</v>
      </c>
      <c r="GS47" s="33">
        <f>+'Prestamo 15 años'!GT3</f>
        <v>0</v>
      </c>
      <c r="GT47" s="33">
        <f>+'Prestamo 15 años'!GU3</f>
        <v>0</v>
      </c>
      <c r="GU47" s="33">
        <f>+'Prestamo 15 años'!GV3</f>
        <v>0</v>
      </c>
      <c r="GV47" s="33">
        <f>+'Prestamo 15 años'!GW3</f>
        <v>0</v>
      </c>
      <c r="GW47" s="33">
        <f>+'Prestamo 15 años'!GX3</f>
        <v>0</v>
      </c>
      <c r="GX47" s="33">
        <f>+'Prestamo 15 años'!GY3</f>
        <v>0</v>
      </c>
    </row>
    <row r="48" spans="1:249" x14ac:dyDescent="0.3">
      <c r="A48" t="s">
        <v>807</v>
      </c>
      <c r="E48" s="33"/>
      <c r="F48" s="33"/>
      <c r="G48" s="33"/>
      <c r="H48" s="33"/>
      <c r="I48" s="33"/>
      <c r="J48" s="33"/>
      <c r="K48" s="33" t="str">
        <f ca="1">+'Prestamo 15 años'!L4</f>
        <v/>
      </c>
      <c r="L48" s="33" t="str">
        <f ca="1">+'Prestamo 15 años'!M4</f>
        <v/>
      </c>
      <c r="M48" s="33" t="str">
        <f ca="1">+'Prestamo 15 años'!N4</f>
        <v/>
      </c>
      <c r="N48" s="33" t="str">
        <f ca="1">+'Prestamo 15 años'!O4</f>
        <v/>
      </c>
      <c r="O48" s="33" t="str">
        <f ca="1">+'Prestamo 15 años'!P4</f>
        <v/>
      </c>
      <c r="P48" s="33" t="str">
        <f ca="1">+'Prestamo 15 años'!Q4</f>
        <v/>
      </c>
      <c r="Q48" s="33" t="str">
        <f ca="1">+'Prestamo 15 años'!R4</f>
        <v/>
      </c>
      <c r="R48" s="33" t="str">
        <f ca="1">+'Prestamo 15 años'!S4</f>
        <v/>
      </c>
      <c r="S48" s="33" t="str">
        <f ca="1">+'Prestamo 15 años'!T4</f>
        <v/>
      </c>
      <c r="T48" s="33" t="str">
        <f ca="1">+'Prestamo 15 años'!U4</f>
        <v/>
      </c>
      <c r="U48" s="33" t="str">
        <f ca="1">+'Prestamo 15 años'!V4</f>
        <v/>
      </c>
      <c r="V48" s="33" t="str">
        <f ca="1">+'Prestamo 15 años'!W4</f>
        <v/>
      </c>
      <c r="W48" s="33" t="str">
        <f ca="1">+'Prestamo 15 años'!X4</f>
        <v/>
      </c>
      <c r="X48" s="33" t="str">
        <f ca="1">+'Prestamo 15 años'!Y4</f>
        <v/>
      </c>
      <c r="Y48" s="33" t="str">
        <f ca="1">+'Prestamo 15 años'!Z4</f>
        <v/>
      </c>
      <c r="Z48" s="33" t="str">
        <f ca="1">+'Prestamo 15 años'!AA4</f>
        <v/>
      </c>
      <c r="AA48" s="33" t="str">
        <f ca="1">+'Prestamo 15 años'!AB4</f>
        <v/>
      </c>
      <c r="AB48" s="33" t="str">
        <f ca="1">+'Prestamo 15 años'!AC4</f>
        <v/>
      </c>
      <c r="AC48" s="33" t="str">
        <f ca="1">+'Prestamo 15 años'!AD4</f>
        <v/>
      </c>
      <c r="AD48" s="33" t="str">
        <f ca="1">+'Prestamo 15 años'!AE4</f>
        <v/>
      </c>
      <c r="AE48" s="33" t="str">
        <f ca="1">+'Prestamo 15 años'!AF4</f>
        <v/>
      </c>
      <c r="AF48" s="33" t="str">
        <f ca="1">+'Prestamo 15 años'!AG4</f>
        <v/>
      </c>
      <c r="AG48" s="33" t="str">
        <f ca="1">+'Prestamo 15 años'!AH4</f>
        <v/>
      </c>
      <c r="AH48" s="33" t="str">
        <f ca="1">+'Prestamo 15 años'!AI4</f>
        <v/>
      </c>
      <c r="AI48" s="33" t="str">
        <f ca="1">+'Prestamo 15 años'!AJ4</f>
        <v/>
      </c>
      <c r="AJ48" s="33" t="str">
        <f ca="1">+'Prestamo 15 años'!AK4</f>
        <v/>
      </c>
      <c r="AK48" s="33" t="str">
        <f ca="1">+'Prestamo 15 años'!AL4</f>
        <v/>
      </c>
      <c r="AL48" s="33" t="str">
        <f ca="1">+'Prestamo 15 años'!AM4</f>
        <v/>
      </c>
      <c r="AM48" s="33" t="str">
        <f ca="1">+'Prestamo 15 años'!AN4</f>
        <v/>
      </c>
      <c r="AN48" s="33" t="str">
        <f ca="1">+'Prestamo 15 años'!AO4</f>
        <v/>
      </c>
      <c r="AO48" s="33" t="str">
        <f ca="1">+'Prestamo 15 años'!AP4</f>
        <v/>
      </c>
      <c r="AP48" s="33" t="str">
        <f ca="1">+'Prestamo 15 años'!AQ4</f>
        <v/>
      </c>
      <c r="AQ48" s="33" t="str">
        <f ca="1">+'Prestamo 15 años'!AR4</f>
        <v/>
      </c>
      <c r="AR48" s="33" t="str">
        <f ca="1">+'Prestamo 15 años'!AS4</f>
        <v/>
      </c>
      <c r="AS48" s="33" t="str">
        <f ca="1">+'Prestamo 15 años'!AT4</f>
        <v/>
      </c>
      <c r="AT48" s="33" t="str">
        <f ca="1">+'Prestamo 15 años'!AU4</f>
        <v/>
      </c>
      <c r="AU48" s="33" t="str">
        <f ca="1">+'Prestamo 15 años'!AV4</f>
        <v/>
      </c>
      <c r="AV48" s="33" t="str">
        <f ca="1">+'Prestamo 15 años'!AW4</f>
        <v/>
      </c>
      <c r="AW48" s="33" t="str">
        <f ca="1">+'Prestamo 15 años'!AX4</f>
        <v/>
      </c>
      <c r="AX48" s="33" t="str">
        <f ca="1">+'Prestamo 15 años'!AY4</f>
        <v/>
      </c>
      <c r="AY48" s="33" t="str">
        <f ca="1">+'Prestamo 15 años'!AZ4</f>
        <v/>
      </c>
      <c r="AZ48" s="33" t="str">
        <f ca="1">+'Prestamo 15 años'!BA4</f>
        <v/>
      </c>
      <c r="BA48" s="33" t="str">
        <f ca="1">+'Prestamo 15 años'!BB4</f>
        <v/>
      </c>
      <c r="BB48" s="33" t="str">
        <f ca="1">+'Prestamo 15 años'!BC4</f>
        <v/>
      </c>
      <c r="BC48" s="33" t="str">
        <f ca="1">+'Prestamo 15 años'!BD4</f>
        <v/>
      </c>
      <c r="BD48" s="33" t="str">
        <f ca="1">+'Prestamo 15 años'!BE4</f>
        <v/>
      </c>
      <c r="BE48" s="33" t="str">
        <f ca="1">+'Prestamo 15 años'!BF4</f>
        <v/>
      </c>
      <c r="BF48" s="33" t="str">
        <f ca="1">+'Prestamo 15 años'!BG4</f>
        <v/>
      </c>
      <c r="BG48" s="33" t="str">
        <f ca="1">+'Prestamo 15 años'!BH4</f>
        <v/>
      </c>
      <c r="BH48" s="33" t="str">
        <f ca="1">+'Prestamo 15 años'!BI4</f>
        <v/>
      </c>
      <c r="BI48" s="33" t="str">
        <f ca="1">+'Prestamo 15 años'!BJ4</f>
        <v/>
      </c>
      <c r="BJ48" s="33" t="str">
        <f ca="1">+'Prestamo 15 años'!BK4</f>
        <v/>
      </c>
      <c r="BK48" s="33" t="str">
        <f ca="1">+'Prestamo 15 años'!BL4</f>
        <v/>
      </c>
      <c r="BL48" s="33" t="str">
        <f ca="1">+'Prestamo 15 años'!BM4</f>
        <v/>
      </c>
      <c r="BM48" s="33" t="str">
        <f ca="1">+'Prestamo 15 años'!BN4</f>
        <v/>
      </c>
      <c r="BN48" s="33" t="str">
        <f ca="1">+'Prestamo 15 años'!BO4</f>
        <v/>
      </c>
      <c r="BO48" s="33" t="str">
        <f ca="1">+'Prestamo 15 años'!BP4</f>
        <v/>
      </c>
      <c r="BP48" s="33" t="str">
        <f ca="1">+'Prestamo 15 años'!BQ4</f>
        <v/>
      </c>
      <c r="BQ48" s="33" t="str">
        <f ca="1">+'Prestamo 15 años'!BR4</f>
        <v/>
      </c>
      <c r="BR48" s="33" t="str">
        <f ca="1">+'Prestamo 15 años'!BS4</f>
        <v/>
      </c>
      <c r="BS48" s="33" t="str">
        <f ca="1">+'Prestamo 15 años'!BT4</f>
        <v/>
      </c>
      <c r="BT48" s="33" t="str">
        <f ca="1">+'Prestamo 15 años'!BU4</f>
        <v/>
      </c>
      <c r="BU48" s="33" t="str">
        <f ca="1">+'Prestamo 15 años'!BV4</f>
        <v/>
      </c>
      <c r="BV48" s="33" t="str">
        <f ca="1">+'Prestamo 15 años'!BW4</f>
        <v/>
      </c>
      <c r="BW48" s="33" t="str">
        <f ca="1">+'Prestamo 15 años'!BX4</f>
        <v/>
      </c>
      <c r="BX48" s="33" t="str">
        <f ca="1">+'Prestamo 15 años'!BY4</f>
        <v/>
      </c>
      <c r="BY48" s="33" t="str">
        <f ca="1">+'Prestamo 15 años'!BZ4</f>
        <v/>
      </c>
      <c r="BZ48" s="33" t="str">
        <f ca="1">+'Prestamo 15 años'!CA4</f>
        <v/>
      </c>
      <c r="CA48" s="33" t="str">
        <f ca="1">+'Prestamo 15 años'!CB4</f>
        <v/>
      </c>
      <c r="CB48" s="33" t="str">
        <f ca="1">+'Prestamo 15 años'!CC4</f>
        <v/>
      </c>
      <c r="CC48" s="33" t="str">
        <f ca="1">+'Prestamo 15 años'!CD4</f>
        <v/>
      </c>
      <c r="CD48" s="33" t="str">
        <f ca="1">+'Prestamo 15 años'!CE4</f>
        <v/>
      </c>
      <c r="CE48" s="33" t="str">
        <f ca="1">+'Prestamo 15 años'!CF4</f>
        <v/>
      </c>
      <c r="CF48" s="33" t="str">
        <f ca="1">+'Prestamo 15 años'!CG4</f>
        <v/>
      </c>
      <c r="CG48" s="33" t="str">
        <f ca="1">+'Prestamo 15 años'!CH4</f>
        <v/>
      </c>
      <c r="CH48" s="33" t="str">
        <f ca="1">+'Prestamo 15 años'!CI4</f>
        <v/>
      </c>
      <c r="CI48" s="33" t="str">
        <f ca="1">+'Prestamo 15 años'!CJ4</f>
        <v/>
      </c>
      <c r="CJ48" s="33" t="str">
        <f ca="1">+'Prestamo 15 años'!CK4</f>
        <v/>
      </c>
      <c r="CK48" s="33" t="str">
        <f ca="1">+'Prestamo 15 años'!CL4</f>
        <v/>
      </c>
      <c r="CL48" s="33" t="str">
        <f ca="1">+'Prestamo 15 años'!CM4</f>
        <v/>
      </c>
      <c r="CM48" s="33" t="str">
        <f ca="1">+'Prestamo 15 años'!CN4</f>
        <v/>
      </c>
      <c r="CN48" s="33" t="str">
        <f ca="1">+'Prestamo 15 años'!CO4</f>
        <v/>
      </c>
      <c r="CO48" s="33" t="str">
        <f ca="1">+'Prestamo 15 años'!CP4</f>
        <v/>
      </c>
      <c r="CP48" s="33" t="str">
        <f ca="1">+'Prestamo 15 años'!CQ4</f>
        <v/>
      </c>
      <c r="CQ48" s="33" t="str">
        <f ca="1">+'Prestamo 15 años'!CR4</f>
        <v/>
      </c>
      <c r="CR48" s="33" t="str">
        <f ca="1">+'Prestamo 15 años'!CS4</f>
        <v/>
      </c>
      <c r="CS48" s="33" t="str">
        <f ca="1">+'Prestamo 15 años'!CT4</f>
        <v/>
      </c>
      <c r="CT48" s="33" t="str">
        <f ca="1">+'Prestamo 15 años'!CU4</f>
        <v/>
      </c>
      <c r="CU48" s="33" t="str">
        <f ca="1">+'Prestamo 15 años'!CV4</f>
        <v/>
      </c>
      <c r="CV48" s="33" t="str">
        <f ca="1">+'Prestamo 15 años'!CW4</f>
        <v/>
      </c>
      <c r="CW48" s="33" t="str">
        <f ca="1">+'Prestamo 15 años'!CX4</f>
        <v/>
      </c>
      <c r="CX48" s="33" t="str">
        <f ca="1">+'Prestamo 15 años'!CY4</f>
        <v/>
      </c>
      <c r="CY48" s="33" t="str">
        <f ca="1">+'Prestamo 15 años'!CZ4</f>
        <v/>
      </c>
      <c r="CZ48" s="33" t="str">
        <f ca="1">+'Prestamo 15 años'!DA4</f>
        <v/>
      </c>
      <c r="DA48" s="33" t="str">
        <f ca="1">+'Prestamo 15 años'!DB4</f>
        <v/>
      </c>
      <c r="DB48" s="33" t="str">
        <f ca="1">+'Prestamo 15 años'!DC4</f>
        <v/>
      </c>
      <c r="DC48" s="33" t="str">
        <f ca="1">+'Prestamo 15 años'!DD4</f>
        <v/>
      </c>
      <c r="DD48" s="33" t="str">
        <f ca="1">+'Prestamo 15 años'!DE4</f>
        <v/>
      </c>
      <c r="DE48" s="33" t="str">
        <f ca="1">+'Prestamo 15 años'!DF4</f>
        <v/>
      </c>
      <c r="DF48" s="33" t="str">
        <f ca="1">+'Prestamo 15 años'!DG4</f>
        <v/>
      </c>
      <c r="DG48" s="33" t="str">
        <f ca="1">+'Prestamo 15 años'!DH4</f>
        <v/>
      </c>
      <c r="DH48" s="33" t="str">
        <f ca="1">+'Prestamo 15 años'!DI4</f>
        <v/>
      </c>
      <c r="DI48" s="33" t="str">
        <f ca="1">+'Prestamo 15 años'!DJ4</f>
        <v/>
      </c>
      <c r="DJ48" s="33" t="str">
        <f ca="1">+'Prestamo 15 años'!DK4</f>
        <v/>
      </c>
      <c r="DK48" s="33" t="str">
        <f ca="1">+'Prestamo 15 años'!DL4</f>
        <v/>
      </c>
      <c r="DL48" s="33" t="str">
        <f ca="1">+'Prestamo 15 años'!DM4</f>
        <v/>
      </c>
      <c r="DM48" s="33" t="str">
        <f ca="1">+'Prestamo 15 años'!DN4</f>
        <v/>
      </c>
      <c r="DN48" s="33" t="str">
        <f ca="1">+'Prestamo 15 años'!DO4</f>
        <v/>
      </c>
      <c r="DO48" s="33" t="str">
        <f ca="1">+'Prestamo 15 años'!DP4</f>
        <v/>
      </c>
      <c r="DP48" s="33" t="str">
        <f ca="1">+'Prestamo 15 años'!DQ4</f>
        <v/>
      </c>
      <c r="DQ48" s="33" t="str">
        <f ca="1">+'Prestamo 15 años'!DR4</f>
        <v/>
      </c>
      <c r="DR48" s="33" t="str">
        <f ca="1">+'Prestamo 15 años'!DS4</f>
        <v/>
      </c>
      <c r="DS48" s="33" t="str">
        <f ca="1">+'Prestamo 15 años'!DT4</f>
        <v/>
      </c>
      <c r="DT48" s="33" t="str">
        <f ca="1">+'Prestamo 15 años'!DU4</f>
        <v/>
      </c>
      <c r="DU48" s="33" t="str">
        <f ca="1">+'Prestamo 15 años'!DV4</f>
        <v/>
      </c>
      <c r="DV48" s="33" t="str">
        <f ca="1">+'Prestamo 15 años'!DW4</f>
        <v/>
      </c>
      <c r="DW48" s="33" t="str">
        <f ca="1">+'Prestamo 15 años'!DX4</f>
        <v/>
      </c>
      <c r="DX48" s="33" t="str">
        <f ca="1">+'Prestamo 15 años'!DY4</f>
        <v/>
      </c>
      <c r="DY48" s="33" t="str">
        <f ca="1">+'Prestamo 15 años'!DZ4</f>
        <v/>
      </c>
      <c r="DZ48" s="33" t="str">
        <f ca="1">+'Prestamo 15 años'!EA4</f>
        <v/>
      </c>
      <c r="EA48" s="33" t="str">
        <f ca="1">+'Prestamo 15 años'!EB4</f>
        <v/>
      </c>
      <c r="EB48" s="33" t="str">
        <f ca="1">+'Prestamo 15 años'!EC4</f>
        <v/>
      </c>
      <c r="EC48" s="33" t="str">
        <f ca="1">+'Prestamo 15 años'!ED4</f>
        <v/>
      </c>
      <c r="ED48" s="33" t="str">
        <f ca="1">+'Prestamo 15 años'!EE4</f>
        <v/>
      </c>
      <c r="EE48" s="33" t="str">
        <f ca="1">+'Prestamo 15 años'!EF4</f>
        <v/>
      </c>
      <c r="EF48" s="33" t="str">
        <f ca="1">+'Prestamo 15 años'!EG4</f>
        <v/>
      </c>
      <c r="EG48" s="33" t="str">
        <f ca="1">+'Prestamo 15 años'!EH4</f>
        <v/>
      </c>
      <c r="EH48" s="33" t="str">
        <f ca="1">+'Prestamo 15 años'!EI4</f>
        <v/>
      </c>
      <c r="EI48" s="33" t="str">
        <f ca="1">+'Prestamo 15 años'!EJ4</f>
        <v/>
      </c>
      <c r="EJ48" s="33" t="str">
        <f ca="1">+'Prestamo 15 años'!EK4</f>
        <v/>
      </c>
      <c r="EK48" s="33" t="str">
        <f ca="1">+'Prestamo 15 años'!EL4</f>
        <v/>
      </c>
      <c r="EL48" s="33" t="str">
        <f ca="1">+'Prestamo 15 años'!EM4</f>
        <v/>
      </c>
      <c r="EM48" s="33" t="str">
        <f ca="1">+'Prestamo 15 años'!EN4</f>
        <v/>
      </c>
      <c r="EN48" s="33" t="str">
        <f ca="1">+'Prestamo 15 años'!EO4</f>
        <v/>
      </c>
      <c r="EO48" s="33" t="str">
        <f ca="1">+'Prestamo 15 años'!EP4</f>
        <v/>
      </c>
      <c r="EP48" s="33" t="str">
        <f ca="1">+'Prestamo 15 años'!EQ4</f>
        <v/>
      </c>
      <c r="EQ48" s="33" t="str">
        <f ca="1">+'Prestamo 15 años'!ER4</f>
        <v/>
      </c>
      <c r="ER48" s="33" t="str">
        <f ca="1">+'Prestamo 15 años'!ES4</f>
        <v/>
      </c>
      <c r="ES48" s="33" t="str">
        <f ca="1">+'Prestamo 15 años'!ET4</f>
        <v/>
      </c>
      <c r="ET48" s="33" t="str">
        <f ca="1">+'Prestamo 15 años'!EU4</f>
        <v/>
      </c>
      <c r="EU48" s="33" t="str">
        <f ca="1">+'Prestamo 15 años'!EV4</f>
        <v/>
      </c>
      <c r="EV48" s="33" t="str">
        <f ca="1">+'Prestamo 15 años'!EW4</f>
        <v/>
      </c>
      <c r="EW48" s="33" t="str">
        <f ca="1">+'Prestamo 15 años'!EX4</f>
        <v/>
      </c>
      <c r="EX48" s="33" t="str">
        <f ca="1">+'Prestamo 15 años'!EY4</f>
        <v/>
      </c>
      <c r="EY48" s="33" t="str">
        <f ca="1">+'Prestamo 15 años'!EZ4</f>
        <v/>
      </c>
      <c r="EZ48" s="33" t="str">
        <f ca="1">+'Prestamo 15 años'!FA4</f>
        <v/>
      </c>
      <c r="FA48" s="33" t="str">
        <f ca="1">+'Prestamo 15 años'!FB4</f>
        <v/>
      </c>
      <c r="FB48" s="33" t="str">
        <f ca="1">+'Prestamo 15 años'!FC4</f>
        <v/>
      </c>
      <c r="FC48" s="33" t="str">
        <f ca="1">+'Prestamo 15 años'!FD4</f>
        <v/>
      </c>
      <c r="FD48" s="33" t="str">
        <f ca="1">+'Prestamo 15 años'!FE4</f>
        <v/>
      </c>
      <c r="FE48" s="33" t="str">
        <f ca="1">+'Prestamo 15 años'!FF4</f>
        <v/>
      </c>
      <c r="FF48" s="33" t="str">
        <f ca="1">+'Prestamo 15 años'!FG4</f>
        <v/>
      </c>
      <c r="FG48" s="33" t="str">
        <f ca="1">+'Prestamo 15 años'!FH4</f>
        <v/>
      </c>
      <c r="FH48" s="33" t="str">
        <f ca="1">+'Prestamo 15 años'!FI4</f>
        <v/>
      </c>
      <c r="FI48" s="33" t="str">
        <f ca="1">+'Prestamo 15 años'!FJ4</f>
        <v/>
      </c>
      <c r="FJ48" s="33" t="str">
        <f ca="1">+'Prestamo 15 años'!FK4</f>
        <v/>
      </c>
      <c r="FK48" s="33" t="str">
        <f ca="1">+'Prestamo 15 años'!FL4</f>
        <v/>
      </c>
      <c r="FL48" s="33" t="str">
        <f ca="1">+'Prestamo 15 años'!FM4</f>
        <v/>
      </c>
      <c r="FM48" s="33" t="str">
        <f ca="1">+'Prestamo 15 años'!FN4</f>
        <v/>
      </c>
      <c r="FN48" s="33" t="str">
        <f ca="1">+'Prestamo 15 años'!FO4</f>
        <v/>
      </c>
      <c r="FO48" s="33" t="str">
        <f ca="1">+'Prestamo 15 años'!FP4</f>
        <v/>
      </c>
      <c r="FP48" s="33" t="str">
        <f ca="1">+'Prestamo 15 años'!FQ4</f>
        <v/>
      </c>
      <c r="FQ48" s="33" t="str">
        <f ca="1">+'Prestamo 15 años'!FR4</f>
        <v/>
      </c>
      <c r="FR48" s="33" t="str">
        <f ca="1">+'Prestamo 15 años'!FS4</f>
        <v/>
      </c>
      <c r="FS48" s="33" t="str">
        <f ca="1">+'Prestamo 15 años'!FT4</f>
        <v/>
      </c>
      <c r="FT48" s="33" t="str">
        <f ca="1">+'Prestamo 15 años'!FU4</f>
        <v/>
      </c>
      <c r="FU48" s="33" t="str">
        <f ca="1">+'Prestamo 15 años'!FV4</f>
        <v/>
      </c>
      <c r="FV48" s="33" t="str">
        <f ca="1">+'Prestamo 15 años'!FW4</f>
        <v/>
      </c>
      <c r="FW48" s="33" t="str">
        <f ca="1">+'Prestamo 15 años'!FX4</f>
        <v/>
      </c>
      <c r="FX48" s="33" t="str">
        <f ca="1">+'Prestamo 15 años'!FY4</f>
        <v/>
      </c>
      <c r="FY48" s="33" t="str">
        <f ca="1">+'Prestamo 15 años'!FZ4</f>
        <v/>
      </c>
      <c r="FZ48" s="33" t="str">
        <f ca="1">+'Prestamo 15 años'!GA4</f>
        <v/>
      </c>
      <c r="GA48" s="33" t="str">
        <f ca="1">+'Prestamo 15 años'!GB4</f>
        <v/>
      </c>
      <c r="GB48" s="33" t="str">
        <f ca="1">+'Prestamo 15 años'!GC4</f>
        <v/>
      </c>
      <c r="GC48" s="33" t="str">
        <f ca="1">+'Prestamo 15 años'!GD4</f>
        <v/>
      </c>
      <c r="GD48" s="33" t="str">
        <f ca="1">+'Prestamo 15 años'!GE4</f>
        <v/>
      </c>
      <c r="GE48" s="33" t="str">
        <f ca="1">+'Prestamo 15 años'!GF4</f>
        <v/>
      </c>
      <c r="GF48" s="33" t="str">
        <f ca="1">+'Prestamo 15 años'!GG4</f>
        <v/>
      </c>
      <c r="GG48" s="33" t="str">
        <f ca="1">+'Prestamo 15 años'!GH4</f>
        <v/>
      </c>
      <c r="GH48" s="33" t="str">
        <f ca="1">+'Prestamo 15 años'!GI4</f>
        <v/>
      </c>
      <c r="GI48" s="33">
        <f>+'Prestamo 15 años'!GJ4</f>
        <v>0</v>
      </c>
      <c r="GJ48" s="33">
        <f>+'Prestamo 15 años'!GK4</f>
        <v>0</v>
      </c>
      <c r="GK48" s="33">
        <f>+'Prestamo 15 años'!GL4</f>
        <v>0</v>
      </c>
      <c r="GL48" s="33">
        <f>+'Prestamo 15 años'!GM4</f>
        <v>0</v>
      </c>
      <c r="GM48" s="33">
        <f>+'Prestamo 15 años'!GN4</f>
        <v>0</v>
      </c>
      <c r="GN48" s="33">
        <f>+'Prestamo 15 años'!GO4</f>
        <v>0</v>
      </c>
      <c r="GO48" s="33">
        <f>+'Prestamo 15 años'!GP4</f>
        <v>0</v>
      </c>
      <c r="GP48" s="33">
        <f>+'Prestamo 15 años'!GQ4</f>
        <v>0</v>
      </c>
      <c r="GQ48" s="33">
        <f>+'Prestamo 15 años'!GR4</f>
        <v>0</v>
      </c>
      <c r="GR48" s="33">
        <f>+'Prestamo 15 años'!GS4</f>
        <v>0</v>
      </c>
      <c r="GS48" s="33">
        <f>+'Prestamo 15 años'!GT4</f>
        <v>0</v>
      </c>
      <c r="GT48" s="33">
        <f>+'Prestamo 15 años'!GU4</f>
        <v>0</v>
      </c>
      <c r="GU48" s="33">
        <f>+'Prestamo 15 años'!GV4</f>
        <v>0</v>
      </c>
      <c r="GV48" s="33">
        <f>+'Prestamo 15 años'!GW4</f>
        <v>0</v>
      </c>
      <c r="GW48" s="33">
        <f>+'Prestamo 15 años'!GX4</f>
        <v>0</v>
      </c>
      <c r="GX48" s="33">
        <f>+'Prestamo 15 años'!GY4</f>
        <v>0</v>
      </c>
    </row>
    <row r="49" spans="1:249" x14ac:dyDescent="0.3">
      <c r="A49" t="s">
        <v>719</v>
      </c>
      <c r="E49" s="33"/>
      <c r="F49" s="33"/>
      <c r="G49" s="33"/>
      <c r="H49" s="33"/>
      <c r="I49" s="33"/>
      <c r="J49" s="33"/>
      <c r="K49" s="33" t="e">
        <f ca="1">+'Prestamo 15 años'!L6</f>
        <v>#VALUE!</v>
      </c>
      <c r="L49" s="33" t="e">
        <f ca="1">+'Prestamo 15 años'!M6</f>
        <v>#VALUE!</v>
      </c>
      <c r="M49" s="33" t="e">
        <f ca="1">+'Prestamo 15 años'!N6</f>
        <v>#VALUE!</v>
      </c>
      <c r="N49" s="33" t="e">
        <f ca="1">+'Prestamo 15 años'!O6</f>
        <v>#VALUE!</v>
      </c>
      <c r="O49" s="33" t="e">
        <f ca="1">+'Prestamo 15 años'!P6</f>
        <v>#VALUE!</v>
      </c>
      <c r="P49" s="33" t="e">
        <f ca="1">+'Prestamo 15 años'!Q6</f>
        <v>#VALUE!</v>
      </c>
      <c r="Q49" s="33" t="e">
        <f ca="1">+'Prestamo 15 años'!R6</f>
        <v>#VALUE!</v>
      </c>
      <c r="R49" s="33" t="e">
        <f ca="1">+'Prestamo 15 años'!S6</f>
        <v>#VALUE!</v>
      </c>
      <c r="S49" s="33" t="e">
        <f ca="1">+'Prestamo 15 años'!T6</f>
        <v>#VALUE!</v>
      </c>
      <c r="T49" s="33" t="e">
        <f ca="1">+'Prestamo 15 años'!U6</f>
        <v>#VALUE!</v>
      </c>
      <c r="U49" s="33" t="e">
        <f ca="1">+'Prestamo 15 años'!V6</f>
        <v>#VALUE!</v>
      </c>
      <c r="V49" s="33" t="e">
        <f ca="1">+'Prestamo 15 años'!W6</f>
        <v>#VALUE!</v>
      </c>
      <c r="W49" s="33" t="e">
        <f ca="1">+'Prestamo 15 años'!X6</f>
        <v>#VALUE!</v>
      </c>
      <c r="X49" s="33" t="e">
        <f ca="1">+'Prestamo 15 años'!Y6</f>
        <v>#VALUE!</v>
      </c>
      <c r="Y49" s="33" t="e">
        <f ca="1">+'Prestamo 15 años'!Z6</f>
        <v>#VALUE!</v>
      </c>
      <c r="Z49" s="33" t="e">
        <f ca="1">+'Prestamo 15 años'!AA6</f>
        <v>#VALUE!</v>
      </c>
      <c r="AA49" s="33" t="e">
        <f ca="1">+'Prestamo 15 años'!AB6</f>
        <v>#VALUE!</v>
      </c>
      <c r="AB49" s="33" t="e">
        <f ca="1">+'Prestamo 15 años'!AC6</f>
        <v>#VALUE!</v>
      </c>
      <c r="AC49" s="33" t="e">
        <f ca="1">+'Prestamo 15 años'!AD6</f>
        <v>#VALUE!</v>
      </c>
      <c r="AD49" s="33" t="e">
        <f ca="1">+'Prestamo 15 años'!AE6</f>
        <v>#VALUE!</v>
      </c>
      <c r="AE49" s="33" t="e">
        <f ca="1">+'Prestamo 15 años'!AF6</f>
        <v>#VALUE!</v>
      </c>
      <c r="AF49" s="33" t="e">
        <f ca="1">+'Prestamo 15 años'!AG6</f>
        <v>#VALUE!</v>
      </c>
      <c r="AG49" s="33" t="e">
        <f ca="1">+'Prestamo 15 años'!AH6</f>
        <v>#VALUE!</v>
      </c>
      <c r="AH49" s="33" t="e">
        <f ca="1">+'Prestamo 15 años'!AI6</f>
        <v>#VALUE!</v>
      </c>
      <c r="AI49" s="33" t="e">
        <f ca="1">+'Prestamo 15 años'!AJ6</f>
        <v>#VALUE!</v>
      </c>
      <c r="AJ49" s="33" t="e">
        <f ca="1">+'Prestamo 15 años'!AK6</f>
        <v>#VALUE!</v>
      </c>
      <c r="AK49" s="33" t="e">
        <f ca="1">+'Prestamo 15 años'!AL6</f>
        <v>#VALUE!</v>
      </c>
      <c r="AL49" s="33" t="e">
        <f ca="1">+'Prestamo 15 años'!AM6</f>
        <v>#VALUE!</v>
      </c>
      <c r="AM49" s="33" t="e">
        <f ca="1">+'Prestamo 15 años'!AN6</f>
        <v>#VALUE!</v>
      </c>
      <c r="AN49" s="33" t="e">
        <f ca="1">+'Prestamo 15 años'!AO6</f>
        <v>#VALUE!</v>
      </c>
      <c r="AO49" s="33" t="e">
        <f ca="1">+'Prestamo 15 años'!AP6</f>
        <v>#VALUE!</v>
      </c>
      <c r="AP49" s="33" t="e">
        <f ca="1">+'Prestamo 15 años'!AQ6</f>
        <v>#VALUE!</v>
      </c>
      <c r="AQ49" s="33" t="e">
        <f ca="1">+'Prestamo 15 años'!AR6</f>
        <v>#VALUE!</v>
      </c>
      <c r="AR49" s="33" t="e">
        <f ca="1">+'Prestamo 15 años'!AS6</f>
        <v>#VALUE!</v>
      </c>
      <c r="AS49" s="33" t="e">
        <f ca="1">+'Prestamo 15 años'!AT6</f>
        <v>#VALUE!</v>
      </c>
      <c r="AT49" s="33" t="e">
        <f ca="1">+'Prestamo 15 años'!AU6</f>
        <v>#VALUE!</v>
      </c>
      <c r="AU49" s="33" t="e">
        <f ca="1">+'Prestamo 15 años'!AV6</f>
        <v>#VALUE!</v>
      </c>
      <c r="AV49" s="33" t="e">
        <f ca="1">+'Prestamo 15 años'!AW6</f>
        <v>#VALUE!</v>
      </c>
      <c r="AW49" s="33" t="e">
        <f ca="1">+'Prestamo 15 años'!AX6</f>
        <v>#VALUE!</v>
      </c>
      <c r="AX49" s="33" t="e">
        <f ca="1">+'Prestamo 15 años'!AY6</f>
        <v>#VALUE!</v>
      </c>
      <c r="AY49" s="33" t="e">
        <f ca="1">+'Prestamo 15 años'!AZ6</f>
        <v>#VALUE!</v>
      </c>
      <c r="AZ49" s="33" t="e">
        <f ca="1">+'Prestamo 15 años'!BA6</f>
        <v>#VALUE!</v>
      </c>
      <c r="BA49" s="33" t="e">
        <f ca="1">+'Prestamo 15 años'!BB6</f>
        <v>#VALUE!</v>
      </c>
      <c r="BB49" s="33" t="e">
        <f ca="1">+'Prestamo 15 años'!BC6</f>
        <v>#VALUE!</v>
      </c>
      <c r="BC49" s="33" t="e">
        <f ca="1">+'Prestamo 15 años'!BD6</f>
        <v>#VALUE!</v>
      </c>
      <c r="BD49" s="33" t="e">
        <f ca="1">+'Prestamo 15 años'!BE6</f>
        <v>#VALUE!</v>
      </c>
      <c r="BE49" s="33" t="e">
        <f ca="1">+'Prestamo 15 años'!BF6</f>
        <v>#VALUE!</v>
      </c>
      <c r="BF49" s="33" t="e">
        <f ca="1">+'Prestamo 15 años'!BG6</f>
        <v>#VALUE!</v>
      </c>
      <c r="BG49" s="33" t="e">
        <f ca="1">+'Prestamo 15 años'!BH6</f>
        <v>#VALUE!</v>
      </c>
      <c r="BH49" s="33" t="e">
        <f ca="1">+'Prestamo 15 años'!BI6</f>
        <v>#VALUE!</v>
      </c>
      <c r="BI49" s="33" t="e">
        <f ca="1">+'Prestamo 15 años'!BJ6</f>
        <v>#VALUE!</v>
      </c>
      <c r="BJ49" s="33" t="e">
        <f ca="1">+'Prestamo 15 años'!BK6</f>
        <v>#VALUE!</v>
      </c>
      <c r="BK49" s="33" t="e">
        <f ca="1">+'Prestamo 15 años'!BL6</f>
        <v>#VALUE!</v>
      </c>
      <c r="BL49" s="33" t="e">
        <f ca="1">+'Prestamo 15 años'!BM6</f>
        <v>#VALUE!</v>
      </c>
      <c r="BM49" s="33" t="e">
        <f ca="1">+'Prestamo 15 años'!BN6</f>
        <v>#VALUE!</v>
      </c>
      <c r="BN49" s="33" t="e">
        <f ca="1">+'Prestamo 15 años'!BO6</f>
        <v>#VALUE!</v>
      </c>
      <c r="BO49" s="33" t="e">
        <f ca="1">+'Prestamo 15 años'!BP6</f>
        <v>#VALUE!</v>
      </c>
      <c r="BP49" s="33" t="e">
        <f ca="1">+'Prestamo 15 años'!BQ6</f>
        <v>#VALUE!</v>
      </c>
      <c r="BQ49" s="33" t="e">
        <f ca="1">+'Prestamo 15 años'!BR6</f>
        <v>#VALUE!</v>
      </c>
      <c r="BR49" s="33" t="e">
        <f ca="1">+'Prestamo 15 años'!BS6</f>
        <v>#VALUE!</v>
      </c>
      <c r="BS49" s="33" t="e">
        <f ca="1">+'Prestamo 15 años'!BT6</f>
        <v>#VALUE!</v>
      </c>
      <c r="BT49" s="33" t="e">
        <f ca="1">+'Prestamo 15 años'!BU6</f>
        <v>#VALUE!</v>
      </c>
      <c r="BU49" s="33" t="e">
        <f ca="1">+'Prestamo 15 años'!BV6</f>
        <v>#VALUE!</v>
      </c>
      <c r="BV49" s="33" t="e">
        <f ca="1">+'Prestamo 15 años'!BW6</f>
        <v>#VALUE!</v>
      </c>
      <c r="BW49" s="33" t="e">
        <f ca="1">+'Prestamo 15 años'!BX6</f>
        <v>#VALUE!</v>
      </c>
      <c r="BX49" s="33" t="e">
        <f ca="1">+'Prestamo 15 años'!BY6</f>
        <v>#VALUE!</v>
      </c>
      <c r="BY49" s="33" t="e">
        <f ca="1">+'Prestamo 15 años'!BZ6</f>
        <v>#VALUE!</v>
      </c>
      <c r="BZ49" s="33" t="e">
        <f ca="1">+'Prestamo 15 años'!CA6</f>
        <v>#VALUE!</v>
      </c>
      <c r="CA49" s="33" t="e">
        <f ca="1">+'Prestamo 15 años'!CB6</f>
        <v>#VALUE!</v>
      </c>
      <c r="CB49" s="33" t="e">
        <f ca="1">+'Prestamo 15 años'!CC6</f>
        <v>#VALUE!</v>
      </c>
      <c r="CC49" s="33" t="e">
        <f ca="1">+'Prestamo 15 años'!CD6</f>
        <v>#VALUE!</v>
      </c>
      <c r="CD49" s="33" t="e">
        <f ca="1">+'Prestamo 15 años'!CE6</f>
        <v>#VALUE!</v>
      </c>
      <c r="CE49" s="33" t="e">
        <f ca="1">+'Prestamo 15 años'!CF6</f>
        <v>#VALUE!</v>
      </c>
      <c r="CF49" s="33" t="e">
        <f ca="1">+'Prestamo 15 años'!CG6</f>
        <v>#VALUE!</v>
      </c>
      <c r="CG49" s="33" t="e">
        <f ca="1">+'Prestamo 15 años'!CH6</f>
        <v>#VALUE!</v>
      </c>
      <c r="CH49" s="33" t="e">
        <f ca="1">+'Prestamo 15 años'!CI6</f>
        <v>#VALUE!</v>
      </c>
      <c r="CI49" s="33" t="e">
        <f ca="1">+'Prestamo 15 años'!CJ6</f>
        <v>#VALUE!</v>
      </c>
      <c r="CJ49" s="33" t="e">
        <f ca="1">+'Prestamo 15 años'!CK6</f>
        <v>#VALUE!</v>
      </c>
      <c r="CK49" s="33" t="e">
        <f ca="1">+'Prestamo 15 años'!CL6</f>
        <v>#VALUE!</v>
      </c>
      <c r="CL49" s="33" t="e">
        <f ca="1">+'Prestamo 15 años'!CM6</f>
        <v>#VALUE!</v>
      </c>
      <c r="CM49" s="33" t="e">
        <f ca="1">+'Prestamo 15 años'!CN6</f>
        <v>#VALUE!</v>
      </c>
      <c r="CN49" s="33" t="e">
        <f ca="1">+'Prestamo 15 años'!CO6</f>
        <v>#VALUE!</v>
      </c>
      <c r="CO49" s="33" t="e">
        <f ca="1">+'Prestamo 15 años'!CP6</f>
        <v>#VALUE!</v>
      </c>
      <c r="CP49" s="33" t="e">
        <f ca="1">+'Prestamo 15 años'!CQ6</f>
        <v>#VALUE!</v>
      </c>
      <c r="CQ49" s="33" t="e">
        <f ca="1">+'Prestamo 15 años'!CR6</f>
        <v>#VALUE!</v>
      </c>
      <c r="CR49" s="33" t="e">
        <f ca="1">+'Prestamo 15 años'!CS6</f>
        <v>#VALUE!</v>
      </c>
      <c r="CS49" s="33" t="e">
        <f ca="1">+'Prestamo 15 años'!CT6</f>
        <v>#VALUE!</v>
      </c>
      <c r="CT49" s="33" t="e">
        <f ca="1">+'Prestamo 15 años'!CU6</f>
        <v>#VALUE!</v>
      </c>
      <c r="CU49" s="33" t="e">
        <f ca="1">+'Prestamo 15 años'!CV6</f>
        <v>#VALUE!</v>
      </c>
      <c r="CV49" s="33" t="e">
        <f ca="1">+'Prestamo 15 años'!CW6</f>
        <v>#VALUE!</v>
      </c>
      <c r="CW49" s="33" t="e">
        <f ca="1">+'Prestamo 15 años'!CX6</f>
        <v>#VALUE!</v>
      </c>
      <c r="CX49" s="33" t="e">
        <f ca="1">+'Prestamo 15 años'!CY6</f>
        <v>#VALUE!</v>
      </c>
      <c r="CY49" s="33" t="e">
        <f ca="1">+'Prestamo 15 años'!CZ6</f>
        <v>#VALUE!</v>
      </c>
      <c r="CZ49" s="33" t="e">
        <f ca="1">+'Prestamo 15 años'!DA6</f>
        <v>#VALUE!</v>
      </c>
      <c r="DA49" s="33" t="e">
        <f ca="1">+'Prestamo 15 años'!DB6</f>
        <v>#VALUE!</v>
      </c>
      <c r="DB49" s="33" t="e">
        <f ca="1">+'Prestamo 15 años'!DC6</f>
        <v>#VALUE!</v>
      </c>
      <c r="DC49" s="33" t="e">
        <f ca="1">+'Prestamo 15 años'!DD6</f>
        <v>#VALUE!</v>
      </c>
      <c r="DD49" s="33" t="e">
        <f ca="1">+'Prestamo 15 años'!DE6</f>
        <v>#VALUE!</v>
      </c>
      <c r="DE49" s="33" t="e">
        <f ca="1">+'Prestamo 15 años'!DF6</f>
        <v>#VALUE!</v>
      </c>
      <c r="DF49" s="33" t="e">
        <f ca="1">+'Prestamo 15 años'!DG6</f>
        <v>#VALUE!</v>
      </c>
      <c r="DG49" s="33" t="e">
        <f ca="1">+'Prestamo 15 años'!DH6</f>
        <v>#VALUE!</v>
      </c>
      <c r="DH49" s="33" t="e">
        <f ca="1">+'Prestamo 15 años'!DI6</f>
        <v>#VALUE!</v>
      </c>
      <c r="DI49" s="33" t="e">
        <f ca="1">+'Prestamo 15 años'!DJ6</f>
        <v>#VALUE!</v>
      </c>
      <c r="DJ49" s="33" t="e">
        <f ca="1">+'Prestamo 15 años'!DK6</f>
        <v>#VALUE!</v>
      </c>
      <c r="DK49" s="33" t="e">
        <f ca="1">+'Prestamo 15 años'!DL6</f>
        <v>#VALUE!</v>
      </c>
      <c r="DL49" s="33" t="e">
        <f ca="1">+'Prestamo 15 años'!DM6</f>
        <v>#VALUE!</v>
      </c>
      <c r="DM49" s="33" t="e">
        <f ca="1">+'Prestamo 15 años'!DN6</f>
        <v>#VALUE!</v>
      </c>
      <c r="DN49" s="33" t="e">
        <f ca="1">+'Prestamo 15 años'!DO6</f>
        <v>#VALUE!</v>
      </c>
      <c r="DO49" s="33" t="e">
        <f ca="1">+'Prestamo 15 años'!DP6</f>
        <v>#VALUE!</v>
      </c>
      <c r="DP49" s="33" t="e">
        <f ca="1">+'Prestamo 15 años'!DQ6</f>
        <v>#VALUE!</v>
      </c>
      <c r="DQ49" s="33" t="e">
        <f ca="1">+'Prestamo 15 años'!DR6</f>
        <v>#VALUE!</v>
      </c>
      <c r="DR49" s="33" t="e">
        <f ca="1">+'Prestamo 15 años'!DS6</f>
        <v>#VALUE!</v>
      </c>
      <c r="DS49" s="33" t="e">
        <f ca="1">+'Prestamo 15 años'!DT6</f>
        <v>#VALUE!</v>
      </c>
      <c r="DT49" s="33" t="e">
        <f ca="1">+'Prestamo 15 años'!DU6</f>
        <v>#VALUE!</v>
      </c>
      <c r="DU49" s="33" t="e">
        <f ca="1">+'Prestamo 15 años'!DV6</f>
        <v>#VALUE!</v>
      </c>
      <c r="DV49" s="33" t="e">
        <f ca="1">+'Prestamo 15 años'!DW6</f>
        <v>#VALUE!</v>
      </c>
      <c r="DW49" s="33" t="e">
        <f ca="1">+'Prestamo 15 años'!DX6</f>
        <v>#VALUE!</v>
      </c>
      <c r="DX49" s="33" t="e">
        <f ca="1">+'Prestamo 15 años'!DY6</f>
        <v>#VALUE!</v>
      </c>
      <c r="DY49" s="33" t="e">
        <f ca="1">+'Prestamo 15 años'!DZ6</f>
        <v>#VALUE!</v>
      </c>
      <c r="DZ49" s="33" t="e">
        <f ca="1">+'Prestamo 15 años'!EA6</f>
        <v>#VALUE!</v>
      </c>
      <c r="EA49" s="33" t="e">
        <f ca="1">+'Prestamo 15 años'!EB6</f>
        <v>#VALUE!</v>
      </c>
      <c r="EB49" s="33" t="e">
        <f ca="1">+'Prestamo 15 años'!EC6</f>
        <v>#VALUE!</v>
      </c>
      <c r="EC49" s="33" t="e">
        <f ca="1">+'Prestamo 15 años'!ED6</f>
        <v>#VALUE!</v>
      </c>
      <c r="ED49" s="33" t="e">
        <f ca="1">+'Prestamo 15 años'!EE6</f>
        <v>#VALUE!</v>
      </c>
      <c r="EE49" s="33" t="e">
        <f ca="1">+'Prestamo 15 años'!EF6</f>
        <v>#VALUE!</v>
      </c>
      <c r="EF49" s="33" t="e">
        <f ca="1">+'Prestamo 15 años'!EG6</f>
        <v>#VALUE!</v>
      </c>
      <c r="EG49" s="33" t="e">
        <f ca="1">+'Prestamo 15 años'!EH6</f>
        <v>#VALUE!</v>
      </c>
      <c r="EH49" s="33" t="e">
        <f ca="1">+'Prestamo 15 años'!EI6</f>
        <v>#VALUE!</v>
      </c>
      <c r="EI49" s="33" t="e">
        <f ca="1">+'Prestamo 15 años'!EJ6</f>
        <v>#VALUE!</v>
      </c>
      <c r="EJ49" s="33" t="e">
        <f ca="1">+'Prestamo 15 años'!EK6</f>
        <v>#VALUE!</v>
      </c>
      <c r="EK49" s="33" t="e">
        <f ca="1">+'Prestamo 15 años'!EL6</f>
        <v>#VALUE!</v>
      </c>
      <c r="EL49" s="33" t="e">
        <f ca="1">+'Prestamo 15 años'!EM6</f>
        <v>#VALUE!</v>
      </c>
      <c r="EM49" s="33" t="e">
        <f ca="1">+'Prestamo 15 años'!EN6</f>
        <v>#VALUE!</v>
      </c>
      <c r="EN49" s="33" t="e">
        <f ca="1">+'Prestamo 15 años'!EO6</f>
        <v>#VALUE!</v>
      </c>
      <c r="EO49" s="33" t="e">
        <f ca="1">+'Prestamo 15 años'!EP6</f>
        <v>#VALUE!</v>
      </c>
      <c r="EP49" s="33" t="e">
        <f ca="1">+'Prestamo 15 años'!EQ6</f>
        <v>#VALUE!</v>
      </c>
      <c r="EQ49" s="33" t="e">
        <f ca="1">+'Prestamo 15 años'!ER6</f>
        <v>#VALUE!</v>
      </c>
      <c r="ER49" s="33" t="e">
        <f ca="1">+'Prestamo 15 años'!ES6</f>
        <v>#VALUE!</v>
      </c>
      <c r="ES49" s="33" t="e">
        <f ca="1">+'Prestamo 15 años'!ET6</f>
        <v>#VALUE!</v>
      </c>
      <c r="ET49" s="33" t="e">
        <f ca="1">+'Prestamo 15 años'!EU6</f>
        <v>#VALUE!</v>
      </c>
      <c r="EU49" s="33" t="e">
        <f ca="1">+'Prestamo 15 años'!EV6</f>
        <v>#VALUE!</v>
      </c>
      <c r="EV49" s="33" t="e">
        <f ca="1">+'Prestamo 15 años'!EW6</f>
        <v>#VALUE!</v>
      </c>
      <c r="EW49" s="33" t="e">
        <f ca="1">+'Prestamo 15 años'!EX6</f>
        <v>#VALUE!</v>
      </c>
      <c r="EX49" s="33" t="e">
        <f ca="1">+'Prestamo 15 años'!EY6</f>
        <v>#VALUE!</v>
      </c>
      <c r="EY49" s="33" t="e">
        <f ca="1">+'Prestamo 15 años'!EZ6</f>
        <v>#VALUE!</v>
      </c>
      <c r="EZ49" s="33" t="e">
        <f ca="1">+'Prestamo 15 años'!FA6</f>
        <v>#VALUE!</v>
      </c>
      <c r="FA49" s="33" t="e">
        <f ca="1">+'Prestamo 15 años'!FB6</f>
        <v>#VALUE!</v>
      </c>
      <c r="FB49" s="33" t="e">
        <f ca="1">+'Prestamo 15 años'!FC6</f>
        <v>#VALUE!</v>
      </c>
      <c r="FC49" s="33" t="e">
        <f ca="1">+'Prestamo 15 años'!FD6</f>
        <v>#VALUE!</v>
      </c>
      <c r="FD49" s="33" t="e">
        <f ca="1">+'Prestamo 15 años'!FE6</f>
        <v>#VALUE!</v>
      </c>
      <c r="FE49" s="33" t="e">
        <f ca="1">+'Prestamo 15 años'!FF6</f>
        <v>#VALUE!</v>
      </c>
      <c r="FF49" s="33" t="e">
        <f ca="1">+'Prestamo 15 años'!FG6</f>
        <v>#VALUE!</v>
      </c>
      <c r="FG49" s="33" t="e">
        <f ca="1">+'Prestamo 15 años'!FH6</f>
        <v>#VALUE!</v>
      </c>
      <c r="FH49" s="33" t="e">
        <f ca="1">+'Prestamo 15 años'!FI6</f>
        <v>#VALUE!</v>
      </c>
      <c r="FI49" s="33" t="e">
        <f ca="1">+'Prestamo 15 años'!FJ6</f>
        <v>#VALUE!</v>
      </c>
      <c r="FJ49" s="33" t="e">
        <f ca="1">+'Prestamo 15 años'!FK6</f>
        <v>#VALUE!</v>
      </c>
      <c r="FK49" s="33" t="e">
        <f ca="1">+'Prestamo 15 años'!FL6</f>
        <v>#VALUE!</v>
      </c>
      <c r="FL49" s="33" t="e">
        <f ca="1">+'Prestamo 15 años'!FM6</f>
        <v>#VALUE!</v>
      </c>
      <c r="FM49" s="33" t="e">
        <f ca="1">+'Prestamo 15 años'!FN6</f>
        <v>#VALUE!</v>
      </c>
      <c r="FN49" s="33" t="e">
        <f ca="1">+'Prestamo 15 años'!FO6</f>
        <v>#VALUE!</v>
      </c>
      <c r="FO49" s="33" t="e">
        <f ca="1">+'Prestamo 15 años'!FP6</f>
        <v>#VALUE!</v>
      </c>
      <c r="FP49" s="33" t="e">
        <f ca="1">+'Prestamo 15 años'!FQ6</f>
        <v>#VALUE!</v>
      </c>
      <c r="FQ49" s="33" t="e">
        <f ca="1">+'Prestamo 15 años'!FR6</f>
        <v>#VALUE!</v>
      </c>
      <c r="FR49" s="33" t="e">
        <f ca="1">+'Prestamo 15 años'!FS6</f>
        <v>#VALUE!</v>
      </c>
      <c r="FS49" s="33" t="e">
        <f ca="1">+'Prestamo 15 años'!FT6</f>
        <v>#VALUE!</v>
      </c>
      <c r="FT49" s="33" t="e">
        <f ca="1">+'Prestamo 15 años'!FU6</f>
        <v>#VALUE!</v>
      </c>
      <c r="FU49" s="33" t="e">
        <f ca="1">+'Prestamo 15 años'!FV6</f>
        <v>#VALUE!</v>
      </c>
      <c r="FV49" s="33" t="e">
        <f ca="1">+'Prestamo 15 años'!FW6</f>
        <v>#VALUE!</v>
      </c>
      <c r="FW49" s="33" t="e">
        <f ca="1">+'Prestamo 15 años'!FX6</f>
        <v>#VALUE!</v>
      </c>
      <c r="FX49" s="33" t="e">
        <f ca="1">+'Prestamo 15 años'!FY6</f>
        <v>#VALUE!</v>
      </c>
      <c r="FY49" s="33" t="e">
        <f ca="1">+'Prestamo 15 años'!FZ6</f>
        <v>#VALUE!</v>
      </c>
      <c r="FZ49" s="33" t="e">
        <f ca="1">+'Prestamo 15 años'!GA6</f>
        <v>#VALUE!</v>
      </c>
      <c r="GA49" s="33" t="e">
        <f ca="1">+'Prestamo 15 años'!GB6</f>
        <v>#VALUE!</v>
      </c>
      <c r="GB49" s="33" t="e">
        <f ca="1">+'Prestamo 15 años'!GC6</f>
        <v>#VALUE!</v>
      </c>
      <c r="GC49" s="33" t="e">
        <f ca="1">+'Prestamo 15 años'!GD6</f>
        <v>#VALUE!</v>
      </c>
      <c r="GD49" s="33" t="e">
        <f ca="1">+'Prestamo 15 años'!GE6</f>
        <v>#VALUE!</v>
      </c>
      <c r="GE49" s="33" t="e">
        <f ca="1">+'Prestamo 15 años'!GF6</f>
        <v>#VALUE!</v>
      </c>
      <c r="GF49" s="33" t="e">
        <f ca="1">+'Prestamo 15 años'!GG6</f>
        <v>#VALUE!</v>
      </c>
      <c r="GG49" s="33" t="e">
        <f ca="1">+'Prestamo 15 años'!GH6</f>
        <v>#VALUE!</v>
      </c>
      <c r="GH49" s="33" t="e">
        <f ca="1">+'Prestamo 15 años'!GI6</f>
        <v>#VALUE!</v>
      </c>
      <c r="GI49" s="33">
        <f>+'Prestamo 15 años'!GJ6</f>
        <v>0</v>
      </c>
      <c r="GJ49" s="33">
        <f>+'Prestamo 15 años'!GK6</f>
        <v>0</v>
      </c>
      <c r="GK49" s="33">
        <f>+'Prestamo 15 años'!GL6</f>
        <v>0</v>
      </c>
      <c r="GL49" s="33">
        <f>+'Prestamo 15 años'!GM6</f>
        <v>0</v>
      </c>
      <c r="GM49" s="33">
        <f>+'Prestamo 15 años'!GN6</f>
        <v>0</v>
      </c>
      <c r="GN49" s="33">
        <f>+'Prestamo 15 años'!GO6</f>
        <v>0</v>
      </c>
      <c r="GO49" s="33">
        <f>+'Prestamo 15 años'!GP6</f>
        <v>0</v>
      </c>
      <c r="GP49" s="33">
        <f>+'Prestamo 15 años'!GQ6</f>
        <v>0</v>
      </c>
      <c r="GQ49" s="33">
        <f>+'Prestamo 15 años'!GR6</f>
        <v>0</v>
      </c>
      <c r="GR49" s="33">
        <f>+'Prestamo 15 años'!GS6</f>
        <v>0</v>
      </c>
      <c r="GS49" s="33">
        <f>+'Prestamo 15 años'!GT6</f>
        <v>0</v>
      </c>
      <c r="GT49" s="33">
        <f>+'Prestamo 15 años'!GU6</f>
        <v>0</v>
      </c>
      <c r="GU49" s="33">
        <f>+'Prestamo 15 años'!GV6</f>
        <v>0</v>
      </c>
      <c r="GV49" s="33">
        <f>+'Prestamo 15 años'!GW6</f>
        <v>0</v>
      </c>
      <c r="GW49" s="33">
        <f>+'Prestamo 15 años'!GX6</f>
        <v>0</v>
      </c>
      <c r="GX49" s="33">
        <f>+'Prestamo 15 años'!GY6</f>
        <v>0</v>
      </c>
    </row>
    <row r="50" spans="1:249" x14ac:dyDescent="0.3"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9" x14ac:dyDescent="0.3">
      <c r="E51">
        <f>+YEAR(E52)</f>
        <v>2024</v>
      </c>
      <c r="F51">
        <f t="shared" ref="F51:BQ51" si="435">+YEAR(F52)</f>
        <v>2024</v>
      </c>
      <c r="G51">
        <f t="shared" si="435"/>
        <v>2024</v>
      </c>
      <c r="H51">
        <f t="shared" si="435"/>
        <v>2024</v>
      </c>
      <c r="I51">
        <f t="shared" si="435"/>
        <v>2024</v>
      </c>
      <c r="J51">
        <f t="shared" si="435"/>
        <v>2025</v>
      </c>
      <c r="K51">
        <f t="shared" si="435"/>
        <v>2025</v>
      </c>
      <c r="L51">
        <f t="shared" si="435"/>
        <v>2025</v>
      </c>
      <c r="M51">
        <f t="shared" si="435"/>
        <v>2025</v>
      </c>
      <c r="N51">
        <f t="shared" si="435"/>
        <v>2025</v>
      </c>
      <c r="O51">
        <f t="shared" si="435"/>
        <v>2025</v>
      </c>
      <c r="P51">
        <f t="shared" si="435"/>
        <v>2025</v>
      </c>
      <c r="Q51">
        <f t="shared" si="435"/>
        <v>2025</v>
      </c>
      <c r="R51">
        <f t="shared" si="435"/>
        <v>2025</v>
      </c>
      <c r="S51">
        <f t="shared" si="435"/>
        <v>2025</v>
      </c>
      <c r="T51">
        <f t="shared" si="435"/>
        <v>2025</v>
      </c>
      <c r="U51">
        <f t="shared" si="435"/>
        <v>2025</v>
      </c>
      <c r="V51">
        <f t="shared" si="435"/>
        <v>2026</v>
      </c>
      <c r="W51">
        <f t="shared" si="435"/>
        <v>2026</v>
      </c>
      <c r="X51">
        <f t="shared" si="435"/>
        <v>2026</v>
      </c>
      <c r="Y51">
        <f t="shared" si="435"/>
        <v>2026</v>
      </c>
      <c r="Z51">
        <f t="shared" si="435"/>
        <v>2026</v>
      </c>
      <c r="AA51">
        <f t="shared" si="435"/>
        <v>2026</v>
      </c>
      <c r="AB51">
        <f t="shared" si="435"/>
        <v>2026</v>
      </c>
      <c r="AC51">
        <f t="shared" si="435"/>
        <v>2026</v>
      </c>
      <c r="AD51">
        <f t="shared" si="435"/>
        <v>2026</v>
      </c>
      <c r="AE51">
        <f t="shared" si="435"/>
        <v>2026</v>
      </c>
      <c r="AF51">
        <f t="shared" si="435"/>
        <v>2026</v>
      </c>
      <c r="AG51">
        <f t="shared" si="435"/>
        <v>2026</v>
      </c>
      <c r="AH51">
        <f t="shared" si="435"/>
        <v>2027</v>
      </c>
      <c r="AI51">
        <f t="shared" si="435"/>
        <v>2027</v>
      </c>
      <c r="AJ51">
        <f t="shared" si="435"/>
        <v>2027</v>
      </c>
      <c r="AK51">
        <f t="shared" si="435"/>
        <v>2027</v>
      </c>
      <c r="AL51">
        <f t="shared" si="435"/>
        <v>2027</v>
      </c>
      <c r="AM51">
        <f t="shared" si="435"/>
        <v>2027</v>
      </c>
      <c r="AN51">
        <f t="shared" si="435"/>
        <v>2027</v>
      </c>
      <c r="AO51">
        <f t="shared" si="435"/>
        <v>2027</v>
      </c>
      <c r="AP51">
        <f t="shared" si="435"/>
        <v>2027</v>
      </c>
      <c r="AQ51">
        <f t="shared" si="435"/>
        <v>2027</v>
      </c>
      <c r="AR51">
        <f t="shared" si="435"/>
        <v>2027</v>
      </c>
      <c r="AS51">
        <f t="shared" si="435"/>
        <v>2027</v>
      </c>
      <c r="AT51">
        <f t="shared" si="435"/>
        <v>2028</v>
      </c>
      <c r="AU51">
        <f t="shared" si="435"/>
        <v>2028</v>
      </c>
      <c r="AV51">
        <f t="shared" si="435"/>
        <v>2028</v>
      </c>
      <c r="AW51">
        <f t="shared" si="435"/>
        <v>2028</v>
      </c>
      <c r="AX51">
        <f t="shared" si="435"/>
        <v>2028</v>
      </c>
      <c r="AY51">
        <f t="shared" si="435"/>
        <v>2028</v>
      </c>
      <c r="AZ51">
        <f t="shared" si="435"/>
        <v>2028</v>
      </c>
      <c r="BA51">
        <f t="shared" si="435"/>
        <v>2028</v>
      </c>
      <c r="BB51">
        <f t="shared" si="435"/>
        <v>2028</v>
      </c>
      <c r="BC51">
        <f t="shared" si="435"/>
        <v>2028</v>
      </c>
      <c r="BD51">
        <f t="shared" si="435"/>
        <v>2028</v>
      </c>
      <c r="BE51">
        <f t="shared" si="435"/>
        <v>2028</v>
      </c>
      <c r="BF51">
        <f t="shared" si="435"/>
        <v>2029</v>
      </c>
      <c r="BG51">
        <f t="shared" si="435"/>
        <v>2029</v>
      </c>
      <c r="BH51">
        <f t="shared" si="435"/>
        <v>2029</v>
      </c>
      <c r="BI51">
        <f t="shared" si="435"/>
        <v>2029</v>
      </c>
      <c r="BJ51">
        <f t="shared" si="435"/>
        <v>2029</v>
      </c>
      <c r="BK51">
        <f t="shared" si="435"/>
        <v>2029</v>
      </c>
      <c r="BL51">
        <f t="shared" si="435"/>
        <v>2029</v>
      </c>
      <c r="BM51">
        <f t="shared" si="435"/>
        <v>2029</v>
      </c>
      <c r="BN51">
        <f t="shared" si="435"/>
        <v>2029</v>
      </c>
      <c r="BO51">
        <f t="shared" si="435"/>
        <v>2029</v>
      </c>
      <c r="BP51">
        <f t="shared" si="435"/>
        <v>2029</v>
      </c>
      <c r="BQ51">
        <f t="shared" si="435"/>
        <v>2029</v>
      </c>
      <c r="BR51">
        <f t="shared" ref="BR51:EC51" si="436">+YEAR(BR52)</f>
        <v>2030</v>
      </c>
      <c r="BS51">
        <f t="shared" si="436"/>
        <v>2030</v>
      </c>
      <c r="BT51">
        <f t="shared" si="436"/>
        <v>2030</v>
      </c>
      <c r="BU51">
        <f t="shared" si="436"/>
        <v>2030</v>
      </c>
      <c r="BV51">
        <f t="shared" si="436"/>
        <v>2030</v>
      </c>
      <c r="BW51">
        <f t="shared" si="436"/>
        <v>2030</v>
      </c>
      <c r="BX51">
        <f t="shared" si="436"/>
        <v>2030</v>
      </c>
      <c r="BY51">
        <f t="shared" si="436"/>
        <v>2030</v>
      </c>
      <c r="BZ51">
        <f t="shared" si="436"/>
        <v>2030</v>
      </c>
      <c r="CA51">
        <f t="shared" si="436"/>
        <v>2030</v>
      </c>
      <c r="CB51">
        <f t="shared" si="436"/>
        <v>2030</v>
      </c>
      <c r="CC51">
        <f t="shared" si="436"/>
        <v>2030</v>
      </c>
      <c r="CD51">
        <f t="shared" si="436"/>
        <v>2031</v>
      </c>
      <c r="CE51">
        <f t="shared" si="436"/>
        <v>2031</v>
      </c>
      <c r="CF51">
        <f t="shared" si="436"/>
        <v>2031</v>
      </c>
      <c r="CG51">
        <f t="shared" si="436"/>
        <v>2031</v>
      </c>
      <c r="CH51">
        <f t="shared" si="436"/>
        <v>2031</v>
      </c>
      <c r="CI51">
        <f t="shared" si="436"/>
        <v>2031</v>
      </c>
      <c r="CJ51">
        <f t="shared" si="436"/>
        <v>2031</v>
      </c>
      <c r="CK51">
        <f t="shared" si="436"/>
        <v>2031</v>
      </c>
      <c r="CL51">
        <f t="shared" si="436"/>
        <v>2031</v>
      </c>
      <c r="CM51">
        <f t="shared" si="436"/>
        <v>2031</v>
      </c>
      <c r="CN51">
        <f t="shared" si="436"/>
        <v>2031</v>
      </c>
      <c r="CO51">
        <f t="shared" si="436"/>
        <v>2031</v>
      </c>
      <c r="CP51">
        <f t="shared" si="436"/>
        <v>2032</v>
      </c>
      <c r="CQ51">
        <f t="shared" si="436"/>
        <v>2032</v>
      </c>
      <c r="CR51">
        <f t="shared" si="436"/>
        <v>2032</v>
      </c>
      <c r="CS51">
        <f t="shared" si="436"/>
        <v>2032</v>
      </c>
      <c r="CT51">
        <f t="shared" si="436"/>
        <v>2032</v>
      </c>
      <c r="CU51">
        <f t="shared" si="436"/>
        <v>2032</v>
      </c>
      <c r="CV51">
        <f t="shared" si="436"/>
        <v>2032</v>
      </c>
      <c r="CW51">
        <f t="shared" si="436"/>
        <v>2032</v>
      </c>
      <c r="CX51">
        <f t="shared" si="436"/>
        <v>2032</v>
      </c>
      <c r="CY51">
        <f t="shared" si="436"/>
        <v>2032</v>
      </c>
      <c r="CZ51">
        <f t="shared" si="436"/>
        <v>2032</v>
      </c>
      <c r="DA51">
        <f t="shared" si="436"/>
        <v>2032</v>
      </c>
      <c r="DB51">
        <f t="shared" si="436"/>
        <v>2033</v>
      </c>
      <c r="DC51">
        <f t="shared" si="436"/>
        <v>2033</v>
      </c>
      <c r="DD51">
        <f t="shared" si="436"/>
        <v>2033</v>
      </c>
      <c r="DE51">
        <f t="shared" si="436"/>
        <v>2033</v>
      </c>
      <c r="DF51">
        <f t="shared" si="436"/>
        <v>2033</v>
      </c>
      <c r="DG51">
        <f t="shared" si="436"/>
        <v>2033</v>
      </c>
      <c r="DH51">
        <f t="shared" si="436"/>
        <v>2033</v>
      </c>
      <c r="DI51">
        <f t="shared" si="436"/>
        <v>2033</v>
      </c>
      <c r="DJ51">
        <f t="shared" si="436"/>
        <v>2033</v>
      </c>
      <c r="DK51">
        <f t="shared" si="436"/>
        <v>2033</v>
      </c>
      <c r="DL51">
        <f t="shared" si="436"/>
        <v>2033</v>
      </c>
      <c r="DM51">
        <f t="shared" si="436"/>
        <v>2033</v>
      </c>
      <c r="DN51">
        <f t="shared" si="436"/>
        <v>2034</v>
      </c>
      <c r="DO51">
        <f t="shared" si="436"/>
        <v>2034</v>
      </c>
      <c r="DP51">
        <f t="shared" si="436"/>
        <v>2034</v>
      </c>
      <c r="DQ51">
        <f t="shared" si="436"/>
        <v>2034</v>
      </c>
      <c r="DR51">
        <f t="shared" si="436"/>
        <v>2034</v>
      </c>
      <c r="DS51">
        <f t="shared" si="436"/>
        <v>2034</v>
      </c>
      <c r="DT51">
        <f t="shared" si="436"/>
        <v>2034</v>
      </c>
      <c r="DU51">
        <f t="shared" si="436"/>
        <v>2034</v>
      </c>
      <c r="DV51">
        <f t="shared" si="436"/>
        <v>2034</v>
      </c>
      <c r="DW51">
        <f t="shared" si="436"/>
        <v>2034</v>
      </c>
      <c r="DX51">
        <f t="shared" si="436"/>
        <v>2034</v>
      </c>
      <c r="DY51">
        <f t="shared" si="436"/>
        <v>2034</v>
      </c>
      <c r="DZ51">
        <f t="shared" si="436"/>
        <v>2035</v>
      </c>
      <c r="EA51">
        <f t="shared" si="436"/>
        <v>2035</v>
      </c>
      <c r="EB51">
        <f t="shared" si="436"/>
        <v>2035</v>
      </c>
      <c r="EC51">
        <f t="shared" si="436"/>
        <v>2035</v>
      </c>
      <c r="ED51">
        <f t="shared" ref="ED51:GO51" si="437">+YEAR(ED52)</f>
        <v>2035</v>
      </c>
      <c r="EE51">
        <f t="shared" si="437"/>
        <v>2035</v>
      </c>
      <c r="EF51">
        <f t="shared" si="437"/>
        <v>2035</v>
      </c>
      <c r="EG51">
        <f t="shared" si="437"/>
        <v>2035</v>
      </c>
      <c r="EH51">
        <f t="shared" si="437"/>
        <v>2035</v>
      </c>
      <c r="EI51">
        <f t="shared" si="437"/>
        <v>2035</v>
      </c>
      <c r="EJ51">
        <f t="shared" si="437"/>
        <v>2035</v>
      </c>
      <c r="EK51">
        <f t="shared" si="437"/>
        <v>2035</v>
      </c>
      <c r="EL51">
        <f t="shared" si="437"/>
        <v>2036</v>
      </c>
      <c r="EM51">
        <f t="shared" si="437"/>
        <v>2036</v>
      </c>
      <c r="EN51">
        <f t="shared" si="437"/>
        <v>2036</v>
      </c>
      <c r="EO51">
        <f t="shared" si="437"/>
        <v>2036</v>
      </c>
      <c r="EP51">
        <f t="shared" si="437"/>
        <v>2036</v>
      </c>
      <c r="EQ51">
        <f t="shared" si="437"/>
        <v>2036</v>
      </c>
      <c r="ER51">
        <f t="shared" si="437"/>
        <v>2036</v>
      </c>
      <c r="ES51">
        <f t="shared" si="437"/>
        <v>2036</v>
      </c>
      <c r="ET51">
        <f t="shared" si="437"/>
        <v>2036</v>
      </c>
      <c r="EU51">
        <f t="shared" si="437"/>
        <v>2036</v>
      </c>
      <c r="EV51">
        <f t="shared" si="437"/>
        <v>2036</v>
      </c>
      <c r="EW51">
        <f t="shared" si="437"/>
        <v>2036</v>
      </c>
      <c r="EX51">
        <f t="shared" si="437"/>
        <v>2037</v>
      </c>
      <c r="EY51">
        <f t="shared" si="437"/>
        <v>2037</v>
      </c>
      <c r="EZ51">
        <f t="shared" si="437"/>
        <v>2037</v>
      </c>
      <c r="FA51">
        <f t="shared" si="437"/>
        <v>2037</v>
      </c>
      <c r="FB51">
        <f t="shared" si="437"/>
        <v>2037</v>
      </c>
      <c r="FC51">
        <f t="shared" si="437"/>
        <v>2037</v>
      </c>
      <c r="FD51">
        <f t="shared" si="437"/>
        <v>2037</v>
      </c>
      <c r="FE51">
        <f t="shared" si="437"/>
        <v>2037</v>
      </c>
      <c r="FF51">
        <f t="shared" si="437"/>
        <v>2037</v>
      </c>
      <c r="FG51">
        <f t="shared" si="437"/>
        <v>2037</v>
      </c>
      <c r="FH51">
        <f t="shared" si="437"/>
        <v>2037</v>
      </c>
      <c r="FI51">
        <f t="shared" si="437"/>
        <v>2037</v>
      </c>
      <c r="FJ51">
        <f t="shared" si="437"/>
        <v>2038</v>
      </c>
      <c r="FK51">
        <f t="shared" si="437"/>
        <v>2038</v>
      </c>
      <c r="FL51">
        <f t="shared" si="437"/>
        <v>2038</v>
      </c>
      <c r="FM51">
        <f t="shared" si="437"/>
        <v>2038</v>
      </c>
      <c r="FN51">
        <f t="shared" si="437"/>
        <v>2038</v>
      </c>
      <c r="FO51">
        <f t="shared" si="437"/>
        <v>2038</v>
      </c>
      <c r="FP51">
        <f t="shared" si="437"/>
        <v>2038</v>
      </c>
      <c r="FQ51">
        <f t="shared" si="437"/>
        <v>2038</v>
      </c>
      <c r="FR51">
        <f t="shared" si="437"/>
        <v>2038</v>
      </c>
      <c r="FS51">
        <f t="shared" si="437"/>
        <v>2038</v>
      </c>
      <c r="FT51">
        <f t="shared" si="437"/>
        <v>2038</v>
      </c>
      <c r="FU51">
        <f t="shared" si="437"/>
        <v>2038</v>
      </c>
      <c r="FV51">
        <f t="shared" si="437"/>
        <v>2039</v>
      </c>
      <c r="FW51">
        <f t="shared" si="437"/>
        <v>2039</v>
      </c>
      <c r="FX51">
        <f t="shared" si="437"/>
        <v>2039</v>
      </c>
      <c r="FY51">
        <f t="shared" si="437"/>
        <v>2039</v>
      </c>
      <c r="FZ51">
        <f t="shared" si="437"/>
        <v>2039</v>
      </c>
      <c r="GA51">
        <f t="shared" si="437"/>
        <v>2039</v>
      </c>
      <c r="GB51">
        <f t="shared" si="437"/>
        <v>2039</v>
      </c>
      <c r="GC51">
        <f t="shared" si="437"/>
        <v>2039</v>
      </c>
      <c r="GD51">
        <f t="shared" si="437"/>
        <v>2039</v>
      </c>
      <c r="GE51">
        <f t="shared" si="437"/>
        <v>2039</v>
      </c>
      <c r="GF51">
        <f t="shared" si="437"/>
        <v>2039</v>
      </c>
      <c r="GG51">
        <f t="shared" si="437"/>
        <v>2039</v>
      </c>
      <c r="GH51">
        <f t="shared" si="437"/>
        <v>2040</v>
      </c>
      <c r="GI51">
        <f t="shared" si="437"/>
        <v>2040</v>
      </c>
      <c r="GJ51">
        <f t="shared" si="437"/>
        <v>2040</v>
      </c>
      <c r="GK51">
        <f t="shared" si="437"/>
        <v>2040</v>
      </c>
      <c r="GL51">
        <f t="shared" si="437"/>
        <v>2040</v>
      </c>
      <c r="GM51">
        <f t="shared" si="437"/>
        <v>2040</v>
      </c>
      <c r="GN51">
        <f t="shared" si="437"/>
        <v>2040</v>
      </c>
      <c r="GO51">
        <f t="shared" si="437"/>
        <v>2040</v>
      </c>
      <c r="GP51">
        <f t="shared" ref="GP51:IO51" si="438">+YEAR(GP52)</f>
        <v>2040</v>
      </c>
      <c r="GQ51">
        <f t="shared" si="438"/>
        <v>2040</v>
      </c>
      <c r="GR51">
        <f t="shared" si="438"/>
        <v>2040</v>
      </c>
      <c r="GS51">
        <f t="shared" si="438"/>
        <v>2040</v>
      </c>
      <c r="GT51">
        <f t="shared" si="438"/>
        <v>2041</v>
      </c>
      <c r="GU51">
        <f t="shared" si="438"/>
        <v>2041</v>
      </c>
      <c r="GV51">
        <f t="shared" si="438"/>
        <v>2041</v>
      </c>
      <c r="GW51">
        <f t="shared" si="438"/>
        <v>2041</v>
      </c>
      <c r="GX51">
        <f t="shared" si="438"/>
        <v>2041</v>
      </c>
      <c r="GY51">
        <f t="shared" si="438"/>
        <v>2041</v>
      </c>
      <c r="GZ51">
        <f t="shared" si="438"/>
        <v>2041</v>
      </c>
      <c r="HA51">
        <f t="shared" si="438"/>
        <v>2041</v>
      </c>
      <c r="HB51">
        <f t="shared" si="438"/>
        <v>2041</v>
      </c>
      <c r="HC51">
        <f t="shared" si="438"/>
        <v>2041</v>
      </c>
      <c r="HD51">
        <f t="shared" si="438"/>
        <v>2041</v>
      </c>
      <c r="HE51">
        <f t="shared" si="438"/>
        <v>2041</v>
      </c>
      <c r="HF51">
        <f t="shared" si="438"/>
        <v>2042</v>
      </c>
      <c r="HG51">
        <f t="shared" si="438"/>
        <v>2042</v>
      </c>
      <c r="HH51">
        <f t="shared" si="438"/>
        <v>2042</v>
      </c>
      <c r="HI51">
        <f t="shared" si="438"/>
        <v>2042</v>
      </c>
      <c r="HJ51">
        <f t="shared" si="438"/>
        <v>2042</v>
      </c>
      <c r="HK51">
        <f t="shared" si="438"/>
        <v>2042</v>
      </c>
      <c r="HL51">
        <f t="shared" si="438"/>
        <v>2042</v>
      </c>
      <c r="HM51">
        <f t="shared" si="438"/>
        <v>2042</v>
      </c>
      <c r="HN51">
        <f t="shared" si="438"/>
        <v>2042</v>
      </c>
      <c r="HO51">
        <f t="shared" si="438"/>
        <v>2042</v>
      </c>
      <c r="HP51">
        <f t="shared" si="438"/>
        <v>2042</v>
      </c>
      <c r="HQ51">
        <f t="shared" si="438"/>
        <v>2042</v>
      </c>
      <c r="HR51">
        <f t="shared" si="438"/>
        <v>2043</v>
      </c>
      <c r="HS51">
        <f t="shared" si="438"/>
        <v>2043</v>
      </c>
      <c r="HT51">
        <f t="shared" si="438"/>
        <v>2043</v>
      </c>
      <c r="HU51">
        <f t="shared" si="438"/>
        <v>2043</v>
      </c>
      <c r="HV51">
        <f t="shared" si="438"/>
        <v>2043</v>
      </c>
      <c r="HW51">
        <f t="shared" si="438"/>
        <v>2043</v>
      </c>
      <c r="HX51">
        <f t="shared" si="438"/>
        <v>2043</v>
      </c>
      <c r="HY51">
        <f t="shared" si="438"/>
        <v>2043</v>
      </c>
      <c r="HZ51">
        <f t="shared" si="438"/>
        <v>2043</v>
      </c>
      <c r="IA51">
        <f t="shared" si="438"/>
        <v>2043</v>
      </c>
      <c r="IB51">
        <f t="shared" si="438"/>
        <v>2043</v>
      </c>
      <c r="IC51">
        <f t="shared" si="438"/>
        <v>2043</v>
      </c>
      <c r="ID51">
        <f t="shared" si="438"/>
        <v>2044</v>
      </c>
      <c r="IE51">
        <f t="shared" si="438"/>
        <v>2044</v>
      </c>
      <c r="IF51">
        <f t="shared" si="438"/>
        <v>2044</v>
      </c>
      <c r="IG51">
        <f t="shared" si="438"/>
        <v>2044</v>
      </c>
      <c r="IH51">
        <f t="shared" si="438"/>
        <v>2044</v>
      </c>
      <c r="II51">
        <f t="shared" si="438"/>
        <v>2044</v>
      </c>
      <c r="IJ51">
        <f t="shared" si="438"/>
        <v>2044</v>
      </c>
      <c r="IK51">
        <f t="shared" si="438"/>
        <v>2044</v>
      </c>
      <c r="IL51">
        <f t="shared" si="438"/>
        <v>2044</v>
      </c>
      <c r="IM51">
        <f t="shared" si="438"/>
        <v>2044</v>
      </c>
      <c r="IN51">
        <f t="shared" si="438"/>
        <v>2044</v>
      </c>
      <c r="IO51">
        <f t="shared" si="438"/>
        <v>2044</v>
      </c>
    </row>
    <row r="52" spans="1:249" x14ac:dyDescent="0.3">
      <c r="A52" s="6" t="s">
        <v>809</v>
      </c>
      <c r="B52" t="s">
        <v>11</v>
      </c>
      <c r="C52" t="s">
        <v>311</v>
      </c>
      <c r="D52" t="s">
        <v>783</v>
      </c>
      <c r="E52" s="14">
        <v>45505</v>
      </c>
      <c r="F52" s="14">
        <v>45536</v>
      </c>
      <c r="G52" s="14">
        <v>45566</v>
      </c>
      <c r="H52" s="14">
        <v>45597</v>
      </c>
      <c r="I52" s="14">
        <v>45627</v>
      </c>
      <c r="J52" s="14">
        <v>45658</v>
      </c>
      <c r="K52" s="14">
        <v>45689</v>
      </c>
      <c r="L52" s="14">
        <v>45717</v>
      </c>
      <c r="M52" s="14">
        <v>45748</v>
      </c>
      <c r="N52" s="14">
        <v>45778</v>
      </c>
      <c r="O52" s="14">
        <v>45809</v>
      </c>
      <c r="P52" s="14">
        <v>45839</v>
      </c>
      <c r="Q52" s="14">
        <v>45870</v>
      </c>
      <c r="R52" s="14">
        <v>45901</v>
      </c>
      <c r="S52" s="14">
        <v>45931</v>
      </c>
      <c r="T52" s="14">
        <v>45962</v>
      </c>
      <c r="U52" s="14">
        <v>45992</v>
      </c>
      <c r="V52" s="14">
        <v>46023</v>
      </c>
      <c r="W52" s="14">
        <v>46054</v>
      </c>
      <c r="X52" s="14">
        <v>46082</v>
      </c>
      <c r="Y52" s="14">
        <v>46113</v>
      </c>
      <c r="Z52" s="14">
        <v>46143</v>
      </c>
      <c r="AA52" s="14">
        <v>46174</v>
      </c>
      <c r="AB52" s="14">
        <v>46204</v>
      </c>
      <c r="AC52" s="14">
        <v>46235</v>
      </c>
      <c r="AD52" s="14">
        <v>46266</v>
      </c>
      <c r="AE52" s="14">
        <v>46296</v>
      </c>
      <c r="AF52" s="14">
        <v>46327</v>
      </c>
      <c r="AG52" s="14">
        <v>46357</v>
      </c>
      <c r="AH52" s="14">
        <v>46388</v>
      </c>
      <c r="AI52" s="14">
        <v>46419</v>
      </c>
      <c r="AJ52" s="14">
        <v>46447</v>
      </c>
      <c r="AK52" s="14">
        <v>46478</v>
      </c>
      <c r="AL52" s="14">
        <v>46508</v>
      </c>
      <c r="AM52" s="14">
        <v>46539</v>
      </c>
      <c r="AN52" s="14">
        <v>46569</v>
      </c>
      <c r="AO52" s="14">
        <v>46600</v>
      </c>
      <c r="AP52" s="14">
        <v>46631</v>
      </c>
      <c r="AQ52" s="14">
        <v>46661</v>
      </c>
      <c r="AR52" s="14">
        <v>46692</v>
      </c>
      <c r="AS52" s="14">
        <v>46722</v>
      </c>
      <c r="AT52" s="14">
        <v>46753</v>
      </c>
      <c r="AU52" s="14">
        <v>46784</v>
      </c>
      <c r="AV52" s="14">
        <v>46813</v>
      </c>
      <c r="AW52" s="14">
        <v>46844</v>
      </c>
      <c r="AX52" s="14">
        <v>46874</v>
      </c>
      <c r="AY52" s="14">
        <v>46905</v>
      </c>
      <c r="AZ52" s="14">
        <v>46935</v>
      </c>
      <c r="BA52" s="14">
        <v>46966</v>
      </c>
      <c r="BB52" s="14">
        <v>46997</v>
      </c>
      <c r="BC52" s="14">
        <v>47027</v>
      </c>
      <c r="BD52" s="14">
        <v>47058</v>
      </c>
      <c r="BE52" s="14">
        <v>47088</v>
      </c>
      <c r="BF52" s="14">
        <v>47119</v>
      </c>
      <c r="BG52" s="14">
        <v>47150</v>
      </c>
      <c r="BH52" s="14">
        <v>47178</v>
      </c>
      <c r="BI52" s="14">
        <v>47209</v>
      </c>
      <c r="BJ52" s="14">
        <v>47239</v>
      </c>
      <c r="BK52" s="14">
        <v>47270</v>
      </c>
      <c r="BL52" s="14">
        <v>47300</v>
      </c>
      <c r="BM52" s="14">
        <v>47331</v>
      </c>
      <c r="BN52" s="14">
        <v>47362</v>
      </c>
      <c r="BO52" s="14">
        <v>47392</v>
      </c>
      <c r="BP52" s="14">
        <v>47423</v>
      </c>
      <c r="BQ52" s="14">
        <v>47453</v>
      </c>
      <c r="BR52" s="14">
        <v>47484</v>
      </c>
      <c r="BS52" s="14">
        <v>47515</v>
      </c>
      <c r="BT52" s="14">
        <v>47543</v>
      </c>
      <c r="BU52" s="14">
        <v>47574</v>
      </c>
      <c r="BV52" s="14">
        <v>47604</v>
      </c>
      <c r="BW52" s="14">
        <v>47635</v>
      </c>
      <c r="BX52" s="14">
        <v>47665</v>
      </c>
      <c r="BY52" s="14">
        <v>47696</v>
      </c>
      <c r="BZ52" s="14">
        <v>47727</v>
      </c>
      <c r="CA52" s="14">
        <v>47757</v>
      </c>
      <c r="CB52" s="14">
        <v>47788</v>
      </c>
      <c r="CC52" s="14">
        <v>47818</v>
      </c>
      <c r="CD52" s="14">
        <v>47849</v>
      </c>
      <c r="CE52" s="14">
        <v>47880</v>
      </c>
      <c r="CF52" s="14">
        <v>47908</v>
      </c>
      <c r="CG52" s="14">
        <v>47939</v>
      </c>
      <c r="CH52" s="14">
        <v>47969</v>
      </c>
      <c r="CI52" s="14">
        <v>48000</v>
      </c>
      <c r="CJ52" s="14">
        <v>48030</v>
      </c>
      <c r="CK52" s="14">
        <v>48061</v>
      </c>
      <c r="CL52" s="14">
        <v>48092</v>
      </c>
      <c r="CM52" s="14">
        <v>48122</v>
      </c>
      <c r="CN52" s="14">
        <v>48153</v>
      </c>
      <c r="CO52" s="14">
        <v>48183</v>
      </c>
      <c r="CP52" s="14">
        <v>48214</v>
      </c>
      <c r="CQ52" s="14">
        <v>48245</v>
      </c>
      <c r="CR52" s="14">
        <v>48274</v>
      </c>
      <c r="CS52" s="14">
        <v>48305</v>
      </c>
      <c r="CT52" s="14">
        <v>48335</v>
      </c>
      <c r="CU52" s="14">
        <v>48366</v>
      </c>
      <c r="CV52" s="14">
        <v>48396</v>
      </c>
      <c r="CW52" s="14">
        <v>48427</v>
      </c>
      <c r="CX52" s="14">
        <v>48458</v>
      </c>
      <c r="CY52" s="14">
        <v>48488</v>
      </c>
      <c r="CZ52" s="14">
        <v>48519</v>
      </c>
      <c r="DA52" s="14">
        <v>48549</v>
      </c>
      <c r="DB52" s="14">
        <v>48580</v>
      </c>
      <c r="DC52" s="14">
        <v>48611</v>
      </c>
      <c r="DD52" s="14">
        <v>48639</v>
      </c>
      <c r="DE52" s="14">
        <v>48670</v>
      </c>
      <c r="DF52" s="14">
        <v>48700</v>
      </c>
      <c r="DG52" s="14">
        <v>48731</v>
      </c>
      <c r="DH52" s="14">
        <v>48761</v>
      </c>
      <c r="DI52" s="14">
        <v>48792</v>
      </c>
      <c r="DJ52" s="14">
        <v>48823</v>
      </c>
      <c r="DK52" s="14">
        <v>48853</v>
      </c>
      <c r="DL52" s="14">
        <v>48884</v>
      </c>
      <c r="DM52" s="14">
        <v>48914</v>
      </c>
      <c r="DN52" s="14">
        <v>48945</v>
      </c>
      <c r="DO52" s="14">
        <v>48976</v>
      </c>
      <c r="DP52" s="14">
        <v>49004</v>
      </c>
      <c r="DQ52" s="14">
        <v>49035</v>
      </c>
      <c r="DR52" s="14">
        <v>49065</v>
      </c>
      <c r="DS52" s="14">
        <v>49096</v>
      </c>
      <c r="DT52" s="14">
        <v>49126</v>
      </c>
      <c r="DU52" s="14">
        <v>49157</v>
      </c>
      <c r="DV52" s="14">
        <v>49188</v>
      </c>
      <c r="DW52" s="14">
        <v>49218</v>
      </c>
      <c r="DX52" s="14">
        <v>49249</v>
      </c>
      <c r="DY52" s="14">
        <v>49279</v>
      </c>
      <c r="DZ52" s="14">
        <v>49310</v>
      </c>
      <c r="EA52" s="14">
        <v>49341</v>
      </c>
      <c r="EB52" s="14">
        <v>49369</v>
      </c>
      <c r="EC52" s="14">
        <v>49400</v>
      </c>
      <c r="ED52" s="14">
        <v>49430</v>
      </c>
      <c r="EE52" s="14">
        <v>49461</v>
      </c>
      <c r="EF52" s="14">
        <v>49491</v>
      </c>
      <c r="EG52" s="14">
        <v>49522</v>
      </c>
      <c r="EH52" s="14">
        <v>49553</v>
      </c>
      <c r="EI52" s="14">
        <v>49583</v>
      </c>
      <c r="EJ52" s="14">
        <v>49614</v>
      </c>
      <c r="EK52" s="14">
        <v>49644</v>
      </c>
      <c r="EL52" s="14">
        <v>49675</v>
      </c>
      <c r="EM52" s="14">
        <v>49706</v>
      </c>
      <c r="EN52" s="14">
        <v>49735</v>
      </c>
      <c r="EO52" s="14">
        <v>49766</v>
      </c>
      <c r="EP52" s="14">
        <v>49796</v>
      </c>
      <c r="EQ52" s="14">
        <v>49827</v>
      </c>
      <c r="ER52" s="14">
        <v>49857</v>
      </c>
      <c r="ES52" s="14">
        <v>49888</v>
      </c>
      <c r="ET52" s="14">
        <v>49919</v>
      </c>
      <c r="EU52" s="14">
        <v>49949</v>
      </c>
      <c r="EV52" s="14">
        <v>49980</v>
      </c>
      <c r="EW52" s="14">
        <v>50010</v>
      </c>
      <c r="EX52" s="14">
        <v>50041</v>
      </c>
      <c r="EY52" s="14">
        <v>50072</v>
      </c>
      <c r="EZ52" s="14">
        <v>50100</v>
      </c>
      <c r="FA52" s="14">
        <v>50131</v>
      </c>
      <c r="FB52" s="14">
        <v>50161</v>
      </c>
      <c r="FC52" s="14">
        <v>50192</v>
      </c>
      <c r="FD52" s="14">
        <v>50222</v>
      </c>
      <c r="FE52" s="14">
        <v>50253</v>
      </c>
      <c r="FF52" s="14">
        <v>50284</v>
      </c>
      <c r="FG52" s="14">
        <v>50314</v>
      </c>
      <c r="FH52" s="14">
        <v>50345</v>
      </c>
      <c r="FI52" s="14">
        <v>50375</v>
      </c>
      <c r="FJ52" s="14">
        <v>50406</v>
      </c>
      <c r="FK52" s="14">
        <v>50437</v>
      </c>
      <c r="FL52" s="14">
        <v>50465</v>
      </c>
      <c r="FM52" s="14">
        <v>50496</v>
      </c>
      <c r="FN52" s="14">
        <v>50526</v>
      </c>
      <c r="FO52" s="14">
        <v>50557</v>
      </c>
      <c r="FP52" s="14">
        <v>50587</v>
      </c>
      <c r="FQ52" s="14">
        <v>50618</v>
      </c>
      <c r="FR52" s="14">
        <v>50649</v>
      </c>
      <c r="FS52" s="14">
        <v>50679</v>
      </c>
      <c r="FT52" s="14">
        <v>50710</v>
      </c>
      <c r="FU52" s="14">
        <v>50740</v>
      </c>
      <c r="FV52" s="14">
        <v>50771</v>
      </c>
      <c r="FW52" s="14">
        <v>50802</v>
      </c>
      <c r="FX52" s="14">
        <v>50830</v>
      </c>
      <c r="FY52" s="14">
        <v>50861</v>
      </c>
      <c r="FZ52" s="14">
        <v>50891</v>
      </c>
      <c r="GA52" s="14">
        <v>50922</v>
      </c>
      <c r="GB52" s="14">
        <v>50952</v>
      </c>
      <c r="GC52" s="14">
        <v>50983</v>
      </c>
      <c r="GD52" s="14">
        <v>51014</v>
      </c>
      <c r="GE52" s="14">
        <v>51044</v>
      </c>
      <c r="GF52" s="14">
        <v>51075</v>
      </c>
      <c r="GG52" s="14">
        <v>51105</v>
      </c>
      <c r="GH52" s="14">
        <v>51136</v>
      </c>
      <c r="GI52" s="14">
        <v>51167</v>
      </c>
      <c r="GJ52" s="14">
        <v>51196</v>
      </c>
      <c r="GK52" s="14">
        <v>51227</v>
      </c>
      <c r="GL52" s="14">
        <v>51257</v>
      </c>
      <c r="GM52" s="14">
        <v>51288</v>
      </c>
      <c r="GN52" s="14">
        <v>51318</v>
      </c>
      <c r="GO52" s="14">
        <v>51349</v>
      </c>
      <c r="GP52" s="14">
        <v>51380</v>
      </c>
      <c r="GQ52" s="14">
        <v>51410</v>
      </c>
      <c r="GR52" s="14">
        <v>51441</v>
      </c>
      <c r="GS52" s="14">
        <v>51471</v>
      </c>
      <c r="GT52" s="14">
        <v>51502</v>
      </c>
      <c r="GU52" s="14">
        <v>51533</v>
      </c>
      <c r="GV52" s="14">
        <v>51561</v>
      </c>
      <c r="GW52" s="14">
        <v>51592</v>
      </c>
      <c r="GX52" s="14">
        <v>51622</v>
      </c>
      <c r="GY52" s="14">
        <v>51653</v>
      </c>
      <c r="GZ52" s="14">
        <v>51683</v>
      </c>
      <c r="HA52" s="14">
        <v>51714</v>
      </c>
      <c r="HB52" s="14">
        <v>51745</v>
      </c>
      <c r="HC52" s="14">
        <v>51775</v>
      </c>
      <c r="HD52" s="14">
        <v>51806</v>
      </c>
      <c r="HE52" s="14">
        <v>51836</v>
      </c>
      <c r="HF52" s="14">
        <v>51867</v>
      </c>
      <c r="HG52" s="14">
        <v>51898</v>
      </c>
      <c r="HH52" s="14">
        <v>51926</v>
      </c>
      <c r="HI52" s="14">
        <v>51957</v>
      </c>
      <c r="HJ52" s="14">
        <v>51987</v>
      </c>
      <c r="HK52" s="14">
        <v>52018</v>
      </c>
      <c r="HL52" s="14">
        <v>52048</v>
      </c>
      <c r="HM52" s="14">
        <v>52079</v>
      </c>
      <c r="HN52" s="14">
        <v>52110</v>
      </c>
      <c r="HO52" s="14">
        <v>52140</v>
      </c>
      <c r="HP52" s="14">
        <v>52171</v>
      </c>
      <c r="HQ52" s="14">
        <v>52201</v>
      </c>
      <c r="HR52" s="14">
        <v>52232</v>
      </c>
      <c r="HS52" s="14">
        <v>52263</v>
      </c>
      <c r="HT52" s="14">
        <v>52291</v>
      </c>
      <c r="HU52" s="14">
        <v>52322</v>
      </c>
      <c r="HV52" s="14">
        <v>52352</v>
      </c>
      <c r="HW52" s="14">
        <v>52383</v>
      </c>
      <c r="HX52" s="14">
        <v>52413</v>
      </c>
      <c r="HY52" s="14">
        <v>52444</v>
      </c>
      <c r="HZ52" s="14">
        <v>52475</v>
      </c>
      <c r="IA52" s="14">
        <v>52505</v>
      </c>
      <c r="IB52" s="14">
        <v>52536</v>
      </c>
      <c r="IC52" s="14">
        <v>52566</v>
      </c>
      <c r="ID52" s="14">
        <v>52597</v>
      </c>
      <c r="IE52" s="14">
        <v>52628</v>
      </c>
      <c r="IF52" s="14">
        <v>52657</v>
      </c>
      <c r="IG52" s="14">
        <v>52688</v>
      </c>
      <c r="IH52" s="14">
        <v>52718</v>
      </c>
      <c r="II52" s="14">
        <v>52749</v>
      </c>
      <c r="IJ52" s="14">
        <v>52779</v>
      </c>
      <c r="IK52" s="14">
        <v>52810</v>
      </c>
      <c r="IL52" s="14">
        <v>52841</v>
      </c>
      <c r="IM52" s="14">
        <v>52871</v>
      </c>
      <c r="IN52" s="14">
        <v>52902</v>
      </c>
      <c r="IO52" s="14">
        <v>52932</v>
      </c>
    </row>
    <row r="53" spans="1:249" x14ac:dyDescent="0.3">
      <c r="A53" t="s">
        <v>810</v>
      </c>
      <c r="B53" s="33" t="e">
        <f>+SUM(E53:IJ53)</f>
        <v>#REF!</v>
      </c>
      <c r="C53" s="38" t="e">
        <f t="shared" ref="C53:C58" si="439">+B53/$B$59</f>
        <v>#REF!</v>
      </c>
      <c r="D53" s="29" t="e">
        <f>+B53/$C$64</f>
        <v>#REF!</v>
      </c>
      <c r="E53" s="30" t="e">
        <f>+'Simulacion prestamo'!C13</f>
        <v>#REF!</v>
      </c>
      <c r="F53" s="30" t="e">
        <f>+'Simulacion prestamo'!D13</f>
        <v>#REF!</v>
      </c>
      <c r="G53" s="30" t="e">
        <f>+'Simulacion prestamo'!E13</f>
        <v>#REF!</v>
      </c>
      <c r="H53" s="30" t="e">
        <f>+'Simulacion prestamo'!F13</f>
        <v>#REF!</v>
      </c>
      <c r="I53" s="30" t="e">
        <f>+'Simulacion prestamo'!G13</f>
        <v>#REF!</v>
      </c>
      <c r="J53" s="30" t="e">
        <f>+'Simulacion prestamo'!H13</f>
        <v>#REF!</v>
      </c>
      <c r="K53" s="30" t="e">
        <f>+'Simulacion prestamo'!I13</f>
        <v>#REF!</v>
      </c>
      <c r="L53" s="30" t="e">
        <f>+'Simulacion prestamo'!J13</f>
        <v>#REF!</v>
      </c>
      <c r="M53" s="30" t="e">
        <f>+'Simulacion prestamo'!K13</f>
        <v>#REF!</v>
      </c>
      <c r="N53" s="30" t="e">
        <f>+'Simulacion prestamo'!L13</f>
        <v>#REF!</v>
      </c>
      <c r="O53" s="30" t="e">
        <f>+'Simulacion prestamo'!M13</f>
        <v>#REF!</v>
      </c>
      <c r="P53" s="30" t="e">
        <f>+'Simulacion prestamo'!N13</f>
        <v>#REF!</v>
      </c>
      <c r="Q53" s="30" t="e">
        <f>+'Simulacion prestamo'!O13</f>
        <v>#REF!</v>
      </c>
      <c r="R53" s="30" t="e">
        <f>+'Simulacion prestamo'!P13</f>
        <v>#REF!</v>
      </c>
      <c r="S53" s="30" t="e">
        <f>+'Simulacion prestamo'!Q13</f>
        <v>#REF!</v>
      </c>
      <c r="T53" s="30" t="e">
        <f>+'Simulacion prestamo'!R13</f>
        <v>#REF!</v>
      </c>
      <c r="U53" s="30" t="e">
        <f>+'Simulacion prestamo'!S13</f>
        <v>#REF!</v>
      </c>
      <c r="V53" s="30" t="e">
        <f>+'Simulacion prestamo'!T13</f>
        <v>#REF!</v>
      </c>
      <c r="W53" s="30" t="e">
        <f>+'Simulacion prestamo'!U13</f>
        <v>#REF!</v>
      </c>
      <c r="X53" s="30" t="e">
        <f>+'Simulacion prestamo'!V13</f>
        <v>#REF!</v>
      </c>
      <c r="Y53" s="30" t="e">
        <f>+'Simulacion prestamo'!W13</f>
        <v>#REF!</v>
      </c>
      <c r="Z53" s="30" t="e">
        <f>+'Simulacion prestamo'!X13</f>
        <v>#REF!</v>
      </c>
      <c r="AA53" s="30" t="e">
        <f>+'Simulacion prestamo'!Y13</f>
        <v>#REF!</v>
      </c>
      <c r="AB53" s="30" t="e">
        <f>+'Simulacion prestamo'!Z13</f>
        <v>#REF!</v>
      </c>
      <c r="AC53" s="30" t="e">
        <f>+'Simulacion prestamo'!AA13</f>
        <v>#REF!</v>
      </c>
      <c r="AD53" s="30" t="e">
        <f>+'Simulacion prestamo'!AB13</f>
        <v>#REF!</v>
      </c>
      <c r="AE53" s="30" t="e">
        <f>+'Simulacion prestamo'!AC13</f>
        <v>#REF!</v>
      </c>
      <c r="AF53" s="30" t="e">
        <f>+'Simulacion prestamo'!AD13</f>
        <v>#REF!</v>
      </c>
      <c r="AG53" s="30" t="e">
        <f>+'Simulacion prestamo'!AE13</f>
        <v>#REF!</v>
      </c>
      <c r="AH53" s="30" t="e">
        <f>+'Simulacion prestamo'!AF13</f>
        <v>#REF!</v>
      </c>
      <c r="AI53" s="30" t="e">
        <f>+'Simulacion prestamo'!AG13</f>
        <v>#REF!</v>
      </c>
      <c r="AJ53" s="30" t="e">
        <f>+'Simulacion prestamo'!AH13</f>
        <v>#REF!</v>
      </c>
      <c r="AK53" s="30" t="e">
        <f>+'Simulacion prestamo'!AI13</f>
        <v>#REF!</v>
      </c>
      <c r="AL53" s="30" t="e">
        <f>+'Simulacion prestamo'!AJ13</f>
        <v>#REF!</v>
      </c>
      <c r="AM53" s="30" t="e">
        <f>+'Simulacion prestamo'!AK13</f>
        <v>#REF!</v>
      </c>
      <c r="AN53" s="30" t="e">
        <f>+'Simulacion prestamo'!AL13</f>
        <v>#REF!</v>
      </c>
      <c r="AO53" s="30" t="e">
        <f>+'Simulacion prestamo'!AM13</f>
        <v>#REF!</v>
      </c>
      <c r="AP53" s="30" t="e">
        <f>+'Simulacion prestamo'!AN13</f>
        <v>#REF!</v>
      </c>
      <c r="AQ53" s="30" t="e">
        <f>+'Simulacion prestamo'!AO13</f>
        <v>#REF!</v>
      </c>
      <c r="AR53" s="30" t="e">
        <f>+'Simulacion prestamo'!AP13</f>
        <v>#REF!</v>
      </c>
      <c r="AS53" s="30" t="e">
        <f>+'Simulacion prestamo'!AQ13</f>
        <v>#REF!</v>
      </c>
      <c r="AT53" s="30" t="e">
        <f>+'Simulacion prestamo'!AR13</f>
        <v>#REF!</v>
      </c>
      <c r="AU53" s="30" t="e">
        <f>+'Simulacion prestamo'!AS13</f>
        <v>#REF!</v>
      </c>
      <c r="AV53" s="30" t="e">
        <f>+'Simulacion prestamo'!AT13</f>
        <v>#REF!</v>
      </c>
      <c r="AW53" s="30" t="e">
        <f>+'Simulacion prestamo'!AU13</f>
        <v>#REF!</v>
      </c>
      <c r="AX53" s="30" t="e">
        <f>+'Simulacion prestamo'!AV13</f>
        <v>#REF!</v>
      </c>
      <c r="AY53" s="30" t="e">
        <f>+'Simulacion prestamo'!AW13</f>
        <v>#REF!</v>
      </c>
      <c r="AZ53" s="30" t="e">
        <f>+'Simulacion prestamo'!AX13</f>
        <v>#REF!</v>
      </c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</row>
    <row r="54" spans="1:249" x14ac:dyDescent="0.3">
      <c r="A54" t="s">
        <v>811</v>
      </c>
      <c r="B54" s="33" t="e">
        <f>+SUM(E54:IJ54)</f>
        <v>#REF!</v>
      </c>
      <c r="C54" s="38" t="e">
        <f t="shared" si="439"/>
        <v>#REF!</v>
      </c>
      <c r="D54" s="29" t="e">
        <f t="shared" ref="D54:D58" si="440">+B54/$C$64</f>
        <v>#REF!</v>
      </c>
      <c r="E54" s="30" t="e">
        <f>+'Simulacion prestamo'!C12</f>
        <v>#REF!</v>
      </c>
      <c r="F54" s="30" t="e">
        <f>+'Simulacion prestamo'!D12</f>
        <v>#REF!</v>
      </c>
      <c r="G54" s="30" t="e">
        <f>+'Simulacion prestamo'!E12</f>
        <v>#REF!</v>
      </c>
      <c r="H54" s="30" t="e">
        <f>+'Simulacion prestamo'!F12</f>
        <v>#REF!</v>
      </c>
      <c r="I54" s="30" t="e">
        <f>+'Simulacion prestamo'!G12</f>
        <v>#REF!</v>
      </c>
      <c r="J54" s="30" t="e">
        <f>+'Simulacion prestamo'!H12</f>
        <v>#REF!</v>
      </c>
      <c r="K54" s="30" t="e">
        <f>+'Simulacion prestamo'!I12</f>
        <v>#REF!</v>
      </c>
      <c r="L54" s="30" t="e">
        <f>+'Simulacion prestamo'!J12</f>
        <v>#REF!</v>
      </c>
      <c r="M54" s="30" t="e">
        <f>+'Simulacion prestamo'!K12</f>
        <v>#REF!</v>
      </c>
      <c r="N54" s="30" t="e">
        <f>+'Simulacion prestamo'!L12</f>
        <v>#REF!</v>
      </c>
      <c r="O54" s="30" t="e">
        <f>+'Simulacion prestamo'!M12</f>
        <v>#REF!</v>
      </c>
      <c r="P54" s="30" t="e">
        <f>+'Simulacion prestamo'!N12</f>
        <v>#REF!</v>
      </c>
      <c r="Q54" s="30" t="e">
        <f>+'Simulacion prestamo'!O12</f>
        <v>#REF!</v>
      </c>
      <c r="R54" s="30" t="e">
        <f>+'Simulacion prestamo'!P12</f>
        <v>#REF!</v>
      </c>
      <c r="S54" s="30" t="e">
        <f>+'Simulacion prestamo'!Q12</f>
        <v>#REF!</v>
      </c>
      <c r="T54" s="30" t="e">
        <f>+'Simulacion prestamo'!R12</f>
        <v>#REF!</v>
      </c>
      <c r="U54" s="30" t="e">
        <f>+'Simulacion prestamo'!S12</f>
        <v>#REF!</v>
      </c>
      <c r="V54" s="30" t="e">
        <f>+'Simulacion prestamo'!T12</f>
        <v>#REF!</v>
      </c>
      <c r="W54" s="30" t="e">
        <f>+'Simulacion prestamo'!U12</f>
        <v>#REF!</v>
      </c>
      <c r="X54" s="30" t="e">
        <f>+'Simulacion prestamo'!V12</f>
        <v>#REF!</v>
      </c>
      <c r="Y54" s="30" t="e">
        <f>+'Simulacion prestamo'!W12</f>
        <v>#REF!</v>
      </c>
      <c r="Z54" s="30" t="e">
        <f>+'Simulacion prestamo'!X12</f>
        <v>#REF!</v>
      </c>
      <c r="AA54" s="30" t="e">
        <f>+'Simulacion prestamo'!Y12</f>
        <v>#REF!</v>
      </c>
      <c r="AB54" s="30" t="e">
        <f>+'Simulacion prestamo'!Z12</f>
        <v>#REF!</v>
      </c>
      <c r="AC54" s="30" t="e">
        <f>+'Simulacion prestamo'!AA12</f>
        <v>#REF!</v>
      </c>
      <c r="AD54" s="30" t="e">
        <f>+'Simulacion prestamo'!AB12</f>
        <v>#REF!</v>
      </c>
      <c r="AE54" s="30" t="e">
        <f>+'Simulacion prestamo'!AC12</f>
        <v>#REF!</v>
      </c>
      <c r="AF54" s="30" t="e">
        <f>+'Simulacion prestamo'!AD12</f>
        <v>#REF!</v>
      </c>
      <c r="AG54" s="30" t="e">
        <f>+'Simulacion prestamo'!AE12</f>
        <v>#REF!</v>
      </c>
      <c r="AH54" s="30" t="e">
        <f>+'Simulacion prestamo'!AF12</f>
        <v>#REF!</v>
      </c>
      <c r="AI54" s="30" t="e">
        <f>+'Simulacion prestamo'!AG12</f>
        <v>#REF!</v>
      </c>
      <c r="AJ54" s="30" t="e">
        <f>+'Simulacion prestamo'!AH12</f>
        <v>#REF!</v>
      </c>
      <c r="AK54" s="30" t="e">
        <f>+'Simulacion prestamo'!AI12</f>
        <v>#REF!</v>
      </c>
      <c r="AL54" s="30" t="e">
        <f>+'Simulacion prestamo'!AJ12</f>
        <v>#REF!</v>
      </c>
      <c r="AM54" s="30" t="e">
        <f>+'Simulacion prestamo'!AK12</f>
        <v>#REF!</v>
      </c>
      <c r="AN54" s="30" t="e">
        <f>+'Simulacion prestamo'!AL12</f>
        <v>#REF!</v>
      </c>
      <c r="AO54" s="30" t="e">
        <f>+'Simulacion prestamo'!AM12</f>
        <v>#REF!</v>
      </c>
      <c r="AP54" s="30" t="e">
        <f>+'Simulacion prestamo'!AN12</f>
        <v>#REF!</v>
      </c>
      <c r="AQ54" s="30" t="e">
        <f>+'Simulacion prestamo'!AO12</f>
        <v>#REF!</v>
      </c>
      <c r="AR54" s="30" t="e">
        <f>+'Simulacion prestamo'!AP12</f>
        <v>#REF!</v>
      </c>
      <c r="AS54" s="30" t="e">
        <f>+'Simulacion prestamo'!AQ12</f>
        <v>#REF!</v>
      </c>
      <c r="AT54" s="30" t="e">
        <f>+'Simulacion prestamo'!AR12</f>
        <v>#REF!</v>
      </c>
      <c r="AU54" s="30" t="e">
        <f>+'Simulacion prestamo'!AS12</f>
        <v>#REF!</v>
      </c>
      <c r="AV54" s="30" t="e">
        <f>+'Simulacion prestamo'!AT12</f>
        <v>#REF!</v>
      </c>
      <c r="AW54" s="30" t="e">
        <f>+'Simulacion prestamo'!AU12</f>
        <v>#REF!</v>
      </c>
      <c r="AX54" s="30" t="e">
        <f>+'Simulacion prestamo'!AV12</f>
        <v>#REF!</v>
      </c>
      <c r="AY54" s="30" t="e">
        <f>+'Simulacion prestamo'!AW12</f>
        <v>#REF!</v>
      </c>
      <c r="AZ54" s="30" t="e">
        <f>+'Simulacion prestamo'!AX12</f>
        <v>#REF!</v>
      </c>
      <c r="BA54" s="30">
        <f>+'Simulacion prestamo'!AY12</f>
        <v>0</v>
      </c>
      <c r="BB54" s="30">
        <f>+'Simulacion prestamo'!AZ12</f>
        <v>0</v>
      </c>
      <c r="BC54" s="30">
        <f>+'Simulacion prestamo'!BA12</f>
        <v>0</v>
      </c>
      <c r="BD54" s="30">
        <f>+'Simulacion prestamo'!BB12</f>
        <v>0</v>
      </c>
      <c r="BE54" s="30">
        <f>+'Simulacion prestamo'!BC12</f>
        <v>0</v>
      </c>
      <c r="BF54" s="30">
        <f>+'Simulacion prestamo'!BD12</f>
        <v>0</v>
      </c>
      <c r="BG54" s="30">
        <f>+'Simulacion prestamo'!BE12</f>
        <v>0</v>
      </c>
      <c r="BH54" s="30">
        <f>+'Simulacion prestamo'!BF12</f>
        <v>0</v>
      </c>
      <c r="BI54" s="30">
        <f>+'Simulacion prestamo'!BG12</f>
        <v>0</v>
      </c>
      <c r="BJ54" s="30">
        <f>+'Simulacion prestamo'!BH12</f>
        <v>0</v>
      </c>
      <c r="BK54" s="30">
        <f>+'Simulacion prestamo'!BI12</f>
        <v>0</v>
      </c>
      <c r="BL54" s="30">
        <f>+'Simulacion prestamo'!BJ12</f>
        <v>0</v>
      </c>
      <c r="BM54" s="30">
        <f>+'Simulacion prestamo'!BK12</f>
        <v>0</v>
      </c>
      <c r="BN54" s="30">
        <f>+'Simulacion prestamo'!BL12</f>
        <v>0</v>
      </c>
      <c r="BO54" s="30">
        <f>+'Simulacion prestamo'!BM12</f>
        <v>0</v>
      </c>
      <c r="BP54" s="30">
        <f>+'Simulacion prestamo'!BN12</f>
        <v>0</v>
      </c>
      <c r="BQ54" s="30">
        <f>+'Simulacion prestamo'!BO12</f>
        <v>0</v>
      </c>
      <c r="BR54" s="30">
        <f>+'Simulacion prestamo'!BP12</f>
        <v>0</v>
      </c>
      <c r="BS54" s="30">
        <f>+'Simulacion prestamo'!BQ12</f>
        <v>0</v>
      </c>
      <c r="BT54" s="30">
        <f>+'Simulacion prestamo'!BR12</f>
        <v>0</v>
      </c>
      <c r="BU54" s="30">
        <f>+'Simulacion prestamo'!BS12</f>
        <v>0</v>
      </c>
      <c r="BV54" s="30">
        <f>+'Simulacion prestamo'!BT12</f>
        <v>0</v>
      </c>
      <c r="BW54" s="30">
        <f>+'Simulacion prestamo'!BU12</f>
        <v>0</v>
      </c>
      <c r="BX54" s="30">
        <f>+'Simulacion prestamo'!BV12</f>
        <v>0</v>
      </c>
      <c r="BY54" s="30">
        <f>+'Simulacion prestamo'!BW12</f>
        <v>0</v>
      </c>
      <c r="BZ54" s="30">
        <f>+'Simulacion prestamo'!BX12</f>
        <v>0</v>
      </c>
      <c r="CA54" s="30">
        <f>+'Simulacion prestamo'!BY12</f>
        <v>0</v>
      </c>
      <c r="CB54" s="30">
        <f>+'Simulacion prestamo'!BZ12</f>
        <v>0</v>
      </c>
      <c r="CC54" s="30">
        <f>+'Simulacion prestamo'!CA12</f>
        <v>0</v>
      </c>
      <c r="CD54" s="30">
        <f>+'Simulacion prestamo'!CB12</f>
        <v>0</v>
      </c>
      <c r="CE54" s="30">
        <f>+'Simulacion prestamo'!CC12</f>
        <v>0</v>
      </c>
      <c r="CF54" s="30">
        <f>+'Simulacion prestamo'!CD12</f>
        <v>0</v>
      </c>
      <c r="CG54" s="30">
        <f>+'Simulacion prestamo'!CE12</f>
        <v>0</v>
      </c>
      <c r="CH54" s="30">
        <f>+'Simulacion prestamo'!CF12</f>
        <v>0</v>
      </c>
      <c r="CI54" s="30">
        <f>+'Simulacion prestamo'!CG12</f>
        <v>0</v>
      </c>
      <c r="CJ54" s="30">
        <f>+'Simulacion prestamo'!CH12</f>
        <v>0</v>
      </c>
      <c r="CK54" s="30">
        <f>+'Simulacion prestamo'!CI12</f>
        <v>0</v>
      </c>
      <c r="CL54" s="30">
        <f>+'Simulacion prestamo'!CJ12</f>
        <v>0</v>
      </c>
      <c r="CM54" s="30">
        <f>+'Simulacion prestamo'!CK12</f>
        <v>0</v>
      </c>
      <c r="CN54" s="30">
        <f>+'Simulacion prestamo'!CL12</f>
        <v>0</v>
      </c>
      <c r="CO54" s="30">
        <f>+'Simulacion prestamo'!CM12</f>
        <v>0</v>
      </c>
      <c r="CP54" s="30">
        <f>+'Simulacion prestamo'!CN12</f>
        <v>0</v>
      </c>
      <c r="CQ54" s="30">
        <f>+'Simulacion prestamo'!CO12</f>
        <v>0</v>
      </c>
      <c r="CR54" s="30">
        <f>+'Simulacion prestamo'!CP12</f>
        <v>0</v>
      </c>
      <c r="CS54" s="30">
        <f>+'Simulacion prestamo'!CQ12</f>
        <v>0</v>
      </c>
      <c r="CT54" s="30">
        <f>+'Simulacion prestamo'!CR12</f>
        <v>0</v>
      </c>
      <c r="CU54" s="30">
        <f>+'Simulacion prestamo'!CS12</f>
        <v>0</v>
      </c>
      <c r="CV54" s="30">
        <f>+'Simulacion prestamo'!CT12</f>
        <v>0</v>
      </c>
      <c r="CW54" s="30">
        <f>+'Simulacion prestamo'!CU12</f>
        <v>0</v>
      </c>
      <c r="CX54" s="30">
        <f>+'Simulacion prestamo'!CV12</f>
        <v>0</v>
      </c>
      <c r="CY54" s="30">
        <f>+'Simulacion prestamo'!CW12</f>
        <v>0</v>
      </c>
      <c r="CZ54" s="30">
        <f>+'Simulacion prestamo'!CX12</f>
        <v>0</v>
      </c>
      <c r="DA54" s="30">
        <f>+'Simulacion prestamo'!CY12</f>
        <v>0</v>
      </c>
      <c r="DB54" s="30">
        <f>+'Simulacion prestamo'!CZ12</f>
        <v>0</v>
      </c>
      <c r="DC54" s="30">
        <f>+'Simulacion prestamo'!DA12</f>
        <v>0</v>
      </c>
      <c r="DD54" s="30">
        <f>+'Simulacion prestamo'!DB12</f>
        <v>0</v>
      </c>
      <c r="DE54" s="30">
        <f>+'Simulacion prestamo'!DC12</f>
        <v>0</v>
      </c>
      <c r="DF54" s="30">
        <f>+'Simulacion prestamo'!DD12</f>
        <v>0</v>
      </c>
      <c r="DG54" s="30">
        <f>+'Simulacion prestamo'!DE12</f>
        <v>0</v>
      </c>
      <c r="DH54" s="30">
        <f>+'Simulacion prestamo'!DF12</f>
        <v>0</v>
      </c>
      <c r="DI54" s="30">
        <f>+'Simulacion prestamo'!DG12</f>
        <v>0</v>
      </c>
      <c r="DJ54" s="30">
        <f>+'Simulacion prestamo'!DH12</f>
        <v>0</v>
      </c>
      <c r="DK54" s="30">
        <f>+'Simulacion prestamo'!DI12</f>
        <v>0</v>
      </c>
      <c r="DL54" s="30">
        <f>+'Simulacion prestamo'!DJ12</f>
        <v>0</v>
      </c>
      <c r="DM54" s="30">
        <f>+'Simulacion prestamo'!DK12</f>
        <v>0</v>
      </c>
      <c r="DN54" s="30">
        <f>+'Simulacion prestamo'!DL12</f>
        <v>0</v>
      </c>
      <c r="DO54" s="30">
        <f>+'Simulacion prestamo'!DM12</f>
        <v>0</v>
      </c>
      <c r="DP54" s="30">
        <f>+'Simulacion prestamo'!DN12</f>
        <v>0</v>
      </c>
      <c r="DQ54" s="30">
        <f>+'Simulacion prestamo'!DO12</f>
        <v>0</v>
      </c>
      <c r="DR54" s="30">
        <f>+'Simulacion prestamo'!DP12</f>
        <v>0</v>
      </c>
      <c r="DS54" s="30">
        <f>+'Simulacion prestamo'!DQ12</f>
        <v>0</v>
      </c>
      <c r="DT54" s="30">
        <f>+'Simulacion prestamo'!DR12</f>
        <v>0</v>
      </c>
      <c r="DU54" s="30">
        <f>+'Simulacion prestamo'!DS12</f>
        <v>0</v>
      </c>
      <c r="DV54" s="30">
        <f>+'Simulacion prestamo'!DT12</f>
        <v>0</v>
      </c>
      <c r="DW54" s="30">
        <f>+'Simulacion prestamo'!DU12</f>
        <v>0</v>
      </c>
      <c r="DX54" s="30">
        <f>+'Simulacion prestamo'!DV12</f>
        <v>0</v>
      </c>
      <c r="DY54" s="30">
        <f>+'Simulacion prestamo'!DW12</f>
        <v>0</v>
      </c>
      <c r="DZ54" s="30">
        <f>+'Simulacion prestamo'!DX12</f>
        <v>0</v>
      </c>
      <c r="EA54" s="30">
        <f>+'Simulacion prestamo'!DY12</f>
        <v>0</v>
      </c>
      <c r="EB54" s="30">
        <f>+'Simulacion prestamo'!DZ12</f>
        <v>0</v>
      </c>
      <c r="EC54" s="30">
        <f>+'Simulacion prestamo'!EA12</f>
        <v>0</v>
      </c>
      <c r="ED54" s="30">
        <f>+'Simulacion prestamo'!EB12</f>
        <v>0</v>
      </c>
      <c r="EE54" s="30">
        <f>+'Simulacion prestamo'!EC12</f>
        <v>0</v>
      </c>
      <c r="EF54" s="30">
        <f>+'Simulacion prestamo'!ED12</f>
        <v>0</v>
      </c>
      <c r="EG54" s="30">
        <f>+'Simulacion prestamo'!EE12</f>
        <v>0</v>
      </c>
      <c r="EH54" s="30">
        <f>+'Simulacion prestamo'!EF12</f>
        <v>0</v>
      </c>
      <c r="EI54" s="30">
        <f>+'Simulacion prestamo'!EG12</f>
        <v>0</v>
      </c>
      <c r="EJ54" s="30">
        <f>+'Simulacion prestamo'!EH12</f>
        <v>0</v>
      </c>
      <c r="EK54" s="30">
        <f>+'Simulacion prestamo'!EI12</f>
        <v>0</v>
      </c>
      <c r="EL54" s="30">
        <f>+'Simulacion prestamo'!EJ12</f>
        <v>0</v>
      </c>
      <c r="EM54" s="30">
        <f>+'Simulacion prestamo'!EK12</f>
        <v>0</v>
      </c>
      <c r="EN54" s="30">
        <f>+'Simulacion prestamo'!EL12</f>
        <v>0</v>
      </c>
      <c r="EO54" s="30">
        <f>+'Simulacion prestamo'!EM12</f>
        <v>0</v>
      </c>
      <c r="EP54" s="30">
        <f>+'Simulacion prestamo'!EN12</f>
        <v>0</v>
      </c>
      <c r="EQ54" s="30">
        <f>+'Simulacion prestamo'!EO12</f>
        <v>0</v>
      </c>
      <c r="ER54" s="30">
        <f>+'Simulacion prestamo'!EP12</f>
        <v>0</v>
      </c>
      <c r="ES54" s="30">
        <f>+'Simulacion prestamo'!EQ12</f>
        <v>0</v>
      </c>
      <c r="ET54" s="30">
        <f>+'Simulacion prestamo'!ER12</f>
        <v>0</v>
      </c>
      <c r="EU54" s="30">
        <f>+'Simulacion prestamo'!ES12</f>
        <v>0</v>
      </c>
      <c r="EV54" s="30">
        <f>+'Simulacion prestamo'!ET12</f>
        <v>0</v>
      </c>
      <c r="EW54" s="30">
        <f>+'Simulacion prestamo'!EU12</f>
        <v>0</v>
      </c>
      <c r="EX54" s="30">
        <f>+'Simulacion prestamo'!EV12</f>
        <v>0</v>
      </c>
      <c r="EY54" s="30">
        <f>+'Simulacion prestamo'!EW12</f>
        <v>0</v>
      </c>
      <c r="EZ54" s="30">
        <f>+'Simulacion prestamo'!EX12</f>
        <v>0</v>
      </c>
      <c r="FA54" s="30">
        <f>+'Simulacion prestamo'!EY12</f>
        <v>0</v>
      </c>
      <c r="FB54" s="30">
        <f>+'Simulacion prestamo'!EZ12</f>
        <v>0</v>
      </c>
      <c r="FC54" s="30">
        <f>+'Simulacion prestamo'!FA12</f>
        <v>0</v>
      </c>
      <c r="FD54" s="30">
        <f>+'Simulacion prestamo'!FB12</f>
        <v>0</v>
      </c>
      <c r="FE54" s="30">
        <f>+'Simulacion prestamo'!FC12</f>
        <v>0</v>
      </c>
      <c r="FF54" s="30">
        <f>+'Simulacion prestamo'!FD12</f>
        <v>0</v>
      </c>
      <c r="FG54" s="30">
        <f>+'Simulacion prestamo'!FE12</f>
        <v>0</v>
      </c>
      <c r="FH54" s="30">
        <f>+'Simulacion prestamo'!FF12</f>
        <v>0</v>
      </c>
      <c r="FI54" s="30">
        <f>+'Simulacion prestamo'!FG12</f>
        <v>0</v>
      </c>
      <c r="FJ54" s="30">
        <f>+'Simulacion prestamo'!FH12</f>
        <v>0</v>
      </c>
      <c r="FK54" s="30">
        <f>+'Simulacion prestamo'!FI12</f>
        <v>0</v>
      </c>
      <c r="FL54" s="30">
        <f>+'Simulacion prestamo'!FJ12</f>
        <v>0</v>
      </c>
      <c r="FM54" s="30">
        <f>+'Simulacion prestamo'!FK12</f>
        <v>0</v>
      </c>
      <c r="FN54" s="30">
        <f>+'Simulacion prestamo'!FL12</f>
        <v>0</v>
      </c>
      <c r="FO54" s="30">
        <f>+'Simulacion prestamo'!FM12</f>
        <v>0</v>
      </c>
      <c r="FP54" s="30">
        <f>+'Simulacion prestamo'!FN12</f>
        <v>0</v>
      </c>
      <c r="FQ54" s="30">
        <f>+'Simulacion prestamo'!FO12</f>
        <v>0</v>
      </c>
      <c r="FR54" s="30">
        <f>+'Simulacion prestamo'!FP12</f>
        <v>0</v>
      </c>
      <c r="FS54" s="30">
        <f>+'Simulacion prestamo'!FQ12</f>
        <v>0</v>
      </c>
      <c r="FT54" s="30">
        <f>+'Simulacion prestamo'!FR12</f>
        <v>0</v>
      </c>
      <c r="FU54" s="30">
        <f>+'Simulacion prestamo'!FS12</f>
        <v>0</v>
      </c>
      <c r="FV54" s="30">
        <f>+'Simulacion prestamo'!FT12</f>
        <v>0</v>
      </c>
      <c r="FW54" s="30">
        <f>+'Simulacion prestamo'!FU12</f>
        <v>0</v>
      </c>
      <c r="FX54" s="30">
        <f>+'Simulacion prestamo'!FV12</f>
        <v>0</v>
      </c>
      <c r="FY54" s="30">
        <f>+'Simulacion prestamo'!FW12</f>
        <v>0</v>
      </c>
      <c r="FZ54" s="30">
        <f>+'Simulacion prestamo'!FX12</f>
        <v>0</v>
      </c>
      <c r="GA54" s="30">
        <f>+'Simulacion prestamo'!FY12</f>
        <v>0</v>
      </c>
      <c r="GB54" s="30">
        <f>+'Simulacion prestamo'!FZ12</f>
        <v>0</v>
      </c>
      <c r="GC54" s="30">
        <f>+'Simulacion prestamo'!GA12</f>
        <v>0</v>
      </c>
      <c r="GD54" s="30">
        <f>+'Simulacion prestamo'!GB12</f>
        <v>0</v>
      </c>
      <c r="GE54" s="30">
        <f>+'Simulacion prestamo'!GC12</f>
        <v>0</v>
      </c>
      <c r="GF54" s="30">
        <f>+'Simulacion prestamo'!GD12</f>
        <v>0</v>
      </c>
      <c r="GG54" s="30">
        <f>+'Simulacion prestamo'!GE12</f>
        <v>0</v>
      </c>
      <c r="GH54" s="30">
        <f>+'Simulacion prestamo'!GF12</f>
        <v>0</v>
      </c>
      <c r="GI54" s="30">
        <f>+'Simulacion prestamo'!GG12</f>
        <v>0</v>
      </c>
      <c r="GJ54" s="30">
        <f>+'Simulacion prestamo'!GH12</f>
        <v>0</v>
      </c>
      <c r="GK54" s="30">
        <f>+'Simulacion prestamo'!GI12</f>
        <v>0</v>
      </c>
      <c r="GL54" s="30">
        <f>+'Simulacion prestamo'!GJ12</f>
        <v>0</v>
      </c>
      <c r="GM54" s="30">
        <f>+'Simulacion prestamo'!GK12</f>
        <v>0</v>
      </c>
      <c r="GN54" s="30">
        <f>+'Simulacion prestamo'!GL12</f>
        <v>0</v>
      </c>
      <c r="GO54" s="30">
        <f>+'Simulacion prestamo'!GM12</f>
        <v>0</v>
      </c>
      <c r="GP54" s="30">
        <f>+'Simulacion prestamo'!GN12</f>
        <v>0</v>
      </c>
      <c r="GQ54" s="30">
        <f>+'Simulacion prestamo'!GO12</f>
        <v>0</v>
      </c>
      <c r="GR54" s="30">
        <f>+'Simulacion prestamo'!GP12</f>
        <v>0</v>
      </c>
      <c r="GS54" s="30">
        <f>+'Simulacion prestamo'!GQ12</f>
        <v>0</v>
      </c>
      <c r="GT54" s="30">
        <f>+'Simulacion prestamo'!GR12</f>
        <v>0</v>
      </c>
      <c r="GU54" s="30">
        <f>+'Simulacion prestamo'!GS12</f>
        <v>0</v>
      </c>
      <c r="GV54" s="30">
        <f>+'Simulacion prestamo'!GT12</f>
        <v>0</v>
      </c>
      <c r="GW54" s="30">
        <f>+'Simulacion prestamo'!GU12</f>
        <v>0</v>
      </c>
      <c r="GX54" s="30">
        <f>+'Simulacion prestamo'!GV12</f>
        <v>0</v>
      </c>
      <c r="GY54" s="30">
        <f>+'Simulacion prestamo'!GW12</f>
        <v>0</v>
      </c>
      <c r="GZ54" s="30">
        <f>+'Simulacion prestamo'!GX12</f>
        <v>0</v>
      </c>
      <c r="HA54" s="30">
        <f>+'Simulacion prestamo'!GY12</f>
        <v>0</v>
      </c>
      <c r="HB54" s="30">
        <f>+'Simulacion prestamo'!GZ12</f>
        <v>0</v>
      </c>
      <c r="HC54" s="30">
        <f>+'Simulacion prestamo'!HA12</f>
        <v>0</v>
      </c>
      <c r="HD54" s="30">
        <f>+'Simulacion prestamo'!HB12</f>
        <v>0</v>
      </c>
      <c r="HE54" s="30">
        <f>+'Simulacion prestamo'!HC12</f>
        <v>0</v>
      </c>
      <c r="HF54" s="30">
        <f>+'Simulacion prestamo'!HD12</f>
        <v>0</v>
      </c>
      <c r="HG54" s="30">
        <f>+'Simulacion prestamo'!HE12</f>
        <v>0</v>
      </c>
      <c r="HH54" s="30">
        <f>+'Simulacion prestamo'!HF12</f>
        <v>0</v>
      </c>
      <c r="HI54" s="30">
        <f>+'Simulacion prestamo'!HG12</f>
        <v>0</v>
      </c>
      <c r="HJ54" s="30">
        <f>+'Simulacion prestamo'!HH12</f>
        <v>0</v>
      </c>
      <c r="HK54" s="30">
        <f>+'Simulacion prestamo'!HI12</f>
        <v>0</v>
      </c>
      <c r="HL54" s="30">
        <f>+'Simulacion prestamo'!HJ12</f>
        <v>0</v>
      </c>
      <c r="HM54" s="30">
        <f>+'Simulacion prestamo'!HK12</f>
        <v>0</v>
      </c>
      <c r="HN54" s="30">
        <f>+'Simulacion prestamo'!HL12</f>
        <v>0</v>
      </c>
      <c r="HO54" s="30">
        <f>+'Simulacion prestamo'!HM12</f>
        <v>0</v>
      </c>
      <c r="HP54" s="30">
        <f>+'Simulacion prestamo'!HN12</f>
        <v>0</v>
      </c>
      <c r="HQ54" s="30">
        <f>+'Simulacion prestamo'!HO12</f>
        <v>0</v>
      </c>
      <c r="HR54" s="30">
        <f>+'Simulacion prestamo'!HP12</f>
        <v>0</v>
      </c>
      <c r="HS54" s="30">
        <f>+'Simulacion prestamo'!HQ12</f>
        <v>0</v>
      </c>
      <c r="HT54" s="30">
        <f>+'Simulacion prestamo'!HR12</f>
        <v>0</v>
      </c>
      <c r="HU54" s="30">
        <f>+'Simulacion prestamo'!HS12</f>
        <v>0</v>
      </c>
      <c r="HV54" s="30">
        <f>+'Simulacion prestamo'!HT12</f>
        <v>0</v>
      </c>
      <c r="HW54" s="30">
        <f>+'Simulacion prestamo'!HU12</f>
        <v>0</v>
      </c>
      <c r="HX54" s="30">
        <f>+'Simulacion prestamo'!HV12</f>
        <v>0</v>
      </c>
      <c r="HY54" s="30">
        <f>+'Simulacion prestamo'!HW12</f>
        <v>0</v>
      </c>
      <c r="HZ54" s="30">
        <f>+'Simulacion prestamo'!HX12</f>
        <v>0</v>
      </c>
      <c r="IA54" s="30">
        <f>+'Simulacion prestamo'!HY12</f>
        <v>0</v>
      </c>
      <c r="IB54" s="30">
        <f>+'Simulacion prestamo'!HZ12</f>
        <v>0</v>
      </c>
      <c r="IC54" s="30">
        <f>+'Simulacion prestamo'!IA12</f>
        <v>0</v>
      </c>
      <c r="ID54" s="30">
        <f>+'Simulacion prestamo'!IB12</f>
        <v>0</v>
      </c>
      <c r="IE54" s="30">
        <f>+'Simulacion prestamo'!IC12</f>
        <v>0</v>
      </c>
      <c r="IF54" s="30">
        <f>+'Simulacion prestamo'!ID12</f>
        <v>0</v>
      </c>
      <c r="IG54" s="30">
        <f>+'Simulacion prestamo'!IE12</f>
        <v>0</v>
      </c>
      <c r="IH54" s="30">
        <f>+'Simulacion prestamo'!IF12</f>
        <v>0</v>
      </c>
      <c r="II54" s="30">
        <f>+'Simulacion prestamo'!IG12</f>
        <v>0</v>
      </c>
      <c r="IJ54" s="30">
        <f>+'Simulacion prestamo'!IH12</f>
        <v>0</v>
      </c>
      <c r="IK54" s="30">
        <f>+'Simulacion prestamo'!II12</f>
        <v>0</v>
      </c>
      <c r="IL54" s="30">
        <f>+'Simulacion prestamo'!IJ12</f>
        <v>0</v>
      </c>
      <c r="IM54" s="30">
        <f>+'Simulacion prestamo'!IK12</f>
        <v>0</v>
      </c>
      <c r="IN54" s="30">
        <f>+'Simulacion prestamo'!IL12</f>
        <v>0</v>
      </c>
      <c r="IO54" s="30">
        <f>+'Simulacion prestamo'!IM12</f>
        <v>0</v>
      </c>
    </row>
    <row r="55" spans="1:249" x14ac:dyDescent="0.3">
      <c r="A55" t="s">
        <v>719</v>
      </c>
      <c r="B55" s="33" t="e">
        <f>+SUM(E55:IJ55)</f>
        <v>#REF!</v>
      </c>
      <c r="C55" s="38" t="e">
        <f t="shared" si="439"/>
        <v>#REF!</v>
      </c>
      <c r="D55" s="29" t="e">
        <f t="shared" si="440"/>
        <v>#REF!</v>
      </c>
      <c r="E55" s="30" t="e">
        <f>+'Simulacion prestamo'!C15</f>
        <v>#REF!</v>
      </c>
      <c r="F55" s="30" t="e">
        <f>+'Simulacion prestamo'!D15</f>
        <v>#REF!</v>
      </c>
      <c r="G55" s="30" t="e">
        <f>+'Simulacion prestamo'!E15</f>
        <v>#REF!</v>
      </c>
      <c r="H55" s="30" t="e">
        <f>+'Simulacion prestamo'!F15</f>
        <v>#REF!</v>
      </c>
      <c r="I55" s="30" t="e">
        <f>+'Simulacion prestamo'!G15</f>
        <v>#REF!</v>
      </c>
      <c r="J55" s="30" t="e">
        <f>+'Simulacion prestamo'!H15</f>
        <v>#REF!</v>
      </c>
      <c r="K55" s="30" t="e">
        <f>+'Simulacion prestamo'!I15</f>
        <v>#REF!</v>
      </c>
      <c r="L55" s="30" t="e">
        <f>+'Simulacion prestamo'!J15</f>
        <v>#REF!</v>
      </c>
      <c r="M55" s="30" t="e">
        <f>+'Simulacion prestamo'!K15</f>
        <v>#REF!</v>
      </c>
      <c r="N55" s="30" t="e">
        <f>+'Simulacion prestamo'!L15</f>
        <v>#REF!</v>
      </c>
      <c r="O55" s="30" t="e">
        <f>+'Simulacion prestamo'!M15</f>
        <v>#REF!</v>
      </c>
      <c r="P55" s="30" t="e">
        <f>+'Simulacion prestamo'!N15</f>
        <v>#REF!</v>
      </c>
      <c r="Q55" s="30" t="e">
        <f>+'Simulacion prestamo'!O15</f>
        <v>#REF!</v>
      </c>
      <c r="R55" s="30" t="e">
        <f>+'Simulacion prestamo'!P15</f>
        <v>#REF!</v>
      </c>
      <c r="S55" s="30" t="e">
        <f>+'Simulacion prestamo'!Q15</f>
        <v>#REF!</v>
      </c>
      <c r="T55" s="30" t="e">
        <f>+'Simulacion prestamo'!R15</f>
        <v>#REF!</v>
      </c>
      <c r="U55" s="30" t="e">
        <f>+'Simulacion prestamo'!S15</f>
        <v>#REF!</v>
      </c>
      <c r="V55" s="30" t="e">
        <f>+'Simulacion prestamo'!T15</f>
        <v>#REF!</v>
      </c>
      <c r="W55" s="30" t="e">
        <f>+'Simulacion prestamo'!U15</f>
        <v>#REF!</v>
      </c>
      <c r="X55" s="30" t="e">
        <f>+'Simulacion prestamo'!V15</f>
        <v>#REF!</v>
      </c>
      <c r="Y55" s="30" t="e">
        <f>+'Simulacion prestamo'!W15</f>
        <v>#REF!</v>
      </c>
      <c r="Z55" s="30" t="e">
        <f>+'Simulacion prestamo'!X15</f>
        <v>#REF!</v>
      </c>
      <c r="AA55" s="30" t="e">
        <f>+'Simulacion prestamo'!Y15</f>
        <v>#REF!</v>
      </c>
      <c r="AB55" s="30" t="e">
        <f>+'Simulacion prestamo'!Z15</f>
        <v>#REF!</v>
      </c>
      <c r="AC55" s="30" t="e">
        <f>+'Simulacion prestamo'!AA15</f>
        <v>#REF!</v>
      </c>
      <c r="AD55" s="30" t="e">
        <f>+'Simulacion prestamo'!AB15</f>
        <v>#REF!</v>
      </c>
      <c r="AE55" s="30" t="e">
        <f>+'Simulacion prestamo'!AC15</f>
        <v>#REF!</v>
      </c>
      <c r="AF55" s="30" t="e">
        <f>+'Simulacion prestamo'!AD15</f>
        <v>#REF!</v>
      </c>
      <c r="AG55" s="30" t="e">
        <f>+'Simulacion prestamo'!AE15</f>
        <v>#REF!</v>
      </c>
      <c r="AH55" s="30" t="e">
        <f>+'Simulacion prestamo'!AF15</f>
        <v>#REF!</v>
      </c>
      <c r="AI55" s="30" t="e">
        <f>+'Simulacion prestamo'!AG15</f>
        <v>#REF!</v>
      </c>
      <c r="AJ55" s="30" t="e">
        <f>+'Simulacion prestamo'!AH15</f>
        <v>#REF!</v>
      </c>
      <c r="AK55" s="30" t="e">
        <f>+'Simulacion prestamo'!AI15</f>
        <v>#REF!</v>
      </c>
      <c r="AL55" s="30" t="e">
        <f>+'Simulacion prestamo'!AJ15</f>
        <v>#REF!</v>
      </c>
      <c r="AM55" s="30" t="e">
        <f>+'Simulacion prestamo'!AK15</f>
        <v>#REF!</v>
      </c>
      <c r="AN55" s="30" t="e">
        <f>+'Simulacion prestamo'!AL15</f>
        <v>#REF!</v>
      </c>
      <c r="AO55" s="30" t="e">
        <f>+'Simulacion prestamo'!AM15</f>
        <v>#REF!</v>
      </c>
      <c r="AP55" s="30" t="e">
        <f>+'Simulacion prestamo'!AN15</f>
        <v>#REF!</v>
      </c>
      <c r="AQ55" s="30" t="e">
        <f>+'Simulacion prestamo'!AO15</f>
        <v>#REF!</v>
      </c>
      <c r="AR55" s="30" t="e">
        <f>+'Simulacion prestamo'!AP15</f>
        <v>#REF!</v>
      </c>
      <c r="AS55" s="30" t="e">
        <f>+'Simulacion prestamo'!AQ15</f>
        <v>#REF!</v>
      </c>
      <c r="AT55" s="30" t="e">
        <f>+'Simulacion prestamo'!AR15</f>
        <v>#REF!</v>
      </c>
      <c r="AU55" s="30" t="e">
        <f>+'Simulacion prestamo'!AS15</f>
        <v>#REF!</v>
      </c>
      <c r="AV55" s="30" t="e">
        <f>+'Simulacion prestamo'!AT15</f>
        <v>#REF!</v>
      </c>
      <c r="AW55" s="30" t="e">
        <f>+'Simulacion prestamo'!AU15</f>
        <v>#REF!</v>
      </c>
      <c r="AX55" s="30" t="e">
        <f>+'Simulacion prestamo'!AV15</f>
        <v>#REF!</v>
      </c>
      <c r="AY55" s="30" t="e">
        <f>+'Simulacion prestamo'!AW15</f>
        <v>#REF!</v>
      </c>
      <c r="AZ55" s="30" t="e">
        <f>+'Simulacion prestamo'!AX15</f>
        <v>#REF!</v>
      </c>
      <c r="BA55" s="30">
        <f>+'Simulacion prestamo'!AY15</f>
        <v>0</v>
      </c>
      <c r="BB55" s="30">
        <f>+'Simulacion prestamo'!AZ15</f>
        <v>0</v>
      </c>
      <c r="BC55" s="30">
        <f>+'Simulacion prestamo'!BA15</f>
        <v>0</v>
      </c>
      <c r="BD55" s="30">
        <f>+'Simulacion prestamo'!BB15</f>
        <v>0</v>
      </c>
      <c r="BE55" s="30">
        <f>+'Simulacion prestamo'!BC15</f>
        <v>0</v>
      </c>
      <c r="BF55" s="30">
        <f>+'Simulacion prestamo'!BD15</f>
        <v>0</v>
      </c>
      <c r="BG55" s="30">
        <f>+'Simulacion prestamo'!BE15</f>
        <v>0</v>
      </c>
      <c r="BH55" s="30">
        <f>+'Simulacion prestamo'!BF15</f>
        <v>0</v>
      </c>
      <c r="BI55" s="30">
        <f>+'Simulacion prestamo'!BG15</f>
        <v>0</v>
      </c>
      <c r="BJ55" s="30">
        <f>+'Simulacion prestamo'!BH15</f>
        <v>0</v>
      </c>
      <c r="BK55" s="30">
        <f>+'Simulacion prestamo'!BI15</f>
        <v>0</v>
      </c>
      <c r="BL55" s="30">
        <f>+'Simulacion prestamo'!BJ15</f>
        <v>0</v>
      </c>
      <c r="BM55" s="30">
        <f>+'Simulacion prestamo'!BK15</f>
        <v>0</v>
      </c>
      <c r="BN55" s="30">
        <f>+'Simulacion prestamo'!BL15</f>
        <v>0</v>
      </c>
      <c r="BO55" s="30">
        <f>+'Simulacion prestamo'!BM15</f>
        <v>0</v>
      </c>
      <c r="BP55" s="30">
        <f>+'Simulacion prestamo'!BN15</f>
        <v>0</v>
      </c>
      <c r="BQ55" s="30">
        <f>+'Simulacion prestamo'!BO15</f>
        <v>0</v>
      </c>
      <c r="BR55" s="30">
        <f>+'Simulacion prestamo'!BP15</f>
        <v>0</v>
      </c>
      <c r="BS55" s="30">
        <f>+'Simulacion prestamo'!BQ15</f>
        <v>0</v>
      </c>
      <c r="BT55" s="30">
        <f>+'Simulacion prestamo'!BR15</f>
        <v>0</v>
      </c>
      <c r="BU55" s="30">
        <f>+'Simulacion prestamo'!BS15</f>
        <v>0</v>
      </c>
      <c r="BV55" s="30">
        <f>+'Simulacion prestamo'!BT15</f>
        <v>0</v>
      </c>
      <c r="BW55" s="30">
        <f>+'Simulacion prestamo'!BU15</f>
        <v>0</v>
      </c>
      <c r="BX55" s="30">
        <f>+'Simulacion prestamo'!BV15</f>
        <v>0</v>
      </c>
      <c r="BY55" s="30">
        <f>+'Simulacion prestamo'!BW15</f>
        <v>0</v>
      </c>
      <c r="BZ55" s="30">
        <f>+'Simulacion prestamo'!BX15</f>
        <v>0</v>
      </c>
      <c r="CA55" s="30">
        <f>+'Simulacion prestamo'!BY15</f>
        <v>0</v>
      </c>
      <c r="CB55" s="30">
        <f>+'Simulacion prestamo'!BZ15</f>
        <v>0</v>
      </c>
      <c r="CC55" s="30">
        <f>+'Simulacion prestamo'!CA15</f>
        <v>0</v>
      </c>
      <c r="CD55" s="30">
        <f>+'Simulacion prestamo'!CB15</f>
        <v>0</v>
      </c>
      <c r="CE55" s="30">
        <f>+'Simulacion prestamo'!CC15</f>
        <v>0</v>
      </c>
      <c r="CF55" s="30">
        <f>+'Simulacion prestamo'!CD15</f>
        <v>0</v>
      </c>
      <c r="CG55" s="30">
        <f>+'Simulacion prestamo'!CE15</f>
        <v>0</v>
      </c>
      <c r="CH55" s="30">
        <f>+'Simulacion prestamo'!CF15</f>
        <v>0</v>
      </c>
      <c r="CI55" s="30">
        <f>+'Simulacion prestamo'!CG15</f>
        <v>0</v>
      </c>
      <c r="CJ55" s="30">
        <f>+'Simulacion prestamo'!CH15</f>
        <v>0</v>
      </c>
      <c r="CK55" s="30">
        <f>+'Simulacion prestamo'!CI15</f>
        <v>0</v>
      </c>
      <c r="CL55" s="30">
        <f>+'Simulacion prestamo'!CJ15</f>
        <v>0</v>
      </c>
      <c r="CM55" s="30">
        <f>+'Simulacion prestamo'!CK15</f>
        <v>0</v>
      </c>
      <c r="CN55" s="30">
        <f>+'Simulacion prestamo'!CL15</f>
        <v>0</v>
      </c>
      <c r="CO55" s="30">
        <f>+'Simulacion prestamo'!CM15</f>
        <v>0</v>
      </c>
      <c r="CP55" s="30">
        <f>+'Simulacion prestamo'!CN15</f>
        <v>0</v>
      </c>
      <c r="CQ55" s="30">
        <f>+'Simulacion prestamo'!CO15</f>
        <v>0</v>
      </c>
      <c r="CR55" s="30">
        <f>+'Simulacion prestamo'!CP15</f>
        <v>0</v>
      </c>
      <c r="CS55" s="30">
        <f>+'Simulacion prestamo'!CQ15</f>
        <v>0</v>
      </c>
      <c r="CT55" s="30">
        <f>+'Simulacion prestamo'!CR15</f>
        <v>0</v>
      </c>
      <c r="CU55" s="30">
        <f>+'Simulacion prestamo'!CS15</f>
        <v>0</v>
      </c>
      <c r="CV55" s="30">
        <f>+'Simulacion prestamo'!CT15</f>
        <v>0</v>
      </c>
      <c r="CW55" s="30">
        <f>+'Simulacion prestamo'!CU15</f>
        <v>0</v>
      </c>
      <c r="CX55" s="30">
        <f>+'Simulacion prestamo'!CV15</f>
        <v>0</v>
      </c>
      <c r="CY55" s="30">
        <f>+'Simulacion prestamo'!CW15</f>
        <v>0</v>
      </c>
      <c r="CZ55" s="30">
        <f>+'Simulacion prestamo'!CX15</f>
        <v>0</v>
      </c>
      <c r="DA55" s="30">
        <f>+'Simulacion prestamo'!CY15</f>
        <v>0</v>
      </c>
      <c r="DB55" s="30">
        <f>+'Simulacion prestamo'!CZ15</f>
        <v>0</v>
      </c>
      <c r="DC55" s="30">
        <f>+'Simulacion prestamo'!DA15</f>
        <v>0</v>
      </c>
      <c r="DD55" s="30">
        <f>+'Simulacion prestamo'!DB15</f>
        <v>0</v>
      </c>
      <c r="DE55" s="30">
        <f>+'Simulacion prestamo'!DC15</f>
        <v>0</v>
      </c>
      <c r="DF55" s="30">
        <f>+'Simulacion prestamo'!DD15</f>
        <v>0</v>
      </c>
      <c r="DG55" s="30">
        <f>+'Simulacion prestamo'!DE15</f>
        <v>0</v>
      </c>
      <c r="DH55" s="30">
        <f>+'Simulacion prestamo'!DF15</f>
        <v>0</v>
      </c>
      <c r="DI55" s="30">
        <f>+'Simulacion prestamo'!DG15</f>
        <v>0</v>
      </c>
      <c r="DJ55" s="30">
        <f>+'Simulacion prestamo'!DH15</f>
        <v>0</v>
      </c>
      <c r="DK55" s="30">
        <f>+'Simulacion prestamo'!DI15</f>
        <v>0</v>
      </c>
      <c r="DL55" s="30">
        <f>+'Simulacion prestamo'!DJ15</f>
        <v>0</v>
      </c>
      <c r="DM55" s="30">
        <f>+'Simulacion prestamo'!DK15</f>
        <v>0</v>
      </c>
      <c r="DN55" s="30">
        <f>+'Simulacion prestamo'!DL15</f>
        <v>0</v>
      </c>
      <c r="DO55" s="30">
        <f>+'Simulacion prestamo'!DM15</f>
        <v>0</v>
      </c>
      <c r="DP55" s="30">
        <f>+'Simulacion prestamo'!DN15</f>
        <v>0</v>
      </c>
      <c r="DQ55" s="30">
        <f>+'Simulacion prestamo'!DO15</f>
        <v>0</v>
      </c>
      <c r="DR55" s="30">
        <f>+'Simulacion prestamo'!DP15</f>
        <v>0</v>
      </c>
      <c r="DS55" s="30">
        <f>+'Simulacion prestamo'!DQ15</f>
        <v>0</v>
      </c>
      <c r="DT55" s="30">
        <f>+'Simulacion prestamo'!DR15</f>
        <v>0</v>
      </c>
      <c r="DU55" s="30">
        <f>+'Simulacion prestamo'!DS15</f>
        <v>0</v>
      </c>
      <c r="DV55" s="30">
        <f>+'Simulacion prestamo'!DT15</f>
        <v>0</v>
      </c>
      <c r="DW55" s="30">
        <f>+'Simulacion prestamo'!DU15</f>
        <v>0</v>
      </c>
      <c r="DX55" s="30">
        <f>+'Simulacion prestamo'!DV15</f>
        <v>0</v>
      </c>
      <c r="DY55" s="30">
        <f>+'Simulacion prestamo'!DW15</f>
        <v>0</v>
      </c>
      <c r="DZ55" s="30">
        <f>+'Simulacion prestamo'!DX15</f>
        <v>0</v>
      </c>
      <c r="EA55" s="30">
        <f>+'Simulacion prestamo'!DY15</f>
        <v>0</v>
      </c>
      <c r="EB55" s="30">
        <f>+'Simulacion prestamo'!DZ15</f>
        <v>0</v>
      </c>
      <c r="EC55" s="30">
        <f>+'Simulacion prestamo'!EA15</f>
        <v>0</v>
      </c>
      <c r="ED55" s="30">
        <f>+'Simulacion prestamo'!EB15</f>
        <v>0</v>
      </c>
      <c r="EE55" s="30">
        <f>+'Simulacion prestamo'!EC15</f>
        <v>0</v>
      </c>
      <c r="EF55" s="30">
        <f>+'Simulacion prestamo'!ED15</f>
        <v>0</v>
      </c>
      <c r="EG55" s="30">
        <f>+'Simulacion prestamo'!EE15</f>
        <v>0</v>
      </c>
      <c r="EH55" s="30">
        <f>+'Simulacion prestamo'!EF15</f>
        <v>0</v>
      </c>
      <c r="EI55" s="30">
        <f>+'Simulacion prestamo'!EG15</f>
        <v>0</v>
      </c>
      <c r="EJ55" s="30">
        <f>+'Simulacion prestamo'!EH15</f>
        <v>0</v>
      </c>
      <c r="EK55" s="30">
        <f>+'Simulacion prestamo'!EI15</f>
        <v>0</v>
      </c>
      <c r="EL55" s="30">
        <f>+'Simulacion prestamo'!EJ15</f>
        <v>0</v>
      </c>
      <c r="EM55" s="30">
        <f>+'Simulacion prestamo'!EK15</f>
        <v>0</v>
      </c>
      <c r="EN55" s="30">
        <f>+'Simulacion prestamo'!EL15</f>
        <v>0</v>
      </c>
      <c r="EO55" s="30">
        <f>+'Simulacion prestamo'!EM15</f>
        <v>0</v>
      </c>
      <c r="EP55" s="30">
        <f>+'Simulacion prestamo'!EN15</f>
        <v>0</v>
      </c>
      <c r="EQ55" s="30">
        <f>+'Simulacion prestamo'!EO15</f>
        <v>0</v>
      </c>
      <c r="ER55" s="30">
        <f>+'Simulacion prestamo'!EP15</f>
        <v>0</v>
      </c>
      <c r="ES55" s="30">
        <f>+'Simulacion prestamo'!EQ15</f>
        <v>0</v>
      </c>
      <c r="ET55" s="30">
        <f>+'Simulacion prestamo'!ER15</f>
        <v>0</v>
      </c>
      <c r="EU55" s="30">
        <f>+'Simulacion prestamo'!ES15</f>
        <v>0</v>
      </c>
      <c r="EV55" s="30">
        <f>+'Simulacion prestamo'!ET15</f>
        <v>0</v>
      </c>
      <c r="EW55" s="30">
        <f>+'Simulacion prestamo'!EU15</f>
        <v>0</v>
      </c>
      <c r="EX55" s="30">
        <f>+'Simulacion prestamo'!EV15</f>
        <v>0</v>
      </c>
      <c r="EY55" s="30">
        <f>+'Simulacion prestamo'!EW15</f>
        <v>0</v>
      </c>
      <c r="EZ55" s="30">
        <f>+'Simulacion prestamo'!EX15</f>
        <v>0</v>
      </c>
      <c r="FA55" s="30">
        <f>+'Simulacion prestamo'!EY15</f>
        <v>0</v>
      </c>
      <c r="FB55" s="30">
        <f>+'Simulacion prestamo'!EZ15</f>
        <v>0</v>
      </c>
      <c r="FC55" s="30">
        <f>+'Simulacion prestamo'!FA15</f>
        <v>0</v>
      </c>
      <c r="FD55" s="30">
        <f>+'Simulacion prestamo'!FB15</f>
        <v>0</v>
      </c>
      <c r="FE55" s="30">
        <f>+'Simulacion prestamo'!FC15</f>
        <v>0</v>
      </c>
      <c r="FF55" s="30">
        <f>+'Simulacion prestamo'!FD15</f>
        <v>0</v>
      </c>
      <c r="FG55" s="30">
        <f>+'Simulacion prestamo'!FE15</f>
        <v>0</v>
      </c>
      <c r="FH55" s="30">
        <f>+'Simulacion prestamo'!FF15</f>
        <v>0</v>
      </c>
      <c r="FI55" s="30">
        <f>+'Simulacion prestamo'!FG15</f>
        <v>0</v>
      </c>
      <c r="FJ55" s="30">
        <f>+'Simulacion prestamo'!FH15</f>
        <v>0</v>
      </c>
      <c r="FK55" s="30">
        <f>+'Simulacion prestamo'!FI15</f>
        <v>0</v>
      </c>
      <c r="FL55" s="30">
        <f>+'Simulacion prestamo'!FJ15</f>
        <v>0</v>
      </c>
      <c r="FM55" s="30">
        <f>+'Simulacion prestamo'!FK15</f>
        <v>0</v>
      </c>
      <c r="FN55" s="30">
        <f>+'Simulacion prestamo'!FL15</f>
        <v>0</v>
      </c>
      <c r="FO55" s="30">
        <f>+'Simulacion prestamo'!FM15</f>
        <v>0</v>
      </c>
      <c r="FP55" s="30">
        <f>+'Simulacion prestamo'!FN15</f>
        <v>0</v>
      </c>
      <c r="FQ55" s="30">
        <f>+'Simulacion prestamo'!FO15</f>
        <v>0</v>
      </c>
      <c r="FR55" s="30">
        <f>+'Simulacion prestamo'!FP15</f>
        <v>0</v>
      </c>
      <c r="FS55" s="30">
        <f>+'Simulacion prestamo'!FQ15</f>
        <v>0</v>
      </c>
      <c r="FT55" s="30">
        <f>+'Simulacion prestamo'!FR15</f>
        <v>0</v>
      </c>
      <c r="FU55" s="30">
        <f>+'Simulacion prestamo'!FS15</f>
        <v>0</v>
      </c>
      <c r="FV55" s="30">
        <f>+'Simulacion prestamo'!FT15</f>
        <v>0</v>
      </c>
      <c r="FW55" s="30">
        <f>+'Simulacion prestamo'!FU15</f>
        <v>0</v>
      </c>
      <c r="FX55" s="30">
        <f>+'Simulacion prestamo'!FV15</f>
        <v>0</v>
      </c>
      <c r="FY55" s="30">
        <f>+'Simulacion prestamo'!FW15</f>
        <v>0</v>
      </c>
      <c r="FZ55" s="30">
        <f>+'Simulacion prestamo'!FX15</f>
        <v>0</v>
      </c>
      <c r="GA55" s="30">
        <f>+'Simulacion prestamo'!FY15</f>
        <v>0</v>
      </c>
      <c r="GB55" s="30">
        <f>+'Simulacion prestamo'!FZ15</f>
        <v>0</v>
      </c>
      <c r="GC55" s="30">
        <f>+'Simulacion prestamo'!GA15</f>
        <v>0</v>
      </c>
      <c r="GD55" s="30">
        <f>+'Simulacion prestamo'!GB15</f>
        <v>0</v>
      </c>
      <c r="GE55" s="30">
        <f>+'Simulacion prestamo'!GC15</f>
        <v>0</v>
      </c>
      <c r="GF55" s="30">
        <f>+'Simulacion prestamo'!GD15</f>
        <v>0</v>
      </c>
      <c r="GG55" s="30">
        <f>+'Simulacion prestamo'!GE15</f>
        <v>0</v>
      </c>
      <c r="GH55" s="30">
        <f>+'Simulacion prestamo'!GF15</f>
        <v>0</v>
      </c>
      <c r="GI55" s="30">
        <f>+'Simulacion prestamo'!GG15</f>
        <v>0</v>
      </c>
      <c r="GJ55" s="30">
        <f>+'Simulacion prestamo'!GH15</f>
        <v>0</v>
      </c>
      <c r="GK55" s="30">
        <f>+'Simulacion prestamo'!GI15</f>
        <v>0</v>
      </c>
      <c r="GL55" s="30">
        <f>+'Simulacion prestamo'!GJ15</f>
        <v>0</v>
      </c>
      <c r="GM55" s="30">
        <f>+'Simulacion prestamo'!GK15</f>
        <v>0</v>
      </c>
      <c r="GN55" s="30">
        <f>+'Simulacion prestamo'!GL15</f>
        <v>0</v>
      </c>
      <c r="GO55" s="30">
        <f>+'Simulacion prestamo'!GM15</f>
        <v>0</v>
      </c>
      <c r="GP55" s="30">
        <f>+'Simulacion prestamo'!GN15</f>
        <v>0</v>
      </c>
      <c r="GQ55" s="30">
        <f>+'Simulacion prestamo'!GO15</f>
        <v>0</v>
      </c>
      <c r="GR55" s="30">
        <f>+'Simulacion prestamo'!GP15</f>
        <v>0</v>
      </c>
      <c r="GS55" s="30">
        <f>+'Simulacion prestamo'!GQ15</f>
        <v>0</v>
      </c>
      <c r="GT55" s="30">
        <f>+'Simulacion prestamo'!GR15</f>
        <v>0</v>
      </c>
      <c r="GU55" s="30">
        <f>+'Simulacion prestamo'!GS15</f>
        <v>0</v>
      </c>
      <c r="GV55" s="30">
        <f>+'Simulacion prestamo'!GT15</f>
        <v>0</v>
      </c>
      <c r="GW55" s="30">
        <f>+'Simulacion prestamo'!GU15</f>
        <v>0</v>
      </c>
      <c r="GX55" s="30">
        <f>+'Simulacion prestamo'!GV15</f>
        <v>0</v>
      </c>
      <c r="GY55" s="30">
        <f>+'Simulacion prestamo'!GW15</f>
        <v>0</v>
      </c>
      <c r="GZ55" s="30">
        <f>+'Simulacion prestamo'!GX15</f>
        <v>0</v>
      </c>
      <c r="HA55" s="30">
        <f>+'Simulacion prestamo'!GY15</f>
        <v>0</v>
      </c>
      <c r="HB55" s="30">
        <f>+'Simulacion prestamo'!GZ15</f>
        <v>0</v>
      </c>
      <c r="HC55" s="30">
        <f>+'Simulacion prestamo'!HA15</f>
        <v>0</v>
      </c>
      <c r="HD55" s="30">
        <f>+'Simulacion prestamo'!HB15</f>
        <v>0</v>
      </c>
      <c r="HE55" s="30">
        <f>+'Simulacion prestamo'!HC15</f>
        <v>0</v>
      </c>
      <c r="HF55" s="30">
        <f>+'Simulacion prestamo'!HD15</f>
        <v>0</v>
      </c>
      <c r="HG55" s="30">
        <f>+'Simulacion prestamo'!HE15</f>
        <v>0</v>
      </c>
      <c r="HH55" s="30">
        <f>+'Simulacion prestamo'!HF15</f>
        <v>0</v>
      </c>
      <c r="HI55" s="30">
        <f>+'Simulacion prestamo'!HG15</f>
        <v>0</v>
      </c>
      <c r="HJ55" s="30">
        <f>+'Simulacion prestamo'!HH15</f>
        <v>0</v>
      </c>
      <c r="HK55" s="30">
        <f>+'Simulacion prestamo'!HI15</f>
        <v>0</v>
      </c>
      <c r="HL55" s="30">
        <f>+'Simulacion prestamo'!HJ15</f>
        <v>0</v>
      </c>
      <c r="HM55" s="30">
        <f>+'Simulacion prestamo'!HK15</f>
        <v>0</v>
      </c>
      <c r="HN55" s="30">
        <f>+'Simulacion prestamo'!HL15</f>
        <v>0</v>
      </c>
      <c r="HO55" s="30">
        <f>+'Simulacion prestamo'!HM15</f>
        <v>0</v>
      </c>
      <c r="HP55" s="30">
        <f>+'Simulacion prestamo'!HN15</f>
        <v>0</v>
      </c>
      <c r="HQ55" s="30">
        <f>+'Simulacion prestamo'!HO15</f>
        <v>0</v>
      </c>
      <c r="HR55" s="30">
        <f>+'Simulacion prestamo'!HP15</f>
        <v>0</v>
      </c>
      <c r="HS55" s="30">
        <f>+'Simulacion prestamo'!HQ15</f>
        <v>0</v>
      </c>
      <c r="HT55" s="30">
        <f>+'Simulacion prestamo'!HR15</f>
        <v>0</v>
      </c>
      <c r="HU55" s="30">
        <f>+'Simulacion prestamo'!HS15</f>
        <v>0</v>
      </c>
      <c r="HV55" s="30">
        <f>+'Simulacion prestamo'!HT15</f>
        <v>0</v>
      </c>
      <c r="HW55" s="30">
        <f>+'Simulacion prestamo'!HU15</f>
        <v>0</v>
      </c>
      <c r="HX55" s="30">
        <f>+'Simulacion prestamo'!HV15</f>
        <v>0</v>
      </c>
      <c r="HY55" s="30">
        <f>+'Simulacion prestamo'!HW15</f>
        <v>0</v>
      </c>
      <c r="HZ55" s="30">
        <f>+'Simulacion prestamo'!HX15</f>
        <v>0</v>
      </c>
      <c r="IA55" s="30">
        <f>+'Simulacion prestamo'!HY15</f>
        <v>0</v>
      </c>
      <c r="IB55" s="30">
        <f>+'Simulacion prestamo'!HZ15</f>
        <v>0</v>
      </c>
      <c r="IC55" s="30">
        <f>+'Simulacion prestamo'!IA15</f>
        <v>0</v>
      </c>
      <c r="ID55" s="30">
        <f>+'Simulacion prestamo'!IB15</f>
        <v>0</v>
      </c>
      <c r="IE55" s="30">
        <f>+'Simulacion prestamo'!IC15</f>
        <v>0</v>
      </c>
      <c r="IF55" s="30">
        <f>+'Simulacion prestamo'!ID15</f>
        <v>0</v>
      </c>
      <c r="IG55" s="30">
        <f>+'Simulacion prestamo'!IE15</f>
        <v>0</v>
      </c>
      <c r="IH55" s="30">
        <f>+'Simulacion prestamo'!IF15</f>
        <v>0</v>
      </c>
      <c r="II55" s="30">
        <f>+'Simulacion prestamo'!IG15</f>
        <v>0</v>
      </c>
      <c r="IJ55" s="30">
        <f>+'Simulacion prestamo'!IH15</f>
        <v>0</v>
      </c>
      <c r="IK55" s="30">
        <f>+'Simulacion prestamo'!II15</f>
        <v>0</v>
      </c>
      <c r="IL55" s="30">
        <f>+'Simulacion prestamo'!IJ15</f>
        <v>0</v>
      </c>
      <c r="IM55" s="30">
        <f>+'Simulacion prestamo'!IK15</f>
        <v>0</v>
      </c>
      <c r="IN55" s="30">
        <f>+'Simulacion prestamo'!IL15</f>
        <v>0</v>
      </c>
      <c r="IO55" s="30">
        <f>+'Simulacion prestamo'!IM15</f>
        <v>0</v>
      </c>
    </row>
    <row r="56" spans="1:249" x14ac:dyDescent="0.3">
      <c r="A56" t="s">
        <v>643</v>
      </c>
      <c r="B56" s="33" t="e">
        <f>+SUM(E56:BQ56)</f>
        <v>#REF!</v>
      </c>
      <c r="C56" s="38" t="e">
        <f t="shared" si="439"/>
        <v>#REF!</v>
      </c>
      <c r="D56" s="29" t="e">
        <f t="shared" si="440"/>
        <v>#REF!</v>
      </c>
      <c r="E56" s="30"/>
      <c r="F56" s="30"/>
      <c r="G56" s="30"/>
      <c r="H56" s="30" t="e">
        <f>+#REF!</f>
        <v>#REF!</v>
      </c>
      <c r="I56" s="30"/>
      <c r="J56" s="30"/>
      <c r="K56" s="30" t="e">
        <f>+H56*1.1</f>
        <v>#REF!</v>
      </c>
      <c r="L56" s="30"/>
      <c r="M56" s="30"/>
      <c r="N56" s="30" t="e">
        <f>+K56</f>
        <v>#REF!</v>
      </c>
      <c r="O56" s="30"/>
      <c r="P56" s="30"/>
      <c r="Q56" s="30" t="e">
        <f>+N56</f>
        <v>#REF!</v>
      </c>
      <c r="R56" s="30"/>
      <c r="S56" s="30"/>
      <c r="T56" s="30" t="e">
        <f>+Q56</f>
        <v>#REF!</v>
      </c>
      <c r="U56" s="30"/>
      <c r="V56" s="30"/>
      <c r="W56" s="30" t="e">
        <f>+T56*1.1</f>
        <v>#REF!</v>
      </c>
      <c r="X56" s="30"/>
      <c r="Y56" s="30"/>
      <c r="Z56" s="30" t="e">
        <f>+W56</f>
        <v>#REF!</v>
      </c>
      <c r="AA56" s="30"/>
      <c r="AB56" s="30"/>
      <c r="AC56" s="30" t="e">
        <f>+Z56</f>
        <v>#REF!</v>
      </c>
      <c r="AD56" s="30"/>
      <c r="AE56" s="30"/>
      <c r="AF56" s="30" t="e">
        <f>+AC56</f>
        <v>#REF!</v>
      </c>
      <c r="AG56" s="30"/>
      <c r="AH56" s="30"/>
      <c r="AI56" s="30" t="e">
        <f>+AF56*1.1</f>
        <v>#REF!</v>
      </c>
      <c r="AJ56" s="30"/>
      <c r="AK56" s="30"/>
      <c r="AL56" s="30" t="e">
        <f>+AI56</f>
        <v>#REF!</v>
      </c>
      <c r="AM56" s="30"/>
      <c r="AN56" s="30"/>
      <c r="AO56" s="30" t="e">
        <f>+AL56</f>
        <v>#REF!</v>
      </c>
      <c r="AP56" s="30"/>
      <c r="AQ56" s="30"/>
      <c r="AR56" s="30" t="e">
        <f>+AO56</f>
        <v>#REF!</v>
      </c>
      <c r="AS56" s="30"/>
      <c r="AT56" s="30"/>
      <c r="AU56" s="30" t="e">
        <f>+AR56*1.1</f>
        <v>#REF!</v>
      </c>
      <c r="AV56" s="30"/>
      <c r="AW56" s="30"/>
      <c r="AX56" s="30" t="e">
        <f>+AU56</f>
        <v>#REF!</v>
      </c>
      <c r="AY56" s="30"/>
      <c r="AZ56" s="30"/>
      <c r="BA56" s="30" t="e">
        <f>+AX56</f>
        <v>#REF!</v>
      </c>
      <c r="BB56" s="30"/>
      <c r="BC56" s="30"/>
      <c r="BD56" s="30" t="e">
        <f>+BA56</f>
        <v>#REF!</v>
      </c>
      <c r="BE56" s="30"/>
      <c r="BF56" s="30"/>
      <c r="BG56" s="30" t="e">
        <f>+BD56*1.1</f>
        <v>#REF!</v>
      </c>
      <c r="BH56" s="30"/>
      <c r="BI56" s="30"/>
      <c r="BJ56" s="30" t="e">
        <f>+BG56</f>
        <v>#REF!</v>
      </c>
      <c r="BK56" s="30"/>
      <c r="BL56" s="30"/>
      <c r="BM56" s="30" t="e">
        <f>+BJ56</f>
        <v>#REF!</v>
      </c>
      <c r="BN56" s="30"/>
      <c r="BO56" s="30"/>
      <c r="BP56" s="30" t="e">
        <f>+BM56</f>
        <v>#REF!</v>
      </c>
      <c r="BQ56" s="30"/>
      <c r="BR56" s="30"/>
      <c r="BS56" s="30" t="e">
        <f>+BP56*1.1</f>
        <v>#REF!</v>
      </c>
      <c r="BT56" s="30"/>
      <c r="BU56" s="30"/>
      <c r="BV56" s="30" t="e">
        <f>+BS56</f>
        <v>#REF!</v>
      </c>
      <c r="BW56" s="30"/>
      <c r="BX56" s="30"/>
      <c r="BY56" s="30" t="e">
        <f>+BV56</f>
        <v>#REF!</v>
      </c>
      <c r="BZ56" s="30"/>
      <c r="CA56" s="30"/>
      <c r="CB56" s="30" t="e">
        <f>+BY56</f>
        <v>#REF!</v>
      </c>
      <c r="CC56" s="30"/>
      <c r="CD56" s="30"/>
      <c r="CE56" s="30" t="e">
        <f>+CB56*1.1</f>
        <v>#REF!</v>
      </c>
      <c r="CF56" s="30"/>
      <c r="CG56" s="30"/>
      <c r="CH56" s="30" t="e">
        <f>+CE56</f>
        <v>#REF!</v>
      </c>
      <c r="CI56" s="30"/>
      <c r="CJ56" s="30"/>
      <c r="CK56" s="30" t="e">
        <f>+CH56</f>
        <v>#REF!</v>
      </c>
      <c r="CL56" s="30"/>
      <c r="CM56" s="30"/>
      <c r="CN56" s="30" t="e">
        <f>+CK56</f>
        <v>#REF!</v>
      </c>
      <c r="CO56" s="30"/>
      <c r="CP56" s="30"/>
      <c r="CQ56" s="30" t="e">
        <f>+CN56*1.1</f>
        <v>#REF!</v>
      </c>
      <c r="CR56" s="30"/>
      <c r="CS56" s="30"/>
      <c r="CT56" s="30" t="e">
        <f>+CQ56</f>
        <v>#REF!</v>
      </c>
      <c r="CU56" s="30"/>
      <c r="CV56" s="30"/>
      <c r="CW56" s="30" t="e">
        <f>+CT56</f>
        <v>#REF!</v>
      </c>
      <c r="CX56" s="30"/>
      <c r="CY56" s="30"/>
      <c r="CZ56" s="30" t="e">
        <f>+CW56</f>
        <v>#REF!</v>
      </c>
      <c r="DA56" s="30"/>
      <c r="DB56" s="30"/>
      <c r="DC56" s="30" t="e">
        <f>+CZ56*1.1</f>
        <v>#REF!</v>
      </c>
      <c r="DD56" s="30"/>
      <c r="DE56" s="30"/>
      <c r="DF56" s="30" t="e">
        <f>+DC56</f>
        <v>#REF!</v>
      </c>
      <c r="DG56" s="30"/>
      <c r="DH56" s="30"/>
      <c r="DI56" s="30" t="e">
        <f>+DF56</f>
        <v>#REF!</v>
      </c>
      <c r="DJ56" s="30"/>
      <c r="DK56" s="30"/>
      <c r="DL56" s="30" t="e">
        <f>+DI56</f>
        <v>#REF!</v>
      </c>
      <c r="DM56" s="30"/>
      <c r="DN56" s="30"/>
      <c r="DO56" s="30" t="e">
        <f>+DL56*1.1</f>
        <v>#REF!</v>
      </c>
      <c r="DP56" s="30"/>
      <c r="DQ56" s="30"/>
      <c r="DR56" s="30" t="e">
        <f>+DO56</f>
        <v>#REF!</v>
      </c>
      <c r="DU56" s="33" t="e">
        <f>+DR56</f>
        <v>#REF!</v>
      </c>
      <c r="DX56" s="33" t="e">
        <f>+DU56</f>
        <v>#REF!</v>
      </c>
      <c r="EA56" s="30" t="e">
        <f>+DX56*1.1</f>
        <v>#REF!</v>
      </c>
      <c r="ED56" s="33" t="e">
        <f>+EA56</f>
        <v>#REF!</v>
      </c>
      <c r="EG56" s="33" t="e">
        <f>+ED56</f>
        <v>#REF!</v>
      </c>
      <c r="EJ56" s="33" t="e">
        <f>+EG56</f>
        <v>#REF!</v>
      </c>
      <c r="EM56" s="30" t="e">
        <f>+EJ56*1.1</f>
        <v>#REF!</v>
      </c>
      <c r="EP56" s="33" t="e">
        <f>+EM56</f>
        <v>#REF!</v>
      </c>
      <c r="ES56" s="33" t="e">
        <f>+EP56</f>
        <v>#REF!</v>
      </c>
      <c r="EV56" s="33" t="e">
        <f>+ES56</f>
        <v>#REF!</v>
      </c>
      <c r="EY56" s="30" t="e">
        <f>+EV56*1.1</f>
        <v>#REF!</v>
      </c>
      <c r="FB56" s="33" t="e">
        <f>+EY56</f>
        <v>#REF!</v>
      </c>
      <c r="FE56" s="33" t="e">
        <f>+FB56</f>
        <v>#REF!</v>
      </c>
      <c r="FH56" s="33" t="e">
        <f>+FE56</f>
        <v>#REF!</v>
      </c>
      <c r="FK56" s="30" t="e">
        <f>+FH56*1.1</f>
        <v>#REF!</v>
      </c>
      <c r="FN56" s="33" t="e">
        <f>+FK56</f>
        <v>#REF!</v>
      </c>
      <c r="FQ56" s="33" t="e">
        <f>+FN56</f>
        <v>#REF!</v>
      </c>
      <c r="FT56" s="33" t="e">
        <f>+FQ56</f>
        <v>#REF!</v>
      </c>
      <c r="FW56" s="30" t="e">
        <f>+FT56*1.1</f>
        <v>#REF!</v>
      </c>
      <c r="FZ56" s="33" t="e">
        <f>+FW56</f>
        <v>#REF!</v>
      </c>
      <c r="GC56" s="33" t="e">
        <f>+FZ56</f>
        <v>#REF!</v>
      </c>
      <c r="GF56" s="33" t="e">
        <f>+GC56</f>
        <v>#REF!</v>
      </c>
      <c r="GI56" s="30" t="e">
        <f>+GF56*1.1</f>
        <v>#REF!</v>
      </c>
      <c r="GL56" s="33" t="e">
        <f>+GI56</f>
        <v>#REF!</v>
      </c>
      <c r="GO56" s="33" t="e">
        <f>+GL56</f>
        <v>#REF!</v>
      </c>
      <c r="GR56" s="33" t="e">
        <f>+GO56</f>
        <v>#REF!</v>
      </c>
      <c r="GU56" s="30" t="e">
        <f>+GR56*1.1</f>
        <v>#REF!</v>
      </c>
      <c r="GX56" s="33" t="e">
        <f>+GU56</f>
        <v>#REF!</v>
      </c>
      <c r="HA56" s="33" t="e">
        <f>+GX56</f>
        <v>#REF!</v>
      </c>
      <c r="HD56" s="33" t="e">
        <f>+HA56</f>
        <v>#REF!</v>
      </c>
      <c r="HG56" s="30" t="e">
        <f>+HD56*1.1</f>
        <v>#REF!</v>
      </c>
      <c r="HJ56" s="33" t="e">
        <f>+HG56</f>
        <v>#REF!</v>
      </c>
      <c r="HM56" s="33" t="e">
        <f>+HJ56</f>
        <v>#REF!</v>
      </c>
      <c r="HP56" s="33" t="e">
        <f>+HM56</f>
        <v>#REF!</v>
      </c>
      <c r="HS56" s="30" t="e">
        <f>+HP56*1.1</f>
        <v>#REF!</v>
      </c>
      <c r="HV56" s="33" t="e">
        <f>+HS56</f>
        <v>#REF!</v>
      </c>
      <c r="HY56" s="33" t="e">
        <f>+HV56</f>
        <v>#REF!</v>
      </c>
      <c r="IB56" s="33" t="e">
        <f>+HY56</f>
        <v>#REF!</v>
      </c>
      <c r="IE56" s="33" t="e">
        <f>+IB56*1.1</f>
        <v>#REF!</v>
      </c>
      <c r="IH56" s="33" t="e">
        <f>+IE56</f>
        <v>#REF!</v>
      </c>
      <c r="IM56" s="33">
        <f>+IJ56*1.1</f>
        <v>0</v>
      </c>
    </row>
    <row r="57" spans="1:249" x14ac:dyDescent="0.3">
      <c r="A57" t="s">
        <v>777</v>
      </c>
      <c r="B57" s="33" t="e">
        <f>+SUM(E57:BQ57)</f>
        <v>#REF!</v>
      </c>
      <c r="C57" s="38" t="e">
        <f t="shared" si="439"/>
        <v>#REF!</v>
      </c>
      <c r="D57" s="29" t="e">
        <f t="shared" si="440"/>
        <v>#REF!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 t="e">
        <f>+#REF!</f>
        <v>#REF!</v>
      </c>
      <c r="BB57" s="30" t="e">
        <f>+BA57</f>
        <v>#REF!</v>
      </c>
      <c r="BC57" s="30" t="e">
        <f t="shared" ref="BC57:DB57" si="441">+BB57</f>
        <v>#REF!</v>
      </c>
      <c r="BD57" s="30" t="e">
        <f t="shared" si="441"/>
        <v>#REF!</v>
      </c>
      <c r="BE57" s="30" t="e">
        <f t="shared" si="441"/>
        <v>#REF!</v>
      </c>
      <c r="BF57" s="30" t="e">
        <f t="shared" si="441"/>
        <v>#REF!</v>
      </c>
      <c r="BG57" s="30" t="e">
        <f t="shared" si="441"/>
        <v>#REF!</v>
      </c>
      <c r="BH57" s="30" t="e">
        <f t="shared" si="441"/>
        <v>#REF!</v>
      </c>
      <c r="BI57" s="30" t="e">
        <f t="shared" si="441"/>
        <v>#REF!</v>
      </c>
      <c r="BJ57" s="30" t="e">
        <f t="shared" si="441"/>
        <v>#REF!</v>
      </c>
      <c r="BK57" s="30" t="e">
        <f t="shared" si="441"/>
        <v>#REF!</v>
      </c>
      <c r="BL57" s="30" t="e">
        <f t="shared" si="441"/>
        <v>#REF!</v>
      </c>
      <c r="BM57" s="30" t="e">
        <f t="shared" si="441"/>
        <v>#REF!</v>
      </c>
      <c r="BN57" s="30" t="e">
        <f t="shared" si="441"/>
        <v>#REF!</v>
      </c>
      <c r="BO57" s="30" t="e">
        <f t="shared" si="441"/>
        <v>#REF!</v>
      </c>
      <c r="BP57" s="30" t="e">
        <f t="shared" si="441"/>
        <v>#REF!</v>
      </c>
      <c r="BQ57" s="30" t="e">
        <f t="shared" si="441"/>
        <v>#REF!</v>
      </c>
      <c r="BR57" s="30" t="e">
        <f t="shared" si="441"/>
        <v>#REF!</v>
      </c>
      <c r="BS57" s="30" t="e">
        <f t="shared" si="441"/>
        <v>#REF!</v>
      </c>
      <c r="BT57" s="30" t="e">
        <f t="shared" si="441"/>
        <v>#REF!</v>
      </c>
      <c r="BU57" s="30" t="e">
        <f t="shared" si="441"/>
        <v>#REF!</v>
      </c>
      <c r="BV57" s="30" t="e">
        <f t="shared" si="441"/>
        <v>#REF!</v>
      </c>
      <c r="BW57" s="30" t="e">
        <f t="shared" si="441"/>
        <v>#REF!</v>
      </c>
      <c r="BX57" s="30" t="e">
        <f t="shared" si="441"/>
        <v>#REF!</v>
      </c>
      <c r="BY57" s="30" t="e">
        <f t="shared" si="441"/>
        <v>#REF!</v>
      </c>
      <c r="BZ57" s="30" t="e">
        <f t="shared" si="441"/>
        <v>#REF!</v>
      </c>
      <c r="CA57" s="30" t="e">
        <f t="shared" si="441"/>
        <v>#REF!</v>
      </c>
      <c r="CB57" s="30" t="e">
        <f t="shared" si="441"/>
        <v>#REF!</v>
      </c>
      <c r="CC57" s="30" t="e">
        <f t="shared" si="441"/>
        <v>#REF!</v>
      </c>
      <c r="CD57" s="30" t="e">
        <f t="shared" si="441"/>
        <v>#REF!</v>
      </c>
      <c r="CE57" s="30" t="e">
        <f t="shared" si="441"/>
        <v>#REF!</v>
      </c>
      <c r="CF57" s="30" t="e">
        <f t="shared" si="441"/>
        <v>#REF!</v>
      </c>
      <c r="CG57" s="30" t="e">
        <f t="shared" si="441"/>
        <v>#REF!</v>
      </c>
      <c r="CH57" s="30" t="e">
        <f t="shared" si="441"/>
        <v>#REF!</v>
      </c>
      <c r="CI57" s="30" t="e">
        <f t="shared" si="441"/>
        <v>#REF!</v>
      </c>
      <c r="CJ57" s="30" t="e">
        <f t="shared" si="441"/>
        <v>#REF!</v>
      </c>
      <c r="CK57" s="30" t="e">
        <f t="shared" si="441"/>
        <v>#REF!</v>
      </c>
      <c r="CL57" s="30" t="e">
        <f t="shared" si="441"/>
        <v>#REF!</v>
      </c>
      <c r="CM57" s="30" t="e">
        <f t="shared" si="441"/>
        <v>#REF!</v>
      </c>
      <c r="CN57" s="30" t="e">
        <f t="shared" si="441"/>
        <v>#REF!</v>
      </c>
      <c r="CO57" s="30" t="e">
        <f t="shared" si="441"/>
        <v>#REF!</v>
      </c>
      <c r="CP57" s="30" t="e">
        <f t="shared" si="441"/>
        <v>#REF!</v>
      </c>
      <c r="CQ57" s="30" t="e">
        <f t="shared" si="441"/>
        <v>#REF!</v>
      </c>
      <c r="CR57" s="30" t="e">
        <f t="shared" si="441"/>
        <v>#REF!</v>
      </c>
      <c r="CS57" s="30" t="e">
        <f t="shared" si="441"/>
        <v>#REF!</v>
      </c>
      <c r="CT57" s="30" t="e">
        <f t="shared" si="441"/>
        <v>#REF!</v>
      </c>
      <c r="CU57" s="30" t="e">
        <f t="shared" si="441"/>
        <v>#REF!</v>
      </c>
      <c r="CV57" s="30" t="e">
        <f t="shared" si="441"/>
        <v>#REF!</v>
      </c>
      <c r="CW57" s="30" t="e">
        <f t="shared" si="441"/>
        <v>#REF!</v>
      </c>
      <c r="CX57" s="30" t="e">
        <f t="shared" si="441"/>
        <v>#REF!</v>
      </c>
      <c r="CY57" s="30" t="e">
        <f t="shared" si="441"/>
        <v>#REF!</v>
      </c>
      <c r="CZ57" s="30" t="e">
        <f t="shared" si="441"/>
        <v>#REF!</v>
      </c>
      <c r="DA57" s="30" t="e">
        <f t="shared" si="441"/>
        <v>#REF!</v>
      </c>
      <c r="DB57" s="30" t="e">
        <f t="shared" si="441"/>
        <v>#REF!</v>
      </c>
      <c r="DC57" s="30" t="e">
        <f t="shared" ref="DC57:DT57" si="442">+DB57</f>
        <v>#REF!</v>
      </c>
      <c r="DD57" s="30" t="e">
        <f t="shared" si="442"/>
        <v>#REF!</v>
      </c>
      <c r="DE57" s="30" t="e">
        <f t="shared" si="442"/>
        <v>#REF!</v>
      </c>
      <c r="DF57" s="30" t="e">
        <f t="shared" si="442"/>
        <v>#REF!</v>
      </c>
      <c r="DG57" s="30" t="e">
        <f t="shared" si="442"/>
        <v>#REF!</v>
      </c>
      <c r="DH57" s="30" t="e">
        <f t="shared" si="442"/>
        <v>#REF!</v>
      </c>
      <c r="DI57" s="30" t="e">
        <f t="shared" si="442"/>
        <v>#REF!</v>
      </c>
      <c r="DJ57" s="30" t="e">
        <f t="shared" si="442"/>
        <v>#REF!</v>
      </c>
      <c r="DK57" s="30" t="e">
        <f t="shared" si="442"/>
        <v>#REF!</v>
      </c>
      <c r="DL57" s="30" t="e">
        <f t="shared" si="442"/>
        <v>#REF!</v>
      </c>
      <c r="DM57" s="30" t="e">
        <f t="shared" si="442"/>
        <v>#REF!</v>
      </c>
      <c r="DN57" s="30" t="e">
        <f t="shared" si="442"/>
        <v>#REF!</v>
      </c>
      <c r="DO57" s="30" t="e">
        <f t="shared" si="442"/>
        <v>#REF!</v>
      </c>
      <c r="DP57" s="30" t="e">
        <f t="shared" si="442"/>
        <v>#REF!</v>
      </c>
      <c r="DQ57" s="30" t="e">
        <f t="shared" si="442"/>
        <v>#REF!</v>
      </c>
      <c r="DR57" s="30" t="e">
        <f t="shared" si="442"/>
        <v>#REF!</v>
      </c>
      <c r="DS57" s="30" t="e">
        <f t="shared" si="442"/>
        <v>#REF!</v>
      </c>
      <c r="DT57" s="30" t="e">
        <f t="shared" si="442"/>
        <v>#REF!</v>
      </c>
      <c r="DU57" s="30" t="e">
        <f t="shared" ref="DU57" si="443">+DT57</f>
        <v>#REF!</v>
      </c>
      <c r="DV57" s="30" t="e">
        <f t="shared" ref="DV57:DV58" si="444">+DU57</f>
        <v>#REF!</v>
      </c>
      <c r="DW57" s="30" t="e">
        <f t="shared" ref="DW57:DW58" si="445">+DV57</f>
        <v>#REF!</v>
      </c>
      <c r="DX57" s="30" t="e">
        <f t="shared" ref="DX57:DX58" si="446">+DW57</f>
        <v>#REF!</v>
      </c>
      <c r="DY57" s="30" t="e">
        <f t="shared" ref="DY57:DY58" si="447">+DX57</f>
        <v>#REF!</v>
      </c>
      <c r="DZ57" s="30" t="e">
        <f t="shared" ref="DZ57" si="448">+DY57</f>
        <v>#REF!</v>
      </c>
      <c r="EA57" s="30" t="e">
        <f t="shared" ref="EA57" si="449">+DZ57</f>
        <v>#REF!</v>
      </c>
      <c r="EB57" s="30" t="e">
        <f t="shared" ref="EB57:EB58" si="450">+EA57</f>
        <v>#REF!</v>
      </c>
      <c r="EC57" s="30" t="e">
        <f t="shared" ref="EC57:EC58" si="451">+EB57</f>
        <v>#REF!</v>
      </c>
      <c r="ED57" s="30" t="e">
        <f t="shared" ref="ED57:ED58" si="452">+EC57</f>
        <v>#REF!</v>
      </c>
      <c r="EE57" s="30" t="e">
        <f t="shared" ref="EE57:EE58" si="453">+ED57</f>
        <v>#REF!</v>
      </c>
      <c r="EF57" s="30" t="e">
        <f t="shared" ref="EF57:EF58" si="454">+EE57</f>
        <v>#REF!</v>
      </c>
      <c r="EG57" s="30" t="e">
        <f t="shared" ref="EG57:EG58" si="455">+EF57</f>
        <v>#REF!</v>
      </c>
      <c r="EH57" s="30" t="e">
        <f t="shared" ref="EH57:EH58" si="456">+EG57</f>
        <v>#REF!</v>
      </c>
      <c r="EI57" s="30" t="e">
        <f t="shared" ref="EI57:EI58" si="457">+EH57</f>
        <v>#REF!</v>
      </c>
      <c r="EJ57" s="30" t="e">
        <f t="shared" ref="EJ57:EJ58" si="458">+EI57</f>
        <v>#REF!</v>
      </c>
      <c r="EK57" s="30" t="e">
        <f t="shared" ref="EK57:EK58" si="459">+EJ57</f>
        <v>#REF!</v>
      </c>
      <c r="EL57" s="30" t="e">
        <f t="shared" ref="EL57" si="460">+EK57</f>
        <v>#REF!</v>
      </c>
      <c r="EM57" s="30" t="e">
        <f t="shared" ref="EM57" si="461">+EL57</f>
        <v>#REF!</v>
      </c>
      <c r="EN57" s="30" t="e">
        <f t="shared" ref="EN57:EN58" si="462">+EM57</f>
        <v>#REF!</v>
      </c>
      <c r="EO57" s="30" t="e">
        <f t="shared" ref="EO57:EO58" si="463">+EN57</f>
        <v>#REF!</v>
      </c>
      <c r="EP57" s="30" t="e">
        <f t="shared" ref="EP57:EP58" si="464">+EO57</f>
        <v>#REF!</v>
      </c>
      <c r="EQ57" s="30" t="e">
        <f t="shared" ref="EQ57:EQ58" si="465">+EP57</f>
        <v>#REF!</v>
      </c>
      <c r="ER57" s="30" t="e">
        <f t="shared" ref="ER57:ER58" si="466">+EQ57</f>
        <v>#REF!</v>
      </c>
      <c r="ES57" s="30" t="e">
        <f t="shared" ref="ES57:ES58" si="467">+ER57</f>
        <v>#REF!</v>
      </c>
      <c r="ET57" s="30" t="e">
        <f t="shared" ref="ET57:ET58" si="468">+ES57</f>
        <v>#REF!</v>
      </c>
      <c r="EU57" s="30" t="e">
        <f t="shared" ref="EU57:EU58" si="469">+ET57</f>
        <v>#REF!</v>
      </c>
      <c r="EV57" s="30" t="e">
        <f t="shared" ref="EV57:EV58" si="470">+EU57</f>
        <v>#REF!</v>
      </c>
      <c r="EW57" s="30" t="e">
        <f t="shared" ref="EW57:EW58" si="471">+EV57</f>
        <v>#REF!</v>
      </c>
      <c r="EX57" s="34" t="e">
        <f>+EW57</f>
        <v>#REF!</v>
      </c>
      <c r="EY57" s="34" t="e">
        <f>+EX57</f>
        <v>#REF!</v>
      </c>
      <c r="EZ57" s="34" t="e">
        <f t="shared" ref="EZ57:EZ58" si="472">+EY57</f>
        <v>#REF!</v>
      </c>
      <c r="FA57" s="34" t="e">
        <f t="shared" ref="FA57:FA58" si="473">+EZ57</f>
        <v>#REF!</v>
      </c>
      <c r="FB57" s="34" t="e">
        <f t="shared" ref="FB57:FB58" si="474">+FA57</f>
        <v>#REF!</v>
      </c>
      <c r="FC57" s="34" t="e">
        <f t="shared" ref="FC57:FC58" si="475">+FB57</f>
        <v>#REF!</v>
      </c>
      <c r="FD57" s="34" t="e">
        <f t="shared" ref="FD57:FI58" si="476">+FC57</f>
        <v>#REF!</v>
      </c>
      <c r="FE57" s="34" t="e">
        <f t="shared" si="476"/>
        <v>#REF!</v>
      </c>
      <c r="FF57" s="34" t="e">
        <f t="shared" si="476"/>
        <v>#REF!</v>
      </c>
      <c r="FG57" s="34" t="e">
        <f t="shared" si="476"/>
        <v>#REF!</v>
      </c>
      <c r="FH57" s="34" t="e">
        <f t="shared" si="476"/>
        <v>#REF!</v>
      </c>
      <c r="FI57" s="34" t="e">
        <f t="shared" si="476"/>
        <v>#REF!</v>
      </c>
      <c r="FJ57" s="34" t="e">
        <f>+FI57</f>
        <v>#REF!</v>
      </c>
      <c r="FK57" s="34" t="e">
        <f>+FJ57</f>
        <v>#REF!</v>
      </c>
      <c r="FL57" s="34" t="e">
        <f t="shared" ref="FL57:FU58" si="477">+FK57</f>
        <v>#REF!</v>
      </c>
      <c r="FM57" s="34" t="e">
        <f t="shared" si="477"/>
        <v>#REF!</v>
      </c>
      <c r="FN57" s="34" t="e">
        <f t="shared" si="477"/>
        <v>#REF!</v>
      </c>
      <c r="FO57" s="34" t="e">
        <f t="shared" si="477"/>
        <v>#REF!</v>
      </c>
      <c r="FP57" s="34" t="e">
        <f>+FO57</f>
        <v>#REF!</v>
      </c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  <c r="HB57" s="34"/>
      <c r="HC57" s="34"/>
      <c r="HD57" s="34"/>
      <c r="HE57" s="34"/>
      <c r="HF57" s="34"/>
      <c r="HG57" s="34"/>
      <c r="HH57" s="34"/>
      <c r="HI57" s="34"/>
      <c r="HJ57" s="34"/>
      <c r="HK57" s="34"/>
      <c r="HL57" s="34"/>
      <c r="HM57" s="34"/>
      <c r="HN57" s="34"/>
      <c r="HO57" s="34"/>
      <c r="HP57" s="34"/>
      <c r="HQ57" s="34"/>
      <c r="HR57" s="34"/>
      <c r="HS57" s="34"/>
      <c r="HT57" s="34"/>
      <c r="HU57" s="34"/>
      <c r="HV57" s="34"/>
      <c r="HW57" s="34"/>
      <c r="HX57" s="34"/>
      <c r="HY57" s="34"/>
      <c r="HZ57" s="34"/>
      <c r="IA57" s="34"/>
      <c r="IB57" s="34"/>
      <c r="IC57" s="34"/>
      <c r="ID57" s="34"/>
      <c r="IE57" s="34"/>
      <c r="IF57" s="34"/>
      <c r="IG57" s="34"/>
      <c r="IH57" s="34"/>
      <c r="II57" s="34"/>
      <c r="IJ57" s="34"/>
      <c r="IK57" s="34"/>
      <c r="IL57" s="34"/>
      <c r="IM57" s="34"/>
      <c r="IN57" s="34"/>
      <c r="IO57" s="34"/>
    </row>
    <row r="58" spans="1:249" x14ac:dyDescent="0.3">
      <c r="A58" t="s">
        <v>644</v>
      </c>
      <c r="B58" s="33" t="e">
        <f>+SUM(E58:BQ58)</f>
        <v>#REF!</v>
      </c>
      <c r="C58" s="38" t="e">
        <f t="shared" si="439"/>
        <v>#REF!</v>
      </c>
      <c r="D58" s="29" t="e">
        <f t="shared" si="440"/>
        <v>#REF!</v>
      </c>
      <c r="E58" s="30" t="e">
        <f>+#REF!</f>
        <v>#REF!</v>
      </c>
      <c r="F58" s="30" t="e">
        <f>+E58</f>
        <v>#REF!</v>
      </c>
      <c r="G58" s="30" t="e">
        <f>+F58</f>
        <v>#REF!</v>
      </c>
      <c r="H58" s="30" t="e">
        <f t="shared" ref="H58:I58" si="478">+G58</f>
        <v>#REF!</v>
      </c>
      <c r="I58" s="30" t="e">
        <f t="shared" si="478"/>
        <v>#REF!</v>
      </c>
      <c r="J58" s="29" t="e">
        <f>+I58*1.1</f>
        <v>#REF!</v>
      </c>
      <c r="K58" s="29" t="e">
        <f>+J58</f>
        <v>#REF!</v>
      </c>
      <c r="L58" s="29" t="e">
        <f t="shared" ref="L58" si="479">+K58</f>
        <v>#REF!</v>
      </c>
      <c r="M58" s="29" t="e">
        <f t="shared" ref="M58" si="480">+L58</f>
        <v>#REF!</v>
      </c>
      <c r="N58" s="29" t="e">
        <f t="shared" ref="N58" si="481">+M58</f>
        <v>#REF!</v>
      </c>
      <c r="O58" s="29" t="e">
        <f t="shared" ref="O58" si="482">+N58</f>
        <v>#REF!</v>
      </c>
      <c r="P58" s="29" t="e">
        <f t="shared" ref="P58" si="483">+O58</f>
        <v>#REF!</v>
      </c>
      <c r="Q58" s="29" t="e">
        <f t="shared" ref="Q58" si="484">+P58</f>
        <v>#REF!</v>
      </c>
      <c r="R58" s="29" t="e">
        <f t="shared" ref="R58" si="485">+Q58</f>
        <v>#REF!</v>
      </c>
      <c r="S58" s="29" t="e">
        <f t="shared" ref="S58" si="486">+R58</f>
        <v>#REF!</v>
      </c>
      <c r="T58" s="29" t="e">
        <f t="shared" ref="T58" si="487">+S58</f>
        <v>#REF!</v>
      </c>
      <c r="U58" s="29" t="e">
        <f t="shared" ref="U58" si="488">+T58</f>
        <v>#REF!</v>
      </c>
      <c r="V58" s="29" t="e">
        <f>+U58*1.1</f>
        <v>#REF!</v>
      </c>
      <c r="W58" s="34" t="e">
        <f>+V58</f>
        <v>#REF!</v>
      </c>
      <c r="X58" s="34" t="e">
        <f t="shared" ref="X58" si="489">+W58</f>
        <v>#REF!</v>
      </c>
      <c r="Y58" s="34" t="e">
        <f t="shared" ref="Y58" si="490">+X58</f>
        <v>#REF!</v>
      </c>
      <c r="Z58" s="34" t="e">
        <f t="shared" ref="Z58" si="491">+Y58</f>
        <v>#REF!</v>
      </c>
      <c r="AA58" s="34" t="e">
        <f t="shared" ref="AA58" si="492">+Z58</f>
        <v>#REF!</v>
      </c>
      <c r="AB58" s="34" t="e">
        <f t="shared" ref="AB58" si="493">+AA58</f>
        <v>#REF!</v>
      </c>
      <c r="AC58" s="34" t="e">
        <f t="shared" ref="AC58" si="494">+AB58</f>
        <v>#REF!</v>
      </c>
      <c r="AD58" s="34" t="e">
        <f t="shared" ref="AD58" si="495">+AC58</f>
        <v>#REF!</v>
      </c>
      <c r="AE58" s="34" t="e">
        <f t="shared" ref="AE58" si="496">+AD58</f>
        <v>#REF!</v>
      </c>
      <c r="AF58" s="34" t="e">
        <f t="shared" ref="AF58" si="497">+AE58</f>
        <v>#REF!</v>
      </c>
      <c r="AG58" s="34" t="e">
        <f t="shared" ref="AG58" si="498">+AF58</f>
        <v>#REF!</v>
      </c>
      <c r="AH58" s="34" t="e">
        <f>+AG58*1.1</f>
        <v>#REF!</v>
      </c>
      <c r="AI58" s="34" t="e">
        <f>+AH58</f>
        <v>#REF!</v>
      </c>
      <c r="AJ58" s="34" t="e">
        <f t="shared" ref="AJ58" si="499">+AI58</f>
        <v>#REF!</v>
      </c>
      <c r="AK58" s="34" t="e">
        <f t="shared" ref="AK58" si="500">+AJ58</f>
        <v>#REF!</v>
      </c>
      <c r="AL58" s="34" t="e">
        <f t="shared" ref="AL58" si="501">+AK58</f>
        <v>#REF!</v>
      </c>
      <c r="AM58" s="34" t="e">
        <f t="shared" ref="AM58" si="502">+AL58</f>
        <v>#REF!</v>
      </c>
      <c r="AN58" s="34" t="e">
        <f t="shared" ref="AN58" si="503">+AM58</f>
        <v>#REF!</v>
      </c>
      <c r="AO58" s="34" t="e">
        <f t="shared" ref="AO58" si="504">+AN58</f>
        <v>#REF!</v>
      </c>
      <c r="AP58" s="34" t="e">
        <f t="shared" ref="AP58" si="505">+AO58</f>
        <v>#REF!</v>
      </c>
      <c r="AQ58" s="34" t="e">
        <f t="shared" ref="AQ58" si="506">+AP58</f>
        <v>#REF!</v>
      </c>
      <c r="AR58" s="34" t="e">
        <f t="shared" ref="AR58" si="507">+AQ58</f>
        <v>#REF!</v>
      </c>
      <c r="AS58" s="34" t="e">
        <f t="shared" ref="AS58" si="508">+AR58</f>
        <v>#REF!</v>
      </c>
      <c r="AT58" s="34" t="e">
        <f>+AS58*1.1</f>
        <v>#REF!</v>
      </c>
      <c r="AU58" s="34" t="e">
        <f>+AT58</f>
        <v>#REF!</v>
      </c>
      <c r="AV58" s="34" t="e">
        <f t="shared" ref="AV58" si="509">+AU58</f>
        <v>#REF!</v>
      </c>
      <c r="AW58" s="34" t="e">
        <f t="shared" ref="AW58" si="510">+AV58</f>
        <v>#REF!</v>
      </c>
      <c r="AX58" s="34" t="e">
        <f t="shared" ref="AX58" si="511">+AW58</f>
        <v>#REF!</v>
      </c>
      <c r="AY58" s="34" t="e">
        <f t="shared" ref="AY58" si="512">+AX58</f>
        <v>#REF!</v>
      </c>
      <c r="AZ58" s="34" t="e">
        <f t="shared" ref="AZ58" si="513">+AY58</f>
        <v>#REF!</v>
      </c>
      <c r="BA58" s="34" t="e">
        <f t="shared" ref="BA58" si="514">+AZ58</f>
        <v>#REF!</v>
      </c>
      <c r="BB58" s="34" t="e">
        <f t="shared" ref="BB58" si="515">+BA58</f>
        <v>#REF!</v>
      </c>
      <c r="BC58" s="34" t="e">
        <f t="shared" ref="BC58" si="516">+BB58</f>
        <v>#REF!</v>
      </c>
      <c r="BD58" s="34" t="e">
        <f t="shared" ref="BD58" si="517">+BC58</f>
        <v>#REF!</v>
      </c>
      <c r="BE58" s="34" t="e">
        <f t="shared" ref="BE58" si="518">+BD58</f>
        <v>#REF!</v>
      </c>
      <c r="BF58" s="34" t="e">
        <f>+BE58*1.1</f>
        <v>#REF!</v>
      </c>
      <c r="BG58" s="34" t="e">
        <f>+BF58</f>
        <v>#REF!</v>
      </c>
      <c r="BH58" s="34" t="e">
        <f t="shared" ref="BH58" si="519">+BG58</f>
        <v>#REF!</v>
      </c>
      <c r="BI58" s="34" t="e">
        <f t="shared" ref="BI58" si="520">+BH58</f>
        <v>#REF!</v>
      </c>
      <c r="BJ58" s="34" t="e">
        <f t="shared" ref="BJ58" si="521">+BI58</f>
        <v>#REF!</v>
      </c>
      <c r="BK58" s="34" t="e">
        <f t="shared" ref="BK58" si="522">+BJ58</f>
        <v>#REF!</v>
      </c>
      <c r="BL58" s="34" t="e">
        <f t="shared" ref="BL58" si="523">+BK58</f>
        <v>#REF!</v>
      </c>
      <c r="BM58" s="34" t="e">
        <f t="shared" ref="BM58" si="524">+BL58</f>
        <v>#REF!</v>
      </c>
      <c r="BN58" s="34" t="e">
        <f t="shared" ref="BN58" si="525">+BM58</f>
        <v>#REF!</v>
      </c>
      <c r="BO58" s="34" t="e">
        <f t="shared" ref="BO58" si="526">+BN58</f>
        <v>#REF!</v>
      </c>
      <c r="BP58" s="34" t="e">
        <f t="shared" ref="BP58" si="527">+BO58</f>
        <v>#REF!</v>
      </c>
      <c r="BQ58" s="34" t="e">
        <f t="shared" ref="BQ58" si="528">+BP58</f>
        <v>#REF!</v>
      </c>
      <c r="BR58" s="34" t="e">
        <f>+BQ58*1.1</f>
        <v>#REF!</v>
      </c>
      <c r="BS58" s="34" t="e">
        <f>+BR58</f>
        <v>#REF!</v>
      </c>
      <c r="BT58" s="34" t="e">
        <f t="shared" ref="BT58" si="529">+BS58</f>
        <v>#REF!</v>
      </c>
      <c r="BU58" s="34" t="e">
        <f t="shared" ref="BU58" si="530">+BT58</f>
        <v>#REF!</v>
      </c>
      <c r="BV58" s="34" t="e">
        <f t="shared" ref="BV58" si="531">+BU58</f>
        <v>#REF!</v>
      </c>
      <c r="BW58" s="34" t="e">
        <f t="shared" ref="BW58" si="532">+BV58</f>
        <v>#REF!</v>
      </c>
      <c r="BX58" s="34" t="e">
        <f t="shared" ref="BX58" si="533">+BW58</f>
        <v>#REF!</v>
      </c>
      <c r="BY58" s="34" t="e">
        <f t="shared" ref="BY58" si="534">+BX58</f>
        <v>#REF!</v>
      </c>
      <c r="BZ58" s="34" t="e">
        <f t="shared" ref="BZ58" si="535">+BY58</f>
        <v>#REF!</v>
      </c>
      <c r="CA58" s="34" t="e">
        <f t="shared" ref="CA58" si="536">+BZ58</f>
        <v>#REF!</v>
      </c>
      <c r="CB58" s="34" t="e">
        <f t="shared" ref="CB58" si="537">+CA58</f>
        <v>#REF!</v>
      </c>
      <c r="CC58" s="34" t="e">
        <f t="shared" ref="CC58" si="538">+CB58</f>
        <v>#REF!</v>
      </c>
      <c r="CD58" s="34" t="e">
        <f>+CC58*1.1</f>
        <v>#REF!</v>
      </c>
      <c r="CE58" s="34" t="e">
        <f>+CD58</f>
        <v>#REF!</v>
      </c>
      <c r="CF58" s="34" t="e">
        <f t="shared" ref="CF58" si="539">+CE58</f>
        <v>#REF!</v>
      </c>
      <c r="CG58" s="34" t="e">
        <f t="shared" ref="CG58" si="540">+CF58</f>
        <v>#REF!</v>
      </c>
      <c r="CH58" s="34" t="e">
        <f t="shared" ref="CH58" si="541">+CG58</f>
        <v>#REF!</v>
      </c>
      <c r="CI58" s="34" t="e">
        <f t="shared" ref="CI58" si="542">+CH58</f>
        <v>#REF!</v>
      </c>
      <c r="CJ58" s="34" t="e">
        <f t="shared" ref="CJ58" si="543">+CI58</f>
        <v>#REF!</v>
      </c>
      <c r="CK58" s="34" t="e">
        <f t="shared" ref="CK58" si="544">+CJ58</f>
        <v>#REF!</v>
      </c>
      <c r="CL58" s="34" t="e">
        <f t="shared" ref="CL58" si="545">+CK58</f>
        <v>#REF!</v>
      </c>
      <c r="CM58" s="34" t="e">
        <f t="shared" ref="CM58" si="546">+CL58</f>
        <v>#REF!</v>
      </c>
      <c r="CN58" s="34" t="e">
        <f t="shared" ref="CN58" si="547">+CM58</f>
        <v>#REF!</v>
      </c>
      <c r="CO58" s="34" t="e">
        <f t="shared" ref="CO58" si="548">+CN58</f>
        <v>#REF!</v>
      </c>
      <c r="CP58" s="34" t="e">
        <f>+CO58*1.1</f>
        <v>#REF!</v>
      </c>
      <c r="CQ58" s="34" t="e">
        <f>+CP58</f>
        <v>#REF!</v>
      </c>
      <c r="CR58" s="34" t="e">
        <f t="shared" ref="CR58" si="549">+CQ58</f>
        <v>#REF!</v>
      </c>
      <c r="CS58" s="34" t="e">
        <f t="shared" ref="CS58" si="550">+CR58</f>
        <v>#REF!</v>
      </c>
      <c r="CT58" s="34" t="e">
        <f t="shared" ref="CT58" si="551">+CS58</f>
        <v>#REF!</v>
      </c>
      <c r="CU58" s="34" t="e">
        <f t="shared" ref="CU58" si="552">+CT58</f>
        <v>#REF!</v>
      </c>
      <c r="CV58" s="34" t="e">
        <f t="shared" ref="CV58" si="553">+CU58</f>
        <v>#REF!</v>
      </c>
      <c r="CW58" s="34" t="e">
        <f t="shared" ref="CW58" si="554">+CV58</f>
        <v>#REF!</v>
      </c>
      <c r="CX58" s="34" t="e">
        <f t="shared" ref="CX58" si="555">+CW58</f>
        <v>#REF!</v>
      </c>
      <c r="CY58" s="34" t="e">
        <f t="shared" ref="CY58" si="556">+CX58</f>
        <v>#REF!</v>
      </c>
      <c r="CZ58" s="34" t="e">
        <f t="shared" ref="CZ58" si="557">+CY58</f>
        <v>#REF!</v>
      </c>
      <c r="DA58" s="34" t="e">
        <f t="shared" ref="DA58" si="558">+CZ58</f>
        <v>#REF!</v>
      </c>
      <c r="DB58" s="34" t="e">
        <f>+DA58*1.1</f>
        <v>#REF!</v>
      </c>
      <c r="DC58" s="34" t="e">
        <f>+DB58</f>
        <v>#REF!</v>
      </c>
      <c r="DD58" s="34" t="e">
        <f t="shared" ref="DD58" si="559">+DC58</f>
        <v>#REF!</v>
      </c>
      <c r="DE58" s="34" t="e">
        <f t="shared" ref="DE58" si="560">+DD58</f>
        <v>#REF!</v>
      </c>
      <c r="DF58" s="34" t="e">
        <f t="shared" ref="DF58" si="561">+DE58</f>
        <v>#REF!</v>
      </c>
      <c r="DG58" s="34" t="e">
        <f t="shared" ref="DG58" si="562">+DF58</f>
        <v>#REF!</v>
      </c>
      <c r="DH58" s="34" t="e">
        <f t="shared" ref="DH58" si="563">+DG58</f>
        <v>#REF!</v>
      </c>
      <c r="DI58" s="34" t="e">
        <f t="shared" ref="DI58" si="564">+DH58</f>
        <v>#REF!</v>
      </c>
      <c r="DJ58" s="34" t="e">
        <f t="shared" ref="DJ58" si="565">+DI58</f>
        <v>#REF!</v>
      </c>
      <c r="DK58" s="34" t="e">
        <f t="shared" ref="DK58" si="566">+DJ58</f>
        <v>#REF!</v>
      </c>
      <c r="DL58" s="34" t="e">
        <f t="shared" ref="DL58" si="567">+DK58</f>
        <v>#REF!</v>
      </c>
      <c r="DM58" s="34" t="e">
        <f t="shared" ref="DM58" si="568">+DL58</f>
        <v>#REF!</v>
      </c>
      <c r="DN58" s="34" t="e">
        <f>+DM58*1.1</f>
        <v>#REF!</v>
      </c>
      <c r="DO58" s="34" t="e">
        <f>+DN58</f>
        <v>#REF!</v>
      </c>
      <c r="DP58" s="34" t="e">
        <f t="shared" ref="DP58" si="569">+DO58</f>
        <v>#REF!</v>
      </c>
      <c r="DQ58" s="34" t="e">
        <f t="shared" ref="DQ58" si="570">+DP58</f>
        <v>#REF!</v>
      </c>
      <c r="DR58" s="34" t="e">
        <f t="shared" ref="DR58" si="571">+DQ58</f>
        <v>#REF!</v>
      </c>
      <c r="DS58" s="34" t="e">
        <f t="shared" ref="DS58" si="572">+DR58</f>
        <v>#REF!</v>
      </c>
      <c r="DT58" s="34" t="e">
        <f t="shared" ref="DT58" si="573">+DS58</f>
        <v>#REF!</v>
      </c>
      <c r="DU58" s="34" t="e">
        <f>+DT58</f>
        <v>#REF!</v>
      </c>
      <c r="DV58" s="34" t="e">
        <f t="shared" si="444"/>
        <v>#REF!</v>
      </c>
      <c r="DW58" s="34" t="e">
        <f t="shared" si="445"/>
        <v>#REF!</v>
      </c>
      <c r="DX58" s="34" t="e">
        <f t="shared" si="446"/>
        <v>#REF!</v>
      </c>
      <c r="DY58" s="34" t="e">
        <f t="shared" si="447"/>
        <v>#REF!</v>
      </c>
      <c r="DZ58" s="34" t="e">
        <f>+DY58*1.1</f>
        <v>#REF!</v>
      </c>
      <c r="EA58" s="34" t="e">
        <f>+DZ58</f>
        <v>#REF!</v>
      </c>
      <c r="EB58" s="34" t="e">
        <f t="shared" si="450"/>
        <v>#REF!</v>
      </c>
      <c r="EC58" s="34" t="e">
        <f t="shared" si="451"/>
        <v>#REF!</v>
      </c>
      <c r="ED58" s="34" t="e">
        <f t="shared" si="452"/>
        <v>#REF!</v>
      </c>
      <c r="EE58" s="34" t="e">
        <f t="shared" si="453"/>
        <v>#REF!</v>
      </c>
      <c r="EF58" s="34" t="e">
        <f t="shared" si="454"/>
        <v>#REF!</v>
      </c>
      <c r="EG58" s="34" t="e">
        <f t="shared" si="455"/>
        <v>#REF!</v>
      </c>
      <c r="EH58" s="34" t="e">
        <f t="shared" si="456"/>
        <v>#REF!</v>
      </c>
      <c r="EI58" s="34" t="e">
        <f t="shared" si="457"/>
        <v>#REF!</v>
      </c>
      <c r="EJ58" s="34" t="e">
        <f t="shared" si="458"/>
        <v>#REF!</v>
      </c>
      <c r="EK58" s="34" t="e">
        <f t="shared" si="459"/>
        <v>#REF!</v>
      </c>
      <c r="EL58" s="34" t="e">
        <f>+EK58*1.1</f>
        <v>#REF!</v>
      </c>
      <c r="EM58" s="34" t="e">
        <f>+EL58</f>
        <v>#REF!</v>
      </c>
      <c r="EN58" s="34" t="e">
        <f t="shared" si="462"/>
        <v>#REF!</v>
      </c>
      <c r="EO58" s="34" t="e">
        <f t="shared" si="463"/>
        <v>#REF!</v>
      </c>
      <c r="EP58" s="34" t="e">
        <f t="shared" si="464"/>
        <v>#REF!</v>
      </c>
      <c r="EQ58" s="34" t="e">
        <f t="shared" si="465"/>
        <v>#REF!</v>
      </c>
      <c r="ER58" s="34" t="e">
        <f t="shared" si="466"/>
        <v>#REF!</v>
      </c>
      <c r="ES58" s="34" t="e">
        <f t="shared" si="467"/>
        <v>#REF!</v>
      </c>
      <c r="ET58" s="34" t="e">
        <f t="shared" si="468"/>
        <v>#REF!</v>
      </c>
      <c r="EU58" s="34" t="e">
        <f t="shared" si="469"/>
        <v>#REF!</v>
      </c>
      <c r="EV58" s="34" t="e">
        <f t="shared" si="470"/>
        <v>#REF!</v>
      </c>
      <c r="EW58" s="34" t="e">
        <f t="shared" si="471"/>
        <v>#REF!</v>
      </c>
      <c r="EX58" s="34" t="e">
        <f>+EW58*1.1</f>
        <v>#REF!</v>
      </c>
      <c r="EY58" s="34" t="e">
        <f>+EX58</f>
        <v>#REF!</v>
      </c>
      <c r="EZ58" s="34" t="e">
        <f t="shared" si="472"/>
        <v>#REF!</v>
      </c>
      <c r="FA58" s="34" t="e">
        <f t="shared" si="473"/>
        <v>#REF!</v>
      </c>
      <c r="FB58" s="34" t="e">
        <f t="shared" si="474"/>
        <v>#REF!</v>
      </c>
      <c r="FC58" s="34" t="e">
        <f t="shared" si="475"/>
        <v>#REF!</v>
      </c>
      <c r="FD58" s="34" t="e">
        <f t="shared" si="476"/>
        <v>#REF!</v>
      </c>
      <c r="FE58" s="34" t="e">
        <f t="shared" si="476"/>
        <v>#REF!</v>
      </c>
      <c r="FF58" s="34" t="e">
        <f t="shared" si="476"/>
        <v>#REF!</v>
      </c>
      <c r="FG58" s="34" t="e">
        <f t="shared" si="476"/>
        <v>#REF!</v>
      </c>
      <c r="FH58" s="34" t="e">
        <f t="shared" si="476"/>
        <v>#REF!</v>
      </c>
      <c r="FI58" s="34" t="e">
        <f t="shared" si="476"/>
        <v>#REF!</v>
      </c>
      <c r="FJ58" s="34" t="e">
        <f>+FI58*1.1</f>
        <v>#REF!</v>
      </c>
      <c r="FK58" s="34" t="e">
        <f>+FJ58</f>
        <v>#REF!</v>
      </c>
      <c r="FL58" s="34" t="e">
        <f t="shared" si="477"/>
        <v>#REF!</v>
      </c>
      <c r="FM58" s="34" t="e">
        <f t="shared" si="477"/>
        <v>#REF!</v>
      </c>
      <c r="FN58" s="34" t="e">
        <f t="shared" si="477"/>
        <v>#REF!</v>
      </c>
      <c r="FO58" s="34" t="e">
        <f t="shared" si="477"/>
        <v>#REF!</v>
      </c>
      <c r="FP58" s="34" t="e">
        <f t="shared" si="477"/>
        <v>#REF!</v>
      </c>
      <c r="FQ58" s="34" t="e">
        <f t="shared" si="477"/>
        <v>#REF!</v>
      </c>
      <c r="FR58" s="34" t="e">
        <f t="shared" si="477"/>
        <v>#REF!</v>
      </c>
      <c r="FS58" s="34" t="e">
        <f t="shared" si="477"/>
        <v>#REF!</v>
      </c>
      <c r="FT58" s="34" t="e">
        <f t="shared" si="477"/>
        <v>#REF!</v>
      </c>
      <c r="FU58" s="34" t="e">
        <f t="shared" si="477"/>
        <v>#REF!</v>
      </c>
      <c r="FV58" s="34" t="e">
        <f>+FU58*1.1</f>
        <v>#REF!</v>
      </c>
      <c r="FW58" s="34" t="e">
        <f>+FV58</f>
        <v>#REF!</v>
      </c>
      <c r="FX58" s="34" t="e">
        <f t="shared" ref="FX58:GG58" si="574">+FW58</f>
        <v>#REF!</v>
      </c>
      <c r="FY58" s="34" t="e">
        <f t="shared" si="574"/>
        <v>#REF!</v>
      </c>
      <c r="FZ58" s="34" t="e">
        <f t="shared" si="574"/>
        <v>#REF!</v>
      </c>
      <c r="GA58" s="34" t="e">
        <f t="shared" si="574"/>
        <v>#REF!</v>
      </c>
      <c r="GB58" s="34" t="e">
        <f t="shared" si="574"/>
        <v>#REF!</v>
      </c>
      <c r="GC58" s="34" t="e">
        <f t="shared" si="574"/>
        <v>#REF!</v>
      </c>
      <c r="GD58" s="34" t="e">
        <f t="shared" si="574"/>
        <v>#REF!</v>
      </c>
      <c r="GE58" s="34" t="e">
        <f t="shared" si="574"/>
        <v>#REF!</v>
      </c>
      <c r="GF58" s="34" t="e">
        <f t="shared" si="574"/>
        <v>#REF!</v>
      </c>
      <c r="GG58" s="34" t="e">
        <f t="shared" si="574"/>
        <v>#REF!</v>
      </c>
      <c r="GH58" s="34" t="e">
        <f>+GG58*1.1</f>
        <v>#REF!</v>
      </c>
      <c r="GI58" s="34" t="e">
        <f>+GH58</f>
        <v>#REF!</v>
      </c>
      <c r="GJ58" s="34" t="e">
        <f t="shared" ref="GJ58:GS58" si="575">+GI58</f>
        <v>#REF!</v>
      </c>
      <c r="GK58" s="34" t="e">
        <f t="shared" si="575"/>
        <v>#REF!</v>
      </c>
      <c r="GL58" s="34" t="e">
        <f t="shared" si="575"/>
        <v>#REF!</v>
      </c>
      <c r="GM58" s="34" t="e">
        <f t="shared" si="575"/>
        <v>#REF!</v>
      </c>
      <c r="GN58" s="34" t="e">
        <f t="shared" si="575"/>
        <v>#REF!</v>
      </c>
      <c r="GO58" s="34" t="e">
        <f t="shared" si="575"/>
        <v>#REF!</v>
      </c>
      <c r="GP58" s="34" t="e">
        <f t="shared" si="575"/>
        <v>#REF!</v>
      </c>
      <c r="GQ58" s="34" t="e">
        <f t="shared" si="575"/>
        <v>#REF!</v>
      </c>
      <c r="GR58" s="34" t="e">
        <f t="shared" si="575"/>
        <v>#REF!</v>
      </c>
      <c r="GS58" s="34" t="e">
        <f t="shared" si="575"/>
        <v>#REF!</v>
      </c>
      <c r="GT58" s="34" t="e">
        <f>+GS58*1.1</f>
        <v>#REF!</v>
      </c>
      <c r="GU58" s="34" t="e">
        <f>+GT58</f>
        <v>#REF!</v>
      </c>
      <c r="GV58" s="34" t="e">
        <f t="shared" ref="GV58:HE58" si="576">+GU58</f>
        <v>#REF!</v>
      </c>
      <c r="GW58" s="34" t="e">
        <f t="shared" si="576"/>
        <v>#REF!</v>
      </c>
      <c r="GX58" s="34" t="e">
        <f t="shared" si="576"/>
        <v>#REF!</v>
      </c>
      <c r="GY58" s="34" t="e">
        <f t="shared" si="576"/>
        <v>#REF!</v>
      </c>
      <c r="GZ58" s="34" t="e">
        <f t="shared" si="576"/>
        <v>#REF!</v>
      </c>
      <c r="HA58" s="34" t="e">
        <f t="shared" si="576"/>
        <v>#REF!</v>
      </c>
      <c r="HB58" s="34" t="e">
        <f t="shared" si="576"/>
        <v>#REF!</v>
      </c>
      <c r="HC58" s="34" t="e">
        <f t="shared" si="576"/>
        <v>#REF!</v>
      </c>
      <c r="HD58" s="34" t="e">
        <f t="shared" si="576"/>
        <v>#REF!</v>
      </c>
      <c r="HE58" s="34" t="e">
        <f t="shared" si="576"/>
        <v>#REF!</v>
      </c>
      <c r="HF58" s="34" t="e">
        <f>+HE58*1.1</f>
        <v>#REF!</v>
      </c>
      <c r="HG58" s="34" t="e">
        <f>+HF58</f>
        <v>#REF!</v>
      </c>
      <c r="HH58" s="34" t="e">
        <f t="shared" ref="HH58:HQ58" si="577">+HG58</f>
        <v>#REF!</v>
      </c>
      <c r="HI58" s="34" t="e">
        <f t="shared" si="577"/>
        <v>#REF!</v>
      </c>
      <c r="HJ58" s="34" t="e">
        <f t="shared" si="577"/>
        <v>#REF!</v>
      </c>
      <c r="HK58" s="34" t="e">
        <f t="shared" si="577"/>
        <v>#REF!</v>
      </c>
      <c r="HL58" s="34" t="e">
        <f t="shared" si="577"/>
        <v>#REF!</v>
      </c>
      <c r="HM58" s="34" t="e">
        <f t="shared" si="577"/>
        <v>#REF!</v>
      </c>
      <c r="HN58" s="34" t="e">
        <f t="shared" si="577"/>
        <v>#REF!</v>
      </c>
      <c r="HO58" s="34" t="e">
        <f t="shared" si="577"/>
        <v>#REF!</v>
      </c>
      <c r="HP58" s="34" t="e">
        <f t="shared" si="577"/>
        <v>#REF!</v>
      </c>
      <c r="HQ58" s="34" t="e">
        <f t="shared" si="577"/>
        <v>#REF!</v>
      </c>
      <c r="HR58" s="34" t="e">
        <f>+HQ58*1.1</f>
        <v>#REF!</v>
      </c>
      <c r="HS58" s="34" t="e">
        <f>+HR58</f>
        <v>#REF!</v>
      </c>
      <c r="HT58" s="34" t="e">
        <f>+HS58</f>
        <v>#REF!</v>
      </c>
      <c r="HU58" s="34" t="e">
        <f t="shared" ref="HU58:IC58" si="578">+HT58</f>
        <v>#REF!</v>
      </c>
      <c r="HV58" s="34" t="e">
        <f t="shared" si="578"/>
        <v>#REF!</v>
      </c>
      <c r="HW58" s="34" t="e">
        <f t="shared" si="578"/>
        <v>#REF!</v>
      </c>
      <c r="HX58" s="34" t="e">
        <f t="shared" si="578"/>
        <v>#REF!</v>
      </c>
      <c r="HY58" s="34" t="e">
        <f t="shared" si="578"/>
        <v>#REF!</v>
      </c>
      <c r="HZ58" s="34" t="e">
        <f t="shared" si="578"/>
        <v>#REF!</v>
      </c>
      <c r="IA58" s="34" t="e">
        <f t="shared" si="578"/>
        <v>#REF!</v>
      </c>
      <c r="IB58" s="34" t="e">
        <f t="shared" si="578"/>
        <v>#REF!</v>
      </c>
      <c r="IC58" s="34" t="e">
        <f t="shared" si="578"/>
        <v>#REF!</v>
      </c>
      <c r="ID58" s="34" t="e">
        <f>+IC58*1.1</f>
        <v>#REF!</v>
      </c>
      <c r="IE58" s="34" t="e">
        <f>+ID58</f>
        <v>#REF!</v>
      </c>
      <c r="IF58" s="34" t="e">
        <f t="shared" ref="IF58:IJ58" si="579">+IE58</f>
        <v>#REF!</v>
      </c>
      <c r="IG58" s="34" t="e">
        <f t="shared" si="579"/>
        <v>#REF!</v>
      </c>
      <c r="IH58" s="34" t="e">
        <f t="shared" si="579"/>
        <v>#REF!</v>
      </c>
      <c r="II58" s="34" t="e">
        <f t="shared" si="579"/>
        <v>#REF!</v>
      </c>
      <c r="IJ58" s="34" t="e">
        <f t="shared" si="579"/>
        <v>#REF!</v>
      </c>
      <c r="IK58" s="34" t="e">
        <f>+IJ58*1.1</f>
        <v>#REF!</v>
      </c>
      <c r="IL58" s="34" t="e">
        <f>+IK58*1.1</f>
        <v>#REF!</v>
      </c>
      <c r="IM58" s="34" t="e">
        <f>+IL58</f>
        <v>#REF!</v>
      </c>
      <c r="IN58" s="34" t="e">
        <f t="shared" ref="IN58" si="580">+IM58</f>
        <v>#REF!</v>
      </c>
      <c r="IO58" s="34" t="e">
        <f t="shared" ref="IO58" si="581">+IN58</f>
        <v>#REF!</v>
      </c>
    </row>
    <row r="59" spans="1:249" x14ac:dyDescent="0.3">
      <c r="A59" t="s">
        <v>11</v>
      </c>
      <c r="B59" s="33" t="e">
        <f>+SUM(E59:BQ59)</f>
        <v>#REF!</v>
      </c>
      <c r="C59" s="33"/>
      <c r="D59" s="29" t="e">
        <f>+B59/$C$64</f>
        <v>#REF!</v>
      </c>
      <c r="E59" s="33" t="e">
        <f>+SUM(E53:E58)</f>
        <v>#REF!</v>
      </c>
      <c r="F59" s="33" t="e">
        <f t="shared" ref="F59:K59" si="582">+SUM(F53:F58)</f>
        <v>#REF!</v>
      </c>
      <c r="G59" s="33" t="e">
        <f t="shared" si="582"/>
        <v>#REF!</v>
      </c>
      <c r="H59" s="33" t="e">
        <f t="shared" si="582"/>
        <v>#REF!</v>
      </c>
      <c r="I59" s="33" t="e">
        <f t="shared" si="582"/>
        <v>#REF!</v>
      </c>
      <c r="J59" s="33" t="e">
        <f t="shared" si="582"/>
        <v>#REF!</v>
      </c>
      <c r="K59" s="33" t="e">
        <f t="shared" si="582"/>
        <v>#REF!</v>
      </c>
      <c r="L59" s="33" t="e">
        <f t="shared" ref="L59:BQ59" si="583">+SUM(L53:L58)</f>
        <v>#REF!</v>
      </c>
      <c r="M59" s="33" t="e">
        <f t="shared" si="583"/>
        <v>#REF!</v>
      </c>
      <c r="N59" s="33" t="e">
        <f t="shared" si="583"/>
        <v>#REF!</v>
      </c>
      <c r="O59" s="33" t="e">
        <f t="shared" si="583"/>
        <v>#REF!</v>
      </c>
      <c r="P59" s="33" t="e">
        <f t="shared" si="583"/>
        <v>#REF!</v>
      </c>
      <c r="Q59" s="33" t="e">
        <f t="shared" si="583"/>
        <v>#REF!</v>
      </c>
      <c r="R59" s="33" t="e">
        <f>+SUM(R53:R58)</f>
        <v>#REF!</v>
      </c>
      <c r="S59" s="33" t="e">
        <f t="shared" si="583"/>
        <v>#REF!</v>
      </c>
      <c r="T59" s="33" t="e">
        <f t="shared" si="583"/>
        <v>#REF!</v>
      </c>
      <c r="U59" s="33" t="e">
        <f t="shared" si="583"/>
        <v>#REF!</v>
      </c>
      <c r="V59" s="33" t="e">
        <f t="shared" si="583"/>
        <v>#REF!</v>
      </c>
      <c r="W59" s="33" t="e">
        <f t="shared" si="583"/>
        <v>#REF!</v>
      </c>
      <c r="X59" s="33" t="e">
        <f t="shared" si="583"/>
        <v>#REF!</v>
      </c>
      <c r="Y59" s="33" t="e">
        <f t="shared" si="583"/>
        <v>#REF!</v>
      </c>
      <c r="Z59" s="33" t="e">
        <f t="shared" si="583"/>
        <v>#REF!</v>
      </c>
      <c r="AA59" s="33" t="e">
        <f t="shared" si="583"/>
        <v>#REF!</v>
      </c>
      <c r="AB59" s="33" t="e">
        <f t="shared" si="583"/>
        <v>#REF!</v>
      </c>
      <c r="AC59" s="33" t="e">
        <f t="shared" si="583"/>
        <v>#REF!</v>
      </c>
      <c r="AD59" s="33" t="e">
        <f t="shared" si="583"/>
        <v>#REF!</v>
      </c>
      <c r="AE59" s="33" t="e">
        <f t="shared" si="583"/>
        <v>#REF!</v>
      </c>
      <c r="AF59" s="33" t="e">
        <f t="shared" si="583"/>
        <v>#REF!</v>
      </c>
      <c r="AG59" s="33" t="e">
        <f t="shared" si="583"/>
        <v>#REF!</v>
      </c>
      <c r="AH59" s="33" t="e">
        <f t="shared" si="583"/>
        <v>#REF!</v>
      </c>
      <c r="AI59" s="33" t="e">
        <f t="shared" si="583"/>
        <v>#REF!</v>
      </c>
      <c r="AJ59" s="33" t="e">
        <f t="shared" si="583"/>
        <v>#REF!</v>
      </c>
      <c r="AK59" s="33" t="e">
        <f t="shared" si="583"/>
        <v>#REF!</v>
      </c>
      <c r="AL59" s="33" t="e">
        <f t="shared" si="583"/>
        <v>#REF!</v>
      </c>
      <c r="AM59" s="33" t="e">
        <f t="shared" si="583"/>
        <v>#REF!</v>
      </c>
      <c r="AN59" s="33" t="e">
        <f t="shared" si="583"/>
        <v>#REF!</v>
      </c>
      <c r="AO59" s="33" t="e">
        <f t="shared" si="583"/>
        <v>#REF!</v>
      </c>
      <c r="AP59" s="33" t="e">
        <f t="shared" si="583"/>
        <v>#REF!</v>
      </c>
      <c r="AQ59" s="33" t="e">
        <f t="shared" si="583"/>
        <v>#REF!</v>
      </c>
      <c r="AR59" s="33" t="e">
        <f t="shared" si="583"/>
        <v>#REF!</v>
      </c>
      <c r="AS59" s="33" t="e">
        <f t="shared" si="583"/>
        <v>#REF!</v>
      </c>
      <c r="AT59" s="33" t="e">
        <f t="shared" si="583"/>
        <v>#REF!</v>
      </c>
      <c r="AU59" s="33" t="e">
        <f t="shared" si="583"/>
        <v>#REF!</v>
      </c>
      <c r="AV59" s="33" t="e">
        <f t="shared" si="583"/>
        <v>#REF!</v>
      </c>
      <c r="AW59" s="33" t="e">
        <f t="shared" si="583"/>
        <v>#REF!</v>
      </c>
      <c r="AX59" s="33" t="e">
        <f t="shared" si="583"/>
        <v>#REF!</v>
      </c>
      <c r="AY59" s="33" t="e">
        <f t="shared" si="583"/>
        <v>#REF!</v>
      </c>
      <c r="AZ59" s="33" t="e">
        <f t="shared" si="583"/>
        <v>#REF!</v>
      </c>
      <c r="BA59" s="33" t="e">
        <f>+SUM(BA53:BA58)</f>
        <v>#REF!</v>
      </c>
      <c r="BB59" s="33" t="e">
        <f>+SUM(BB53:BB58)</f>
        <v>#REF!</v>
      </c>
      <c r="BC59" s="33" t="e">
        <f t="shared" si="583"/>
        <v>#REF!</v>
      </c>
      <c r="BD59" s="33" t="e">
        <f t="shared" si="583"/>
        <v>#REF!</v>
      </c>
      <c r="BE59" s="33" t="e">
        <f t="shared" si="583"/>
        <v>#REF!</v>
      </c>
      <c r="BF59" s="33" t="e">
        <f t="shared" si="583"/>
        <v>#REF!</v>
      </c>
      <c r="BG59" s="33" t="e">
        <f>+SUM(BG53:BG58)</f>
        <v>#REF!</v>
      </c>
      <c r="BH59" s="33" t="e">
        <f t="shared" si="583"/>
        <v>#REF!</v>
      </c>
      <c r="BI59" s="33" t="e">
        <f t="shared" si="583"/>
        <v>#REF!</v>
      </c>
      <c r="BJ59" s="33" t="e">
        <f t="shared" si="583"/>
        <v>#REF!</v>
      </c>
      <c r="BK59" s="33" t="e">
        <f t="shared" si="583"/>
        <v>#REF!</v>
      </c>
      <c r="BL59" s="33" t="e">
        <f t="shared" si="583"/>
        <v>#REF!</v>
      </c>
      <c r="BM59" s="33" t="e">
        <f t="shared" si="583"/>
        <v>#REF!</v>
      </c>
      <c r="BN59" s="33" t="e">
        <f t="shared" si="583"/>
        <v>#REF!</v>
      </c>
      <c r="BO59" s="33" t="e">
        <f t="shared" si="583"/>
        <v>#REF!</v>
      </c>
      <c r="BP59" s="33" t="e">
        <f t="shared" si="583"/>
        <v>#REF!</v>
      </c>
      <c r="BQ59" s="33" t="e">
        <f t="shared" si="583"/>
        <v>#REF!</v>
      </c>
      <c r="BR59" s="33" t="e">
        <f t="shared" ref="BR59:DS59" si="584">+SUM(BR53:BR58)</f>
        <v>#REF!</v>
      </c>
      <c r="BS59" s="33" t="e">
        <f t="shared" si="584"/>
        <v>#REF!</v>
      </c>
      <c r="BT59" s="33" t="e">
        <f t="shared" si="584"/>
        <v>#REF!</v>
      </c>
      <c r="BU59" s="33" t="e">
        <f t="shared" si="584"/>
        <v>#REF!</v>
      </c>
      <c r="BV59" s="33" t="e">
        <f t="shared" si="584"/>
        <v>#REF!</v>
      </c>
      <c r="BW59" s="33" t="e">
        <f t="shared" si="584"/>
        <v>#REF!</v>
      </c>
      <c r="BX59" s="33" t="e">
        <f t="shared" si="584"/>
        <v>#REF!</v>
      </c>
      <c r="BY59" s="33" t="e">
        <f t="shared" si="584"/>
        <v>#REF!</v>
      </c>
      <c r="BZ59" s="33" t="e">
        <f t="shared" si="584"/>
        <v>#REF!</v>
      </c>
      <c r="CA59" s="33" t="e">
        <f t="shared" si="584"/>
        <v>#REF!</v>
      </c>
      <c r="CB59" s="33" t="e">
        <f t="shared" si="584"/>
        <v>#REF!</v>
      </c>
      <c r="CC59" s="33" t="e">
        <f t="shared" si="584"/>
        <v>#REF!</v>
      </c>
      <c r="CD59" s="33" t="e">
        <f t="shared" si="584"/>
        <v>#REF!</v>
      </c>
      <c r="CE59" s="33" t="e">
        <f t="shared" si="584"/>
        <v>#REF!</v>
      </c>
      <c r="CF59" s="33" t="e">
        <f t="shared" si="584"/>
        <v>#REF!</v>
      </c>
      <c r="CG59" s="33" t="e">
        <f t="shared" si="584"/>
        <v>#REF!</v>
      </c>
      <c r="CH59" s="33" t="e">
        <f t="shared" si="584"/>
        <v>#REF!</v>
      </c>
      <c r="CI59" s="33" t="e">
        <f t="shared" si="584"/>
        <v>#REF!</v>
      </c>
      <c r="CJ59" s="33" t="e">
        <f t="shared" si="584"/>
        <v>#REF!</v>
      </c>
      <c r="CK59" s="33" t="e">
        <f t="shared" si="584"/>
        <v>#REF!</v>
      </c>
      <c r="CL59" s="33" t="e">
        <f t="shared" si="584"/>
        <v>#REF!</v>
      </c>
      <c r="CM59" s="33" t="e">
        <f t="shared" si="584"/>
        <v>#REF!</v>
      </c>
      <c r="CN59" s="33" t="e">
        <f t="shared" si="584"/>
        <v>#REF!</v>
      </c>
      <c r="CO59" s="33" t="e">
        <f t="shared" si="584"/>
        <v>#REF!</v>
      </c>
      <c r="CP59" s="33" t="e">
        <f t="shared" si="584"/>
        <v>#REF!</v>
      </c>
      <c r="CQ59" s="33" t="e">
        <f t="shared" si="584"/>
        <v>#REF!</v>
      </c>
      <c r="CR59" s="33" t="e">
        <f t="shared" si="584"/>
        <v>#REF!</v>
      </c>
      <c r="CS59" s="33" t="e">
        <f t="shared" si="584"/>
        <v>#REF!</v>
      </c>
      <c r="CT59" s="33" t="e">
        <f t="shared" si="584"/>
        <v>#REF!</v>
      </c>
      <c r="CU59" s="33" t="e">
        <f t="shared" si="584"/>
        <v>#REF!</v>
      </c>
      <c r="CV59" s="33" t="e">
        <f t="shared" si="584"/>
        <v>#REF!</v>
      </c>
      <c r="CW59" s="33" t="e">
        <f t="shared" si="584"/>
        <v>#REF!</v>
      </c>
      <c r="CX59" s="33" t="e">
        <f t="shared" si="584"/>
        <v>#REF!</v>
      </c>
      <c r="CY59" s="33" t="e">
        <f t="shared" si="584"/>
        <v>#REF!</v>
      </c>
      <c r="CZ59" s="33" t="e">
        <f t="shared" si="584"/>
        <v>#REF!</v>
      </c>
      <c r="DA59" s="33" t="e">
        <f t="shared" si="584"/>
        <v>#REF!</v>
      </c>
      <c r="DB59" s="33" t="e">
        <f t="shared" si="584"/>
        <v>#REF!</v>
      </c>
      <c r="DC59" s="33" t="e">
        <f t="shared" si="584"/>
        <v>#REF!</v>
      </c>
      <c r="DD59" s="33" t="e">
        <f t="shared" si="584"/>
        <v>#REF!</v>
      </c>
      <c r="DE59" s="33" t="e">
        <f t="shared" si="584"/>
        <v>#REF!</v>
      </c>
      <c r="DF59" s="33" t="e">
        <f t="shared" si="584"/>
        <v>#REF!</v>
      </c>
      <c r="DG59" s="33" t="e">
        <f t="shared" si="584"/>
        <v>#REF!</v>
      </c>
      <c r="DH59" s="33" t="e">
        <f t="shared" si="584"/>
        <v>#REF!</v>
      </c>
      <c r="DI59" s="33" t="e">
        <f>+SUM(DI53:DI58)</f>
        <v>#REF!</v>
      </c>
      <c r="DJ59" s="33" t="e">
        <f t="shared" si="584"/>
        <v>#REF!</v>
      </c>
      <c r="DK59" s="33" t="e">
        <f t="shared" si="584"/>
        <v>#REF!</v>
      </c>
      <c r="DL59" s="33" t="e">
        <f t="shared" si="584"/>
        <v>#REF!</v>
      </c>
      <c r="DM59" s="33" t="e">
        <f t="shared" si="584"/>
        <v>#REF!</v>
      </c>
      <c r="DN59" s="33" t="e">
        <f t="shared" si="584"/>
        <v>#REF!</v>
      </c>
      <c r="DO59" s="33" t="e">
        <f t="shared" si="584"/>
        <v>#REF!</v>
      </c>
      <c r="DP59" s="33" t="e">
        <f t="shared" si="584"/>
        <v>#REF!</v>
      </c>
      <c r="DQ59" s="33" t="e">
        <f t="shared" si="584"/>
        <v>#REF!</v>
      </c>
      <c r="DR59" s="33" t="e">
        <f t="shared" si="584"/>
        <v>#REF!</v>
      </c>
      <c r="DS59" s="33" t="e">
        <f t="shared" si="584"/>
        <v>#REF!</v>
      </c>
      <c r="DT59" s="33" t="e">
        <f>+SUM(DT53:DT58)</f>
        <v>#REF!</v>
      </c>
      <c r="DU59" s="33" t="e">
        <f t="shared" ref="DU59:GF59" si="585">+SUM(DU53:DU58)</f>
        <v>#REF!</v>
      </c>
      <c r="DV59" s="33" t="e">
        <f t="shared" si="585"/>
        <v>#REF!</v>
      </c>
      <c r="DW59" s="33" t="e">
        <f t="shared" si="585"/>
        <v>#REF!</v>
      </c>
      <c r="DX59" s="33" t="e">
        <f t="shared" si="585"/>
        <v>#REF!</v>
      </c>
      <c r="DY59" s="33" t="e">
        <f t="shared" si="585"/>
        <v>#REF!</v>
      </c>
      <c r="DZ59" s="33" t="e">
        <f t="shared" si="585"/>
        <v>#REF!</v>
      </c>
      <c r="EA59" s="33" t="e">
        <f t="shared" si="585"/>
        <v>#REF!</v>
      </c>
      <c r="EB59" s="33" t="e">
        <f t="shared" si="585"/>
        <v>#REF!</v>
      </c>
      <c r="EC59" s="33" t="e">
        <f t="shared" si="585"/>
        <v>#REF!</v>
      </c>
      <c r="ED59" s="33" t="e">
        <f t="shared" si="585"/>
        <v>#REF!</v>
      </c>
      <c r="EE59" s="33" t="e">
        <f t="shared" si="585"/>
        <v>#REF!</v>
      </c>
      <c r="EF59" s="33" t="e">
        <f t="shared" si="585"/>
        <v>#REF!</v>
      </c>
      <c r="EG59" s="33" t="e">
        <f t="shared" si="585"/>
        <v>#REF!</v>
      </c>
      <c r="EH59" s="33" t="e">
        <f t="shared" si="585"/>
        <v>#REF!</v>
      </c>
      <c r="EI59" s="33" t="e">
        <f t="shared" si="585"/>
        <v>#REF!</v>
      </c>
      <c r="EJ59" s="33" t="e">
        <f t="shared" si="585"/>
        <v>#REF!</v>
      </c>
      <c r="EK59" s="33" t="e">
        <f t="shared" si="585"/>
        <v>#REF!</v>
      </c>
      <c r="EL59" s="33" t="e">
        <f t="shared" si="585"/>
        <v>#REF!</v>
      </c>
      <c r="EM59" s="33" t="e">
        <f t="shared" si="585"/>
        <v>#REF!</v>
      </c>
      <c r="EN59" s="33" t="e">
        <f t="shared" si="585"/>
        <v>#REF!</v>
      </c>
      <c r="EO59" s="33" t="e">
        <f t="shared" si="585"/>
        <v>#REF!</v>
      </c>
      <c r="EP59" s="33" t="e">
        <f t="shared" si="585"/>
        <v>#REF!</v>
      </c>
      <c r="EQ59" s="33" t="e">
        <f t="shared" si="585"/>
        <v>#REF!</v>
      </c>
      <c r="ER59" s="33" t="e">
        <f t="shared" si="585"/>
        <v>#REF!</v>
      </c>
      <c r="ES59" s="33" t="e">
        <f t="shared" si="585"/>
        <v>#REF!</v>
      </c>
      <c r="ET59" s="33" t="e">
        <f t="shared" si="585"/>
        <v>#REF!</v>
      </c>
      <c r="EU59" s="33" t="e">
        <f t="shared" si="585"/>
        <v>#REF!</v>
      </c>
      <c r="EV59" s="33" t="e">
        <f t="shared" si="585"/>
        <v>#REF!</v>
      </c>
      <c r="EW59" s="33" t="e">
        <f t="shared" si="585"/>
        <v>#REF!</v>
      </c>
      <c r="EX59" s="33" t="e">
        <f t="shared" si="585"/>
        <v>#REF!</v>
      </c>
      <c r="EY59" s="33" t="e">
        <f t="shared" si="585"/>
        <v>#REF!</v>
      </c>
      <c r="EZ59" s="33" t="e">
        <f t="shared" si="585"/>
        <v>#REF!</v>
      </c>
      <c r="FA59" s="33" t="e">
        <f t="shared" si="585"/>
        <v>#REF!</v>
      </c>
      <c r="FB59" s="33" t="e">
        <f t="shared" si="585"/>
        <v>#REF!</v>
      </c>
      <c r="FC59" s="33" t="e">
        <f t="shared" si="585"/>
        <v>#REF!</v>
      </c>
      <c r="FD59" s="33" t="e">
        <f t="shared" si="585"/>
        <v>#REF!</v>
      </c>
      <c r="FE59" s="33" t="e">
        <f t="shared" si="585"/>
        <v>#REF!</v>
      </c>
      <c r="FF59" s="33" t="e">
        <f t="shared" si="585"/>
        <v>#REF!</v>
      </c>
      <c r="FG59" s="33" t="e">
        <f t="shared" si="585"/>
        <v>#REF!</v>
      </c>
      <c r="FH59" s="33" t="e">
        <f t="shared" si="585"/>
        <v>#REF!</v>
      </c>
      <c r="FI59" s="33" t="e">
        <f t="shared" si="585"/>
        <v>#REF!</v>
      </c>
      <c r="FJ59" s="33" t="e">
        <f t="shared" si="585"/>
        <v>#REF!</v>
      </c>
      <c r="FK59" s="33" t="e">
        <f t="shared" si="585"/>
        <v>#REF!</v>
      </c>
      <c r="FL59" s="33" t="e">
        <f t="shared" si="585"/>
        <v>#REF!</v>
      </c>
      <c r="FM59" s="33" t="e">
        <f t="shared" si="585"/>
        <v>#REF!</v>
      </c>
      <c r="FN59" s="33" t="e">
        <f t="shared" si="585"/>
        <v>#REF!</v>
      </c>
      <c r="FO59" s="33" t="e">
        <f t="shared" si="585"/>
        <v>#REF!</v>
      </c>
      <c r="FP59" s="33" t="e">
        <f>+SUM(FP53:FP58)</f>
        <v>#REF!</v>
      </c>
      <c r="FQ59" s="33" t="e">
        <f t="shared" si="585"/>
        <v>#REF!</v>
      </c>
      <c r="FR59" s="33" t="e">
        <f t="shared" si="585"/>
        <v>#REF!</v>
      </c>
      <c r="FS59" s="33" t="e">
        <f t="shared" si="585"/>
        <v>#REF!</v>
      </c>
      <c r="FT59" s="33" t="e">
        <f t="shared" si="585"/>
        <v>#REF!</v>
      </c>
      <c r="FU59" s="33" t="e">
        <f t="shared" si="585"/>
        <v>#REF!</v>
      </c>
      <c r="FV59" s="33" t="e">
        <f t="shared" si="585"/>
        <v>#REF!</v>
      </c>
      <c r="FW59" s="33" t="e">
        <f t="shared" si="585"/>
        <v>#REF!</v>
      </c>
      <c r="FX59" s="33" t="e">
        <f t="shared" si="585"/>
        <v>#REF!</v>
      </c>
      <c r="FY59" s="33" t="e">
        <f t="shared" si="585"/>
        <v>#REF!</v>
      </c>
      <c r="FZ59" s="33" t="e">
        <f t="shared" si="585"/>
        <v>#REF!</v>
      </c>
      <c r="GA59" s="33" t="e">
        <f t="shared" si="585"/>
        <v>#REF!</v>
      </c>
      <c r="GB59" s="33" t="e">
        <f t="shared" si="585"/>
        <v>#REF!</v>
      </c>
      <c r="GC59" s="33" t="e">
        <f t="shared" si="585"/>
        <v>#REF!</v>
      </c>
      <c r="GD59" s="33" t="e">
        <f t="shared" si="585"/>
        <v>#REF!</v>
      </c>
      <c r="GE59" s="33" t="e">
        <f t="shared" si="585"/>
        <v>#REF!</v>
      </c>
      <c r="GF59" s="33" t="e">
        <f t="shared" si="585"/>
        <v>#REF!</v>
      </c>
      <c r="GG59" s="33" t="e">
        <f t="shared" ref="GG59:IG59" si="586">+SUM(GG53:GG58)</f>
        <v>#REF!</v>
      </c>
      <c r="GH59" s="33" t="e">
        <f t="shared" si="586"/>
        <v>#REF!</v>
      </c>
      <c r="GI59" s="33" t="e">
        <f t="shared" si="586"/>
        <v>#REF!</v>
      </c>
      <c r="GJ59" s="33" t="e">
        <f t="shared" si="586"/>
        <v>#REF!</v>
      </c>
      <c r="GK59" s="33" t="e">
        <f t="shared" si="586"/>
        <v>#REF!</v>
      </c>
      <c r="GL59" s="33" t="e">
        <f t="shared" si="586"/>
        <v>#REF!</v>
      </c>
      <c r="GM59" s="33" t="e">
        <f t="shared" si="586"/>
        <v>#REF!</v>
      </c>
      <c r="GN59" s="33" t="e">
        <f t="shared" si="586"/>
        <v>#REF!</v>
      </c>
      <c r="GO59" s="33" t="e">
        <f t="shared" si="586"/>
        <v>#REF!</v>
      </c>
      <c r="GP59" s="33" t="e">
        <f t="shared" si="586"/>
        <v>#REF!</v>
      </c>
      <c r="GQ59" s="33" t="e">
        <f t="shared" si="586"/>
        <v>#REF!</v>
      </c>
      <c r="GR59" s="33" t="e">
        <f t="shared" si="586"/>
        <v>#REF!</v>
      </c>
      <c r="GS59" s="33" t="e">
        <f t="shared" si="586"/>
        <v>#REF!</v>
      </c>
      <c r="GT59" s="33" t="e">
        <f t="shared" si="586"/>
        <v>#REF!</v>
      </c>
      <c r="GU59" s="33" t="e">
        <f t="shared" si="586"/>
        <v>#REF!</v>
      </c>
      <c r="GV59" s="33" t="e">
        <f t="shared" si="586"/>
        <v>#REF!</v>
      </c>
      <c r="GW59" s="33" t="e">
        <f t="shared" si="586"/>
        <v>#REF!</v>
      </c>
      <c r="GX59" s="33" t="e">
        <f t="shared" si="586"/>
        <v>#REF!</v>
      </c>
      <c r="GY59" s="33" t="e">
        <f t="shared" si="586"/>
        <v>#REF!</v>
      </c>
      <c r="GZ59" s="33" t="e">
        <f t="shared" si="586"/>
        <v>#REF!</v>
      </c>
      <c r="HA59" s="33" t="e">
        <f t="shared" si="586"/>
        <v>#REF!</v>
      </c>
      <c r="HB59" s="33" t="e">
        <f t="shared" si="586"/>
        <v>#REF!</v>
      </c>
      <c r="HC59" s="33" t="e">
        <f t="shared" si="586"/>
        <v>#REF!</v>
      </c>
      <c r="HD59" s="33" t="e">
        <f t="shared" si="586"/>
        <v>#REF!</v>
      </c>
      <c r="HE59" s="33" t="e">
        <f t="shared" si="586"/>
        <v>#REF!</v>
      </c>
      <c r="HF59" s="33" t="e">
        <f t="shared" si="586"/>
        <v>#REF!</v>
      </c>
      <c r="HG59" s="33" t="e">
        <f t="shared" si="586"/>
        <v>#REF!</v>
      </c>
      <c r="HH59" s="33" t="e">
        <f t="shared" si="586"/>
        <v>#REF!</v>
      </c>
      <c r="HI59" s="33" t="e">
        <f t="shared" si="586"/>
        <v>#REF!</v>
      </c>
      <c r="HJ59" s="33" t="e">
        <f t="shared" si="586"/>
        <v>#REF!</v>
      </c>
      <c r="HK59" s="33" t="e">
        <f t="shared" si="586"/>
        <v>#REF!</v>
      </c>
      <c r="HL59" s="33" t="e">
        <f t="shared" si="586"/>
        <v>#REF!</v>
      </c>
      <c r="HM59" s="33" t="e">
        <f t="shared" si="586"/>
        <v>#REF!</v>
      </c>
      <c r="HN59" s="33" t="e">
        <f t="shared" si="586"/>
        <v>#REF!</v>
      </c>
      <c r="HO59" s="33" t="e">
        <f t="shared" si="586"/>
        <v>#REF!</v>
      </c>
      <c r="HP59" s="33" t="e">
        <f t="shared" si="586"/>
        <v>#REF!</v>
      </c>
      <c r="HQ59" s="33" t="e">
        <f t="shared" si="586"/>
        <v>#REF!</v>
      </c>
      <c r="HR59" s="33" t="e">
        <f t="shared" si="586"/>
        <v>#REF!</v>
      </c>
      <c r="HS59" s="33" t="e">
        <f t="shared" si="586"/>
        <v>#REF!</v>
      </c>
      <c r="HT59" s="33" t="e">
        <f t="shared" si="586"/>
        <v>#REF!</v>
      </c>
      <c r="HU59" s="33" t="e">
        <f t="shared" si="586"/>
        <v>#REF!</v>
      </c>
      <c r="HV59" s="33" t="e">
        <f t="shared" si="586"/>
        <v>#REF!</v>
      </c>
      <c r="HW59" s="33" t="e">
        <f t="shared" si="586"/>
        <v>#REF!</v>
      </c>
      <c r="HX59" s="33" t="e">
        <f t="shared" si="586"/>
        <v>#REF!</v>
      </c>
      <c r="HY59" s="33" t="e">
        <f t="shared" si="586"/>
        <v>#REF!</v>
      </c>
      <c r="HZ59" s="33" t="e">
        <f t="shared" si="586"/>
        <v>#REF!</v>
      </c>
      <c r="IA59" s="33" t="e">
        <f t="shared" si="586"/>
        <v>#REF!</v>
      </c>
      <c r="IB59" s="33" t="e">
        <f t="shared" si="586"/>
        <v>#REF!</v>
      </c>
      <c r="IC59" s="33" t="e">
        <f t="shared" si="586"/>
        <v>#REF!</v>
      </c>
      <c r="ID59" s="33" t="e">
        <f t="shared" si="586"/>
        <v>#REF!</v>
      </c>
      <c r="IE59" s="33" t="e">
        <f t="shared" si="586"/>
        <v>#REF!</v>
      </c>
      <c r="IF59" s="33" t="e">
        <f t="shared" si="586"/>
        <v>#REF!</v>
      </c>
      <c r="IG59" s="33" t="e">
        <f t="shared" si="586"/>
        <v>#REF!</v>
      </c>
      <c r="IH59" s="33" t="e">
        <f>+SUM(IH53:IH58)</f>
        <v>#REF!</v>
      </c>
      <c r="II59" s="33" t="e">
        <f>+SUM(II53:II58)</f>
        <v>#REF!</v>
      </c>
      <c r="IJ59" s="33" t="e">
        <f>+SUM(IJ53:IJ58)</f>
        <v>#REF!</v>
      </c>
      <c r="IK59" s="33" t="e">
        <f t="shared" ref="IK59:IO59" si="587">+SUM(IK53:IK58)</f>
        <v>#REF!</v>
      </c>
      <c r="IL59" s="33" t="e">
        <f t="shared" si="587"/>
        <v>#REF!</v>
      </c>
      <c r="IM59" s="33" t="e">
        <f t="shared" si="587"/>
        <v>#REF!</v>
      </c>
      <c r="IN59" s="33" t="e">
        <f t="shared" si="587"/>
        <v>#REF!</v>
      </c>
      <c r="IO59" s="33" t="e">
        <f t="shared" si="587"/>
        <v>#REF!</v>
      </c>
    </row>
    <row r="60" spans="1:249" x14ac:dyDescent="0.3">
      <c r="B60" s="31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</row>
    <row r="61" spans="1:249" x14ac:dyDescent="0.3">
      <c r="A61" s="6" t="s">
        <v>779</v>
      </c>
      <c r="B61" s="31" t="e">
        <f>+B59/SUM(E8:BQ8)</f>
        <v>#REF!</v>
      </c>
      <c r="C61" s="31"/>
      <c r="D61" s="31"/>
      <c r="E61" s="31" t="e">
        <f t="shared" ref="E61:BP61" si="588">+E59/E8</f>
        <v>#REF!</v>
      </c>
      <c r="F61" s="31" t="e">
        <f t="shared" si="588"/>
        <v>#REF!</v>
      </c>
      <c r="G61" s="31" t="e">
        <f t="shared" si="588"/>
        <v>#REF!</v>
      </c>
      <c r="H61" s="31" t="e">
        <f t="shared" si="588"/>
        <v>#REF!</v>
      </c>
      <c r="I61" s="31" t="e">
        <f t="shared" si="588"/>
        <v>#REF!</v>
      </c>
      <c r="J61" s="31" t="e">
        <f t="shared" si="588"/>
        <v>#REF!</v>
      </c>
      <c r="K61" s="31" t="e">
        <f t="shared" si="588"/>
        <v>#REF!</v>
      </c>
      <c r="L61" s="31" t="e">
        <f t="shared" si="588"/>
        <v>#REF!</v>
      </c>
      <c r="M61" s="31" t="e">
        <f t="shared" si="588"/>
        <v>#REF!</v>
      </c>
      <c r="N61" s="31" t="e">
        <f t="shared" si="588"/>
        <v>#REF!</v>
      </c>
      <c r="O61" s="31" t="e">
        <f t="shared" si="588"/>
        <v>#REF!</v>
      </c>
      <c r="P61" s="31" t="e">
        <f t="shared" si="588"/>
        <v>#REF!</v>
      </c>
      <c r="Q61" s="31" t="e">
        <f t="shared" si="588"/>
        <v>#REF!</v>
      </c>
      <c r="R61" s="31" t="e">
        <f t="shared" si="588"/>
        <v>#REF!</v>
      </c>
      <c r="S61" s="31" t="e">
        <f t="shared" si="588"/>
        <v>#REF!</v>
      </c>
      <c r="T61" s="31" t="e">
        <f t="shared" si="588"/>
        <v>#REF!</v>
      </c>
      <c r="U61" s="31" t="e">
        <f t="shared" si="588"/>
        <v>#REF!</v>
      </c>
      <c r="V61" s="31" t="e">
        <f t="shared" si="588"/>
        <v>#REF!</v>
      </c>
      <c r="W61" s="31" t="e">
        <f t="shared" si="588"/>
        <v>#REF!</v>
      </c>
      <c r="X61" s="31" t="e">
        <f t="shared" si="588"/>
        <v>#REF!</v>
      </c>
      <c r="Y61" s="31" t="e">
        <f t="shared" si="588"/>
        <v>#REF!</v>
      </c>
      <c r="Z61" s="31" t="e">
        <f t="shared" si="588"/>
        <v>#REF!</v>
      </c>
      <c r="AA61" s="31" t="e">
        <f t="shared" si="588"/>
        <v>#REF!</v>
      </c>
      <c r="AB61" s="31" t="e">
        <f t="shared" si="588"/>
        <v>#REF!</v>
      </c>
      <c r="AC61" s="31" t="e">
        <f t="shared" si="588"/>
        <v>#REF!</v>
      </c>
      <c r="AD61" s="31" t="e">
        <f t="shared" si="588"/>
        <v>#REF!</v>
      </c>
      <c r="AE61" s="31" t="e">
        <f t="shared" si="588"/>
        <v>#REF!</v>
      </c>
      <c r="AF61" s="31" t="e">
        <f t="shared" si="588"/>
        <v>#REF!</v>
      </c>
      <c r="AG61" s="31" t="e">
        <f t="shared" si="588"/>
        <v>#REF!</v>
      </c>
      <c r="AH61" s="31" t="e">
        <f t="shared" si="588"/>
        <v>#REF!</v>
      </c>
      <c r="AI61" s="31" t="e">
        <f t="shared" si="588"/>
        <v>#REF!</v>
      </c>
      <c r="AJ61" s="31" t="e">
        <f t="shared" si="588"/>
        <v>#REF!</v>
      </c>
      <c r="AK61" s="31" t="e">
        <f t="shared" si="588"/>
        <v>#REF!</v>
      </c>
      <c r="AL61" s="31" t="e">
        <f t="shared" si="588"/>
        <v>#REF!</v>
      </c>
      <c r="AM61" s="31" t="e">
        <f t="shared" si="588"/>
        <v>#REF!</v>
      </c>
      <c r="AN61" s="31" t="e">
        <f t="shared" si="588"/>
        <v>#REF!</v>
      </c>
      <c r="AO61" s="31" t="e">
        <f t="shared" si="588"/>
        <v>#REF!</v>
      </c>
      <c r="AP61" s="31" t="e">
        <f t="shared" si="588"/>
        <v>#REF!</v>
      </c>
      <c r="AQ61" s="31" t="e">
        <f t="shared" si="588"/>
        <v>#REF!</v>
      </c>
      <c r="AR61" s="31" t="e">
        <f t="shared" si="588"/>
        <v>#REF!</v>
      </c>
      <c r="AS61" s="31" t="e">
        <f t="shared" si="588"/>
        <v>#REF!</v>
      </c>
      <c r="AT61" s="31" t="e">
        <f t="shared" si="588"/>
        <v>#REF!</v>
      </c>
      <c r="AU61" s="31" t="e">
        <f t="shared" si="588"/>
        <v>#REF!</v>
      </c>
      <c r="AV61" s="31" t="e">
        <f t="shared" si="588"/>
        <v>#REF!</v>
      </c>
      <c r="AW61" s="31" t="e">
        <f t="shared" si="588"/>
        <v>#REF!</v>
      </c>
      <c r="AX61" s="31" t="e">
        <f t="shared" si="588"/>
        <v>#REF!</v>
      </c>
      <c r="AY61" s="31" t="e">
        <f t="shared" si="588"/>
        <v>#REF!</v>
      </c>
      <c r="AZ61" s="31" t="e">
        <f t="shared" si="588"/>
        <v>#REF!</v>
      </c>
      <c r="BA61" s="31" t="e">
        <f t="shared" si="588"/>
        <v>#REF!</v>
      </c>
      <c r="BB61" s="31" t="e">
        <f t="shared" si="588"/>
        <v>#REF!</v>
      </c>
      <c r="BC61" s="31" t="e">
        <f t="shared" si="588"/>
        <v>#REF!</v>
      </c>
      <c r="BD61" s="31" t="e">
        <f t="shared" si="588"/>
        <v>#REF!</v>
      </c>
      <c r="BE61" s="31" t="e">
        <f t="shared" si="588"/>
        <v>#REF!</v>
      </c>
      <c r="BF61" s="31" t="e">
        <f t="shared" si="588"/>
        <v>#REF!</v>
      </c>
      <c r="BG61" s="31" t="e">
        <f t="shared" si="588"/>
        <v>#REF!</v>
      </c>
      <c r="BH61" s="31" t="e">
        <f t="shared" si="588"/>
        <v>#REF!</v>
      </c>
      <c r="BI61" s="31" t="e">
        <f t="shared" si="588"/>
        <v>#REF!</v>
      </c>
      <c r="BJ61" s="31" t="e">
        <f t="shared" si="588"/>
        <v>#REF!</v>
      </c>
      <c r="BK61" s="31" t="e">
        <f t="shared" si="588"/>
        <v>#REF!</v>
      </c>
      <c r="BL61" s="31" t="e">
        <f t="shared" si="588"/>
        <v>#REF!</v>
      </c>
      <c r="BM61" s="31" t="e">
        <f t="shared" si="588"/>
        <v>#REF!</v>
      </c>
      <c r="BN61" s="31" t="e">
        <f t="shared" si="588"/>
        <v>#REF!</v>
      </c>
      <c r="BO61" s="31" t="e">
        <f t="shared" si="588"/>
        <v>#REF!</v>
      </c>
      <c r="BP61" s="31" t="e">
        <f t="shared" si="588"/>
        <v>#REF!</v>
      </c>
      <c r="BQ61" s="31" t="e">
        <f t="shared" ref="BQ61:EB61" si="589">+BQ59/BQ8</f>
        <v>#REF!</v>
      </c>
      <c r="BR61" s="31" t="e">
        <f t="shared" si="589"/>
        <v>#REF!</v>
      </c>
      <c r="BS61" s="31" t="e">
        <f t="shared" si="589"/>
        <v>#REF!</v>
      </c>
      <c r="BT61" s="31" t="e">
        <f t="shared" si="589"/>
        <v>#REF!</v>
      </c>
      <c r="BU61" s="31" t="e">
        <f t="shared" si="589"/>
        <v>#REF!</v>
      </c>
      <c r="BV61" s="31" t="e">
        <f t="shared" si="589"/>
        <v>#REF!</v>
      </c>
      <c r="BW61" s="31" t="e">
        <f t="shared" si="589"/>
        <v>#REF!</v>
      </c>
      <c r="BX61" s="31" t="e">
        <f t="shared" si="589"/>
        <v>#REF!</v>
      </c>
      <c r="BY61" s="31" t="e">
        <f t="shared" si="589"/>
        <v>#REF!</v>
      </c>
      <c r="BZ61" s="31" t="e">
        <f t="shared" si="589"/>
        <v>#REF!</v>
      </c>
      <c r="CA61" s="31" t="e">
        <f t="shared" si="589"/>
        <v>#REF!</v>
      </c>
      <c r="CB61" s="31" t="e">
        <f t="shared" si="589"/>
        <v>#REF!</v>
      </c>
      <c r="CC61" s="31" t="e">
        <f t="shared" si="589"/>
        <v>#REF!</v>
      </c>
      <c r="CD61" s="31" t="e">
        <f t="shared" si="589"/>
        <v>#REF!</v>
      </c>
      <c r="CE61" s="31" t="e">
        <f t="shared" si="589"/>
        <v>#REF!</v>
      </c>
      <c r="CF61" s="31" t="e">
        <f t="shared" si="589"/>
        <v>#REF!</v>
      </c>
      <c r="CG61" s="31" t="e">
        <f t="shared" si="589"/>
        <v>#REF!</v>
      </c>
      <c r="CH61" s="31" t="e">
        <f t="shared" si="589"/>
        <v>#REF!</v>
      </c>
      <c r="CI61" s="31" t="e">
        <f t="shared" si="589"/>
        <v>#REF!</v>
      </c>
      <c r="CJ61" s="31" t="e">
        <f t="shared" si="589"/>
        <v>#REF!</v>
      </c>
      <c r="CK61" s="31" t="e">
        <f t="shared" si="589"/>
        <v>#REF!</v>
      </c>
      <c r="CL61" s="31" t="e">
        <f t="shared" si="589"/>
        <v>#REF!</v>
      </c>
      <c r="CM61" s="31" t="e">
        <f t="shared" si="589"/>
        <v>#REF!</v>
      </c>
      <c r="CN61" s="31" t="e">
        <f t="shared" si="589"/>
        <v>#REF!</v>
      </c>
      <c r="CO61" s="31" t="e">
        <f t="shared" si="589"/>
        <v>#REF!</v>
      </c>
      <c r="CP61" s="31" t="e">
        <f t="shared" si="589"/>
        <v>#REF!</v>
      </c>
      <c r="CQ61" s="31" t="e">
        <f t="shared" si="589"/>
        <v>#REF!</v>
      </c>
      <c r="CR61" s="31" t="e">
        <f t="shared" si="589"/>
        <v>#REF!</v>
      </c>
      <c r="CS61" s="31" t="e">
        <f t="shared" si="589"/>
        <v>#REF!</v>
      </c>
      <c r="CT61" s="31" t="e">
        <f t="shared" si="589"/>
        <v>#REF!</v>
      </c>
      <c r="CU61" s="31" t="e">
        <f t="shared" si="589"/>
        <v>#REF!</v>
      </c>
      <c r="CV61" s="31" t="e">
        <f t="shared" si="589"/>
        <v>#REF!</v>
      </c>
      <c r="CW61" s="31" t="e">
        <f t="shared" si="589"/>
        <v>#REF!</v>
      </c>
      <c r="CX61" s="31" t="e">
        <f t="shared" si="589"/>
        <v>#REF!</v>
      </c>
      <c r="CY61" s="31" t="e">
        <f t="shared" si="589"/>
        <v>#REF!</v>
      </c>
      <c r="CZ61" s="31" t="e">
        <f t="shared" si="589"/>
        <v>#REF!</v>
      </c>
      <c r="DA61" s="31" t="e">
        <f t="shared" si="589"/>
        <v>#REF!</v>
      </c>
      <c r="DB61" s="31" t="e">
        <f t="shared" si="589"/>
        <v>#REF!</v>
      </c>
      <c r="DC61" s="31" t="e">
        <f t="shared" si="589"/>
        <v>#REF!</v>
      </c>
      <c r="DD61" s="31" t="e">
        <f t="shared" si="589"/>
        <v>#REF!</v>
      </c>
      <c r="DE61" s="31" t="e">
        <f t="shared" si="589"/>
        <v>#REF!</v>
      </c>
      <c r="DF61" s="31" t="e">
        <f t="shared" si="589"/>
        <v>#REF!</v>
      </c>
      <c r="DG61" s="31" t="e">
        <f t="shared" si="589"/>
        <v>#REF!</v>
      </c>
      <c r="DH61" s="31" t="e">
        <f t="shared" si="589"/>
        <v>#REF!</v>
      </c>
      <c r="DI61" s="31" t="e">
        <f t="shared" si="589"/>
        <v>#REF!</v>
      </c>
      <c r="DJ61" s="31" t="e">
        <f t="shared" si="589"/>
        <v>#REF!</v>
      </c>
      <c r="DK61" s="31" t="e">
        <f t="shared" si="589"/>
        <v>#REF!</v>
      </c>
      <c r="DL61" s="31" t="e">
        <f t="shared" si="589"/>
        <v>#REF!</v>
      </c>
      <c r="DM61" s="31" t="e">
        <f t="shared" si="589"/>
        <v>#REF!</v>
      </c>
      <c r="DN61" s="31" t="e">
        <f t="shared" si="589"/>
        <v>#REF!</v>
      </c>
      <c r="DO61" s="31" t="e">
        <f t="shared" si="589"/>
        <v>#REF!</v>
      </c>
      <c r="DP61" s="31" t="e">
        <f t="shared" si="589"/>
        <v>#REF!</v>
      </c>
      <c r="DQ61" s="31" t="e">
        <f t="shared" si="589"/>
        <v>#REF!</v>
      </c>
      <c r="DR61" s="31" t="e">
        <f t="shared" si="589"/>
        <v>#REF!</v>
      </c>
      <c r="DS61" s="31" t="e">
        <f t="shared" si="589"/>
        <v>#REF!</v>
      </c>
      <c r="DT61" s="31" t="e">
        <f t="shared" si="589"/>
        <v>#REF!</v>
      </c>
      <c r="DU61" s="31" t="e">
        <f t="shared" si="589"/>
        <v>#REF!</v>
      </c>
      <c r="DV61" s="31" t="e">
        <f t="shared" si="589"/>
        <v>#REF!</v>
      </c>
      <c r="DW61" s="31" t="e">
        <f t="shared" si="589"/>
        <v>#REF!</v>
      </c>
      <c r="DX61" s="31" t="e">
        <f t="shared" si="589"/>
        <v>#REF!</v>
      </c>
      <c r="DY61" s="31" t="e">
        <f t="shared" si="589"/>
        <v>#REF!</v>
      </c>
      <c r="DZ61" s="31" t="e">
        <f t="shared" si="589"/>
        <v>#REF!</v>
      </c>
      <c r="EA61" s="31" t="e">
        <f t="shared" si="589"/>
        <v>#REF!</v>
      </c>
      <c r="EB61" s="31" t="e">
        <f t="shared" si="589"/>
        <v>#REF!</v>
      </c>
      <c r="EC61" s="31" t="e">
        <f t="shared" ref="EC61:GN61" si="590">+EC59/EC8</f>
        <v>#REF!</v>
      </c>
      <c r="ED61" s="31" t="e">
        <f t="shared" si="590"/>
        <v>#REF!</v>
      </c>
      <c r="EE61" s="31" t="e">
        <f t="shared" si="590"/>
        <v>#REF!</v>
      </c>
      <c r="EF61" s="31" t="e">
        <f t="shared" si="590"/>
        <v>#REF!</v>
      </c>
      <c r="EG61" s="31" t="e">
        <f t="shared" si="590"/>
        <v>#REF!</v>
      </c>
      <c r="EH61" s="31" t="e">
        <f t="shared" si="590"/>
        <v>#REF!</v>
      </c>
      <c r="EI61" s="31" t="e">
        <f t="shared" si="590"/>
        <v>#REF!</v>
      </c>
      <c r="EJ61" s="31" t="e">
        <f t="shared" si="590"/>
        <v>#REF!</v>
      </c>
      <c r="EK61" s="31" t="e">
        <f t="shared" si="590"/>
        <v>#REF!</v>
      </c>
      <c r="EL61" s="31" t="e">
        <f t="shared" si="590"/>
        <v>#REF!</v>
      </c>
      <c r="EM61" s="31" t="e">
        <f t="shared" si="590"/>
        <v>#REF!</v>
      </c>
      <c r="EN61" s="31" t="e">
        <f t="shared" si="590"/>
        <v>#REF!</v>
      </c>
      <c r="EO61" s="31" t="e">
        <f t="shared" si="590"/>
        <v>#REF!</v>
      </c>
      <c r="EP61" s="31" t="e">
        <f t="shared" si="590"/>
        <v>#REF!</v>
      </c>
      <c r="EQ61" s="31" t="e">
        <f t="shared" si="590"/>
        <v>#REF!</v>
      </c>
      <c r="ER61" s="31" t="e">
        <f t="shared" si="590"/>
        <v>#REF!</v>
      </c>
      <c r="ES61" s="31" t="e">
        <f t="shared" si="590"/>
        <v>#REF!</v>
      </c>
      <c r="ET61" s="31" t="e">
        <f t="shared" si="590"/>
        <v>#REF!</v>
      </c>
      <c r="EU61" s="31" t="e">
        <f t="shared" si="590"/>
        <v>#REF!</v>
      </c>
      <c r="EV61" s="31" t="e">
        <f t="shared" si="590"/>
        <v>#REF!</v>
      </c>
      <c r="EW61" s="31" t="e">
        <f t="shared" si="590"/>
        <v>#REF!</v>
      </c>
      <c r="EX61" s="31" t="e">
        <f t="shared" si="590"/>
        <v>#REF!</v>
      </c>
      <c r="EY61" s="31" t="e">
        <f t="shared" si="590"/>
        <v>#REF!</v>
      </c>
      <c r="EZ61" s="31" t="e">
        <f t="shared" si="590"/>
        <v>#REF!</v>
      </c>
      <c r="FA61" s="31" t="e">
        <f t="shared" si="590"/>
        <v>#REF!</v>
      </c>
      <c r="FB61" s="31" t="e">
        <f t="shared" si="590"/>
        <v>#REF!</v>
      </c>
      <c r="FC61" s="31" t="e">
        <f t="shared" si="590"/>
        <v>#REF!</v>
      </c>
      <c r="FD61" s="31" t="e">
        <f t="shared" si="590"/>
        <v>#REF!</v>
      </c>
      <c r="FE61" s="31" t="e">
        <f t="shared" si="590"/>
        <v>#REF!</v>
      </c>
      <c r="FF61" s="31" t="e">
        <f t="shared" si="590"/>
        <v>#REF!</v>
      </c>
      <c r="FG61" s="31" t="e">
        <f t="shared" si="590"/>
        <v>#REF!</v>
      </c>
      <c r="FH61" s="31" t="e">
        <f t="shared" si="590"/>
        <v>#REF!</v>
      </c>
      <c r="FI61" s="31" t="e">
        <f t="shared" si="590"/>
        <v>#REF!</v>
      </c>
      <c r="FJ61" s="31" t="e">
        <f t="shared" si="590"/>
        <v>#REF!</v>
      </c>
      <c r="FK61" s="31" t="e">
        <f t="shared" si="590"/>
        <v>#REF!</v>
      </c>
      <c r="FL61" s="31" t="e">
        <f t="shared" si="590"/>
        <v>#REF!</v>
      </c>
      <c r="FM61" s="31" t="e">
        <f t="shared" si="590"/>
        <v>#REF!</v>
      </c>
      <c r="FN61" s="31" t="e">
        <f t="shared" si="590"/>
        <v>#REF!</v>
      </c>
      <c r="FO61" s="31" t="e">
        <f t="shared" si="590"/>
        <v>#REF!</v>
      </c>
      <c r="FP61" s="31" t="e">
        <f t="shared" si="590"/>
        <v>#REF!</v>
      </c>
      <c r="FQ61" s="31" t="e">
        <f t="shared" si="590"/>
        <v>#REF!</v>
      </c>
      <c r="FR61" s="31" t="e">
        <f t="shared" si="590"/>
        <v>#REF!</v>
      </c>
      <c r="FS61" s="31" t="e">
        <f t="shared" si="590"/>
        <v>#REF!</v>
      </c>
      <c r="FT61" s="31" t="e">
        <f t="shared" si="590"/>
        <v>#REF!</v>
      </c>
      <c r="FU61" s="31" t="e">
        <f t="shared" si="590"/>
        <v>#REF!</v>
      </c>
      <c r="FV61" s="31" t="e">
        <f t="shared" si="590"/>
        <v>#REF!</v>
      </c>
      <c r="FW61" s="31" t="e">
        <f t="shared" si="590"/>
        <v>#REF!</v>
      </c>
      <c r="FX61" s="31" t="e">
        <f t="shared" si="590"/>
        <v>#REF!</v>
      </c>
      <c r="FY61" s="31" t="e">
        <f t="shared" si="590"/>
        <v>#REF!</v>
      </c>
      <c r="FZ61" s="31" t="e">
        <f t="shared" si="590"/>
        <v>#REF!</v>
      </c>
      <c r="GA61" s="31" t="e">
        <f t="shared" si="590"/>
        <v>#REF!</v>
      </c>
      <c r="GB61" s="31" t="e">
        <f t="shared" si="590"/>
        <v>#REF!</v>
      </c>
      <c r="GC61" s="31" t="e">
        <f t="shared" si="590"/>
        <v>#REF!</v>
      </c>
      <c r="GD61" s="31" t="e">
        <f t="shared" si="590"/>
        <v>#REF!</v>
      </c>
      <c r="GE61" s="31" t="e">
        <f t="shared" si="590"/>
        <v>#REF!</v>
      </c>
      <c r="GF61" s="31" t="e">
        <f t="shared" si="590"/>
        <v>#REF!</v>
      </c>
      <c r="GG61" s="31" t="e">
        <f t="shared" si="590"/>
        <v>#REF!</v>
      </c>
      <c r="GH61" s="31" t="e">
        <f t="shared" si="590"/>
        <v>#REF!</v>
      </c>
      <c r="GI61" s="31" t="e">
        <f t="shared" si="590"/>
        <v>#REF!</v>
      </c>
      <c r="GJ61" s="31" t="e">
        <f t="shared" si="590"/>
        <v>#REF!</v>
      </c>
      <c r="GK61" s="31" t="e">
        <f t="shared" si="590"/>
        <v>#REF!</v>
      </c>
      <c r="GL61" s="31" t="e">
        <f t="shared" si="590"/>
        <v>#REF!</v>
      </c>
      <c r="GM61" s="31" t="e">
        <f t="shared" si="590"/>
        <v>#REF!</v>
      </c>
      <c r="GN61" s="31" t="e">
        <f t="shared" si="590"/>
        <v>#REF!</v>
      </c>
      <c r="GO61" s="31" t="e">
        <f t="shared" ref="GO61:IO61" si="591">+GO59/GO8</f>
        <v>#REF!</v>
      </c>
      <c r="GP61" s="31" t="e">
        <f t="shared" si="591"/>
        <v>#REF!</v>
      </c>
      <c r="GQ61" s="31" t="e">
        <f t="shared" si="591"/>
        <v>#REF!</v>
      </c>
      <c r="GR61" s="31" t="e">
        <f t="shared" si="591"/>
        <v>#REF!</v>
      </c>
      <c r="GS61" s="31" t="e">
        <f t="shared" si="591"/>
        <v>#REF!</v>
      </c>
      <c r="GT61" s="31" t="e">
        <f t="shared" si="591"/>
        <v>#REF!</v>
      </c>
      <c r="GU61" s="31" t="e">
        <f t="shared" si="591"/>
        <v>#REF!</v>
      </c>
      <c r="GV61" s="31" t="e">
        <f t="shared" si="591"/>
        <v>#REF!</v>
      </c>
      <c r="GW61" s="31" t="e">
        <f t="shared" si="591"/>
        <v>#REF!</v>
      </c>
      <c r="GX61" s="31" t="e">
        <f t="shared" si="591"/>
        <v>#REF!</v>
      </c>
      <c r="GY61" s="31" t="e">
        <f t="shared" si="591"/>
        <v>#REF!</v>
      </c>
      <c r="GZ61" s="31" t="e">
        <f t="shared" si="591"/>
        <v>#REF!</v>
      </c>
      <c r="HA61" s="31" t="e">
        <f t="shared" si="591"/>
        <v>#REF!</v>
      </c>
      <c r="HB61" s="31" t="e">
        <f t="shared" si="591"/>
        <v>#REF!</v>
      </c>
      <c r="HC61" s="31" t="e">
        <f t="shared" si="591"/>
        <v>#REF!</v>
      </c>
      <c r="HD61" s="31" t="e">
        <f t="shared" si="591"/>
        <v>#REF!</v>
      </c>
      <c r="HE61" s="31" t="e">
        <f t="shared" si="591"/>
        <v>#REF!</v>
      </c>
      <c r="HF61" s="31" t="e">
        <f t="shared" si="591"/>
        <v>#REF!</v>
      </c>
      <c r="HG61" s="31" t="e">
        <f t="shared" si="591"/>
        <v>#REF!</v>
      </c>
      <c r="HH61" s="31" t="e">
        <f t="shared" si="591"/>
        <v>#REF!</v>
      </c>
      <c r="HI61" s="31" t="e">
        <f t="shared" si="591"/>
        <v>#REF!</v>
      </c>
      <c r="HJ61" s="31" t="e">
        <f t="shared" si="591"/>
        <v>#REF!</v>
      </c>
      <c r="HK61" s="31" t="e">
        <f t="shared" si="591"/>
        <v>#REF!</v>
      </c>
      <c r="HL61" s="31" t="e">
        <f t="shared" si="591"/>
        <v>#REF!</v>
      </c>
      <c r="HM61" s="31" t="e">
        <f t="shared" si="591"/>
        <v>#REF!</v>
      </c>
      <c r="HN61" s="31" t="e">
        <f t="shared" si="591"/>
        <v>#REF!</v>
      </c>
      <c r="HO61" s="31" t="e">
        <f t="shared" si="591"/>
        <v>#REF!</v>
      </c>
      <c r="HP61" s="31" t="e">
        <f t="shared" si="591"/>
        <v>#REF!</v>
      </c>
      <c r="HQ61" s="31" t="e">
        <f t="shared" si="591"/>
        <v>#REF!</v>
      </c>
      <c r="HR61" s="31" t="e">
        <f t="shared" si="591"/>
        <v>#REF!</v>
      </c>
      <c r="HS61" s="31" t="e">
        <f t="shared" si="591"/>
        <v>#REF!</v>
      </c>
      <c r="HT61" s="31" t="e">
        <f t="shared" si="591"/>
        <v>#REF!</v>
      </c>
      <c r="HU61" s="31" t="e">
        <f t="shared" si="591"/>
        <v>#REF!</v>
      </c>
      <c r="HV61" s="31" t="e">
        <f t="shared" si="591"/>
        <v>#REF!</v>
      </c>
      <c r="HW61" s="31" t="e">
        <f t="shared" si="591"/>
        <v>#REF!</v>
      </c>
      <c r="HX61" s="31" t="e">
        <f t="shared" si="591"/>
        <v>#REF!</v>
      </c>
      <c r="HY61" s="31" t="e">
        <f t="shared" si="591"/>
        <v>#REF!</v>
      </c>
      <c r="HZ61" s="31" t="e">
        <f t="shared" si="591"/>
        <v>#REF!</v>
      </c>
      <c r="IA61" s="31" t="e">
        <f t="shared" si="591"/>
        <v>#REF!</v>
      </c>
      <c r="IB61" s="31" t="e">
        <f t="shared" si="591"/>
        <v>#REF!</v>
      </c>
      <c r="IC61" s="31" t="e">
        <f t="shared" si="591"/>
        <v>#REF!</v>
      </c>
      <c r="ID61" s="31" t="e">
        <f t="shared" si="591"/>
        <v>#REF!</v>
      </c>
      <c r="IE61" s="31" t="e">
        <f t="shared" si="591"/>
        <v>#REF!</v>
      </c>
      <c r="IF61" s="31" t="e">
        <f t="shared" si="591"/>
        <v>#REF!</v>
      </c>
      <c r="IG61" s="31" t="e">
        <f t="shared" si="591"/>
        <v>#REF!</v>
      </c>
      <c r="IH61" s="31" t="e">
        <f t="shared" si="591"/>
        <v>#REF!</v>
      </c>
      <c r="II61" s="31" t="e">
        <f t="shared" si="591"/>
        <v>#REF!</v>
      </c>
      <c r="IJ61" s="31" t="e">
        <f t="shared" si="591"/>
        <v>#REF!</v>
      </c>
      <c r="IK61" s="31" t="e">
        <f t="shared" si="591"/>
        <v>#REF!</v>
      </c>
      <c r="IL61" s="31" t="e">
        <f t="shared" si="591"/>
        <v>#REF!</v>
      </c>
      <c r="IM61" s="31" t="e">
        <f t="shared" si="591"/>
        <v>#REF!</v>
      </c>
      <c r="IN61" s="31" t="e">
        <f t="shared" si="591"/>
        <v>#REF!</v>
      </c>
      <c r="IO61" s="31" t="e">
        <f t="shared" si="591"/>
        <v>#REF!</v>
      </c>
    </row>
    <row r="62" spans="1:249" x14ac:dyDescent="0.3">
      <c r="A62" s="6"/>
      <c r="B62" s="30"/>
      <c r="C62" s="30"/>
      <c r="D62" s="30"/>
    </row>
    <row r="63" spans="1:249" x14ac:dyDescent="0.3">
      <c r="E63">
        <v>2024</v>
      </c>
      <c r="F63">
        <v>2025</v>
      </c>
      <c r="G63">
        <v>2026</v>
      </c>
      <c r="H63">
        <v>2027</v>
      </c>
      <c r="I63">
        <v>2028</v>
      </c>
      <c r="J63">
        <v>2029</v>
      </c>
      <c r="K63">
        <v>2030</v>
      </c>
      <c r="L63">
        <v>2031</v>
      </c>
      <c r="M63">
        <v>2032</v>
      </c>
      <c r="N63">
        <v>2033</v>
      </c>
      <c r="O63">
        <v>2034</v>
      </c>
      <c r="P63">
        <v>2035</v>
      </c>
      <c r="Q63">
        <v>2036</v>
      </c>
      <c r="R63">
        <v>2037</v>
      </c>
      <c r="S63">
        <v>2038</v>
      </c>
      <c r="T63">
        <v>2039</v>
      </c>
      <c r="U63">
        <v>2040</v>
      </c>
      <c r="V63">
        <v>2041</v>
      </c>
      <c r="W63">
        <v>2042</v>
      </c>
      <c r="X63">
        <v>2043</v>
      </c>
      <c r="Y63">
        <v>2044</v>
      </c>
    </row>
    <row r="64" spans="1:249" x14ac:dyDescent="0.3">
      <c r="B64" t="s">
        <v>781</v>
      </c>
      <c r="C64" s="31">
        <f>+SUM(E64:J64)</f>
        <v>133254.46424674999</v>
      </c>
      <c r="D64" s="31"/>
      <c r="E64" s="10">
        <f t="shared" ref="E64:Y64" si="592">+SUMIFS(8:8,2:2,E63)</f>
        <v>9746.1817221999991</v>
      </c>
      <c r="F64" s="10">
        <f t="shared" si="592"/>
        <v>24758.347586719996</v>
      </c>
      <c r="G64" s="10">
        <f t="shared" si="592"/>
        <v>24717.724837960002</v>
      </c>
      <c r="H64" s="10">
        <f t="shared" si="592"/>
        <v>24692.440921884998</v>
      </c>
      <c r="I64" s="10">
        <f t="shared" si="592"/>
        <v>24737.676421810003</v>
      </c>
      <c r="J64" s="10">
        <f t="shared" si="592"/>
        <v>24602.092756175</v>
      </c>
      <c r="K64" s="10">
        <f t="shared" si="592"/>
        <v>24475.673175800002</v>
      </c>
      <c r="L64" s="10">
        <f t="shared" si="592"/>
        <v>24349.253595425002</v>
      </c>
      <c r="M64" s="10">
        <f t="shared" si="592"/>
        <v>24292.197375050004</v>
      </c>
      <c r="N64" s="10">
        <f t="shared" si="592"/>
        <v>24096.414434675</v>
      </c>
      <c r="O64" s="10">
        <f t="shared" si="592"/>
        <v>24042.588328549995</v>
      </c>
      <c r="P64" s="10">
        <f t="shared" si="592"/>
        <v>23788.447903000004</v>
      </c>
      <c r="Q64" s="10">
        <f t="shared" si="592"/>
        <v>23601.503232450003</v>
      </c>
      <c r="R64" s="10">
        <f t="shared" si="592"/>
        <v>23280.1670519</v>
      </c>
      <c r="S64" s="10">
        <f t="shared" si="592"/>
        <v>23026.026626350002</v>
      </c>
      <c r="T64" s="10">
        <f t="shared" si="592"/>
        <v>22771.8862008</v>
      </c>
      <c r="U64" s="10">
        <f t="shared" si="592"/>
        <v>22582.051390250002</v>
      </c>
      <c r="V64" s="10">
        <f t="shared" si="592"/>
        <v>22263.605349699996</v>
      </c>
      <c r="W64" s="10">
        <f t="shared" si="592"/>
        <v>22009.464924149997</v>
      </c>
      <c r="X64" s="10">
        <f t="shared" si="592"/>
        <v>21755.324498599999</v>
      </c>
      <c r="Y64" s="10">
        <f t="shared" si="592"/>
        <v>21622.003595892849</v>
      </c>
    </row>
    <row r="65" spans="2:26" x14ac:dyDescent="0.3">
      <c r="B65" t="s">
        <v>782</v>
      </c>
      <c r="C65" s="31" t="e">
        <f>+SUM(E65:J65)</f>
        <v>#REF!</v>
      </c>
      <c r="D65" s="31"/>
      <c r="E65" s="10" t="e">
        <f t="shared" ref="E65:Y65" si="593">+SUMIFS(59:59,2:2,E63)</f>
        <v>#REF!</v>
      </c>
      <c r="F65" s="10" t="e">
        <f t="shared" si="593"/>
        <v>#REF!</v>
      </c>
      <c r="G65" s="10" t="e">
        <f t="shared" si="593"/>
        <v>#REF!</v>
      </c>
      <c r="H65" s="10" t="e">
        <f t="shared" si="593"/>
        <v>#REF!</v>
      </c>
      <c r="I65" s="10" t="e">
        <f t="shared" si="593"/>
        <v>#REF!</v>
      </c>
      <c r="J65" s="10" t="e">
        <f t="shared" si="593"/>
        <v>#REF!</v>
      </c>
      <c r="K65" s="10" t="e">
        <f t="shared" si="593"/>
        <v>#REF!</v>
      </c>
      <c r="L65" s="10" t="e">
        <f t="shared" si="593"/>
        <v>#REF!</v>
      </c>
      <c r="M65" s="10" t="e">
        <f t="shared" si="593"/>
        <v>#REF!</v>
      </c>
      <c r="N65" s="10" t="e">
        <f t="shared" si="593"/>
        <v>#REF!</v>
      </c>
      <c r="O65" s="10" t="e">
        <f t="shared" si="593"/>
        <v>#REF!</v>
      </c>
      <c r="P65" s="10" t="e">
        <f t="shared" si="593"/>
        <v>#REF!</v>
      </c>
      <c r="Q65" s="10" t="e">
        <f t="shared" si="593"/>
        <v>#REF!</v>
      </c>
      <c r="R65" s="10" t="e">
        <f t="shared" si="593"/>
        <v>#REF!</v>
      </c>
      <c r="S65" s="10" t="e">
        <f t="shared" si="593"/>
        <v>#REF!</v>
      </c>
      <c r="T65" s="10" t="e">
        <f t="shared" si="593"/>
        <v>#REF!</v>
      </c>
      <c r="U65" s="10" t="e">
        <f t="shared" si="593"/>
        <v>#REF!</v>
      </c>
      <c r="V65" s="10" t="e">
        <f t="shared" si="593"/>
        <v>#REF!</v>
      </c>
      <c r="W65" s="10" t="e">
        <f t="shared" si="593"/>
        <v>#REF!</v>
      </c>
      <c r="X65" s="10" t="e">
        <f t="shared" si="593"/>
        <v>#REF!</v>
      </c>
      <c r="Y65" s="10" t="e">
        <f t="shared" si="593"/>
        <v>#REF!</v>
      </c>
    </row>
    <row r="66" spans="2:26" x14ac:dyDescent="0.3">
      <c r="B66" t="s">
        <v>783</v>
      </c>
      <c r="C66" s="31" t="e">
        <f>+C65/C64</f>
        <v>#REF!</v>
      </c>
      <c r="D66" s="31"/>
      <c r="E66" s="31" t="e">
        <f t="shared" ref="E66:J66" si="594">+E65/E64</f>
        <v>#REF!</v>
      </c>
      <c r="F66" s="31" t="e">
        <f t="shared" si="594"/>
        <v>#REF!</v>
      </c>
      <c r="G66" s="31" t="e">
        <f t="shared" si="594"/>
        <v>#REF!</v>
      </c>
      <c r="H66" s="31" t="e">
        <f t="shared" si="594"/>
        <v>#REF!</v>
      </c>
      <c r="I66" s="31" t="e">
        <f t="shared" si="594"/>
        <v>#REF!</v>
      </c>
      <c r="J66" s="31" t="e">
        <f t="shared" si="594"/>
        <v>#REF!</v>
      </c>
      <c r="K66" s="31" t="e">
        <f t="shared" ref="K66:N66" si="595">+K65/K64</f>
        <v>#REF!</v>
      </c>
      <c r="L66" s="31" t="e">
        <f t="shared" si="595"/>
        <v>#REF!</v>
      </c>
      <c r="M66" s="31" t="e">
        <f t="shared" si="595"/>
        <v>#REF!</v>
      </c>
      <c r="N66" s="31" t="e">
        <f t="shared" si="595"/>
        <v>#REF!</v>
      </c>
      <c r="O66" s="31" t="e">
        <f>+O65/O64</f>
        <v>#REF!</v>
      </c>
      <c r="P66" s="31" t="e">
        <f t="shared" ref="P66:X66" si="596">+P65/P64</f>
        <v>#REF!</v>
      </c>
      <c r="Q66" s="31" t="e">
        <f t="shared" si="596"/>
        <v>#REF!</v>
      </c>
      <c r="R66" s="31" t="e">
        <f t="shared" si="596"/>
        <v>#REF!</v>
      </c>
      <c r="S66" s="31" t="e">
        <f t="shared" si="596"/>
        <v>#REF!</v>
      </c>
      <c r="T66" s="31" t="e">
        <f t="shared" si="596"/>
        <v>#REF!</v>
      </c>
      <c r="U66" s="31" t="e">
        <f t="shared" si="596"/>
        <v>#REF!</v>
      </c>
      <c r="V66" s="31" t="e">
        <f t="shared" si="596"/>
        <v>#REF!</v>
      </c>
      <c r="W66" s="31" t="e">
        <f t="shared" si="596"/>
        <v>#REF!</v>
      </c>
      <c r="X66" s="31" t="e">
        <f t="shared" si="596"/>
        <v>#REF!</v>
      </c>
      <c r="Y66" s="31" t="e">
        <f>+Y65/Y64</f>
        <v>#REF!</v>
      </c>
    </row>
    <row r="67" spans="2:26" x14ac:dyDescent="0.3">
      <c r="B67" t="s">
        <v>780</v>
      </c>
      <c r="E67" s="30" t="e">
        <f>+E65/5</f>
        <v>#REF!</v>
      </c>
      <c r="F67" s="30" t="e">
        <f>+F65/12</f>
        <v>#REF!</v>
      </c>
      <c r="G67" s="30" t="e">
        <f t="shared" ref="G67:M67" si="597">+G65/12</f>
        <v>#REF!</v>
      </c>
      <c r="H67" s="30" t="e">
        <f t="shared" si="597"/>
        <v>#REF!</v>
      </c>
      <c r="I67" s="30" t="e">
        <f t="shared" si="597"/>
        <v>#REF!</v>
      </c>
      <c r="J67" s="30" t="e">
        <f t="shared" si="597"/>
        <v>#REF!</v>
      </c>
      <c r="K67" s="30" t="e">
        <f t="shared" si="597"/>
        <v>#REF!</v>
      </c>
      <c r="L67" s="30" t="e">
        <f t="shared" si="597"/>
        <v>#REF!</v>
      </c>
      <c r="M67" s="30" t="e">
        <f t="shared" si="597"/>
        <v>#REF!</v>
      </c>
      <c r="N67" s="30" t="e">
        <f>+N65/12</f>
        <v>#REF!</v>
      </c>
      <c r="O67" s="30" t="e">
        <f>+O65/12</f>
        <v>#REF!</v>
      </c>
      <c r="P67" s="30" t="e">
        <f t="shared" ref="P67:W67" si="598">+P65/12</f>
        <v>#REF!</v>
      </c>
      <c r="Q67" s="30" t="e">
        <f t="shared" si="598"/>
        <v>#REF!</v>
      </c>
      <c r="R67" s="30" t="e">
        <f t="shared" si="598"/>
        <v>#REF!</v>
      </c>
      <c r="S67" s="30" t="e">
        <f t="shared" si="598"/>
        <v>#REF!</v>
      </c>
      <c r="T67" s="30" t="e">
        <f t="shared" si="598"/>
        <v>#REF!</v>
      </c>
      <c r="U67" s="30" t="e">
        <f t="shared" si="598"/>
        <v>#REF!</v>
      </c>
      <c r="V67" s="30" t="e">
        <f t="shared" si="598"/>
        <v>#REF!</v>
      </c>
      <c r="W67" s="30" t="e">
        <f t="shared" si="598"/>
        <v>#REF!</v>
      </c>
      <c r="X67" s="30" t="e">
        <f>+X65/12</f>
        <v>#REF!</v>
      </c>
      <c r="Y67" s="30" t="e">
        <f t="shared" ref="Y67" si="599">+Y65/7</f>
        <v>#REF!</v>
      </c>
    </row>
    <row r="69" spans="2:26" x14ac:dyDescent="0.3">
      <c r="E69" s="30" t="s">
        <v>784</v>
      </c>
      <c r="F69" s="30" t="s">
        <v>785</v>
      </c>
      <c r="G69" s="30" t="s">
        <v>786</v>
      </c>
      <c r="H69" s="30" t="s">
        <v>787</v>
      </c>
      <c r="I69" s="30" t="s">
        <v>788</v>
      </c>
      <c r="J69" s="30" t="s">
        <v>789</v>
      </c>
      <c r="K69" s="30" t="s">
        <v>790</v>
      </c>
      <c r="L69" s="30" t="s">
        <v>791</v>
      </c>
      <c r="M69" s="30" t="s">
        <v>792</v>
      </c>
      <c r="N69" s="30" t="s">
        <v>793</v>
      </c>
      <c r="O69" s="30" t="s">
        <v>794</v>
      </c>
      <c r="P69" s="30" t="s">
        <v>795</v>
      </c>
      <c r="Q69" s="30" t="s">
        <v>796</v>
      </c>
      <c r="R69" s="30" t="s">
        <v>797</v>
      </c>
      <c r="S69" s="30" t="s">
        <v>798</v>
      </c>
      <c r="T69" s="30" t="s">
        <v>799</v>
      </c>
      <c r="U69" s="30" t="s">
        <v>800</v>
      </c>
      <c r="V69" s="30" t="s">
        <v>801</v>
      </c>
      <c r="W69" s="30" t="s">
        <v>802</v>
      </c>
      <c r="X69" s="30" t="s">
        <v>803</v>
      </c>
    </row>
    <row r="70" spans="2:26" x14ac:dyDescent="0.3">
      <c r="B70" t="s">
        <v>804</v>
      </c>
      <c r="E70" s="33" t="e">
        <f>+E66</f>
        <v>#REF!</v>
      </c>
      <c r="F70" s="33" t="e">
        <f>+AVERAGE(E66:F66)</f>
        <v>#REF!</v>
      </c>
      <c r="G70" s="33" t="e">
        <f>+AVERAGE(E66:G66)</f>
        <v>#REF!</v>
      </c>
      <c r="H70" s="33" t="e">
        <f>+AVERAGE(E66:H66)</f>
        <v>#REF!</v>
      </c>
      <c r="I70" s="33" t="e">
        <f>+AVERAGE(E66:I66)</f>
        <v>#REF!</v>
      </c>
      <c r="J70" s="33" t="e">
        <f>+AVERAGE(E66:J66)</f>
        <v>#REF!</v>
      </c>
      <c r="K70" s="33" t="e">
        <f>+AVERAGE(E66:K66)</f>
        <v>#REF!</v>
      </c>
      <c r="L70" s="33" t="e">
        <f>+AVERAGE(E66:L66)</f>
        <v>#REF!</v>
      </c>
      <c r="M70" s="33" t="e">
        <f>+AVERAGE(E66:M66)</f>
        <v>#REF!</v>
      </c>
      <c r="N70" s="33" t="e">
        <f>+AVERAGE(E66:N66)</f>
        <v>#REF!</v>
      </c>
      <c r="O70" s="33" t="e">
        <f>+AVERAGE(E66:O66)</f>
        <v>#REF!</v>
      </c>
      <c r="P70" s="33" t="e">
        <f>+AVERAGE(E66:P66)</f>
        <v>#REF!</v>
      </c>
      <c r="Q70" s="33" t="e">
        <f>+AVERAGE(E66:Q66)</f>
        <v>#REF!</v>
      </c>
      <c r="R70" s="33" t="e">
        <f>+AVERAGE(E66:R66)</f>
        <v>#REF!</v>
      </c>
      <c r="S70" s="33" t="e">
        <f>+AVERAGE(E66:S66)</f>
        <v>#REF!</v>
      </c>
      <c r="T70" s="33" t="e">
        <f>+AVERAGE(E66:T66)</f>
        <v>#REF!</v>
      </c>
      <c r="U70" s="33" t="e">
        <f>+AVERAGE(E66:U66)</f>
        <v>#REF!</v>
      </c>
      <c r="V70" s="33" t="e">
        <f>+AVERAGE(E66:V66)</f>
        <v>#REF!</v>
      </c>
      <c r="W70" s="33" t="e">
        <f>+AVERAGE(E66:W66)</f>
        <v>#REF!</v>
      </c>
      <c r="X70" s="33" t="e">
        <f>+AVERAGE(E66:X66)</f>
        <v>#REF!</v>
      </c>
    </row>
    <row r="71" spans="2:26" x14ac:dyDescent="0.3">
      <c r="B71" t="s">
        <v>805</v>
      </c>
      <c r="E71" s="33" t="e">
        <f>+E67</f>
        <v>#REF!</v>
      </c>
      <c r="F71" s="33" t="e">
        <f>+AVERAGE(E67:F67)</f>
        <v>#REF!</v>
      </c>
      <c r="G71" s="33" t="e">
        <f>+AVERAGE(E67:G67)</f>
        <v>#REF!</v>
      </c>
      <c r="H71" s="33" t="e">
        <f>+AVERAGE(E67:H67)</f>
        <v>#REF!</v>
      </c>
      <c r="I71" s="33" t="e">
        <f>+AVERAGE(E67:I67)</f>
        <v>#REF!</v>
      </c>
      <c r="J71" s="33" t="e">
        <f>+AVERAGE(E67:J67)</f>
        <v>#REF!</v>
      </c>
      <c r="K71" s="33" t="e">
        <f>+AVERAGE(E67:K67)</f>
        <v>#REF!</v>
      </c>
      <c r="L71" s="33" t="e">
        <f>+AVERAGE(E67:L67)</f>
        <v>#REF!</v>
      </c>
      <c r="M71" s="33" t="e">
        <f>+AVERAGE(E67:M67)</f>
        <v>#REF!</v>
      </c>
      <c r="N71" s="33" t="e">
        <f>+AVERAGE(E67:N67)</f>
        <v>#REF!</v>
      </c>
      <c r="O71" s="33" t="e">
        <f>+AVERAGE(E67:O67)</f>
        <v>#REF!</v>
      </c>
      <c r="P71" s="33" t="e">
        <f>+AVERAGE(E67:P67)</f>
        <v>#REF!</v>
      </c>
      <c r="Q71" s="33" t="e">
        <f>+AVERAGE(E67:Q67)</f>
        <v>#REF!</v>
      </c>
      <c r="R71" s="33" t="e">
        <f>+AVERAGE(E67:R67)</f>
        <v>#REF!</v>
      </c>
      <c r="S71" s="33" t="e">
        <f>+AVERAGE(E67:S67)</f>
        <v>#REF!</v>
      </c>
      <c r="T71" s="33" t="e">
        <f>+AVERAGE(E67:T67)</f>
        <v>#REF!</v>
      </c>
      <c r="U71" s="33" t="e">
        <f>+AVERAGE(E67:U67)</f>
        <v>#REF!</v>
      </c>
      <c r="V71" s="33" t="e">
        <f>+AVERAGE(E67:V67)</f>
        <v>#REF!</v>
      </c>
      <c r="W71" s="33" t="e">
        <f>+AVERAGE(E67:W67)</f>
        <v>#REF!</v>
      </c>
      <c r="X71" s="33" t="e">
        <f>+AVERAGE(E67:X67)</f>
        <v>#REF!</v>
      </c>
    </row>
    <row r="72" spans="2:26" x14ac:dyDescent="0.3">
      <c r="B72" t="s">
        <v>812</v>
      </c>
      <c r="E72" s="38" t="e">
        <f t="shared" ref="E72:X72" si="600">+(E40-E71)/E71</f>
        <v>#REF!</v>
      </c>
      <c r="F72" s="38" t="e">
        <f t="shared" si="600"/>
        <v>#REF!</v>
      </c>
      <c r="G72" s="38" t="e">
        <f t="shared" si="600"/>
        <v>#REF!</v>
      </c>
      <c r="H72" s="38" t="e">
        <f t="shared" si="600"/>
        <v>#REF!</v>
      </c>
      <c r="I72" s="38" t="e">
        <f t="shared" si="600"/>
        <v>#REF!</v>
      </c>
      <c r="J72" s="38" t="e">
        <f t="shared" si="600"/>
        <v>#REF!</v>
      </c>
      <c r="K72" s="38" t="e">
        <f t="shared" ca="1" si="600"/>
        <v>#REF!</v>
      </c>
      <c r="L72" s="38" t="e">
        <f t="shared" ca="1" si="600"/>
        <v>#REF!</v>
      </c>
      <c r="M72" s="38" t="e">
        <f t="shared" ca="1" si="600"/>
        <v>#REF!</v>
      </c>
      <c r="N72" s="38" t="e">
        <f t="shared" ca="1" si="600"/>
        <v>#REF!</v>
      </c>
      <c r="O72" s="38" t="e">
        <f t="shared" ca="1" si="600"/>
        <v>#REF!</v>
      </c>
      <c r="P72" s="38" t="e">
        <f t="shared" ca="1" si="600"/>
        <v>#REF!</v>
      </c>
      <c r="Q72" s="38" t="e">
        <f t="shared" ca="1" si="600"/>
        <v>#REF!</v>
      </c>
      <c r="R72" s="38" t="e">
        <f t="shared" ca="1" si="600"/>
        <v>#REF!</v>
      </c>
      <c r="S72" s="38" t="e">
        <f t="shared" ca="1" si="600"/>
        <v>#REF!</v>
      </c>
      <c r="T72" s="38" t="e">
        <f t="shared" ca="1" si="600"/>
        <v>#REF!</v>
      </c>
      <c r="U72" s="38" t="e">
        <f t="shared" ca="1" si="600"/>
        <v>#REF!</v>
      </c>
      <c r="V72" s="38" t="e">
        <f t="shared" ca="1" si="600"/>
        <v>#REF!</v>
      </c>
      <c r="W72" s="38" t="e">
        <f t="shared" ca="1" si="600"/>
        <v>#REF!</v>
      </c>
      <c r="X72" s="38" t="e">
        <f t="shared" ca="1" si="600"/>
        <v>#REF!</v>
      </c>
      <c r="Y72" s="28"/>
      <c r="Z72" s="41"/>
    </row>
    <row r="73" spans="2:26" x14ac:dyDescent="0.3"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28"/>
      <c r="Z73" s="41"/>
    </row>
    <row r="74" spans="2:26" x14ac:dyDescent="0.3">
      <c r="E74">
        <v>2024</v>
      </c>
      <c r="F74">
        <v>2025</v>
      </c>
      <c r="G74">
        <v>2026</v>
      </c>
      <c r="H74">
        <v>2027</v>
      </c>
      <c r="I74">
        <v>2028</v>
      </c>
      <c r="J74">
        <v>2029</v>
      </c>
      <c r="K74">
        <v>2030</v>
      </c>
      <c r="L74">
        <v>2031</v>
      </c>
      <c r="M74">
        <v>2032</v>
      </c>
      <c r="N74">
        <v>2033</v>
      </c>
      <c r="O74">
        <v>2034</v>
      </c>
      <c r="P74">
        <v>2035</v>
      </c>
      <c r="Q74">
        <v>2036</v>
      </c>
      <c r="R74">
        <v>2037</v>
      </c>
      <c r="S74">
        <v>2038</v>
      </c>
      <c r="T74">
        <v>2039</v>
      </c>
      <c r="U74">
        <v>2040</v>
      </c>
      <c r="V74">
        <v>2041</v>
      </c>
      <c r="W74">
        <v>2042</v>
      </c>
      <c r="X74">
        <v>2043</v>
      </c>
      <c r="Y74">
        <v>2044</v>
      </c>
      <c r="Z74" s="41"/>
    </row>
    <row r="75" spans="2:26" x14ac:dyDescent="0.3">
      <c r="B75" t="s">
        <v>813</v>
      </c>
      <c r="E75" s="10" t="e">
        <f>+SUM(E76:E79)</f>
        <v>#REF!</v>
      </c>
      <c r="F75" s="10" t="e">
        <f t="shared" ref="F75:Y75" si="601">+SUM(F76:F79)</f>
        <v>#REF!</v>
      </c>
      <c r="G75" s="10" t="e">
        <f t="shared" si="601"/>
        <v>#REF!</v>
      </c>
      <c r="H75" s="10" t="e">
        <f t="shared" si="601"/>
        <v>#REF!</v>
      </c>
      <c r="I75" s="10" t="e">
        <f t="shared" si="601"/>
        <v>#REF!</v>
      </c>
      <c r="J75" s="10" t="e">
        <f t="shared" si="601"/>
        <v>#REF!</v>
      </c>
      <c r="K75" s="10" t="e">
        <f t="shared" si="601"/>
        <v>#REF!</v>
      </c>
      <c r="L75" s="10" t="e">
        <f t="shared" si="601"/>
        <v>#REF!</v>
      </c>
      <c r="M75" s="10" t="e">
        <f t="shared" si="601"/>
        <v>#REF!</v>
      </c>
      <c r="N75" s="10" t="e">
        <f t="shared" si="601"/>
        <v>#REF!</v>
      </c>
      <c r="O75" s="10" t="e">
        <f t="shared" si="601"/>
        <v>#REF!</v>
      </c>
      <c r="P75" s="10" t="e">
        <f t="shared" si="601"/>
        <v>#REF!</v>
      </c>
      <c r="Q75" s="10" t="e">
        <f t="shared" si="601"/>
        <v>#REF!</v>
      </c>
      <c r="R75" s="10" t="e">
        <f t="shared" si="601"/>
        <v>#REF!</v>
      </c>
      <c r="S75" s="10" t="e">
        <f t="shared" si="601"/>
        <v>#REF!</v>
      </c>
      <c r="T75" s="10" t="e">
        <f t="shared" si="601"/>
        <v>#REF!</v>
      </c>
      <c r="U75" s="10" t="e">
        <f t="shared" si="601"/>
        <v>#REF!</v>
      </c>
      <c r="V75" s="10" t="e">
        <f t="shared" si="601"/>
        <v>#REF!</v>
      </c>
      <c r="W75" s="10" t="e">
        <f t="shared" si="601"/>
        <v>#REF!</v>
      </c>
      <c r="X75" s="10" t="e">
        <f t="shared" si="601"/>
        <v>#REF!</v>
      </c>
      <c r="Y75" s="10" t="e">
        <f t="shared" si="601"/>
        <v>#REF!</v>
      </c>
      <c r="Z75" s="41"/>
    </row>
    <row r="76" spans="2:26" x14ac:dyDescent="0.3">
      <c r="B76" t="s">
        <v>810</v>
      </c>
      <c r="E76" s="10" t="e">
        <f t="shared" ref="E76:Y76" si="602">+SUMIFS(53:53,51:51,E74)</f>
        <v>#REF!</v>
      </c>
      <c r="F76" s="10" t="e">
        <f t="shared" si="602"/>
        <v>#REF!</v>
      </c>
      <c r="G76" s="10" t="e">
        <f t="shared" si="602"/>
        <v>#REF!</v>
      </c>
      <c r="H76" s="10" t="e">
        <f t="shared" si="602"/>
        <v>#REF!</v>
      </c>
      <c r="I76" s="10" t="e">
        <f t="shared" si="602"/>
        <v>#REF!</v>
      </c>
      <c r="J76" s="10">
        <f t="shared" si="602"/>
        <v>0</v>
      </c>
      <c r="K76" s="10">
        <f t="shared" si="602"/>
        <v>0</v>
      </c>
      <c r="L76" s="10">
        <f t="shared" si="602"/>
        <v>0</v>
      </c>
      <c r="M76" s="10">
        <f t="shared" si="602"/>
        <v>0</v>
      </c>
      <c r="N76" s="10">
        <f t="shared" si="602"/>
        <v>0</v>
      </c>
      <c r="O76" s="10">
        <f t="shared" si="602"/>
        <v>0</v>
      </c>
      <c r="P76" s="10">
        <f t="shared" si="602"/>
        <v>0</v>
      </c>
      <c r="Q76" s="10">
        <f t="shared" si="602"/>
        <v>0</v>
      </c>
      <c r="R76" s="10">
        <f t="shared" si="602"/>
        <v>0</v>
      </c>
      <c r="S76" s="10">
        <f t="shared" si="602"/>
        <v>0</v>
      </c>
      <c r="T76" s="10">
        <f t="shared" si="602"/>
        <v>0</v>
      </c>
      <c r="U76" s="10">
        <f t="shared" si="602"/>
        <v>0</v>
      </c>
      <c r="V76" s="10">
        <f t="shared" si="602"/>
        <v>0</v>
      </c>
      <c r="W76" s="10">
        <f t="shared" si="602"/>
        <v>0</v>
      </c>
      <c r="X76" s="10">
        <f t="shared" si="602"/>
        <v>0</v>
      </c>
      <c r="Y76" s="10">
        <f t="shared" si="602"/>
        <v>0</v>
      </c>
      <c r="Z76" s="41"/>
    </row>
    <row r="77" spans="2:26" x14ac:dyDescent="0.3">
      <c r="B77" t="s">
        <v>643</v>
      </c>
      <c r="E77" s="10" t="e">
        <f t="shared" ref="E77:Y77" si="603">+SUMIFS(56:56,51:51,E74)</f>
        <v>#REF!</v>
      </c>
      <c r="F77" s="10" t="e">
        <f t="shared" si="603"/>
        <v>#REF!</v>
      </c>
      <c r="G77" s="10" t="e">
        <f t="shared" si="603"/>
        <v>#REF!</v>
      </c>
      <c r="H77" s="10" t="e">
        <f t="shared" si="603"/>
        <v>#REF!</v>
      </c>
      <c r="I77" s="10" t="e">
        <f t="shared" si="603"/>
        <v>#REF!</v>
      </c>
      <c r="J77" s="10" t="e">
        <f t="shared" si="603"/>
        <v>#REF!</v>
      </c>
      <c r="K77" s="10" t="e">
        <f t="shared" si="603"/>
        <v>#REF!</v>
      </c>
      <c r="L77" s="10" t="e">
        <f t="shared" si="603"/>
        <v>#REF!</v>
      </c>
      <c r="M77" s="10" t="e">
        <f t="shared" si="603"/>
        <v>#REF!</v>
      </c>
      <c r="N77" s="10" t="e">
        <f t="shared" si="603"/>
        <v>#REF!</v>
      </c>
      <c r="O77" s="10" t="e">
        <f t="shared" si="603"/>
        <v>#REF!</v>
      </c>
      <c r="P77" s="10" t="e">
        <f t="shared" si="603"/>
        <v>#REF!</v>
      </c>
      <c r="Q77" s="10" t="e">
        <f t="shared" si="603"/>
        <v>#REF!</v>
      </c>
      <c r="R77" s="10" t="e">
        <f t="shared" si="603"/>
        <v>#REF!</v>
      </c>
      <c r="S77" s="10" t="e">
        <f t="shared" si="603"/>
        <v>#REF!</v>
      </c>
      <c r="T77" s="10" t="e">
        <f t="shared" si="603"/>
        <v>#REF!</v>
      </c>
      <c r="U77" s="10" t="e">
        <f t="shared" si="603"/>
        <v>#REF!</v>
      </c>
      <c r="V77" s="10" t="e">
        <f t="shared" si="603"/>
        <v>#REF!</v>
      </c>
      <c r="W77" s="10" t="e">
        <f t="shared" si="603"/>
        <v>#REF!</v>
      </c>
      <c r="X77" s="10" t="e">
        <f t="shared" si="603"/>
        <v>#REF!</v>
      </c>
      <c r="Y77" s="10" t="e">
        <f t="shared" si="603"/>
        <v>#REF!</v>
      </c>
      <c r="Z77" s="41"/>
    </row>
    <row r="78" spans="2:26" x14ac:dyDescent="0.3">
      <c r="B78" t="s">
        <v>777</v>
      </c>
      <c r="E78" s="10">
        <f t="shared" ref="E78:Y78" si="604">+SUMIFS(57:57,51:51,E74)</f>
        <v>0</v>
      </c>
      <c r="F78" s="10">
        <f t="shared" si="604"/>
        <v>0</v>
      </c>
      <c r="G78" s="10">
        <f t="shared" si="604"/>
        <v>0</v>
      </c>
      <c r="H78" s="10">
        <f t="shared" si="604"/>
        <v>0</v>
      </c>
      <c r="I78" s="10" t="e">
        <f t="shared" si="604"/>
        <v>#REF!</v>
      </c>
      <c r="J78" s="10" t="e">
        <f t="shared" si="604"/>
        <v>#REF!</v>
      </c>
      <c r="K78" s="10" t="e">
        <f t="shared" si="604"/>
        <v>#REF!</v>
      </c>
      <c r="L78" s="10" t="e">
        <f t="shared" si="604"/>
        <v>#REF!</v>
      </c>
      <c r="M78" s="10" t="e">
        <f t="shared" si="604"/>
        <v>#REF!</v>
      </c>
      <c r="N78" s="10" t="e">
        <f t="shared" si="604"/>
        <v>#REF!</v>
      </c>
      <c r="O78" s="10" t="e">
        <f t="shared" si="604"/>
        <v>#REF!</v>
      </c>
      <c r="P78" s="10" t="e">
        <f t="shared" si="604"/>
        <v>#REF!</v>
      </c>
      <c r="Q78" s="10" t="e">
        <f t="shared" si="604"/>
        <v>#REF!</v>
      </c>
      <c r="R78" s="10" t="e">
        <f t="shared" si="604"/>
        <v>#REF!</v>
      </c>
      <c r="S78" s="10" t="e">
        <f t="shared" si="604"/>
        <v>#REF!</v>
      </c>
      <c r="T78" s="10">
        <f t="shared" si="604"/>
        <v>0</v>
      </c>
      <c r="U78" s="10">
        <f t="shared" si="604"/>
        <v>0</v>
      </c>
      <c r="V78" s="10">
        <f t="shared" si="604"/>
        <v>0</v>
      </c>
      <c r="W78" s="10">
        <f t="shared" si="604"/>
        <v>0</v>
      </c>
      <c r="X78" s="10">
        <f t="shared" si="604"/>
        <v>0</v>
      </c>
      <c r="Y78" s="10">
        <f t="shared" si="604"/>
        <v>0</v>
      </c>
      <c r="Z78" s="41"/>
    </row>
    <row r="79" spans="2:26" x14ac:dyDescent="0.3">
      <c r="B79" t="s">
        <v>644</v>
      </c>
      <c r="E79" s="10" t="e">
        <f t="shared" ref="E79:Y79" si="605">+SUMIFS(58:58,51:51,E74)</f>
        <v>#REF!</v>
      </c>
      <c r="F79" s="10" t="e">
        <f t="shared" si="605"/>
        <v>#REF!</v>
      </c>
      <c r="G79" s="10" t="e">
        <f t="shared" si="605"/>
        <v>#REF!</v>
      </c>
      <c r="H79" s="10" t="e">
        <f t="shared" si="605"/>
        <v>#REF!</v>
      </c>
      <c r="I79" s="10" t="e">
        <f t="shared" si="605"/>
        <v>#REF!</v>
      </c>
      <c r="J79" s="10" t="e">
        <f t="shared" si="605"/>
        <v>#REF!</v>
      </c>
      <c r="K79" s="10" t="e">
        <f t="shared" si="605"/>
        <v>#REF!</v>
      </c>
      <c r="L79" s="10" t="e">
        <f t="shared" si="605"/>
        <v>#REF!</v>
      </c>
      <c r="M79" s="10" t="e">
        <f t="shared" si="605"/>
        <v>#REF!</v>
      </c>
      <c r="N79" s="10" t="e">
        <f t="shared" si="605"/>
        <v>#REF!</v>
      </c>
      <c r="O79" s="10" t="e">
        <f t="shared" si="605"/>
        <v>#REF!</v>
      </c>
      <c r="P79" s="10" t="e">
        <f t="shared" si="605"/>
        <v>#REF!</v>
      </c>
      <c r="Q79" s="10" t="e">
        <f t="shared" si="605"/>
        <v>#REF!</v>
      </c>
      <c r="R79" s="10" t="e">
        <f t="shared" si="605"/>
        <v>#REF!</v>
      </c>
      <c r="S79" s="10" t="e">
        <f t="shared" si="605"/>
        <v>#REF!</v>
      </c>
      <c r="T79" s="10" t="e">
        <f t="shared" si="605"/>
        <v>#REF!</v>
      </c>
      <c r="U79" s="10" t="e">
        <f t="shared" si="605"/>
        <v>#REF!</v>
      </c>
      <c r="V79" s="10" t="e">
        <f t="shared" si="605"/>
        <v>#REF!</v>
      </c>
      <c r="W79" s="10" t="e">
        <f t="shared" si="605"/>
        <v>#REF!</v>
      </c>
      <c r="X79" s="10" t="e">
        <f t="shared" si="605"/>
        <v>#REF!</v>
      </c>
      <c r="Y79" s="10" t="e">
        <f t="shared" si="605"/>
        <v>#REF!</v>
      </c>
      <c r="Z79" s="41"/>
    </row>
    <row r="80" spans="2:26" x14ac:dyDescent="0.3">
      <c r="B80" t="s">
        <v>642</v>
      </c>
      <c r="E80" s="10" t="e">
        <f t="shared" ref="E80:Y80" si="606">+SUMIFS(54:54,51:51,E74)</f>
        <v>#REF!</v>
      </c>
      <c r="F80" s="10" t="e">
        <f t="shared" si="606"/>
        <v>#REF!</v>
      </c>
      <c r="G80" s="10" t="e">
        <f t="shared" si="606"/>
        <v>#REF!</v>
      </c>
      <c r="H80" s="10" t="e">
        <f t="shared" si="606"/>
        <v>#REF!</v>
      </c>
      <c r="I80" s="10" t="e">
        <f t="shared" si="606"/>
        <v>#REF!</v>
      </c>
      <c r="J80" s="10">
        <f t="shared" si="606"/>
        <v>0</v>
      </c>
      <c r="K80" s="10">
        <f t="shared" si="606"/>
        <v>0</v>
      </c>
      <c r="L80" s="10">
        <f t="shared" si="606"/>
        <v>0</v>
      </c>
      <c r="M80" s="10">
        <f t="shared" si="606"/>
        <v>0</v>
      </c>
      <c r="N80" s="10">
        <f t="shared" si="606"/>
        <v>0</v>
      </c>
      <c r="O80" s="10">
        <f t="shared" si="606"/>
        <v>0</v>
      </c>
      <c r="P80" s="10">
        <f t="shared" si="606"/>
        <v>0</v>
      </c>
      <c r="Q80" s="10">
        <f t="shared" si="606"/>
        <v>0</v>
      </c>
      <c r="R80" s="10">
        <f t="shared" si="606"/>
        <v>0</v>
      </c>
      <c r="S80" s="10">
        <f t="shared" si="606"/>
        <v>0</v>
      </c>
      <c r="T80" s="10">
        <f t="shared" si="606"/>
        <v>0</v>
      </c>
      <c r="U80" s="10">
        <f t="shared" si="606"/>
        <v>0</v>
      </c>
      <c r="V80" s="10">
        <f t="shared" si="606"/>
        <v>0</v>
      </c>
      <c r="W80" s="10">
        <f t="shared" si="606"/>
        <v>0</v>
      </c>
      <c r="X80" s="10">
        <f t="shared" si="606"/>
        <v>0</v>
      </c>
      <c r="Y80" s="10">
        <f t="shared" si="606"/>
        <v>0</v>
      </c>
    </row>
    <row r="81" spans="1:249" x14ac:dyDescent="0.3">
      <c r="B81" t="s">
        <v>719</v>
      </c>
      <c r="E81" s="10" t="e">
        <f t="shared" ref="E81:Y81" si="607">+SUMIFS(55:55,51:51,E74)</f>
        <v>#REF!</v>
      </c>
      <c r="F81" s="10" t="e">
        <f t="shared" si="607"/>
        <v>#REF!</v>
      </c>
      <c r="G81" s="10" t="e">
        <f t="shared" si="607"/>
        <v>#REF!</v>
      </c>
      <c r="H81" s="10" t="e">
        <f t="shared" si="607"/>
        <v>#REF!</v>
      </c>
      <c r="I81" s="10" t="e">
        <f t="shared" si="607"/>
        <v>#REF!</v>
      </c>
      <c r="J81" s="10">
        <f t="shared" si="607"/>
        <v>0</v>
      </c>
      <c r="K81" s="10">
        <f t="shared" si="607"/>
        <v>0</v>
      </c>
      <c r="L81" s="10">
        <f t="shared" si="607"/>
        <v>0</v>
      </c>
      <c r="M81" s="10">
        <f t="shared" si="607"/>
        <v>0</v>
      </c>
      <c r="N81" s="10">
        <f t="shared" si="607"/>
        <v>0</v>
      </c>
      <c r="O81" s="10">
        <f t="shared" si="607"/>
        <v>0</v>
      </c>
      <c r="P81" s="10">
        <f t="shared" si="607"/>
        <v>0</v>
      </c>
      <c r="Q81" s="10">
        <f t="shared" si="607"/>
        <v>0</v>
      </c>
      <c r="R81" s="10">
        <f t="shared" si="607"/>
        <v>0</v>
      </c>
      <c r="S81" s="10">
        <f t="shared" si="607"/>
        <v>0</v>
      </c>
      <c r="T81" s="10">
        <f t="shared" si="607"/>
        <v>0</v>
      </c>
      <c r="U81" s="10">
        <f t="shared" si="607"/>
        <v>0</v>
      </c>
      <c r="V81" s="10">
        <f t="shared" si="607"/>
        <v>0</v>
      </c>
      <c r="W81" s="10">
        <f t="shared" si="607"/>
        <v>0</v>
      </c>
      <c r="X81" s="10">
        <f t="shared" si="607"/>
        <v>0</v>
      </c>
      <c r="Y81" s="10">
        <f t="shared" si="607"/>
        <v>0</v>
      </c>
    </row>
    <row r="82" spans="1:249" x14ac:dyDescent="0.3">
      <c r="B82" t="s">
        <v>11</v>
      </c>
      <c r="E82" s="31" t="e">
        <f>+E75+E80+E81</f>
        <v>#REF!</v>
      </c>
      <c r="F82" s="31" t="e">
        <f t="shared" ref="F82:Y82" si="608">+F75+F80+F81</f>
        <v>#REF!</v>
      </c>
      <c r="G82" s="31" t="e">
        <f t="shared" si="608"/>
        <v>#REF!</v>
      </c>
      <c r="H82" s="31" t="e">
        <f t="shared" si="608"/>
        <v>#REF!</v>
      </c>
      <c r="I82" s="31" t="e">
        <f t="shared" si="608"/>
        <v>#REF!</v>
      </c>
      <c r="J82" s="31" t="e">
        <f t="shared" si="608"/>
        <v>#REF!</v>
      </c>
      <c r="K82" s="31" t="e">
        <f t="shared" si="608"/>
        <v>#REF!</v>
      </c>
      <c r="L82" s="31" t="e">
        <f t="shared" si="608"/>
        <v>#REF!</v>
      </c>
      <c r="M82" s="31" t="e">
        <f t="shared" si="608"/>
        <v>#REF!</v>
      </c>
      <c r="N82" s="31" t="e">
        <f t="shared" si="608"/>
        <v>#REF!</v>
      </c>
      <c r="O82" s="31" t="e">
        <f t="shared" si="608"/>
        <v>#REF!</v>
      </c>
      <c r="P82" s="31" t="e">
        <f t="shared" si="608"/>
        <v>#REF!</v>
      </c>
      <c r="Q82" s="31" t="e">
        <f t="shared" si="608"/>
        <v>#REF!</v>
      </c>
      <c r="R82" s="31" t="e">
        <f t="shared" si="608"/>
        <v>#REF!</v>
      </c>
      <c r="S82" s="31" t="e">
        <f t="shared" si="608"/>
        <v>#REF!</v>
      </c>
      <c r="T82" s="31" t="e">
        <f t="shared" si="608"/>
        <v>#REF!</v>
      </c>
      <c r="U82" s="31" t="e">
        <f t="shared" si="608"/>
        <v>#REF!</v>
      </c>
      <c r="V82" s="31" t="e">
        <f t="shared" si="608"/>
        <v>#REF!</v>
      </c>
      <c r="W82" s="31" t="e">
        <f t="shared" si="608"/>
        <v>#REF!</v>
      </c>
      <c r="X82" s="31" t="e">
        <f t="shared" si="608"/>
        <v>#REF!</v>
      </c>
      <c r="Y82" s="31" t="e">
        <f t="shared" si="608"/>
        <v>#REF!</v>
      </c>
    </row>
    <row r="83" spans="1:249" x14ac:dyDescent="0.3"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49" x14ac:dyDescent="0.3">
      <c r="E84" s="31">
        <f>+YEAR(E85)</f>
        <v>2024</v>
      </c>
      <c r="F84" s="31">
        <f t="shared" ref="F84:BQ84" si="609">+YEAR(F85)</f>
        <v>2024</v>
      </c>
      <c r="G84" s="31">
        <f t="shared" si="609"/>
        <v>2024</v>
      </c>
      <c r="H84" s="31">
        <f t="shared" si="609"/>
        <v>2024</v>
      </c>
      <c r="I84" s="31">
        <f t="shared" si="609"/>
        <v>2024</v>
      </c>
      <c r="J84" s="31">
        <f t="shared" si="609"/>
        <v>2025</v>
      </c>
      <c r="K84" s="31">
        <f t="shared" si="609"/>
        <v>2025</v>
      </c>
      <c r="L84" s="31">
        <f t="shared" si="609"/>
        <v>2025</v>
      </c>
      <c r="M84" s="31">
        <f t="shared" si="609"/>
        <v>2025</v>
      </c>
      <c r="N84" s="31">
        <f t="shared" si="609"/>
        <v>2025</v>
      </c>
      <c r="O84" s="31">
        <f t="shared" si="609"/>
        <v>2025</v>
      </c>
      <c r="P84" s="31">
        <f t="shared" si="609"/>
        <v>2025</v>
      </c>
      <c r="Q84" s="31">
        <f t="shared" si="609"/>
        <v>2025</v>
      </c>
      <c r="R84" s="31">
        <f t="shared" si="609"/>
        <v>2025</v>
      </c>
      <c r="S84" s="31">
        <f t="shared" si="609"/>
        <v>2025</v>
      </c>
      <c r="T84" s="31">
        <f t="shared" si="609"/>
        <v>2025</v>
      </c>
      <c r="U84" s="31">
        <f t="shared" si="609"/>
        <v>2025</v>
      </c>
      <c r="V84" s="31">
        <f t="shared" si="609"/>
        <v>2026</v>
      </c>
      <c r="W84" s="31">
        <f t="shared" si="609"/>
        <v>2026</v>
      </c>
      <c r="X84" s="31">
        <f t="shared" si="609"/>
        <v>2026</v>
      </c>
      <c r="Y84" s="31">
        <f t="shared" si="609"/>
        <v>2026</v>
      </c>
      <c r="Z84" s="31">
        <f t="shared" si="609"/>
        <v>2026</v>
      </c>
      <c r="AA84" s="31">
        <f t="shared" si="609"/>
        <v>2026</v>
      </c>
      <c r="AB84" s="31">
        <f t="shared" si="609"/>
        <v>2026</v>
      </c>
      <c r="AC84" s="31">
        <f t="shared" si="609"/>
        <v>2026</v>
      </c>
      <c r="AD84" s="31">
        <f t="shared" si="609"/>
        <v>2026</v>
      </c>
      <c r="AE84" s="31">
        <f t="shared" si="609"/>
        <v>2026</v>
      </c>
      <c r="AF84" s="31">
        <f t="shared" si="609"/>
        <v>2026</v>
      </c>
      <c r="AG84" s="31">
        <f t="shared" si="609"/>
        <v>2026</v>
      </c>
      <c r="AH84" s="31">
        <f t="shared" si="609"/>
        <v>2027</v>
      </c>
      <c r="AI84" s="31">
        <f t="shared" si="609"/>
        <v>2027</v>
      </c>
      <c r="AJ84" s="31">
        <f t="shared" si="609"/>
        <v>2027</v>
      </c>
      <c r="AK84" s="31">
        <f t="shared" si="609"/>
        <v>2027</v>
      </c>
      <c r="AL84" s="31">
        <f t="shared" si="609"/>
        <v>2027</v>
      </c>
      <c r="AM84" s="31">
        <f t="shared" si="609"/>
        <v>2027</v>
      </c>
      <c r="AN84" s="31">
        <f t="shared" si="609"/>
        <v>2027</v>
      </c>
      <c r="AO84" s="31">
        <f t="shared" si="609"/>
        <v>2027</v>
      </c>
      <c r="AP84" s="31">
        <f t="shared" si="609"/>
        <v>2027</v>
      </c>
      <c r="AQ84" s="31">
        <f t="shared" si="609"/>
        <v>2027</v>
      </c>
      <c r="AR84" s="31">
        <f t="shared" si="609"/>
        <v>2027</v>
      </c>
      <c r="AS84" s="31">
        <f t="shared" si="609"/>
        <v>2027</v>
      </c>
      <c r="AT84" s="31">
        <f t="shared" si="609"/>
        <v>2028</v>
      </c>
      <c r="AU84" s="31">
        <f t="shared" si="609"/>
        <v>2028</v>
      </c>
      <c r="AV84" s="31">
        <f t="shared" si="609"/>
        <v>2028</v>
      </c>
      <c r="AW84" s="31">
        <f t="shared" si="609"/>
        <v>2028</v>
      </c>
      <c r="AX84" s="31">
        <f t="shared" si="609"/>
        <v>2028</v>
      </c>
      <c r="AY84" s="31">
        <f t="shared" si="609"/>
        <v>2028</v>
      </c>
      <c r="AZ84" s="31">
        <f t="shared" si="609"/>
        <v>2028</v>
      </c>
      <c r="BA84" s="31">
        <f t="shared" si="609"/>
        <v>2028</v>
      </c>
      <c r="BB84" s="31">
        <f t="shared" si="609"/>
        <v>2028</v>
      </c>
      <c r="BC84" s="31">
        <f t="shared" si="609"/>
        <v>2028</v>
      </c>
      <c r="BD84" s="31">
        <f t="shared" si="609"/>
        <v>2028</v>
      </c>
      <c r="BE84" s="31">
        <f t="shared" si="609"/>
        <v>2028</v>
      </c>
      <c r="BF84" s="31">
        <f t="shared" si="609"/>
        <v>2029</v>
      </c>
      <c r="BG84" s="31">
        <f t="shared" si="609"/>
        <v>2029</v>
      </c>
      <c r="BH84" s="31">
        <f t="shared" si="609"/>
        <v>2029</v>
      </c>
      <c r="BI84" s="31">
        <f t="shared" si="609"/>
        <v>2029</v>
      </c>
      <c r="BJ84" s="31">
        <f t="shared" si="609"/>
        <v>2029</v>
      </c>
      <c r="BK84" s="31">
        <f t="shared" si="609"/>
        <v>2029</v>
      </c>
      <c r="BL84" s="31">
        <f t="shared" si="609"/>
        <v>2029</v>
      </c>
      <c r="BM84" s="31">
        <f t="shared" si="609"/>
        <v>2029</v>
      </c>
      <c r="BN84" s="31">
        <f t="shared" si="609"/>
        <v>2029</v>
      </c>
      <c r="BO84" s="31">
        <f t="shared" si="609"/>
        <v>2029</v>
      </c>
      <c r="BP84" s="31">
        <f t="shared" si="609"/>
        <v>2029</v>
      </c>
      <c r="BQ84" s="31">
        <f t="shared" si="609"/>
        <v>2029</v>
      </c>
      <c r="BR84" s="31">
        <f t="shared" ref="BR84:EC84" si="610">+YEAR(BR85)</f>
        <v>2030</v>
      </c>
      <c r="BS84" s="31">
        <f t="shared" si="610"/>
        <v>2030</v>
      </c>
      <c r="BT84" s="31">
        <f t="shared" si="610"/>
        <v>2030</v>
      </c>
      <c r="BU84" s="31">
        <f t="shared" si="610"/>
        <v>2030</v>
      </c>
      <c r="BV84" s="31">
        <f t="shared" si="610"/>
        <v>2030</v>
      </c>
      <c r="BW84" s="31">
        <f t="shared" si="610"/>
        <v>2030</v>
      </c>
      <c r="BX84" s="31">
        <f t="shared" si="610"/>
        <v>2030</v>
      </c>
      <c r="BY84" s="31">
        <f t="shared" si="610"/>
        <v>2030</v>
      </c>
      <c r="BZ84" s="31">
        <f t="shared" si="610"/>
        <v>2030</v>
      </c>
      <c r="CA84" s="31">
        <f t="shared" si="610"/>
        <v>2030</v>
      </c>
      <c r="CB84" s="31">
        <f t="shared" si="610"/>
        <v>2030</v>
      </c>
      <c r="CC84" s="31">
        <f t="shared" si="610"/>
        <v>2030</v>
      </c>
      <c r="CD84" s="31">
        <f t="shared" si="610"/>
        <v>2031</v>
      </c>
      <c r="CE84" s="31">
        <f t="shared" si="610"/>
        <v>2031</v>
      </c>
      <c r="CF84" s="31">
        <f t="shared" si="610"/>
        <v>2031</v>
      </c>
      <c r="CG84" s="31">
        <f t="shared" si="610"/>
        <v>2031</v>
      </c>
      <c r="CH84" s="31">
        <f t="shared" si="610"/>
        <v>2031</v>
      </c>
      <c r="CI84" s="31">
        <f t="shared" si="610"/>
        <v>2031</v>
      </c>
      <c r="CJ84" s="31">
        <f t="shared" si="610"/>
        <v>2031</v>
      </c>
      <c r="CK84" s="31">
        <f t="shared" si="610"/>
        <v>2031</v>
      </c>
      <c r="CL84" s="31">
        <f t="shared" si="610"/>
        <v>2031</v>
      </c>
      <c r="CM84" s="31">
        <f t="shared" si="610"/>
        <v>2031</v>
      </c>
      <c r="CN84" s="31">
        <f t="shared" si="610"/>
        <v>2031</v>
      </c>
      <c r="CO84" s="31">
        <f t="shared" si="610"/>
        <v>2031</v>
      </c>
      <c r="CP84" s="31">
        <f t="shared" si="610"/>
        <v>2032</v>
      </c>
      <c r="CQ84" s="31">
        <f t="shared" si="610"/>
        <v>2032</v>
      </c>
      <c r="CR84" s="31">
        <f t="shared" si="610"/>
        <v>2032</v>
      </c>
      <c r="CS84" s="31">
        <f t="shared" si="610"/>
        <v>2032</v>
      </c>
      <c r="CT84" s="31">
        <f t="shared" si="610"/>
        <v>2032</v>
      </c>
      <c r="CU84" s="31">
        <f t="shared" si="610"/>
        <v>2032</v>
      </c>
      <c r="CV84" s="31">
        <f t="shared" si="610"/>
        <v>2032</v>
      </c>
      <c r="CW84" s="31">
        <f t="shared" si="610"/>
        <v>2032</v>
      </c>
      <c r="CX84" s="31">
        <f t="shared" si="610"/>
        <v>2032</v>
      </c>
      <c r="CY84" s="31">
        <f t="shared" si="610"/>
        <v>2032</v>
      </c>
      <c r="CZ84" s="31">
        <f t="shared" si="610"/>
        <v>2032</v>
      </c>
      <c r="DA84" s="31">
        <f t="shared" si="610"/>
        <v>2032</v>
      </c>
      <c r="DB84" s="31">
        <f t="shared" si="610"/>
        <v>2033</v>
      </c>
      <c r="DC84" s="31">
        <f t="shared" si="610"/>
        <v>2033</v>
      </c>
      <c r="DD84" s="31">
        <f t="shared" si="610"/>
        <v>2033</v>
      </c>
      <c r="DE84" s="31">
        <f t="shared" si="610"/>
        <v>2033</v>
      </c>
      <c r="DF84" s="31">
        <f t="shared" si="610"/>
        <v>2033</v>
      </c>
      <c r="DG84" s="31">
        <f t="shared" si="610"/>
        <v>2033</v>
      </c>
      <c r="DH84" s="31">
        <f t="shared" si="610"/>
        <v>2033</v>
      </c>
      <c r="DI84" s="31">
        <f t="shared" si="610"/>
        <v>2033</v>
      </c>
      <c r="DJ84" s="31">
        <f t="shared" si="610"/>
        <v>2033</v>
      </c>
      <c r="DK84" s="31">
        <f t="shared" si="610"/>
        <v>2033</v>
      </c>
      <c r="DL84" s="31">
        <f t="shared" si="610"/>
        <v>2033</v>
      </c>
      <c r="DM84" s="31">
        <f t="shared" si="610"/>
        <v>2033</v>
      </c>
      <c r="DN84" s="31">
        <f t="shared" si="610"/>
        <v>2034</v>
      </c>
      <c r="DO84" s="31">
        <f t="shared" si="610"/>
        <v>2034</v>
      </c>
      <c r="DP84" s="31">
        <f t="shared" si="610"/>
        <v>2034</v>
      </c>
      <c r="DQ84" s="31">
        <f t="shared" si="610"/>
        <v>2034</v>
      </c>
      <c r="DR84" s="31">
        <f t="shared" si="610"/>
        <v>2034</v>
      </c>
      <c r="DS84" s="31">
        <f t="shared" si="610"/>
        <v>2034</v>
      </c>
      <c r="DT84" s="31">
        <f t="shared" si="610"/>
        <v>2034</v>
      </c>
      <c r="DU84" s="31">
        <f t="shared" si="610"/>
        <v>2034</v>
      </c>
      <c r="DV84" s="31">
        <f t="shared" si="610"/>
        <v>2034</v>
      </c>
      <c r="DW84" s="31">
        <f t="shared" si="610"/>
        <v>2034</v>
      </c>
      <c r="DX84" s="31">
        <f t="shared" si="610"/>
        <v>2034</v>
      </c>
      <c r="DY84" s="31">
        <f t="shared" si="610"/>
        <v>2034</v>
      </c>
      <c r="DZ84" s="31">
        <f t="shared" si="610"/>
        <v>2035</v>
      </c>
      <c r="EA84" s="31">
        <f t="shared" si="610"/>
        <v>2035</v>
      </c>
      <c r="EB84" s="31">
        <f t="shared" si="610"/>
        <v>2035</v>
      </c>
      <c r="EC84" s="31">
        <f t="shared" si="610"/>
        <v>2035</v>
      </c>
      <c r="ED84" s="31">
        <f t="shared" ref="ED84:GO84" si="611">+YEAR(ED85)</f>
        <v>2035</v>
      </c>
      <c r="EE84" s="31">
        <f t="shared" si="611"/>
        <v>2035</v>
      </c>
      <c r="EF84" s="31">
        <f t="shared" si="611"/>
        <v>2035</v>
      </c>
      <c r="EG84" s="31">
        <f t="shared" si="611"/>
        <v>2035</v>
      </c>
      <c r="EH84" s="31">
        <f t="shared" si="611"/>
        <v>2035</v>
      </c>
      <c r="EI84" s="31">
        <f t="shared" si="611"/>
        <v>2035</v>
      </c>
      <c r="EJ84" s="31">
        <f t="shared" si="611"/>
        <v>2035</v>
      </c>
      <c r="EK84" s="31">
        <f t="shared" si="611"/>
        <v>2035</v>
      </c>
      <c r="EL84" s="31">
        <f t="shared" si="611"/>
        <v>2036</v>
      </c>
      <c r="EM84" s="31">
        <f t="shared" si="611"/>
        <v>2036</v>
      </c>
      <c r="EN84" s="31">
        <f t="shared" si="611"/>
        <v>2036</v>
      </c>
      <c r="EO84" s="31">
        <f t="shared" si="611"/>
        <v>2036</v>
      </c>
      <c r="EP84" s="31">
        <f t="shared" si="611"/>
        <v>2036</v>
      </c>
      <c r="EQ84" s="31">
        <f t="shared" si="611"/>
        <v>2036</v>
      </c>
      <c r="ER84" s="31">
        <f t="shared" si="611"/>
        <v>2036</v>
      </c>
      <c r="ES84" s="31">
        <f t="shared" si="611"/>
        <v>2036</v>
      </c>
      <c r="ET84" s="31">
        <f t="shared" si="611"/>
        <v>2036</v>
      </c>
      <c r="EU84" s="31">
        <f t="shared" si="611"/>
        <v>2036</v>
      </c>
      <c r="EV84" s="31">
        <f t="shared" si="611"/>
        <v>2036</v>
      </c>
      <c r="EW84" s="31">
        <f t="shared" si="611"/>
        <v>2036</v>
      </c>
      <c r="EX84" s="31">
        <f t="shared" si="611"/>
        <v>2037</v>
      </c>
      <c r="EY84" s="31">
        <f t="shared" si="611"/>
        <v>2037</v>
      </c>
      <c r="EZ84" s="31">
        <f t="shared" si="611"/>
        <v>2037</v>
      </c>
      <c r="FA84" s="31">
        <f t="shared" si="611"/>
        <v>2037</v>
      </c>
      <c r="FB84" s="31">
        <f t="shared" si="611"/>
        <v>2037</v>
      </c>
      <c r="FC84" s="31">
        <f t="shared" si="611"/>
        <v>2037</v>
      </c>
      <c r="FD84" s="31">
        <f t="shared" si="611"/>
        <v>2037</v>
      </c>
      <c r="FE84" s="31">
        <f t="shared" si="611"/>
        <v>2037</v>
      </c>
      <c r="FF84" s="31">
        <f t="shared" si="611"/>
        <v>2037</v>
      </c>
      <c r="FG84" s="31">
        <f t="shared" si="611"/>
        <v>2037</v>
      </c>
      <c r="FH84" s="31">
        <f t="shared" si="611"/>
        <v>2037</v>
      </c>
      <c r="FI84" s="31">
        <f t="shared" si="611"/>
        <v>2037</v>
      </c>
      <c r="FJ84" s="31">
        <f t="shared" si="611"/>
        <v>2038</v>
      </c>
      <c r="FK84" s="31">
        <f t="shared" si="611"/>
        <v>2038</v>
      </c>
      <c r="FL84" s="31">
        <f t="shared" si="611"/>
        <v>2038</v>
      </c>
      <c r="FM84" s="31">
        <f t="shared" si="611"/>
        <v>2038</v>
      </c>
      <c r="FN84" s="31">
        <f t="shared" si="611"/>
        <v>2038</v>
      </c>
      <c r="FO84" s="31">
        <f t="shared" si="611"/>
        <v>2038</v>
      </c>
      <c r="FP84" s="31">
        <f t="shared" si="611"/>
        <v>2038</v>
      </c>
      <c r="FQ84" s="31">
        <f t="shared" si="611"/>
        <v>2038</v>
      </c>
      <c r="FR84" s="31">
        <f t="shared" si="611"/>
        <v>2038</v>
      </c>
      <c r="FS84" s="31">
        <f t="shared" si="611"/>
        <v>2038</v>
      </c>
      <c r="FT84" s="31">
        <f t="shared" si="611"/>
        <v>2038</v>
      </c>
      <c r="FU84" s="31">
        <f t="shared" si="611"/>
        <v>2038</v>
      </c>
      <c r="FV84" s="31">
        <f t="shared" si="611"/>
        <v>2039</v>
      </c>
      <c r="FW84" s="31">
        <f t="shared" si="611"/>
        <v>2039</v>
      </c>
      <c r="FX84" s="31">
        <f t="shared" si="611"/>
        <v>2039</v>
      </c>
      <c r="FY84" s="31">
        <f t="shared" si="611"/>
        <v>2039</v>
      </c>
      <c r="FZ84" s="31">
        <f t="shared" si="611"/>
        <v>2039</v>
      </c>
      <c r="GA84" s="31">
        <f t="shared" si="611"/>
        <v>2039</v>
      </c>
      <c r="GB84" s="31">
        <f t="shared" si="611"/>
        <v>2039</v>
      </c>
      <c r="GC84" s="31">
        <f t="shared" si="611"/>
        <v>2039</v>
      </c>
      <c r="GD84" s="31">
        <f t="shared" si="611"/>
        <v>2039</v>
      </c>
      <c r="GE84" s="31">
        <f t="shared" si="611"/>
        <v>2039</v>
      </c>
      <c r="GF84" s="31">
        <f t="shared" si="611"/>
        <v>2039</v>
      </c>
      <c r="GG84" s="31">
        <f t="shared" si="611"/>
        <v>2039</v>
      </c>
      <c r="GH84" s="31">
        <f t="shared" si="611"/>
        <v>2040</v>
      </c>
      <c r="GI84" s="31">
        <f t="shared" si="611"/>
        <v>2040</v>
      </c>
      <c r="GJ84" s="31">
        <f t="shared" si="611"/>
        <v>2040</v>
      </c>
      <c r="GK84" s="31">
        <f t="shared" si="611"/>
        <v>2040</v>
      </c>
      <c r="GL84" s="31">
        <f t="shared" si="611"/>
        <v>2040</v>
      </c>
      <c r="GM84" s="31">
        <f t="shared" si="611"/>
        <v>2040</v>
      </c>
      <c r="GN84" s="31">
        <f t="shared" si="611"/>
        <v>2040</v>
      </c>
      <c r="GO84" s="31">
        <f t="shared" si="611"/>
        <v>2040</v>
      </c>
      <c r="GP84" s="31">
        <f t="shared" ref="GP84:IO84" si="612">+YEAR(GP85)</f>
        <v>2040</v>
      </c>
      <c r="GQ84" s="31">
        <f t="shared" si="612"/>
        <v>2040</v>
      </c>
      <c r="GR84" s="31">
        <f t="shared" si="612"/>
        <v>2040</v>
      </c>
      <c r="GS84" s="31">
        <f t="shared" si="612"/>
        <v>2040</v>
      </c>
      <c r="GT84" s="31">
        <f t="shared" si="612"/>
        <v>2041</v>
      </c>
      <c r="GU84" s="31">
        <f t="shared" si="612"/>
        <v>2041</v>
      </c>
      <c r="GV84" s="31">
        <f t="shared" si="612"/>
        <v>2041</v>
      </c>
      <c r="GW84" s="31">
        <f t="shared" si="612"/>
        <v>2041</v>
      </c>
      <c r="GX84" s="31">
        <f t="shared" si="612"/>
        <v>2041</v>
      </c>
      <c r="GY84" s="31">
        <f t="shared" si="612"/>
        <v>2041</v>
      </c>
      <c r="GZ84" s="31">
        <f t="shared" si="612"/>
        <v>2041</v>
      </c>
      <c r="HA84" s="31">
        <f t="shared" si="612"/>
        <v>2041</v>
      </c>
      <c r="HB84" s="31">
        <f t="shared" si="612"/>
        <v>2041</v>
      </c>
      <c r="HC84" s="31">
        <f t="shared" si="612"/>
        <v>2041</v>
      </c>
      <c r="HD84" s="31">
        <f t="shared" si="612"/>
        <v>2041</v>
      </c>
      <c r="HE84" s="31">
        <f t="shared" si="612"/>
        <v>2041</v>
      </c>
      <c r="HF84" s="31">
        <f t="shared" si="612"/>
        <v>2042</v>
      </c>
      <c r="HG84" s="31">
        <f t="shared" si="612"/>
        <v>2042</v>
      </c>
      <c r="HH84" s="31">
        <f t="shared" si="612"/>
        <v>2042</v>
      </c>
      <c r="HI84" s="31">
        <f t="shared" si="612"/>
        <v>2042</v>
      </c>
      <c r="HJ84" s="31">
        <f t="shared" si="612"/>
        <v>2042</v>
      </c>
      <c r="HK84" s="31">
        <f t="shared" si="612"/>
        <v>2042</v>
      </c>
      <c r="HL84" s="31">
        <f t="shared" si="612"/>
        <v>2042</v>
      </c>
      <c r="HM84" s="31">
        <f t="shared" si="612"/>
        <v>2042</v>
      </c>
      <c r="HN84" s="31">
        <f t="shared" si="612"/>
        <v>2042</v>
      </c>
      <c r="HO84" s="31">
        <f t="shared" si="612"/>
        <v>2042</v>
      </c>
      <c r="HP84" s="31">
        <f t="shared" si="612"/>
        <v>2042</v>
      </c>
      <c r="HQ84" s="31">
        <f t="shared" si="612"/>
        <v>2042</v>
      </c>
      <c r="HR84" s="31">
        <f t="shared" si="612"/>
        <v>2043</v>
      </c>
      <c r="HS84" s="31">
        <f t="shared" si="612"/>
        <v>2043</v>
      </c>
      <c r="HT84" s="31">
        <f t="shared" si="612"/>
        <v>2043</v>
      </c>
      <c r="HU84" s="31">
        <f t="shared" si="612"/>
        <v>2043</v>
      </c>
      <c r="HV84" s="31">
        <f t="shared" si="612"/>
        <v>2043</v>
      </c>
      <c r="HW84" s="31">
        <f t="shared" si="612"/>
        <v>2043</v>
      </c>
      <c r="HX84" s="31">
        <f t="shared" si="612"/>
        <v>2043</v>
      </c>
      <c r="HY84" s="31">
        <f t="shared" si="612"/>
        <v>2043</v>
      </c>
      <c r="HZ84" s="31">
        <f t="shared" si="612"/>
        <v>2043</v>
      </c>
      <c r="IA84" s="31">
        <f t="shared" si="612"/>
        <v>2043</v>
      </c>
      <c r="IB84" s="31">
        <f t="shared" si="612"/>
        <v>2043</v>
      </c>
      <c r="IC84" s="31">
        <f t="shared" si="612"/>
        <v>2043</v>
      </c>
      <c r="ID84" s="31">
        <f t="shared" si="612"/>
        <v>2044</v>
      </c>
      <c r="IE84" s="31">
        <f t="shared" si="612"/>
        <v>2044</v>
      </c>
      <c r="IF84" s="31">
        <f t="shared" si="612"/>
        <v>2044</v>
      </c>
      <c r="IG84" s="31">
        <f t="shared" si="612"/>
        <v>2044</v>
      </c>
      <c r="IH84" s="31">
        <f t="shared" si="612"/>
        <v>2044</v>
      </c>
      <c r="II84" s="31">
        <f t="shared" si="612"/>
        <v>2044</v>
      </c>
      <c r="IJ84" s="31">
        <f t="shared" si="612"/>
        <v>2044</v>
      </c>
      <c r="IK84" s="31">
        <f t="shared" si="612"/>
        <v>2044</v>
      </c>
      <c r="IL84" s="31">
        <f t="shared" si="612"/>
        <v>2044</v>
      </c>
      <c r="IM84" s="31">
        <f t="shared" si="612"/>
        <v>2044</v>
      </c>
      <c r="IN84" s="31">
        <f t="shared" si="612"/>
        <v>2044</v>
      </c>
      <c r="IO84" s="31">
        <f t="shared" si="612"/>
        <v>2044</v>
      </c>
    </row>
    <row r="85" spans="1:249" x14ac:dyDescent="0.3">
      <c r="A85" s="6" t="s">
        <v>814</v>
      </c>
      <c r="B85" t="s">
        <v>11</v>
      </c>
      <c r="C85" t="s">
        <v>311</v>
      </c>
      <c r="D85" t="s">
        <v>783</v>
      </c>
      <c r="E85" s="14">
        <v>45505</v>
      </c>
      <c r="F85" s="14">
        <v>45536</v>
      </c>
      <c r="G85" s="14">
        <v>45566</v>
      </c>
      <c r="H85" s="14">
        <v>45597</v>
      </c>
      <c r="I85" s="14">
        <v>45627</v>
      </c>
      <c r="J85" s="14">
        <v>45658</v>
      </c>
      <c r="K85" s="14">
        <v>45689</v>
      </c>
      <c r="L85" s="14">
        <v>45717</v>
      </c>
      <c r="M85" s="14">
        <v>45748</v>
      </c>
      <c r="N85" s="14">
        <v>45778</v>
      </c>
      <c r="O85" s="14">
        <v>45809</v>
      </c>
      <c r="P85" s="14">
        <v>45839</v>
      </c>
      <c r="Q85" s="14">
        <v>45870</v>
      </c>
      <c r="R85" s="14">
        <v>45901</v>
      </c>
      <c r="S85" s="14">
        <v>45931</v>
      </c>
      <c r="T85" s="14">
        <v>45962</v>
      </c>
      <c r="U85" s="14">
        <v>45992</v>
      </c>
      <c r="V85" s="14">
        <v>46023</v>
      </c>
      <c r="W85" s="14">
        <v>46054</v>
      </c>
      <c r="X85" s="14">
        <v>46082</v>
      </c>
      <c r="Y85" s="14">
        <v>46113</v>
      </c>
      <c r="Z85" s="14">
        <v>46143</v>
      </c>
      <c r="AA85" s="14">
        <v>46174</v>
      </c>
      <c r="AB85" s="14">
        <v>46204</v>
      </c>
      <c r="AC85" s="14">
        <v>46235</v>
      </c>
      <c r="AD85" s="14">
        <v>46266</v>
      </c>
      <c r="AE85" s="14">
        <v>46296</v>
      </c>
      <c r="AF85" s="14">
        <v>46327</v>
      </c>
      <c r="AG85" s="14">
        <v>46357</v>
      </c>
      <c r="AH85" s="14">
        <v>46388</v>
      </c>
      <c r="AI85" s="14">
        <v>46419</v>
      </c>
      <c r="AJ85" s="14">
        <v>46447</v>
      </c>
      <c r="AK85" s="14">
        <v>46478</v>
      </c>
      <c r="AL85" s="14">
        <v>46508</v>
      </c>
      <c r="AM85" s="14">
        <v>46539</v>
      </c>
      <c r="AN85" s="14">
        <v>46569</v>
      </c>
      <c r="AO85" s="14">
        <v>46600</v>
      </c>
      <c r="AP85" s="14">
        <v>46631</v>
      </c>
      <c r="AQ85" s="14">
        <v>46661</v>
      </c>
      <c r="AR85" s="14">
        <v>46692</v>
      </c>
      <c r="AS85" s="14">
        <v>46722</v>
      </c>
      <c r="AT85" s="14">
        <v>46753</v>
      </c>
      <c r="AU85" s="14">
        <v>46784</v>
      </c>
      <c r="AV85" s="14">
        <v>46813</v>
      </c>
      <c r="AW85" s="14">
        <v>46844</v>
      </c>
      <c r="AX85" s="14">
        <v>46874</v>
      </c>
      <c r="AY85" s="14">
        <v>46905</v>
      </c>
      <c r="AZ85" s="14">
        <v>46935</v>
      </c>
      <c r="BA85" s="14">
        <v>46966</v>
      </c>
      <c r="BB85" s="14">
        <v>46997</v>
      </c>
      <c r="BC85" s="14">
        <v>47027</v>
      </c>
      <c r="BD85" s="14">
        <v>47058</v>
      </c>
      <c r="BE85" s="14">
        <v>47088</v>
      </c>
      <c r="BF85" s="14">
        <v>47119</v>
      </c>
      <c r="BG85" s="14">
        <v>47150</v>
      </c>
      <c r="BH85" s="14">
        <v>47178</v>
      </c>
      <c r="BI85" s="14">
        <v>47209</v>
      </c>
      <c r="BJ85" s="14">
        <v>47239</v>
      </c>
      <c r="BK85" s="14">
        <v>47270</v>
      </c>
      <c r="BL85" s="14">
        <v>47300</v>
      </c>
      <c r="BM85" s="14">
        <v>47331</v>
      </c>
      <c r="BN85" s="14">
        <v>47362</v>
      </c>
      <c r="BO85" s="14">
        <v>47392</v>
      </c>
      <c r="BP85" s="14">
        <v>47423</v>
      </c>
      <c r="BQ85" s="14">
        <v>47453</v>
      </c>
      <c r="BR85" s="14">
        <v>47484</v>
      </c>
      <c r="BS85" s="14">
        <v>47515</v>
      </c>
      <c r="BT85" s="14">
        <v>47543</v>
      </c>
      <c r="BU85" s="14">
        <v>47574</v>
      </c>
      <c r="BV85" s="14">
        <v>47604</v>
      </c>
      <c r="BW85" s="14">
        <v>47635</v>
      </c>
      <c r="BX85" s="14">
        <v>47665</v>
      </c>
      <c r="BY85" s="14">
        <v>47696</v>
      </c>
      <c r="BZ85" s="14">
        <v>47727</v>
      </c>
      <c r="CA85" s="14">
        <v>47757</v>
      </c>
      <c r="CB85" s="14">
        <v>47788</v>
      </c>
      <c r="CC85" s="14">
        <v>47818</v>
      </c>
      <c r="CD85" s="14">
        <v>47849</v>
      </c>
      <c r="CE85" s="14">
        <v>47880</v>
      </c>
      <c r="CF85" s="14">
        <v>47908</v>
      </c>
      <c r="CG85" s="14">
        <v>47939</v>
      </c>
      <c r="CH85" s="14">
        <v>47969</v>
      </c>
      <c r="CI85" s="14">
        <v>48000</v>
      </c>
      <c r="CJ85" s="14">
        <v>48030</v>
      </c>
      <c r="CK85" s="14">
        <v>48061</v>
      </c>
      <c r="CL85" s="14">
        <v>48092</v>
      </c>
      <c r="CM85" s="14">
        <v>48122</v>
      </c>
      <c r="CN85" s="14">
        <v>48153</v>
      </c>
      <c r="CO85" s="14">
        <v>48183</v>
      </c>
      <c r="CP85" s="14">
        <v>48214</v>
      </c>
      <c r="CQ85" s="14">
        <v>48245</v>
      </c>
      <c r="CR85" s="14">
        <v>48274</v>
      </c>
      <c r="CS85" s="14">
        <v>48305</v>
      </c>
      <c r="CT85" s="14">
        <v>48335</v>
      </c>
      <c r="CU85" s="14">
        <v>48366</v>
      </c>
      <c r="CV85" s="14">
        <v>48396</v>
      </c>
      <c r="CW85" s="14">
        <v>48427</v>
      </c>
      <c r="CX85" s="14">
        <v>48458</v>
      </c>
      <c r="CY85" s="14">
        <v>48488</v>
      </c>
      <c r="CZ85" s="14">
        <v>48519</v>
      </c>
      <c r="DA85" s="14">
        <v>48549</v>
      </c>
      <c r="DB85" s="14">
        <v>48580</v>
      </c>
      <c r="DC85" s="14">
        <v>48611</v>
      </c>
      <c r="DD85" s="14">
        <v>48639</v>
      </c>
      <c r="DE85" s="14">
        <v>48670</v>
      </c>
      <c r="DF85" s="14">
        <v>48700</v>
      </c>
      <c r="DG85" s="14">
        <v>48731</v>
      </c>
      <c r="DH85" s="14">
        <v>48761</v>
      </c>
      <c r="DI85" s="14">
        <v>48792</v>
      </c>
      <c r="DJ85" s="14">
        <v>48823</v>
      </c>
      <c r="DK85" s="14">
        <v>48853</v>
      </c>
      <c r="DL85" s="14">
        <v>48884</v>
      </c>
      <c r="DM85" s="14">
        <v>48914</v>
      </c>
      <c r="DN85" s="14">
        <v>48945</v>
      </c>
      <c r="DO85" s="14">
        <v>48976</v>
      </c>
      <c r="DP85" s="14">
        <v>49004</v>
      </c>
      <c r="DQ85" s="14">
        <v>49035</v>
      </c>
      <c r="DR85" s="14">
        <v>49065</v>
      </c>
      <c r="DS85" s="14">
        <v>49096</v>
      </c>
      <c r="DT85" s="14">
        <v>49126</v>
      </c>
      <c r="DU85" s="14">
        <v>49157</v>
      </c>
      <c r="DV85" s="14">
        <v>49188</v>
      </c>
      <c r="DW85" s="14">
        <v>49218</v>
      </c>
      <c r="DX85" s="14">
        <v>49249</v>
      </c>
      <c r="DY85" s="14">
        <v>49279</v>
      </c>
      <c r="DZ85" s="14">
        <v>49310</v>
      </c>
      <c r="EA85" s="14">
        <v>49341</v>
      </c>
      <c r="EB85" s="14">
        <v>49369</v>
      </c>
      <c r="EC85" s="14">
        <v>49400</v>
      </c>
      <c r="ED85" s="14">
        <v>49430</v>
      </c>
      <c r="EE85" s="14">
        <v>49461</v>
      </c>
      <c r="EF85" s="14">
        <v>49491</v>
      </c>
      <c r="EG85" s="14">
        <v>49522</v>
      </c>
      <c r="EH85" s="14">
        <v>49553</v>
      </c>
      <c r="EI85" s="14">
        <v>49583</v>
      </c>
      <c r="EJ85" s="14">
        <v>49614</v>
      </c>
      <c r="EK85" s="14">
        <v>49644</v>
      </c>
      <c r="EL85" s="14">
        <v>49675</v>
      </c>
      <c r="EM85" s="14">
        <v>49706</v>
      </c>
      <c r="EN85" s="14">
        <v>49735</v>
      </c>
      <c r="EO85" s="14">
        <v>49766</v>
      </c>
      <c r="EP85" s="14">
        <v>49796</v>
      </c>
      <c r="EQ85" s="14">
        <v>49827</v>
      </c>
      <c r="ER85" s="14">
        <v>49857</v>
      </c>
      <c r="ES85" s="14">
        <v>49888</v>
      </c>
      <c r="ET85" s="14">
        <v>49919</v>
      </c>
      <c r="EU85" s="14">
        <v>49949</v>
      </c>
      <c r="EV85" s="14">
        <v>49980</v>
      </c>
      <c r="EW85" s="14">
        <v>50010</v>
      </c>
      <c r="EX85" s="14">
        <v>50041</v>
      </c>
      <c r="EY85" s="14">
        <v>50072</v>
      </c>
      <c r="EZ85" s="14">
        <v>50100</v>
      </c>
      <c r="FA85" s="14">
        <v>50131</v>
      </c>
      <c r="FB85" s="14">
        <v>50161</v>
      </c>
      <c r="FC85" s="14">
        <v>50192</v>
      </c>
      <c r="FD85" s="14">
        <v>50222</v>
      </c>
      <c r="FE85" s="14">
        <v>50253</v>
      </c>
      <c r="FF85" s="14">
        <v>50284</v>
      </c>
      <c r="FG85" s="14">
        <v>50314</v>
      </c>
      <c r="FH85" s="14">
        <v>50345</v>
      </c>
      <c r="FI85" s="14">
        <v>50375</v>
      </c>
      <c r="FJ85" s="14">
        <v>50406</v>
      </c>
      <c r="FK85" s="14">
        <v>50437</v>
      </c>
      <c r="FL85" s="14">
        <v>50465</v>
      </c>
      <c r="FM85" s="14">
        <v>50496</v>
      </c>
      <c r="FN85" s="14">
        <v>50526</v>
      </c>
      <c r="FO85" s="14">
        <v>50557</v>
      </c>
      <c r="FP85" s="14">
        <v>50587</v>
      </c>
      <c r="FQ85" s="14">
        <v>50618</v>
      </c>
      <c r="FR85" s="14">
        <v>50649</v>
      </c>
      <c r="FS85" s="14">
        <v>50679</v>
      </c>
      <c r="FT85" s="14">
        <v>50710</v>
      </c>
      <c r="FU85" s="14">
        <v>50740</v>
      </c>
      <c r="FV85" s="14">
        <v>50771</v>
      </c>
      <c r="FW85" s="14">
        <v>50802</v>
      </c>
      <c r="FX85" s="14">
        <v>50830</v>
      </c>
      <c r="FY85" s="14">
        <v>50861</v>
      </c>
      <c r="FZ85" s="14">
        <v>50891</v>
      </c>
      <c r="GA85" s="14">
        <v>50922</v>
      </c>
      <c r="GB85" s="14">
        <v>50952</v>
      </c>
      <c r="GC85" s="14">
        <v>50983</v>
      </c>
      <c r="GD85" s="14">
        <v>51014</v>
      </c>
      <c r="GE85" s="14">
        <v>51044</v>
      </c>
      <c r="GF85" s="14">
        <v>51075</v>
      </c>
      <c r="GG85" s="14">
        <v>51105</v>
      </c>
      <c r="GH85" s="14">
        <v>51136</v>
      </c>
      <c r="GI85" s="14">
        <v>51167</v>
      </c>
      <c r="GJ85" s="14">
        <v>51196</v>
      </c>
      <c r="GK85" s="14">
        <v>51227</v>
      </c>
      <c r="GL85" s="14">
        <v>51257</v>
      </c>
      <c r="GM85" s="14">
        <v>51288</v>
      </c>
      <c r="GN85" s="14">
        <v>51318</v>
      </c>
      <c r="GO85" s="14">
        <v>51349</v>
      </c>
      <c r="GP85" s="14">
        <v>51380</v>
      </c>
      <c r="GQ85" s="14">
        <v>51410</v>
      </c>
      <c r="GR85" s="14">
        <v>51441</v>
      </c>
      <c r="GS85" s="14">
        <v>51471</v>
      </c>
      <c r="GT85" s="14">
        <v>51502</v>
      </c>
      <c r="GU85" s="14">
        <v>51533</v>
      </c>
      <c r="GV85" s="14">
        <v>51561</v>
      </c>
      <c r="GW85" s="14">
        <v>51592</v>
      </c>
      <c r="GX85" s="14">
        <v>51622</v>
      </c>
      <c r="GY85" s="14">
        <v>51653</v>
      </c>
      <c r="GZ85" s="14">
        <v>51683</v>
      </c>
      <c r="HA85" s="14">
        <v>51714</v>
      </c>
      <c r="HB85" s="14">
        <v>51745</v>
      </c>
      <c r="HC85" s="14">
        <v>51775</v>
      </c>
      <c r="HD85" s="14">
        <v>51806</v>
      </c>
      <c r="HE85" s="14">
        <v>51836</v>
      </c>
      <c r="HF85" s="14">
        <v>51867</v>
      </c>
      <c r="HG85" s="14">
        <v>51898</v>
      </c>
      <c r="HH85" s="14">
        <v>51926</v>
      </c>
      <c r="HI85" s="14">
        <v>51957</v>
      </c>
      <c r="HJ85" s="14">
        <v>51987</v>
      </c>
      <c r="HK85" s="14">
        <v>52018</v>
      </c>
      <c r="HL85" s="14">
        <v>52048</v>
      </c>
      <c r="HM85" s="14">
        <v>52079</v>
      </c>
      <c r="HN85" s="14">
        <v>52110</v>
      </c>
      <c r="HO85" s="14">
        <v>52140</v>
      </c>
      <c r="HP85" s="14">
        <v>52171</v>
      </c>
      <c r="HQ85" s="14">
        <v>52201</v>
      </c>
      <c r="HR85" s="14">
        <v>52232</v>
      </c>
      <c r="HS85" s="14">
        <v>52263</v>
      </c>
      <c r="HT85" s="14">
        <v>52291</v>
      </c>
      <c r="HU85" s="14">
        <v>52322</v>
      </c>
      <c r="HV85" s="14">
        <v>52352</v>
      </c>
      <c r="HW85" s="14">
        <v>52383</v>
      </c>
      <c r="HX85" s="14">
        <v>52413</v>
      </c>
      <c r="HY85" s="14">
        <v>52444</v>
      </c>
      <c r="HZ85" s="14">
        <v>52475</v>
      </c>
      <c r="IA85" s="14">
        <v>52505</v>
      </c>
      <c r="IB85" s="14">
        <v>52536</v>
      </c>
      <c r="IC85" s="14">
        <v>52566</v>
      </c>
      <c r="ID85" s="14">
        <v>52597</v>
      </c>
      <c r="IE85" s="14">
        <v>52628</v>
      </c>
      <c r="IF85" s="14">
        <v>52657</v>
      </c>
      <c r="IG85" s="14">
        <v>52688</v>
      </c>
      <c r="IH85" s="14">
        <v>52718</v>
      </c>
      <c r="II85" s="14">
        <v>52749</v>
      </c>
      <c r="IJ85" s="14">
        <v>52779</v>
      </c>
      <c r="IK85" s="14">
        <v>52810</v>
      </c>
      <c r="IL85" s="14">
        <v>52841</v>
      </c>
      <c r="IM85" s="14">
        <v>52871</v>
      </c>
      <c r="IN85" s="14">
        <v>52902</v>
      </c>
      <c r="IO85" s="14">
        <v>52932</v>
      </c>
    </row>
    <row r="86" spans="1:249" x14ac:dyDescent="0.3">
      <c r="A86" t="s">
        <v>810</v>
      </c>
      <c r="B86" s="33" t="e">
        <f t="shared" ref="B86:B92" si="613">+SUM(E86:DY86)</f>
        <v>#REF!</v>
      </c>
      <c r="C86" s="38" t="e">
        <f>+B86/$B$92</f>
        <v>#REF!</v>
      </c>
      <c r="D86" s="30" t="e">
        <f>+B86/$B$93</f>
        <v>#REF!</v>
      </c>
      <c r="E86" s="30" t="e">
        <f>+'Simulacion prestamo'!C57</f>
        <v>#REF!</v>
      </c>
      <c r="F86" s="30" t="e">
        <f>+'Simulacion prestamo'!D57</f>
        <v>#REF!</v>
      </c>
      <c r="G86" s="30" t="e">
        <f>+'Simulacion prestamo'!E57</f>
        <v>#REF!</v>
      </c>
      <c r="H86" s="30" t="e">
        <f>+'Simulacion prestamo'!F57</f>
        <v>#REF!</v>
      </c>
      <c r="I86" s="30" t="e">
        <f>+'Simulacion prestamo'!G57</f>
        <v>#REF!</v>
      </c>
      <c r="J86" s="30" t="e">
        <f>+'Simulacion prestamo'!H57</f>
        <v>#REF!</v>
      </c>
      <c r="K86" s="30" t="e">
        <f>+'Simulacion prestamo'!I57</f>
        <v>#REF!</v>
      </c>
      <c r="L86" s="30" t="e">
        <f>+'Simulacion prestamo'!J57</f>
        <v>#REF!</v>
      </c>
      <c r="M86" s="30" t="e">
        <f>+'Simulacion prestamo'!K57</f>
        <v>#REF!</v>
      </c>
      <c r="N86" s="30" t="e">
        <f>+'Simulacion prestamo'!L57</f>
        <v>#REF!</v>
      </c>
      <c r="O86" s="30" t="e">
        <f>+'Simulacion prestamo'!M57</f>
        <v>#REF!</v>
      </c>
      <c r="P86" s="30" t="e">
        <f>+'Simulacion prestamo'!N57</f>
        <v>#REF!</v>
      </c>
      <c r="Q86" s="30" t="e">
        <f>+'Simulacion prestamo'!O57</f>
        <v>#REF!</v>
      </c>
      <c r="R86" s="30" t="e">
        <f>+'Simulacion prestamo'!P57</f>
        <v>#REF!</v>
      </c>
      <c r="S86" s="30" t="e">
        <f>+'Simulacion prestamo'!Q57</f>
        <v>#REF!</v>
      </c>
      <c r="T86" s="30" t="e">
        <f>+'Simulacion prestamo'!R57</f>
        <v>#REF!</v>
      </c>
      <c r="U86" s="30" t="e">
        <f>+'Simulacion prestamo'!S57</f>
        <v>#REF!</v>
      </c>
      <c r="V86" s="30" t="e">
        <f>+'Simulacion prestamo'!T57</f>
        <v>#REF!</v>
      </c>
      <c r="W86" s="30" t="e">
        <f>+'Simulacion prestamo'!U57</f>
        <v>#REF!</v>
      </c>
      <c r="X86" s="30" t="e">
        <f>+'Simulacion prestamo'!V57</f>
        <v>#REF!</v>
      </c>
      <c r="Y86" s="30" t="e">
        <f>+'Simulacion prestamo'!W57</f>
        <v>#REF!</v>
      </c>
      <c r="Z86" s="30" t="e">
        <f>+'Simulacion prestamo'!X57</f>
        <v>#REF!</v>
      </c>
      <c r="AA86" s="30" t="e">
        <f>+'Simulacion prestamo'!Y57</f>
        <v>#REF!</v>
      </c>
      <c r="AB86" s="30" t="e">
        <f>+'Simulacion prestamo'!Z57</f>
        <v>#REF!</v>
      </c>
      <c r="AC86" s="30" t="e">
        <f>+'Simulacion prestamo'!AA57</f>
        <v>#REF!</v>
      </c>
      <c r="AD86" s="30" t="e">
        <f>+'Simulacion prestamo'!AB57</f>
        <v>#REF!</v>
      </c>
      <c r="AE86" s="30" t="e">
        <f>+'Simulacion prestamo'!AC57</f>
        <v>#REF!</v>
      </c>
      <c r="AF86" s="30" t="e">
        <f>+'Simulacion prestamo'!AD57</f>
        <v>#REF!</v>
      </c>
      <c r="AG86" s="30" t="e">
        <f>+'Simulacion prestamo'!AE57</f>
        <v>#REF!</v>
      </c>
      <c r="AH86" s="30" t="e">
        <f>+'Simulacion prestamo'!AF57</f>
        <v>#REF!</v>
      </c>
      <c r="AI86" s="30" t="e">
        <f>+'Simulacion prestamo'!AG57</f>
        <v>#REF!</v>
      </c>
      <c r="AJ86" s="30" t="e">
        <f>+'Simulacion prestamo'!AH57</f>
        <v>#REF!</v>
      </c>
      <c r="AK86" s="30" t="e">
        <f>+'Simulacion prestamo'!AI57</f>
        <v>#REF!</v>
      </c>
      <c r="AL86" s="30" t="e">
        <f>+'Simulacion prestamo'!AJ57</f>
        <v>#REF!</v>
      </c>
      <c r="AM86" s="30" t="e">
        <f>+'Simulacion prestamo'!AK57</f>
        <v>#REF!</v>
      </c>
      <c r="AN86" s="30" t="e">
        <f>+'Simulacion prestamo'!AL57</f>
        <v>#REF!</v>
      </c>
      <c r="AO86" s="30" t="e">
        <f>+'Simulacion prestamo'!AM57</f>
        <v>#REF!</v>
      </c>
      <c r="AP86" s="30" t="e">
        <f>+'Simulacion prestamo'!AN57</f>
        <v>#REF!</v>
      </c>
      <c r="AQ86" s="30" t="e">
        <f>+'Simulacion prestamo'!AO57</f>
        <v>#REF!</v>
      </c>
      <c r="AR86" s="30" t="e">
        <f>+'Simulacion prestamo'!AP57</f>
        <v>#REF!</v>
      </c>
      <c r="AS86" s="30" t="e">
        <f>+'Simulacion prestamo'!AQ57</f>
        <v>#REF!</v>
      </c>
      <c r="AT86" s="30" t="e">
        <f>+'Simulacion prestamo'!AR57</f>
        <v>#REF!</v>
      </c>
      <c r="AU86" s="30" t="e">
        <f>+'Simulacion prestamo'!AS57</f>
        <v>#REF!</v>
      </c>
      <c r="AV86" s="30" t="e">
        <f>+'Simulacion prestamo'!AT57</f>
        <v>#REF!</v>
      </c>
      <c r="AW86" s="30" t="e">
        <f>+'Simulacion prestamo'!AU57</f>
        <v>#REF!</v>
      </c>
      <c r="AX86" s="30" t="e">
        <f>+'Simulacion prestamo'!AV57</f>
        <v>#REF!</v>
      </c>
      <c r="AY86" s="30" t="e">
        <f>+'Simulacion prestamo'!AW57</f>
        <v>#REF!</v>
      </c>
      <c r="AZ86" s="30" t="e">
        <f>+'Simulacion prestamo'!AX57</f>
        <v>#REF!</v>
      </c>
      <c r="BA86" s="30" t="e">
        <f>+'Simulacion prestamo'!AY57</f>
        <v>#REF!</v>
      </c>
      <c r="BB86" s="30" t="e">
        <f>+'Simulacion prestamo'!AZ57</f>
        <v>#REF!</v>
      </c>
      <c r="BC86" s="30" t="e">
        <f>+'Simulacion prestamo'!BA57</f>
        <v>#REF!</v>
      </c>
      <c r="BD86" s="30" t="e">
        <f>+'Simulacion prestamo'!BB57</f>
        <v>#REF!</v>
      </c>
      <c r="BE86" s="30" t="e">
        <f>+'Simulacion prestamo'!BC57</f>
        <v>#REF!</v>
      </c>
      <c r="BF86" s="30" t="e">
        <f>+'Simulacion prestamo'!BD57</f>
        <v>#REF!</v>
      </c>
      <c r="BG86" s="30" t="e">
        <f>+'Simulacion prestamo'!BE57</f>
        <v>#REF!</v>
      </c>
      <c r="BH86" s="30" t="e">
        <f>+'Simulacion prestamo'!BF57</f>
        <v>#REF!</v>
      </c>
      <c r="BI86" s="30" t="e">
        <f>+'Simulacion prestamo'!BG57</f>
        <v>#REF!</v>
      </c>
      <c r="BJ86" s="30" t="e">
        <f>+'Simulacion prestamo'!BH57</f>
        <v>#REF!</v>
      </c>
      <c r="BK86" s="30" t="e">
        <f>+'Simulacion prestamo'!BI57</f>
        <v>#REF!</v>
      </c>
      <c r="BL86" s="30" t="e">
        <f>+'Simulacion prestamo'!BJ57</f>
        <v>#REF!</v>
      </c>
      <c r="BM86" s="30" t="e">
        <f>+'Simulacion prestamo'!BK57</f>
        <v>#REF!</v>
      </c>
      <c r="BN86" s="30" t="e">
        <f>+'Simulacion prestamo'!BL57</f>
        <v>#REF!</v>
      </c>
      <c r="BO86" s="30" t="e">
        <f>+'Simulacion prestamo'!BM57</f>
        <v>#REF!</v>
      </c>
      <c r="BP86" s="30" t="e">
        <f>+'Simulacion prestamo'!BN57</f>
        <v>#REF!</v>
      </c>
      <c r="BQ86" s="30" t="e">
        <f>+'Simulacion prestamo'!BO57</f>
        <v>#REF!</v>
      </c>
      <c r="BR86" s="30" t="e">
        <f>+'Simulacion prestamo'!BP57</f>
        <v>#REF!</v>
      </c>
      <c r="BS86" s="30" t="e">
        <f>+'Simulacion prestamo'!BQ57</f>
        <v>#REF!</v>
      </c>
      <c r="BT86" s="30" t="e">
        <f>+'Simulacion prestamo'!BR57</f>
        <v>#REF!</v>
      </c>
      <c r="BU86" s="30" t="e">
        <f>+'Simulacion prestamo'!BS57</f>
        <v>#REF!</v>
      </c>
      <c r="BV86" s="30" t="e">
        <f>+'Simulacion prestamo'!BT57</f>
        <v>#REF!</v>
      </c>
      <c r="BW86" s="30" t="e">
        <f>+'Simulacion prestamo'!BU57</f>
        <v>#REF!</v>
      </c>
      <c r="BX86" s="30" t="e">
        <f>+'Simulacion prestamo'!BV57</f>
        <v>#REF!</v>
      </c>
      <c r="BY86" s="30">
        <f>+'Simulacion prestamo'!BW57</f>
        <v>0</v>
      </c>
      <c r="BZ86" s="30">
        <f>+'Simulacion prestamo'!BX57</f>
        <v>0</v>
      </c>
      <c r="CA86" s="30">
        <f>+'Simulacion prestamo'!BY57</f>
        <v>0</v>
      </c>
      <c r="CB86" s="30">
        <f>+'Simulacion prestamo'!BZ57</f>
        <v>0</v>
      </c>
      <c r="CC86" s="30">
        <f>+'Simulacion prestamo'!CA57</f>
        <v>0</v>
      </c>
      <c r="CD86" s="30">
        <f>+'Simulacion prestamo'!CB57</f>
        <v>0</v>
      </c>
      <c r="CE86" s="30">
        <f>+'Simulacion prestamo'!CC57</f>
        <v>0</v>
      </c>
      <c r="CF86" s="30">
        <f>+'Simulacion prestamo'!CD57</f>
        <v>0</v>
      </c>
      <c r="CG86" s="30">
        <f>+'Simulacion prestamo'!CE57</f>
        <v>0</v>
      </c>
      <c r="CH86" s="30">
        <f>+'Simulacion prestamo'!CF57</f>
        <v>0</v>
      </c>
      <c r="CI86" s="30">
        <f>+'Simulacion prestamo'!CG57</f>
        <v>0</v>
      </c>
      <c r="CJ86" s="30">
        <f>+'Simulacion prestamo'!CH57</f>
        <v>0</v>
      </c>
      <c r="CK86" s="30">
        <f>+'Simulacion prestamo'!CI57</f>
        <v>0</v>
      </c>
      <c r="CL86" s="30">
        <f>+'Simulacion prestamo'!CJ57</f>
        <v>0</v>
      </c>
      <c r="CM86" s="30">
        <f>+'Simulacion prestamo'!CK57</f>
        <v>0</v>
      </c>
      <c r="CN86" s="30">
        <f>+'Simulacion prestamo'!CL57</f>
        <v>0</v>
      </c>
      <c r="CO86" s="30">
        <f>+'Simulacion prestamo'!CM57</f>
        <v>0</v>
      </c>
      <c r="CP86" s="30">
        <f>+'Simulacion prestamo'!CN57</f>
        <v>0</v>
      </c>
      <c r="CQ86" s="30">
        <f>+'Simulacion prestamo'!CO57</f>
        <v>0</v>
      </c>
      <c r="CR86" s="30">
        <f>+'Simulacion prestamo'!CP57</f>
        <v>0</v>
      </c>
      <c r="CS86" s="30">
        <f>+'Simulacion prestamo'!CQ57</f>
        <v>0</v>
      </c>
      <c r="CT86" s="30">
        <f>+'Simulacion prestamo'!CR57</f>
        <v>0</v>
      </c>
      <c r="CU86" s="30">
        <f>+'Simulacion prestamo'!CS57</f>
        <v>0</v>
      </c>
      <c r="CV86" s="30">
        <f>+'Simulacion prestamo'!CT57</f>
        <v>0</v>
      </c>
      <c r="CW86" s="30">
        <f>+'Simulacion prestamo'!CU57</f>
        <v>0</v>
      </c>
      <c r="CX86" s="30">
        <f>+'Simulacion prestamo'!CV57</f>
        <v>0</v>
      </c>
      <c r="CY86" s="30">
        <f>+'Simulacion prestamo'!CW57</f>
        <v>0</v>
      </c>
      <c r="CZ86" s="30">
        <f>+'Simulacion prestamo'!CX57</f>
        <v>0</v>
      </c>
      <c r="DA86" s="30">
        <f>+'Simulacion prestamo'!CY57</f>
        <v>0</v>
      </c>
      <c r="DB86" s="30">
        <f>+'Simulacion prestamo'!CZ57</f>
        <v>0</v>
      </c>
      <c r="DC86" s="30">
        <f>+'Simulacion prestamo'!DA57</f>
        <v>0</v>
      </c>
      <c r="DD86" s="30">
        <f>+'Simulacion prestamo'!DB57</f>
        <v>0</v>
      </c>
      <c r="DE86" s="30">
        <f>+'Simulacion prestamo'!DC57</f>
        <v>0</v>
      </c>
      <c r="DF86" s="30">
        <f>+'Simulacion prestamo'!DD57</f>
        <v>0</v>
      </c>
      <c r="DG86" s="30">
        <f>+'Simulacion prestamo'!DE57</f>
        <v>0</v>
      </c>
      <c r="DH86" s="30">
        <f>+'Simulacion prestamo'!DF57</f>
        <v>0</v>
      </c>
      <c r="DI86" s="30">
        <f>+'Simulacion prestamo'!DG57</f>
        <v>0</v>
      </c>
      <c r="DJ86" s="30">
        <f>+'Simulacion prestamo'!DH57</f>
        <v>0</v>
      </c>
      <c r="DK86" s="30">
        <f>+'Simulacion prestamo'!DI57</f>
        <v>0</v>
      </c>
      <c r="DL86" s="30">
        <f>+'Simulacion prestamo'!DJ57</f>
        <v>0</v>
      </c>
      <c r="DM86" s="30">
        <f>+'Simulacion prestamo'!DK57</f>
        <v>0</v>
      </c>
      <c r="DN86" s="30">
        <f>+'Simulacion prestamo'!DL57</f>
        <v>0</v>
      </c>
      <c r="DO86" s="30">
        <f>+'Simulacion prestamo'!DM57</f>
        <v>0</v>
      </c>
      <c r="DP86" s="30">
        <f>+'Simulacion prestamo'!DN57</f>
        <v>0</v>
      </c>
      <c r="DQ86" s="30">
        <f>+'Simulacion prestamo'!DO57</f>
        <v>0</v>
      </c>
      <c r="DR86" s="30">
        <f>+'Simulacion prestamo'!DP57</f>
        <v>0</v>
      </c>
      <c r="DS86" s="30">
        <f>+'Simulacion prestamo'!DQ57</f>
        <v>0</v>
      </c>
      <c r="DT86" s="30">
        <f>+'Simulacion prestamo'!DR57</f>
        <v>0</v>
      </c>
      <c r="DU86" s="30">
        <f>+'Simulacion prestamo'!DS57</f>
        <v>0</v>
      </c>
      <c r="DV86" s="30">
        <f>+'Simulacion prestamo'!DT57</f>
        <v>0</v>
      </c>
      <c r="DW86" s="30">
        <f>+'Simulacion prestamo'!DU57</f>
        <v>0</v>
      </c>
      <c r="DX86" s="30">
        <f>+'Simulacion prestamo'!DV57</f>
        <v>0</v>
      </c>
      <c r="DY86" s="30">
        <f>+'Simulacion prestamo'!DW57</f>
        <v>0</v>
      </c>
      <c r="DZ86" s="30">
        <f>+'Simulacion prestamo'!DX57</f>
        <v>0</v>
      </c>
      <c r="EA86" s="30">
        <f>+'Simulacion prestamo'!DY57</f>
        <v>0</v>
      </c>
      <c r="EB86" s="30">
        <f>+'Simulacion prestamo'!DZ57</f>
        <v>0</v>
      </c>
      <c r="EC86" s="30">
        <f>+'Simulacion prestamo'!EA57</f>
        <v>0</v>
      </c>
      <c r="ED86" s="30">
        <f>+'Simulacion prestamo'!EB57</f>
        <v>0</v>
      </c>
      <c r="EE86" s="30">
        <f>+'Simulacion prestamo'!EC57</f>
        <v>0</v>
      </c>
      <c r="EF86" s="30">
        <f>+'Simulacion prestamo'!ED57</f>
        <v>0</v>
      </c>
      <c r="EG86" s="30">
        <f>+'Simulacion prestamo'!EE57</f>
        <v>0</v>
      </c>
      <c r="EH86" s="30">
        <f>+'Simulacion prestamo'!EF57</f>
        <v>0</v>
      </c>
      <c r="EI86" s="30">
        <f>+'Simulacion prestamo'!EG57</f>
        <v>0</v>
      </c>
      <c r="EJ86" s="30">
        <f>+'Simulacion prestamo'!EH57</f>
        <v>0</v>
      </c>
      <c r="EK86" s="30">
        <f>+'Simulacion prestamo'!EI57</f>
        <v>0</v>
      </c>
      <c r="EL86" s="30">
        <f>+'Simulacion prestamo'!EJ57</f>
        <v>0</v>
      </c>
      <c r="EM86" s="30">
        <f>+'Simulacion prestamo'!EK57</f>
        <v>0</v>
      </c>
      <c r="EN86" s="30">
        <f>+'Simulacion prestamo'!EL57</f>
        <v>0</v>
      </c>
      <c r="EO86" s="30">
        <f>+'Simulacion prestamo'!EM57</f>
        <v>0</v>
      </c>
      <c r="EP86" s="30">
        <f>+'Simulacion prestamo'!EN57</f>
        <v>0</v>
      </c>
      <c r="EQ86" s="30">
        <f>+'Simulacion prestamo'!EO57</f>
        <v>0</v>
      </c>
      <c r="ER86" s="30">
        <f>+'Simulacion prestamo'!EP57</f>
        <v>0</v>
      </c>
      <c r="ES86" s="30">
        <f>+'Simulacion prestamo'!EQ57</f>
        <v>0</v>
      </c>
      <c r="ET86" s="30">
        <f>+'Simulacion prestamo'!ER57</f>
        <v>0</v>
      </c>
      <c r="EU86" s="30">
        <f>+'Simulacion prestamo'!ES57</f>
        <v>0</v>
      </c>
      <c r="EV86" s="30">
        <f>+'Simulacion prestamo'!ET57</f>
        <v>0</v>
      </c>
      <c r="EW86" s="30">
        <f>+'Simulacion prestamo'!EU57</f>
        <v>0</v>
      </c>
      <c r="EX86" s="30">
        <f>+'Simulacion prestamo'!EV57</f>
        <v>0</v>
      </c>
      <c r="EY86" s="30">
        <f>+'Simulacion prestamo'!EW57</f>
        <v>0</v>
      </c>
      <c r="EZ86" s="30">
        <f>+'Simulacion prestamo'!EX57</f>
        <v>0</v>
      </c>
      <c r="FA86" s="30">
        <f>+'Simulacion prestamo'!EY57</f>
        <v>0</v>
      </c>
      <c r="FB86" s="30">
        <f>+'Simulacion prestamo'!EZ57</f>
        <v>0</v>
      </c>
      <c r="FC86" s="30">
        <f>+'Simulacion prestamo'!FA57</f>
        <v>0</v>
      </c>
      <c r="FD86" s="30">
        <f>+'Simulacion prestamo'!FB57</f>
        <v>0</v>
      </c>
      <c r="FE86" s="30">
        <f>+'Simulacion prestamo'!FC57</f>
        <v>0</v>
      </c>
      <c r="FF86" s="30">
        <f>+'Simulacion prestamo'!FD57</f>
        <v>0</v>
      </c>
      <c r="FG86" s="30">
        <f>+'Simulacion prestamo'!FE57</f>
        <v>0</v>
      </c>
      <c r="FH86" s="30">
        <f>+'Simulacion prestamo'!FF57</f>
        <v>0</v>
      </c>
      <c r="FI86" s="30">
        <f>+'Simulacion prestamo'!FG57</f>
        <v>0</v>
      </c>
      <c r="FJ86" s="30">
        <f>+'Simulacion prestamo'!FH57</f>
        <v>0</v>
      </c>
      <c r="FK86" s="30">
        <f>+'Simulacion prestamo'!FI57</f>
        <v>0</v>
      </c>
      <c r="FL86" s="30">
        <f>+'Simulacion prestamo'!FJ57</f>
        <v>0</v>
      </c>
      <c r="FM86" s="30">
        <f>+'Simulacion prestamo'!FK57</f>
        <v>0</v>
      </c>
      <c r="FN86" s="30">
        <f>+'Simulacion prestamo'!FL57</f>
        <v>0</v>
      </c>
      <c r="FO86" s="30">
        <f>+'Simulacion prestamo'!FM57</f>
        <v>0</v>
      </c>
      <c r="FP86" s="30">
        <f>+'Simulacion prestamo'!FN57</f>
        <v>0</v>
      </c>
      <c r="FQ86" s="30">
        <f>+'Simulacion prestamo'!FO57</f>
        <v>0</v>
      </c>
      <c r="FR86" s="30">
        <f>+'Simulacion prestamo'!FP57</f>
        <v>0</v>
      </c>
      <c r="FS86" s="30">
        <f>+'Simulacion prestamo'!FQ57</f>
        <v>0</v>
      </c>
      <c r="FT86" s="30">
        <f>+'Simulacion prestamo'!FR57</f>
        <v>0</v>
      </c>
      <c r="FU86" s="30">
        <f>+'Simulacion prestamo'!FS57</f>
        <v>0</v>
      </c>
      <c r="FV86" s="30">
        <f>+'Simulacion prestamo'!FT57</f>
        <v>0</v>
      </c>
      <c r="FW86" s="30">
        <f>+'Simulacion prestamo'!FU57</f>
        <v>0</v>
      </c>
      <c r="FX86" s="30">
        <f>+'Simulacion prestamo'!FV57</f>
        <v>0</v>
      </c>
      <c r="FY86" s="30">
        <f>+'Simulacion prestamo'!FW57</f>
        <v>0</v>
      </c>
      <c r="FZ86" s="30">
        <f>+'Simulacion prestamo'!FX57</f>
        <v>0</v>
      </c>
      <c r="GA86" s="30">
        <f>+'Simulacion prestamo'!FY57</f>
        <v>0</v>
      </c>
      <c r="GB86" s="30">
        <f>+'Simulacion prestamo'!FZ57</f>
        <v>0</v>
      </c>
      <c r="GC86" s="30">
        <f>+'Simulacion prestamo'!GA57</f>
        <v>0</v>
      </c>
      <c r="GD86" s="30">
        <f>+'Simulacion prestamo'!GB57</f>
        <v>0</v>
      </c>
      <c r="GE86" s="30">
        <f>+'Simulacion prestamo'!GC57</f>
        <v>0</v>
      </c>
      <c r="GF86" s="30">
        <f>+'Simulacion prestamo'!GD57</f>
        <v>0</v>
      </c>
      <c r="GG86" s="30">
        <f>+'Simulacion prestamo'!GE57</f>
        <v>0</v>
      </c>
      <c r="GH86" s="30">
        <f>+'Simulacion prestamo'!GF57</f>
        <v>0</v>
      </c>
      <c r="GI86" s="30">
        <f>+'Simulacion prestamo'!GG57</f>
        <v>0</v>
      </c>
      <c r="GJ86" s="30">
        <f>+'Simulacion prestamo'!GH57</f>
        <v>0</v>
      </c>
      <c r="GK86" s="30">
        <f>+'Simulacion prestamo'!GI57</f>
        <v>0</v>
      </c>
      <c r="GL86" s="30">
        <f>+'Simulacion prestamo'!GJ57</f>
        <v>0</v>
      </c>
      <c r="GM86" s="30">
        <f>+'Simulacion prestamo'!GK57</f>
        <v>0</v>
      </c>
      <c r="GN86" s="30">
        <f>+'Simulacion prestamo'!GL57</f>
        <v>0</v>
      </c>
      <c r="GO86" s="30">
        <f>+'Simulacion prestamo'!GM57</f>
        <v>0</v>
      </c>
      <c r="GP86" s="30">
        <f>+'Simulacion prestamo'!GN57</f>
        <v>0</v>
      </c>
      <c r="GQ86" s="30">
        <f>+'Simulacion prestamo'!GO57</f>
        <v>0</v>
      </c>
      <c r="GR86" s="30">
        <f>+'Simulacion prestamo'!GP57</f>
        <v>0</v>
      </c>
      <c r="GS86" s="30">
        <f>+'Simulacion prestamo'!GQ57</f>
        <v>0</v>
      </c>
      <c r="GT86" s="30">
        <f>+'Simulacion prestamo'!GR57</f>
        <v>0</v>
      </c>
      <c r="GU86" s="30">
        <f>+'Simulacion prestamo'!GS57</f>
        <v>0</v>
      </c>
      <c r="GV86" s="30">
        <f>+'Simulacion prestamo'!GT57</f>
        <v>0</v>
      </c>
      <c r="GW86" s="30">
        <f>+'Simulacion prestamo'!GU57</f>
        <v>0</v>
      </c>
      <c r="GX86" s="30">
        <f>+'Simulacion prestamo'!GV57</f>
        <v>0</v>
      </c>
      <c r="GY86" s="30">
        <f>+'Simulacion prestamo'!GW57</f>
        <v>0</v>
      </c>
      <c r="GZ86" s="30">
        <f>+'Simulacion prestamo'!GX57</f>
        <v>0</v>
      </c>
      <c r="HA86" s="30">
        <f>+'Simulacion prestamo'!GY57</f>
        <v>0</v>
      </c>
      <c r="HB86" s="30">
        <f>+'Simulacion prestamo'!GZ57</f>
        <v>0</v>
      </c>
      <c r="HC86" s="30">
        <f>+'Simulacion prestamo'!HA57</f>
        <v>0</v>
      </c>
      <c r="HD86" s="30">
        <f>+'Simulacion prestamo'!HB57</f>
        <v>0</v>
      </c>
      <c r="HE86" s="30">
        <f>+'Simulacion prestamo'!HC57</f>
        <v>0</v>
      </c>
      <c r="HF86" s="30">
        <f>+'Simulacion prestamo'!HD57</f>
        <v>0</v>
      </c>
      <c r="HG86" s="30">
        <f>+'Simulacion prestamo'!HE57</f>
        <v>0</v>
      </c>
      <c r="HH86" s="30">
        <f>+'Simulacion prestamo'!HF57</f>
        <v>0</v>
      </c>
      <c r="HI86" s="30">
        <f>+'Simulacion prestamo'!HG57</f>
        <v>0</v>
      </c>
      <c r="HJ86" s="30">
        <f>+'Simulacion prestamo'!HH57</f>
        <v>0</v>
      </c>
      <c r="HK86" s="30">
        <f>+'Simulacion prestamo'!HI57</f>
        <v>0</v>
      </c>
      <c r="HL86" s="30">
        <f>+'Simulacion prestamo'!HJ57</f>
        <v>0</v>
      </c>
      <c r="HM86" s="30">
        <f>+'Simulacion prestamo'!HK57</f>
        <v>0</v>
      </c>
      <c r="HN86" s="30">
        <f>+'Simulacion prestamo'!HL57</f>
        <v>0</v>
      </c>
      <c r="HO86" s="30">
        <f>+'Simulacion prestamo'!HM57</f>
        <v>0</v>
      </c>
      <c r="HP86" s="30">
        <f>+'Simulacion prestamo'!HN57</f>
        <v>0</v>
      </c>
      <c r="HQ86" s="30">
        <f>+'Simulacion prestamo'!HO57</f>
        <v>0</v>
      </c>
      <c r="HR86" s="30">
        <f>+'Simulacion prestamo'!HP57</f>
        <v>0</v>
      </c>
      <c r="HS86" s="30">
        <f>+'Simulacion prestamo'!HQ57</f>
        <v>0</v>
      </c>
      <c r="HT86" s="30">
        <f>+'Simulacion prestamo'!HR57</f>
        <v>0</v>
      </c>
      <c r="HU86" s="30">
        <f>+'Simulacion prestamo'!HS57</f>
        <v>0</v>
      </c>
      <c r="HV86" s="30">
        <f>+'Simulacion prestamo'!HT57</f>
        <v>0</v>
      </c>
      <c r="HW86" s="30">
        <f>+'Simulacion prestamo'!HU57</f>
        <v>0</v>
      </c>
      <c r="HX86" s="30">
        <f>+'Simulacion prestamo'!HV57</f>
        <v>0</v>
      </c>
      <c r="HY86" s="30">
        <f>+'Simulacion prestamo'!HW57</f>
        <v>0</v>
      </c>
      <c r="HZ86" s="30">
        <f>+'Simulacion prestamo'!HX57</f>
        <v>0</v>
      </c>
      <c r="IA86" s="30">
        <f>+'Simulacion prestamo'!HY57</f>
        <v>0</v>
      </c>
      <c r="IB86" s="30">
        <f>+'Simulacion prestamo'!HZ57</f>
        <v>0</v>
      </c>
      <c r="IC86" s="30">
        <f>+'Simulacion prestamo'!IA57</f>
        <v>0</v>
      </c>
      <c r="ID86" s="30">
        <f>+'Simulacion prestamo'!IB57</f>
        <v>0</v>
      </c>
      <c r="IE86" s="30">
        <f>+'Simulacion prestamo'!IC57</f>
        <v>0</v>
      </c>
      <c r="IF86" s="30">
        <f>+'Simulacion prestamo'!ID57</f>
        <v>0</v>
      </c>
      <c r="IG86" s="30">
        <f>+'Simulacion prestamo'!IE57</f>
        <v>0</v>
      </c>
      <c r="IH86" s="30">
        <f>+'Simulacion prestamo'!IF57</f>
        <v>0</v>
      </c>
      <c r="II86" s="30">
        <f>+'Simulacion prestamo'!IG57</f>
        <v>0</v>
      </c>
      <c r="IJ86" s="30">
        <f>+'Simulacion prestamo'!IH57</f>
        <v>0</v>
      </c>
      <c r="IK86" s="30">
        <f>+'Simulacion prestamo'!II57</f>
        <v>0</v>
      </c>
      <c r="IL86" s="30">
        <f>+'Simulacion prestamo'!IJ57</f>
        <v>0</v>
      </c>
      <c r="IM86" s="30">
        <f>+'Simulacion prestamo'!IK57</f>
        <v>0</v>
      </c>
      <c r="IN86" s="30">
        <f>+'Simulacion prestamo'!IL57</f>
        <v>0</v>
      </c>
      <c r="IO86" s="30">
        <f>+'Simulacion prestamo'!IM57</f>
        <v>0</v>
      </c>
    </row>
    <row r="87" spans="1:249" x14ac:dyDescent="0.3">
      <c r="A87" t="s">
        <v>811</v>
      </c>
      <c r="B87" s="33" t="e">
        <f t="shared" si="613"/>
        <v>#REF!</v>
      </c>
      <c r="C87" s="38" t="e">
        <f t="shared" ref="C87:C91" si="614">+B87/$B$92</f>
        <v>#REF!</v>
      </c>
      <c r="D87" s="30" t="e">
        <f t="shared" ref="D87:D92" si="615">+B87/$B$93</f>
        <v>#REF!</v>
      </c>
      <c r="E87" s="30" t="e">
        <f>+'Simulacion prestamo'!C56</f>
        <v>#REF!</v>
      </c>
      <c r="F87" s="30" t="e">
        <f>+'Simulacion prestamo'!D56</f>
        <v>#REF!</v>
      </c>
      <c r="G87" s="30" t="e">
        <f>+'Simulacion prestamo'!E56</f>
        <v>#REF!</v>
      </c>
      <c r="H87" s="30" t="e">
        <f>+'Simulacion prestamo'!F56</f>
        <v>#REF!</v>
      </c>
      <c r="I87" s="30" t="e">
        <f>+'Simulacion prestamo'!G56</f>
        <v>#REF!</v>
      </c>
      <c r="J87" s="30" t="e">
        <f>+'Simulacion prestamo'!H56</f>
        <v>#REF!</v>
      </c>
      <c r="K87" s="30" t="e">
        <f>+'Simulacion prestamo'!I56</f>
        <v>#REF!</v>
      </c>
      <c r="L87" s="30" t="e">
        <f>+'Simulacion prestamo'!J56</f>
        <v>#REF!</v>
      </c>
      <c r="M87" s="30" t="e">
        <f>+'Simulacion prestamo'!K56</f>
        <v>#REF!</v>
      </c>
      <c r="N87" s="30" t="e">
        <f>+'Simulacion prestamo'!L56</f>
        <v>#REF!</v>
      </c>
      <c r="O87" s="30" t="e">
        <f>+'Simulacion prestamo'!M56</f>
        <v>#REF!</v>
      </c>
      <c r="P87" s="30" t="e">
        <f>+'Simulacion prestamo'!N56</f>
        <v>#REF!</v>
      </c>
      <c r="Q87" s="30" t="e">
        <f>+'Simulacion prestamo'!O56</f>
        <v>#REF!</v>
      </c>
      <c r="R87" s="30" t="e">
        <f>+'Simulacion prestamo'!P56</f>
        <v>#REF!</v>
      </c>
      <c r="S87" s="30" t="e">
        <f>+'Simulacion prestamo'!Q56</f>
        <v>#REF!</v>
      </c>
      <c r="T87" s="30" t="e">
        <f>+'Simulacion prestamo'!R56</f>
        <v>#REF!</v>
      </c>
      <c r="U87" s="30" t="e">
        <f>+'Simulacion prestamo'!S56</f>
        <v>#REF!</v>
      </c>
      <c r="V87" s="30" t="e">
        <f>+'Simulacion prestamo'!T56</f>
        <v>#REF!</v>
      </c>
      <c r="W87" s="30" t="e">
        <f>+'Simulacion prestamo'!U56</f>
        <v>#REF!</v>
      </c>
      <c r="X87" s="30" t="e">
        <f>+'Simulacion prestamo'!V56</f>
        <v>#REF!</v>
      </c>
      <c r="Y87" s="30" t="e">
        <f>+'Simulacion prestamo'!W56</f>
        <v>#REF!</v>
      </c>
      <c r="Z87" s="30" t="e">
        <f>+'Simulacion prestamo'!X56</f>
        <v>#REF!</v>
      </c>
      <c r="AA87" s="30" t="e">
        <f>+'Simulacion prestamo'!Y56</f>
        <v>#REF!</v>
      </c>
      <c r="AB87" s="30" t="e">
        <f>+'Simulacion prestamo'!Z56</f>
        <v>#REF!</v>
      </c>
      <c r="AC87" s="30" t="e">
        <f>+'Simulacion prestamo'!AA56</f>
        <v>#REF!</v>
      </c>
      <c r="AD87" s="30" t="e">
        <f>+'Simulacion prestamo'!AB56</f>
        <v>#REF!</v>
      </c>
      <c r="AE87" s="30" t="e">
        <f>+'Simulacion prestamo'!AC56</f>
        <v>#REF!</v>
      </c>
      <c r="AF87" s="30" t="e">
        <f>+'Simulacion prestamo'!AD56</f>
        <v>#REF!</v>
      </c>
      <c r="AG87" s="30" t="e">
        <f>+'Simulacion prestamo'!AE56</f>
        <v>#REF!</v>
      </c>
      <c r="AH87" s="30" t="e">
        <f>+'Simulacion prestamo'!AF56</f>
        <v>#REF!</v>
      </c>
      <c r="AI87" s="30" t="e">
        <f>+'Simulacion prestamo'!AG56</f>
        <v>#REF!</v>
      </c>
      <c r="AJ87" s="30" t="e">
        <f>+'Simulacion prestamo'!AH56</f>
        <v>#REF!</v>
      </c>
      <c r="AK87" s="30" t="e">
        <f>+'Simulacion prestamo'!AI56</f>
        <v>#REF!</v>
      </c>
      <c r="AL87" s="30" t="e">
        <f>+'Simulacion prestamo'!AJ56</f>
        <v>#REF!</v>
      </c>
      <c r="AM87" s="30" t="e">
        <f>+'Simulacion prestamo'!AK56</f>
        <v>#REF!</v>
      </c>
      <c r="AN87" s="30" t="e">
        <f>+'Simulacion prestamo'!AL56</f>
        <v>#REF!</v>
      </c>
      <c r="AO87" s="30" t="e">
        <f>+'Simulacion prestamo'!AM56</f>
        <v>#REF!</v>
      </c>
      <c r="AP87" s="30" t="e">
        <f>+'Simulacion prestamo'!AN56</f>
        <v>#REF!</v>
      </c>
      <c r="AQ87" s="30" t="e">
        <f>+'Simulacion prestamo'!AO56</f>
        <v>#REF!</v>
      </c>
      <c r="AR87" s="30" t="e">
        <f>+'Simulacion prestamo'!AP56</f>
        <v>#REF!</v>
      </c>
      <c r="AS87" s="30" t="e">
        <f>+'Simulacion prestamo'!AQ56</f>
        <v>#REF!</v>
      </c>
      <c r="AT87" s="30" t="e">
        <f>+'Simulacion prestamo'!AR56</f>
        <v>#REF!</v>
      </c>
      <c r="AU87" s="30" t="e">
        <f>+'Simulacion prestamo'!AS56</f>
        <v>#REF!</v>
      </c>
      <c r="AV87" s="30" t="e">
        <f>+'Simulacion prestamo'!AT56</f>
        <v>#REF!</v>
      </c>
      <c r="AW87" s="30" t="e">
        <f>+'Simulacion prestamo'!AU56</f>
        <v>#REF!</v>
      </c>
      <c r="AX87" s="30" t="e">
        <f>+'Simulacion prestamo'!AV56</f>
        <v>#REF!</v>
      </c>
      <c r="AY87" s="30" t="e">
        <f>+'Simulacion prestamo'!AW56</f>
        <v>#REF!</v>
      </c>
      <c r="AZ87" s="30" t="e">
        <f>+'Simulacion prestamo'!AX56</f>
        <v>#REF!</v>
      </c>
      <c r="BA87" s="30" t="e">
        <f>+'Simulacion prestamo'!AY56</f>
        <v>#REF!</v>
      </c>
      <c r="BB87" s="30" t="e">
        <f>+'Simulacion prestamo'!AZ56</f>
        <v>#REF!</v>
      </c>
      <c r="BC87" s="30" t="e">
        <f>+'Simulacion prestamo'!BA56</f>
        <v>#REF!</v>
      </c>
      <c r="BD87" s="30" t="e">
        <f>+'Simulacion prestamo'!BB56</f>
        <v>#REF!</v>
      </c>
      <c r="BE87" s="30" t="e">
        <f>+'Simulacion prestamo'!BC56</f>
        <v>#REF!</v>
      </c>
      <c r="BF87" s="30" t="e">
        <f>+'Simulacion prestamo'!BD56</f>
        <v>#REF!</v>
      </c>
      <c r="BG87" s="30" t="e">
        <f>+'Simulacion prestamo'!BE56</f>
        <v>#REF!</v>
      </c>
      <c r="BH87" s="30" t="e">
        <f>+'Simulacion prestamo'!BF56</f>
        <v>#REF!</v>
      </c>
      <c r="BI87" s="30" t="e">
        <f>+'Simulacion prestamo'!BG56</f>
        <v>#REF!</v>
      </c>
      <c r="BJ87" s="30" t="e">
        <f>+'Simulacion prestamo'!BH56</f>
        <v>#REF!</v>
      </c>
      <c r="BK87" s="30" t="e">
        <f>+'Simulacion prestamo'!BI56</f>
        <v>#REF!</v>
      </c>
      <c r="BL87" s="30" t="e">
        <f>+'Simulacion prestamo'!BJ56</f>
        <v>#REF!</v>
      </c>
      <c r="BM87" s="30" t="e">
        <f>+'Simulacion prestamo'!BK56</f>
        <v>#REF!</v>
      </c>
      <c r="BN87" s="30" t="e">
        <f>+'Simulacion prestamo'!BL56</f>
        <v>#REF!</v>
      </c>
      <c r="BO87" s="30" t="e">
        <f>+'Simulacion prestamo'!BM56</f>
        <v>#REF!</v>
      </c>
      <c r="BP87" s="30" t="e">
        <f>+'Simulacion prestamo'!BN56</f>
        <v>#REF!</v>
      </c>
      <c r="BQ87" s="30" t="e">
        <f>+'Simulacion prestamo'!BO56</f>
        <v>#REF!</v>
      </c>
      <c r="BR87" s="30" t="e">
        <f>+'Simulacion prestamo'!BP56</f>
        <v>#REF!</v>
      </c>
      <c r="BS87" s="30" t="e">
        <f>+'Simulacion prestamo'!BQ56</f>
        <v>#REF!</v>
      </c>
      <c r="BT87" s="30" t="e">
        <f>+'Simulacion prestamo'!BR56</f>
        <v>#REF!</v>
      </c>
      <c r="BU87" s="30" t="e">
        <f>+'Simulacion prestamo'!BS56</f>
        <v>#REF!</v>
      </c>
      <c r="BV87" s="30" t="e">
        <f>+'Simulacion prestamo'!BT56</f>
        <v>#REF!</v>
      </c>
      <c r="BW87" s="30" t="e">
        <f>+'Simulacion prestamo'!BU56</f>
        <v>#REF!</v>
      </c>
      <c r="BX87" s="30" t="e">
        <f>+'Simulacion prestamo'!BV56</f>
        <v>#REF!</v>
      </c>
      <c r="BY87" s="30">
        <f>+'Simulacion prestamo'!BW56</f>
        <v>0</v>
      </c>
      <c r="BZ87" s="30">
        <f>+'Simulacion prestamo'!BX56</f>
        <v>0</v>
      </c>
      <c r="CA87" s="30">
        <f>+'Simulacion prestamo'!BY56</f>
        <v>0</v>
      </c>
      <c r="CB87" s="30">
        <f>+'Simulacion prestamo'!BZ56</f>
        <v>0</v>
      </c>
      <c r="CC87" s="30">
        <f>+'Simulacion prestamo'!CA56</f>
        <v>0</v>
      </c>
      <c r="CD87" s="30">
        <f>+'Simulacion prestamo'!CB56</f>
        <v>0</v>
      </c>
      <c r="CE87" s="30">
        <f>+'Simulacion prestamo'!CC56</f>
        <v>0</v>
      </c>
      <c r="CF87" s="30">
        <f>+'Simulacion prestamo'!CD56</f>
        <v>0</v>
      </c>
      <c r="CG87" s="30">
        <f>+'Simulacion prestamo'!CE56</f>
        <v>0</v>
      </c>
      <c r="CH87" s="30">
        <f>+'Simulacion prestamo'!CF56</f>
        <v>0</v>
      </c>
      <c r="CI87" s="30">
        <f>+'Simulacion prestamo'!CG56</f>
        <v>0</v>
      </c>
      <c r="CJ87" s="30">
        <f>+'Simulacion prestamo'!CH56</f>
        <v>0</v>
      </c>
      <c r="CK87" s="30">
        <f>+'Simulacion prestamo'!CI56</f>
        <v>0</v>
      </c>
      <c r="CL87" s="30">
        <f>+'Simulacion prestamo'!CJ56</f>
        <v>0</v>
      </c>
      <c r="CM87" s="30">
        <f>+'Simulacion prestamo'!CK56</f>
        <v>0</v>
      </c>
      <c r="CN87" s="30">
        <f>+'Simulacion prestamo'!CL56</f>
        <v>0</v>
      </c>
      <c r="CO87" s="30">
        <f>+'Simulacion prestamo'!CM56</f>
        <v>0</v>
      </c>
      <c r="CP87" s="30">
        <f>+'Simulacion prestamo'!CN56</f>
        <v>0</v>
      </c>
      <c r="CQ87" s="30">
        <f>+'Simulacion prestamo'!CO56</f>
        <v>0</v>
      </c>
      <c r="CR87" s="30">
        <f>+'Simulacion prestamo'!CP56</f>
        <v>0</v>
      </c>
      <c r="CS87" s="30">
        <f>+'Simulacion prestamo'!CQ56</f>
        <v>0</v>
      </c>
      <c r="CT87" s="30">
        <f>+'Simulacion prestamo'!CR56</f>
        <v>0</v>
      </c>
      <c r="CU87" s="30">
        <f>+'Simulacion prestamo'!CS56</f>
        <v>0</v>
      </c>
      <c r="CV87" s="30">
        <f>+'Simulacion prestamo'!CT56</f>
        <v>0</v>
      </c>
      <c r="CW87" s="30">
        <f>+'Simulacion prestamo'!CU56</f>
        <v>0</v>
      </c>
      <c r="CX87" s="30">
        <f>+'Simulacion prestamo'!CV56</f>
        <v>0</v>
      </c>
      <c r="CY87" s="30">
        <f>+'Simulacion prestamo'!CW56</f>
        <v>0</v>
      </c>
      <c r="CZ87" s="30">
        <f>+'Simulacion prestamo'!CX56</f>
        <v>0</v>
      </c>
      <c r="DA87" s="30">
        <f>+'Simulacion prestamo'!CY56</f>
        <v>0</v>
      </c>
      <c r="DB87" s="30">
        <f>+'Simulacion prestamo'!CZ56</f>
        <v>0</v>
      </c>
      <c r="DC87" s="30">
        <f>+'Simulacion prestamo'!DA56</f>
        <v>0</v>
      </c>
      <c r="DD87" s="30">
        <f>+'Simulacion prestamo'!DB56</f>
        <v>0</v>
      </c>
      <c r="DE87" s="30">
        <f>+'Simulacion prestamo'!DC56</f>
        <v>0</v>
      </c>
      <c r="DF87" s="30">
        <f>+'Simulacion prestamo'!DD56</f>
        <v>0</v>
      </c>
      <c r="DG87" s="30">
        <f>+'Simulacion prestamo'!DE56</f>
        <v>0</v>
      </c>
      <c r="DH87" s="30">
        <f>+'Simulacion prestamo'!DF56</f>
        <v>0</v>
      </c>
      <c r="DI87" s="30">
        <f>+'Simulacion prestamo'!DG56</f>
        <v>0</v>
      </c>
      <c r="DJ87" s="30">
        <f>+'Simulacion prestamo'!DH56</f>
        <v>0</v>
      </c>
      <c r="DK87" s="30">
        <f>+'Simulacion prestamo'!DI56</f>
        <v>0</v>
      </c>
      <c r="DL87" s="30">
        <f>+'Simulacion prestamo'!DJ56</f>
        <v>0</v>
      </c>
      <c r="DM87" s="30">
        <f>+'Simulacion prestamo'!DK56</f>
        <v>0</v>
      </c>
      <c r="DN87" s="30">
        <f>+'Simulacion prestamo'!DL56</f>
        <v>0</v>
      </c>
      <c r="DO87" s="30">
        <f>+'Simulacion prestamo'!DM56</f>
        <v>0</v>
      </c>
      <c r="DP87" s="30">
        <f>+'Simulacion prestamo'!DN56</f>
        <v>0</v>
      </c>
      <c r="DQ87" s="30">
        <f>+'Simulacion prestamo'!DO56</f>
        <v>0</v>
      </c>
      <c r="DR87" s="30">
        <f>+'Simulacion prestamo'!DP56</f>
        <v>0</v>
      </c>
      <c r="DS87" s="30">
        <f>+'Simulacion prestamo'!DQ56</f>
        <v>0</v>
      </c>
      <c r="DT87" s="30">
        <f>+'Simulacion prestamo'!DR56</f>
        <v>0</v>
      </c>
      <c r="DU87" s="30">
        <f>+'Simulacion prestamo'!DS56</f>
        <v>0</v>
      </c>
      <c r="DV87" s="30">
        <f>+'Simulacion prestamo'!DT56</f>
        <v>0</v>
      </c>
      <c r="DW87" s="30">
        <f>+'Simulacion prestamo'!DU56</f>
        <v>0</v>
      </c>
      <c r="DX87" s="30">
        <f>+'Simulacion prestamo'!DV56</f>
        <v>0</v>
      </c>
      <c r="DY87" s="30">
        <f>+'Simulacion prestamo'!DW56</f>
        <v>0</v>
      </c>
      <c r="DZ87" s="30">
        <f>+'Simulacion prestamo'!DX56</f>
        <v>0</v>
      </c>
      <c r="EA87" s="30">
        <f>+'Simulacion prestamo'!DY56</f>
        <v>0</v>
      </c>
      <c r="EB87" s="30">
        <f>+'Simulacion prestamo'!DZ56</f>
        <v>0</v>
      </c>
      <c r="EC87" s="30">
        <f>+'Simulacion prestamo'!EA56</f>
        <v>0</v>
      </c>
      <c r="ED87" s="30">
        <f>+'Simulacion prestamo'!EB56</f>
        <v>0</v>
      </c>
      <c r="EE87" s="30">
        <f>+'Simulacion prestamo'!EC56</f>
        <v>0</v>
      </c>
      <c r="EF87" s="30">
        <f>+'Simulacion prestamo'!ED56</f>
        <v>0</v>
      </c>
      <c r="EG87" s="30">
        <f>+'Simulacion prestamo'!EE56</f>
        <v>0</v>
      </c>
      <c r="EH87" s="30">
        <f>+'Simulacion prestamo'!EF56</f>
        <v>0</v>
      </c>
      <c r="EI87" s="30">
        <f>+'Simulacion prestamo'!EG56</f>
        <v>0</v>
      </c>
      <c r="EJ87" s="30">
        <f>+'Simulacion prestamo'!EH56</f>
        <v>0</v>
      </c>
      <c r="EK87" s="30">
        <f>+'Simulacion prestamo'!EI56</f>
        <v>0</v>
      </c>
      <c r="EL87" s="30">
        <f>+'Simulacion prestamo'!EJ56</f>
        <v>0</v>
      </c>
      <c r="EM87" s="30">
        <f>+'Simulacion prestamo'!EK56</f>
        <v>0</v>
      </c>
      <c r="EN87" s="30">
        <f>+'Simulacion prestamo'!EL56</f>
        <v>0</v>
      </c>
      <c r="EO87" s="30">
        <f>+'Simulacion prestamo'!EM56</f>
        <v>0</v>
      </c>
      <c r="EP87" s="30">
        <f>+'Simulacion prestamo'!EN56</f>
        <v>0</v>
      </c>
      <c r="EQ87" s="30">
        <f>+'Simulacion prestamo'!EO56</f>
        <v>0</v>
      </c>
      <c r="ER87" s="30">
        <f>+'Simulacion prestamo'!EP56</f>
        <v>0</v>
      </c>
      <c r="ES87" s="30">
        <f>+'Simulacion prestamo'!EQ56</f>
        <v>0</v>
      </c>
      <c r="ET87" s="30">
        <f>+'Simulacion prestamo'!ER56</f>
        <v>0</v>
      </c>
      <c r="EU87" s="30">
        <f>+'Simulacion prestamo'!ES56</f>
        <v>0</v>
      </c>
      <c r="EV87" s="30">
        <f>+'Simulacion prestamo'!ET56</f>
        <v>0</v>
      </c>
      <c r="EW87" s="30">
        <f>+'Simulacion prestamo'!EU56</f>
        <v>0</v>
      </c>
      <c r="EX87" s="30">
        <f>+'Simulacion prestamo'!EV56</f>
        <v>0</v>
      </c>
      <c r="EY87" s="30">
        <f>+'Simulacion prestamo'!EW56</f>
        <v>0</v>
      </c>
      <c r="EZ87" s="30">
        <f>+'Simulacion prestamo'!EX56</f>
        <v>0</v>
      </c>
      <c r="FA87" s="30">
        <f>+'Simulacion prestamo'!EY56</f>
        <v>0</v>
      </c>
      <c r="FB87" s="30">
        <f>+'Simulacion prestamo'!EZ56</f>
        <v>0</v>
      </c>
      <c r="FC87" s="30">
        <f>+'Simulacion prestamo'!FA56</f>
        <v>0</v>
      </c>
      <c r="FD87" s="30">
        <f>+'Simulacion prestamo'!FB56</f>
        <v>0</v>
      </c>
      <c r="FE87" s="30">
        <f>+'Simulacion prestamo'!FC56</f>
        <v>0</v>
      </c>
      <c r="FF87" s="30">
        <f>+'Simulacion prestamo'!FD56</f>
        <v>0</v>
      </c>
      <c r="FG87" s="30">
        <f>+'Simulacion prestamo'!FE56</f>
        <v>0</v>
      </c>
      <c r="FH87" s="30">
        <f>+'Simulacion prestamo'!FF56</f>
        <v>0</v>
      </c>
      <c r="FI87" s="30">
        <f>+'Simulacion prestamo'!FG56</f>
        <v>0</v>
      </c>
      <c r="FJ87" s="30">
        <f>+'Simulacion prestamo'!FH56</f>
        <v>0</v>
      </c>
      <c r="FK87" s="30">
        <f>+'Simulacion prestamo'!FI56</f>
        <v>0</v>
      </c>
      <c r="FL87" s="30">
        <f>+'Simulacion prestamo'!FJ56</f>
        <v>0</v>
      </c>
      <c r="FM87" s="30">
        <f>+'Simulacion prestamo'!FK56</f>
        <v>0</v>
      </c>
      <c r="FN87" s="30">
        <f>+'Simulacion prestamo'!FL56</f>
        <v>0</v>
      </c>
      <c r="FO87" s="30">
        <f>+'Simulacion prestamo'!FM56</f>
        <v>0</v>
      </c>
      <c r="FP87" s="30">
        <f>+'Simulacion prestamo'!FN56</f>
        <v>0</v>
      </c>
      <c r="FQ87" s="30">
        <f>+'Simulacion prestamo'!FO56</f>
        <v>0</v>
      </c>
      <c r="FR87" s="30">
        <f>+'Simulacion prestamo'!FP56</f>
        <v>0</v>
      </c>
      <c r="FS87" s="30">
        <f>+'Simulacion prestamo'!FQ56</f>
        <v>0</v>
      </c>
      <c r="FT87" s="30">
        <f>+'Simulacion prestamo'!FR56</f>
        <v>0</v>
      </c>
      <c r="FU87" s="30">
        <f>+'Simulacion prestamo'!FS56</f>
        <v>0</v>
      </c>
      <c r="FV87" s="30">
        <f>+'Simulacion prestamo'!FT56</f>
        <v>0</v>
      </c>
      <c r="FW87" s="30">
        <f>+'Simulacion prestamo'!FU56</f>
        <v>0</v>
      </c>
      <c r="FX87" s="30">
        <f>+'Simulacion prestamo'!FV56</f>
        <v>0</v>
      </c>
      <c r="FY87" s="30">
        <f>+'Simulacion prestamo'!FW56</f>
        <v>0</v>
      </c>
      <c r="FZ87" s="30">
        <f>+'Simulacion prestamo'!FX56</f>
        <v>0</v>
      </c>
      <c r="GA87" s="30">
        <f>+'Simulacion prestamo'!FY56</f>
        <v>0</v>
      </c>
      <c r="GB87" s="30">
        <f>+'Simulacion prestamo'!FZ56</f>
        <v>0</v>
      </c>
      <c r="GC87" s="30">
        <f>+'Simulacion prestamo'!GA56</f>
        <v>0</v>
      </c>
      <c r="GD87" s="30">
        <f>+'Simulacion prestamo'!GB56</f>
        <v>0</v>
      </c>
      <c r="GE87" s="30">
        <f>+'Simulacion prestamo'!GC56</f>
        <v>0</v>
      </c>
      <c r="GF87" s="30">
        <f>+'Simulacion prestamo'!GD56</f>
        <v>0</v>
      </c>
      <c r="GG87" s="30">
        <f>+'Simulacion prestamo'!GE56</f>
        <v>0</v>
      </c>
      <c r="GH87" s="30">
        <f>+'Simulacion prestamo'!GF56</f>
        <v>0</v>
      </c>
      <c r="GI87" s="30">
        <f>+'Simulacion prestamo'!GG56</f>
        <v>0</v>
      </c>
      <c r="GJ87" s="30">
        <f>+'Simulacion prestamo'!GH56</f>
        <v>0</v>
      </c>
      <c r="GK87" s="30">
        <f>+'Simulacion prestamo'!GI56</f>
        <v>0</v>
      </c>
      <c r="GL87" s="30">
        <f>+'Simulacion prestamo'!GJ56</f>
        <v>0</v>
      </c>
      <c r="GM87" s="30">
        <f>+'Simulacion prestamo'!GK56</f>
        <v>0</v>
      </c>
      <c r="GN87" s="30">
        <f>+'Simulacion prestamo'!GL56</f>
        <v>0</v>
      </c>
      <c r="GO87" s="30">
        <f>+'Simulacion prestamo'!GM56</f>
        <v>0</v>
      </c>
      <c r="GP87" s="30">
        <f>+'Simulacion prestamo'!GN56</f>
        <v>0</v>
      </c>
      <c r="GQ87" s="30">
        <f>+'Simulacion prestamo'!GO56</f>
        <v>0</v>
      </c>
      <c r="GR87" s="30">
        <f>+'Simulacion prestamo'!GP56</f>
        <v>0</v>
      </c>
      <c r="GS87" s="30">
        <f>+'Simulacion prestamo'!GQ56</f>
        <v>0</v>
      </c>
      <c r="GT87" s="30">
        <f>+'Simulacion prestamo'!GR56</f>
        <v>0</v>
      </c>
      <c r="GU87" s="30">
        <f>+'Simulacion prestamo'!GS56</f>
        <v>0</v>
      </c>
      <c r="GV87" s="30">
        <f>+'Simulacion prestamo'!GT56</f>
        <v>0</v>
      </c>
      <c r="GW87" s="30">
        <f>+'Simulacion prestamo'!GU56</f>
        <v>0</v>
      </c>
      <c r="GX87" s="30">
        <f>+'Simulacion prestamo'!GV56</f>
        <v>0</v>
      </c>
      <c r="GY87" s="30">
        <f>+'Simulacion prestamo'!GW56</f>
        <v>0</v>
      </c>
      <c r="GZ87" s="30">
        <f>+'Simulacion prestamo'!GX56</f>
        <v>0</v>
      </c>
      <c r="HA87" s="30">
        <f>+'Simulacion prestamo'!GY56</f>
        <v>0</v>
      </c>
      <c r="HB87" s="30">
        <f>+'Simulacion prestamo'!GZ56</f>
        <v>0</v>
      </c>
      <c r="HC87" s="30">
        <f>+'Simulacion prestamo'!HA56</f>
        <v>0</v>
      </c>
      <c r="HD87" s="30">
        <f>+'Simulacion prestamo'!HB56</f>
        <v>0</v>
      </c>
      <c r="HE87" s="30">
        <f>+'Simulacion prestamo'!HC56</f>
        <v>0</v>
      </c>
      <c r="HF87" s="30">
        <f>+'Simulacion prestamo'!HD56</f>
        <v>0</v>
      </c>
      <c r="HG87" s="30">
        <f>+'Simulacion prestamo'!HE56</f>
        <v>0</v>
      </c>
      <c r="HH87" s="30">
        <f>+'Simulacion prestamo'!HF56</f>
        <v>0</v>
      </c>
      <c r="HI87" s="30">
        <f>+'Simulacion prestamo'!HG56</f>
        <v>0</v>
      </c>
      <c r="HJ87" s="30">
        <f>+'Simulacion prestamo'!HH56</f>
        <v>0</v>
      </c>
      <c r="HK87" s="30">
        <f>+'Simulacion prestamo'!HI56</f>
        <v>0</v>
      </c>
      <c r="HL87" s="30">
        <f>+'Simulacion prestamo'!HJ56</f>
        <v>0</v>
      </c>
      <c r="HM87" s="30">
        <f>+'Simulacion prestamo'!HK56</f>
        <v>0</v>
      </c>
      <c r="HN87" s="30">
        <f>+'Simulacion prestamo'!HL56</f>
        <v>0</v>
      </c>
      <c r="HO87" s="30">
        <f>+'Simulacion prestamo'!HM56</f>
        <v>0</v>
      </c>
      <c r="HP87" s="30">
        <f>+'Simulacion prestamo'!HN56</f>
        <v>0</v>
      </c>
      <c r="HQ87" s="30">
        <f>+'Simulacion prestamo'!HO56</f>
        <v>0</v>
      </c>
      <c r="HR87" s="30">
        <f>+'Simulacion prestamo'!HP56</f>
        <v>0</v>
      </c>
      <c r="HS87" s="30">
        <f>+'Simulacion prestamo'!HQ56</f>
        <v>0</v>
      </c>
      <c r="HT87" s="30">
        <f>+'Simulacion prestamo'!HR56</f>
        <v>0</v>
      </c>
      <c r="HU87" s="30">
        <f>+'Simulacion prestamo'!HS56</f>
        <v>0</v>
      </c>
      <c r="HV87" s="30">
        <f>+'Simulacion prestamo'!HT56</f>
        <v>0</v>
      </c>
      <c r="HW87" s="30">
        <f>+'Simulacion prestamo'!HU56</f>
        <v>0</v>
      </c>
      <c r="HX87" s="30">
        <f>+'Simulacion prestamo'!HV56</f>
        <v>0</v>
      </c>
      <c r="HY87" s="30">
        <f>+'Simulacion prestamo'!HW56</f>
        <v>0</v>
      </c>
      <c r="HZ87" s="30">
        <f>+'Simulacion prestamo'!HX56</f>
        <v>0</v>
      </c>
      <c r="IA87" s="30">
        <f>+'Simulacion prestamo'!HY56</f>
        <v>0</v>
      </c>
      <c r="IB87" s="30">
        <f>+'Simulacion prestamo'!HZ56</f>
        <v>0</v>
      </c>
      <c r="IC87" s="30">
        <f>+'Simulacion prestamo'!IA56</f>
        <v>0</v>
      </c>
      <c r="ID87" s="30">
        <f>+'Simulacion prestamo'!IB56</f>
        <v>0</v>
      </c>
      <c r="IE87" s="30">
        <f>+'Simulacion prestamo'!IC56</f>
        <v>0</v>
      </c>
      <c r="IF87" s="30">
        <f>+'Simulacion prestamo'!ID56</f>
        <v>0</v>
      </c>
      <c r="IG87" s="30">
        <f>+'Simulacion prestamo'!IE56</f>
        <v>0</v>
      </c>
      <c r="IH87" s="30">
        <f>+'Simulacion prestamo'!IF56</f>
        <v>0</v>
      </c>
      <c r="II87" s="30">
        <f>+'Simulacion prestamo'!IG56</f>
        <v>0</v>
      </c>
      <c r="IJ87" s="30">
        <f>+'Simulacion prestamo'!IH56</f>
        <v>0</v>
      </c>
      <c r="IK87" s="30">
        <f>+'Simulacion prestamo'!II56</f>
        <v>0</v>
      </c>
      <c r="IL87" s="30">
        <f>+'Simulacion prestamo'!IJ56</f>
        <v>0</v>
      </c>
      <c r="IM87" s="30">
        <f>+'Simulacion prestamo'!IK56</f>
        <v>0</v>
      </c>
      <c r="IN87" s="30">
        <f>+'Simulacion prestamo'!IL56</f>
        <v>0</v>
      </c>
      <c r="IO87" s="30">
        <f>+'Simulacion prestamo'!IM56</f>
        <v>0</v>
      </c>
    </row>
    <row r="88" spans="1:249" x14ac:dyDescent="0.3">
      <c r="A88" t="s">
        <v>719</v>
      </c>
      <c r="B88" s="33" t="e">
        <f t="shared" si="613"/>
        <v>#REF!</v>
      </c>
      <c r="C88" s="38" t="e">
        <f t="shared" si="614"/>
        <v>#REF!</v>
      </c>
      <c r="D88" s="30" t="e">
        <f t="shared" si="615"/>
        <v>#REF!</v>
      </c>
      <c r="E88" s="30" t="e">
        <f>+'Simulacion prestamo'!C59</f>
        <v>#REF!</v>
      </c>
      <c r="F88" s="30" t="e">
        <f>+'Simulacion prestamo'!D59</f>
        <v>#REF!</v>
      </c>
      <c r="G88" s="30" t="e">
        <f>+'Simulacion prestamo'!E59</f>
        <v>#REF!</v>
      </c>
      <c r="H88" s="30" t="e">
        <f>+'Simulacion prestamo'!F59</f>
        <v>#REF!</v>
      </c>
      <c r="I88" s="30" t="e">
        <f>+'Simulacion prestamo'!G59</f>
        <v>#REF!</v>
      </c>
      <c r="J88" s="30" t="e">
        <f>+'Simulacion prestamo'!H59</f>
        <v>#REF!</v>
      </c>
      <c r="K88" s="30" t="e">
        <f>+'Simulacion prestamo'!I59</f>
        <v>#REF!</v>
      </c>
      <c r="L88" s="30" t="e">
        <f>+'Simulacion prestamo'!J59</f>
        <v>#REF!</v>
      </c>
      <c r="M88" s="30" t="e">
        <f>+'Simulacion prestamo'!K59</f>
        <v>#REF!</v>
      </c>
      <c r="N88" s="30" t="e">
        <f>+'Simulacion prestamo'!L59</f>
        <v>#REF!</v>
      </c>
      <c r="O88" s="30" t="e">
        <f>+'Simulacion prestamo'!M59</f>
        <v>#REF!</v>
      </c>
      <c r="P88" s="30" t="e">
        <f>+'Simulacion prestamo'!N59</f>
        <v>#REF!</v>
      </c>
      <c r="Q88" s="30" t="e">
        <f>+'Simulacion prestamo'!O59</f>
        <v>#REF!</v>
      </c>
      <c r="R88" s="30" t="e">
        <f>+'Simulacion prestamo'!P59</f>
        <v>#REF!</v>
      </c>
      <c r="S88" s="30" t="e">
        <f>+'Simulacion prestamo'!Q59</f>
        <v>#REF!</v>
      </c>
      <c r="T88" s="30" t="e">
        <f>+'Simulacion prestamo'!R59</f>
        <v>#REF!</v>
      </c>
      <c r="U88" s="30" t="e">
        <f>+'Simulacion prestamo'!S59</f>
        <v>#REF!</v>
      </c>
      <c r="V88" s="30" t="e">
        <f>+'Simulacion prestamo'!T59</f>
        <v>#REF!</v>
      </c>
      <c r="W88" s="30" t="e">
        <f>+'Simulacion prestamo'!U59</f>
        <v>#REF!</v>
      </c>
      <c r="X88" s="30" t="e">
        <f>+'Simulacion prestamo'!V59</f>
        <v>#REF!</v>
      </c>
      <c r="Y88" s="30" t="e">
        <f>+'Simulacion prestamo'!W59</f>
        <v>#REF!</v>
      </c>
      <c r="Z88" s="30" t="e">
        <f>+'Simulacion prestamo'!X59</f>
        <v>#REF!</v>
      </c>
      <c r="AA88" s="30" t="e">
        <f>+'Simulacion prestamo'!Y59</f>
        <v>#REF!</v>
      </c>
      <c r="AB88" s="30" t="e">
        <f>+'Simulacion prestamo'!Z59</f>
        <v>#REF!</v>
      </c>
      <c r="AC88" s="30" t="e">
        <f>+'Simulacion prestamo'!AA59</f>
        <v>#REF!</v>
      </c>
      <c r="AD88" s="30" t="e">
        <f>+'Simulacion prestamo'!AB59</f>
        <v>#REF!</v>
      </c>
      <c r="AE88" s="30" t="e">
        <f>+'Simulacion prestamo'!AC59</f>
        <v>#REF!</v>
      </c>
      <c r="AF88" s="30" t="e">
        <f>+'Simulacion prestamo'!AD59</f>
        <v>#REF!</v>
      </c>
      <c r="AG88" s="30" t="e">
        <f>+'Simulacion prestamo'!AE59</f>
        <v>#REF!</v>
      </c>
      <c r="AH88" s="30" t="e">
        <f>+'Simulacion prestamo'!AF59</f>
        <v>#REF!</v>
      </c>
      <c r="AI88" s="30" t="e">
        <f>+'Simulacion prestamo'!AG59</f>
        <v>#REF!</v>
      </c>
      <c r="AJ88" s="30" t="e">
        <f>+'Simulacion prestamo'!AH59</f>
        <v>#REF!</v>
      </c>
      <c r="AK88" s="30" t="e">
        <f>+'Simulacion prestamo'!AI59</f>
        <v>#REF!</v>
      </c>
      <c r="AL88" s="30" t="e">
        <f>+'Simulacion prestamo'!AJ59</f>
        <v>#REF!</v>
      </c>
      <c r="AM88" s="30" t="e">
        <f>+'Simulacion prestamo'!AK59</f>
        <v>#REF!</v>
      </c>
      <c r="AN88" s="30" t="e">
        <f>+'Simulacion prestamo'!AL59</f>
        <v>#REF!</v>
      </c>
      <c r="AO88" s="30" t="e">
        <f>+'Simulacion prestamo'!AM59</f>
        <v>#REF!</v>
      </c>
      <c r="AP88" s="30" t="e">
        <f>+'Simulacion prestamo'!AN59</f>
        <v>#REF!</v>
      </c>
      <c r="AQ88" s="30" t="e">
        <f>+'Simulacion prestamo'!AO59</f>
        <v>#REF!</v>
      </c>
      <c r="AR88" s="30" t="e">
        <f>+'Simulacion prestamo'!AP59</f>
        <v>#REF!</v>
      </c>
      <c r="AS88" s="30" t="e">
        <f>+'Simulacion prestamo'!AQ59</f>
        <v>#REF!</v>
      </c>
      <c r="AT88" s="30" t="e">
        <f>+'Simulacion prestamo'!AR59</f>
        <v>#REF!</v>
      </c>
      <c r="AU88" s="30" t="e">
        <f>+'Simulacion prestamo'!AS59</f>
        <v>#REF!</v>
      </c>
      <c r="AV88" s="30" t="e">
        <f>+'Simulacion prestamo'!AT59</f>
        <v>#REF!</v>
      </c>
      <c r="AW88" s="30" t="e">
        <f>+'Simulacion prestamo'!AU59</f>
        <v>#REF!</v>
      </c>
      <c r="AX88" s="30" t="e">
        <f>+'Simulacion prestamo'!AV59</f>
        <v>#REF!</v>
      </c>
      <c r="AY88" s="30" t="e">
        <f>+'Simulacion prestamo'!AW59</f>
        <v>#REF!</v>
      </c>
      <c r="AZ88" s="30" t="e">
        <f>+'Simulacion prestamo'!AX59</f>
        <v>#REF!</v>
      </c>
      <c r="BA88" s="30" t="e">
        <f>+'Simulacion prestamo'!AY59</f>
        <v>#REF!</v>
      </c>
      <c r="BB88" s="30" t="e">
        <f>+'Simulacion prestamo'!AZ59</f>
        <v>#REF!</v>
      </c>
      <c r="BC88" s="30" t="e">
        <f>+'Simulacion prestamo'!BA59</f>
        <v>#REF!</v>
      </c>
      <c r="BD88" s="30" t="e">
        <f>+'Simulacion prestamo'!BB59</f>
        <v>#REF!</v>
      </c>
      <c r="BE88" s="30" t="e">
        <f>+'Simulacion prestamo'!BC59</f>
        <v>#REF!</v>
      </c>
      <c r="BF88" s="30" t="e">
        <f>+'Simulacion prestamo'!BD59</f>
        <v>#REF!</v>
      </c>
      <c r="BG88" s="30" t="e">
        <f>+'Simulacion prestamo'!BE59</f>
        <v>#REF!</v>
      </c>
      <c r="BH88" s="30" t="e">
        <f>+'Simulacion prestamo'!BF59</f>
        <v>#REF!</v>
      </c>
      <c r="BI88" s="30" t="e">
        <f>+'Simulacion prestamo'!BG59</f>
        <v>#REF!</v>
      </c>
      <c r="BJ88" s="30" t="e">
        <f>+'Simulacion prestamo'!BH59</f>
        <v>#REF!</v>
      </c>
      <c r="BK88" s="30" t="e">
        <f>+'Simulacion prestamo'!BI59</f>
        <v>#REF!</v>
      </c>
      <c r="BL88" s="30" t="e">
        <f>+'Simulacion prestamo'!BJ59</f>
        <v>#REF!</v>
      </c>
      <c r="BM88" s="30" t="e">
        <f>+'Simulacion prestamo'!BK59</f>
        <v>#REF!</v>
      </c>
      <c r="BN88" s="30" t="e">
        <f>+'Simulacion prestamo'!BL59</f>
        <v>#REF!</v>
      </c>
      <c r="BO88" s="30" t="e">
        <f>+'Simulacion prestamo'!BM59</f>
        <v>#REF!</v>
      </c>
      <c r="BP88" s="30" t="e">
        <f>+'Simulacion prestamo'!BN59</f>
        <v>#REF!</v>
      </c>
      <c r="BQ88" s="30" t="e">
        <f>+'Simulacion prestamo'!BO59</f>
        <v>#REF!</v>
      </c>
      <c r="BR88" s="30" t="e">
        <f>+'Simulacion prestamo'!BP59</f>
        <v>#REF!</v>
      </c>
      <c r="BS88" s="30" t="e">
        <f>+'Simulacion prestamo'!BQ59</f>
        <v>#REF!</v>
      </c>
      <c r="BT88" s="30" t="e">
        <f>+'Simulacion prestamo'!BR59</f>
        <v>#REF!</v>
      </c>
      <c r="BU88" s="30" t="e">
        <f>+'Simulacion prestamo'!BS59</f>
        <v>#REF!</v>
      </c>
      <c r="BV88" s="30" t="e">
        <f>+'Simulacion prestamo'!BT59</f>
        <v>#REF!</v>
      </c>
      <c r="BW88" s="30" t="e">
        <f>+'Simulacion prestamo'!BU59</f>
        <v>#REF!</v>
      </c>
      <c r="BX88" s="30" t="e">
        <f>+'Simulacion prestamo'!BV59</f>
        <v>#REF!</v>
      </c>
      <c r="BY88" s="30">
        <f>+'Simulacion prestamo'!BW59</f>
        <v>0</v>
      </c>
      <c r="BZ88" s="30">
        <f>+'Simulacion prestamo'!BX59</f>
        <v>0</v>
      </c>
      <c r="CA88" s="30">
        <f>+'Simulacion prestamo'!BY59</f>
        <v>0</v>
      </c>
      <c r="CB88" s="30">
        <f>+'Simulacion prestamo'!BZ59</f>
        <v>0</v>
      </c>
      <c r="CC88" s="30">
        <f>+'Simulacion prestamo'!CA59</f>
        <v>0</v>
      </c>
      <c r="CD88" s="30">
        <f>+'Simulacion prestamo'!CB59</f>
        <v>0</v>
      </c>
      <c r="CE88" s="30">
        <f>+'Simulacion prestamo'!CC59</f>
        <v>0</v>
      </c>
      <c r="CF88" s="30">
        <f>+'Simulacion prestamo'!CD59</f>
        <v>0</v>
      </c>
      <c r="CG88" s="30">
        <f>+'Simulacion prestamo'!CE59</f>
        <v>0</v>
      </c>
      <c r="CH88" s="30">
        <f>+'Simulacion prestamo'!CF59</f>
        <v>0</v>
      </c>
      <c r="CI88" s="30">
        <f>+'Simulacion prestamo'!CG59</f>
        <v>0</v>
      </c>
      <c r="CJ88" s="30">
        <f>+'Simulacion prestamo'!CH59</f>
        <v>0</v>
      </c>
      <c r="CK88" s="30">
        <f>+'Simulacion prestamo'!CI59</f>
        <v>0</v>
      </c>
      <c r="CL88" s="30">
        <f>+'Simulacion prestamo'!CJ59</f>
        <v>0</v>
      </c>
      <c r="CM88" s="30">
        <f>+'Simulacion prestamo'!CK59</f>
        <v>0</v>
      </c>
      <c r="CN88" s="30">
        <f>+'Simulacion prestamo'!CL59</f>
        <v>0</v>
      </c>
      <c r="CO88" s="30">
        <f>+'Simulacion prestamo'!CM59</f>
        <v>0</v>
      </c>
      <c r="CP88" s="30">
        <f>+'Simulacion prestamo'!CN59</f>
        <v>0</v>
      </c>
      <c r="CQ88" s="30">
        <f>+'Simulacion prestamo'!CO59</f>
        <v>0</v>
      </c>
      <c r="CR88" s="30">
        <f>+'Simulacion prestamo'!CP59</f>
        <v>0</v>
      </c>
      <c r="CS88" s="30">
        <f>+'Simulacion prestamo'!CQ59</f>
        <v>0</v>
      </c>
      <c r="CT88" s="30">
        <f>+'Simulacion prestamo'!CR59</f>
        <v>0</v>
      </c>
      <c r="CU88" s="30">
        <f>+'Simulacion prestamo'!CS59</f>
        <v>0</v>
      </c>
      <c r="CV88" s="30">
        <f>+'Simulacion prestamo'!CT59</f>
        <v>0</v>
      </c>
      <c r="CW88" s="30">
        <f>+'Simulacion prestamo'!CU59</f>
        <v>0</v>
      </c>
      <c r="CX88" s="30">
        <f>+'Simulacion prestamo'!CV59</f>
        <v>0</v>
      </c>
      <c r="CY88" s="30">
        <f>+'Simulacion prestamo'!CW59</f>
        <v>0</v>
      </c>
      <c r="CZ88" s="30">
        <f>+'Simulacion prestamo'!CX59</f>
        <v>0</v>
      </c>
      <c r="DA88" s="30">
        <f>+'Simulacion prestamo'!CY59</f>
        <v>0</v>
      </c>
      <c r="DB88" s="30">
        <f>+'Simulacion prestamo'!CZ59</f>
        <v>0</v>
      </c>
      <c r="DC88" s="30">
        <f>+'Simulacion prestamo'!DA59</f>
        <v>0</v>
      </c>
      <c r="DD88" s="30">
        <f>+'Simulacion prestamo'!DB59</f>
        <v>0</v>
      </c>
      <c r="DE88" s="30">
        <f>+'Simulacion prestamo'!DC59</f>
        <v>0</v>
      </c>
      <c r="DF88" s="30">
        <f>+'Simulacion prestamo'!DD59</f>
        <v>0</v>
      </c>
      <c r="DG88" s="30">
        <f>+'Simulacion prestamo'!DE59</f>
        <v>0</v>
      </c>
      <c r="DH88" s="30">
        <f>+'Simulacion prestamo'!DF59</f>
        <v>0</v>
      </c>
      <c r="DI88" s="30">
        <f>+'Simulacion prestamo'!DG59</f>
        <v>0</v>
      </c>
      <c r="DJ88" s="30">
        <f>+'Simulacion prestamo'!DH59</f>
        <v>0</v>
      </c>
      <c r="DK88" s="30">
        <f>+'Simulacion prestamo'!DI59</f>
        <v>0</v>
      </c>
      <c r="DL88" s="30">
        <f>+'Simulacion prestamo'!DJ59</f>
        <v>0</v>
      </c>
      <c r="DM88" s="30">
        <f>+'Simulacion prestamo'!DK59</f>
        <v>0</v>
      </c>
      <c r="DN88" s="30">
        <f>+'Simulacion prestamo'!DL59</f>
        <v>0</v>
      </c>
      <c r="DO88" s="30">
        <f>+'Simulacion prestamo'!DM59</f>
        <v>0</v>
      </c>
      <c r="DP88" s="30">
        <f>+'Simulacion prestamo'!DN59</f>
        <v>0</v>
      </c>
      <c r="DQ88" s="30">
        <f>+'Simulacion prestamo'!DO59</f>
        <v>0</v>
      </c>
      <c r="DR88" s="30">
        <f>+'Simulacion prestamo'!DP59</f>
        <v>0</v>
      </c>
      <c r="DS88" s="30">
        <f>+'Simulacion prestamo'!DQ59</f>
        <v>0</v>
      </c>
      <c r="DT88" s="30">
        <f>+'Simulacion prestamo'!DR59</f>
        <v>0</v>
      </c>
      <c r="DU88" s="30">
        <f>+'Simulacion prestamo'!DS59</f>
        <v>0</v>
      </c>
      <c r="DV88" s="30">
        <f>+'Simulacion prestamo'!DT59</f>
        <v>0</v>
      </c>
      <c r="DW88" s="30">
        <f>+'Simulacion prestamo'!DU59</f>
        <v>0</v>
      </c>
      <c r="DX88" s="30">
        <f>+'Simulacion prestamo'!DV59</f>
        <v>0</v>
      </c>
      <c r="DY88" s="30">
        <f>+'Simulacion prestamo'!DW59</f>
        <v>0</v>
      </c>
      <c r="DZ88" s="30">
        <f>+'Simulacion prestamo'!DX59</f>
        <v>0</v>
      </c>
      <c r="EA88" s="30">
        <f>+'Simulacion prestamo'!DY59</f>
        <v>0</v>
      </c>
      <c r="EB88" s="30">
        <f>+'Simulacion prestamo'!DZ59</f>
        <v>0</v>
      </c>
      <c r="EC88" s="30">
        <f>+'Simulacion prestamo'!EA59</f>
        <v>0</v>
      </c>
      <c r="ED88" s="30">
        <f>+'Simulacion prestamo'!EB59</f>
        <v>0</v>
      </c>
      <c r="EE88" s="30">
        <f>+'Simulacion prestamo'!EC59</f>
        <v>0</v>
      </c>
      <c r="EF88" s="30">
        <f>+'Simulacion prestamo'!ED59</f>
        <v>0</v>
      </c>
      <c r="EG88" s="30">
        <f>+'Simulacion prestamo'!EE59</f>
        <v>0</v>
      </c>
      <c r="EH88" s="30">
        <f>+'Simulacion prestamo'!EF59</f>
        <v>0</v>
      </c>
      <c r="EI88" s="30">
        <f>+'Simulacion prestamo'!EG59</f>
        <v>0</v>
      </c>
      <c r="EJ88" s="30">
        <f>+'Simulacion prestamo'!EH59</f>
        <v>0</v>
      </c>
      <c r="EK88" s="30">
        <f>+'Simulacion prestamo'!EI59</f>
        <v>0</v>
      </c>
      <c r="EL88" s="30">
        <f>+'Simulacion prestamo'!EJ59</f>
        <v>0</v>
      </c>
      <c r="EM88" s="30">
        <f>+'Simulacion prestamo'!EK59</f>
        <v>0</v>
      </c>
      <c r="EN88" s="30">
        <f>+'Simulacion prestamo'!EL59</f>
        <v>0</v>
      </c>
      <c r="EO88" s="30">
        <f>+'Simulacion prestamo'!EM59</f>
        <v>0</v>
      </c>
      <c r="EP88" s="30">
        <f>+'Simulacion prestamo'!EN59</f>
        <v>0</v>
      </c>
      <c r="EQ88" s="30">
        <f>+'Simulacion prestamo'!EO59</f>
        <v>0</v>
      </c>
      <c r="ER88" s="30">
        <f>+'Simulacion prestamo'!EP59</f>
        <v>0</v>
      </c>
      <c r="ES88" s="30">
        <f>+'Simulacion prestamo'!EQ59</f>
        <v>0</v>
      </c>
      <c r="ET88" s="30">
        <f>+'Simulacion prestamo'!ER59</f>
        <v>0</v>
      </c>
      <c r="EU88" s="30">
        <f>+'Simulacion prestamo'!ES59</f>
        <v>0</v>
      </c>
      <c r="EV88" s="30">
        <f>+'Simulacion prestamo'!ET59</f>
        <v>0</v>
      </c>
      <c r="EW88" s="30">
        <f>+'Simulacion prestamo'!EU59</f>
        <v>0</v>
      </c>
      <c r="EX88" s="30">
        <f>+'Simulacion prestamo'!EV59</f>
        <v>0</v>
      </c>
      <c r="EY88" s="30">
        <f>+'Simulacion prestamo'!EW59</f>
        <v>0</v>
      </c>
      <c r="EZ88" s="30">
        <f>+'Simulacion prestamo'!EX59</f>
        <v>0</v>
      </c>
      <c r="FA88" s="30">
        <f>+'Simulacion prestamo'!EY59</f>
        <v>0</v>
      </c>
      <c r="FB88" s="30">
        <f>+'Simulacion prestamo'!EZ59</f>
        <v>0</v>
      </c>
      <c r="FC88" s="30">
        <f>+'Simulacion prestamo'!FA59</f>
        <v>0</v>
      </c>
      <c r="FD88" s="30">
        <f>+'Simulacion prestamo'!FB59</f>
        <v>0</v>
      </c>
      <c r="FE88" s="30">
        <f>+'Simulacion prestamo'!FC59</f>
        <v>0</v>
      </c>
      <c r="FF88" s="30">
        <f>+'Simulacion prestamo'!FD59</f>
        <v>0</v>
      </c>
      <c r="FG88" s="30">
        <f>+'Simulacion prestamo'!FE59</f>
        <v>0</v>
      </c>
      <c r="FH88" s="30">
        <f>+'Simulacion prestamo'!FF59</f>
        <v>0</v>
      </c>
      <c r="FI88" s="30">
        <f>+'Simulacion prestamo'!FG59</f>
        <v>0</v>
      </c>
      <c r="FJ88" s="30">
        <f>+'Simulacion prestamo'!FH59</f>
        <v>0</v>
      </c>
      <c r="FK88" s="30">
        <f>+'Simulacion prestamo'!FI59</f>
        <v>0</v>
      </c>
      <c r="FL88" s="30">
        <f>+'Simulacion prestamo'!FJ59</f>
        <v>0</v>
      </c>
      <c r="FM88" s="30">
        <f>+'Simulacion prestamo'!FK59</f>
        <v>0</v>
      </c>
      <c r="FN88" s="30">
        <f>+'Simulacion prestamo'!FL59</f>
        <v>0</v>
      </c>
      <c r="FO88" s="30">
        <f>+'Simulacion prestamo'!FM59</f>
        <v>0</v>
      </c>
      <c r="FP88" s="30">
        <f>+'Simulacion prestamo'!FN59</f>
        <v>0</v>
      </c>
      <c r="FQ88" s="30">
        <f>+'Simulacion prestamo'!FO59</f>
        <v>0</v>
      </c>
      <c r="FR88" s="30">
        <f>+'Simulacion prestamo'!FP59</f>
        <v>0</v>
      </c>
      <c r="FS88" s="30">
        <f>+'Simulacion prestamo'!FQ59</f>
        <v>0</v>
      </c>
      <c r="FT88" s="30">
        <f>+'Simulacion prestamo'!FR59</f>
        <v>0</v>
      </c>
      <c r="FU88" s="30">
        <f>+'Simulacion prestamo'!FS59</f>
        <v>0</v>
      </c>
      <c r="FV88" s="30">
        <f>+'Simulacion prestamo'!FT59</f>
        <v>0</v>
      </c>
      <c r="FW88" s="30">
        <f>+'Simulacion prestamo'!FU59</f>
        <v>0</v>
      </c>
      <c r="FX88" s="30">
        <f>+'Simulacion prestamo'!FV59</f>
        <v>0</v>
      </c>
      <c r="FY88" s="30">
        <f>+'Simulacion prestamo'!FW59</f>
        <v>0</v>
      </c>
      <c r="FZ88" s="30">
        <f>+'Simulacion prestamo'!FX59</f>
        <v>0</v>
      </c>
      <c r="GA88" s="30">
        <f>+'Simulacion prestamo'!FY59</f>
        <v>0</v>
      </c>
      <c r="GB88" s="30">
        <f>+'Simulacion prestamo'!FZ59</f>
        <v>0</v>
      </c>
      <c r="GC88" s="30">
        <f>+'Simulacion prestamo'!GA59</f>
        <v>0</v>
      </c>
      <c r="GD88" s="30">
        <f>+'Simulacion prestamo'!GB59</f>
        <v>0</v>
      </c>
      <c r="GE88" s="30">
        <f>+'Simulacion prestamo'!GC59</f>
        <v>0</v>
      </c>
      <c r="GF88" s="30">
        <f>+'Simulacion prestamo'!GD59</f>
        <v>0</v>
      </c>
      <c r="GG88" s="30">
        <f>+'Simulacion prestamo'!GE59</f>
        <v>0</v>
      </c>
      <c r="GH88" s="30">
        <f>+'Simulacion prestamo'!GF59</f>
        <v>0</v>
      </c>
      <c r="GI88" s="30">
        <f>+'Simulacion prestamo'!GG59</f>
        <v>0</v>
      </c>
      <c r="GJ88" s="30">
        <f>+'Simulacion prestamo'!GH59</f>
        <v>0</v>
      </c>
      <c r="GK88" s="30">
        <f>+'Simulacion prestamo'!GI59</f>
        <v>0</v>
      </c>
      <c r="GL88" s="30">
        <f>+'Simulacion prestamo'!GJ59</f>
        <v>0</v>
      </c>
      <c r="GM88" s="30">
        <f>+'Simulacion prestamo'!GK59</f>
        <v>0</v>
      </c>
      <c r="GN88" s="30">
        <f>+'Simulacion prestamo'!GL59</f>
        <v>0</v>
      </c>
      <c r="GO88" s="30">
        <f>+'Simulacion prestamo'!GM59</f>
        <v>0</v>
      </c>
      <c r="GP88" s="30">
        <f>+'Simulacion prestamo'!GN59</f>
        <v>0</v>
      </c>
      <c r="GQ88" s="30">
        <f>+'Simulacion prestamo'!GO59</f>
        <v>0</v>
      </c>
      <c r="GR88" s="30">
        <f>+'Simulacion prestamo'!GP59</f>
        <v>0</v>
      </c>
      <c r="GS88" s="30">
        <f>+'Simulacion prestamo'!GQ59</f>
        <v>0</v>
      </c>
      <c r="GT88" s="30">
        <f>+'Simulacion prestamo'!GR59</f>
        <v>0</v>
      </c>
      <c r="GU88" s="30">
        <f>+'Simulacion prestamo'!GS59</f>
        <v>0</v>
      </c>
      <c r="GV88" s="30">
        <f>+'Simulacion prestamo'!GT59</f>
        <v>0</v>
      </c>
      <c r="GW88" s="30">
        <f>+'Simulacion prestamo'!GU59</f>
        <v>0</v>
      </c>
      <c r="GX88" s="30">
        <f>+'Simulacion prestamo'!GV59</f>
        <v>0</v>
      </c>
      <c r="GY88" s="30">
        <f>+'Simulacion prestamo'!GW59</f>
        <v>0</v>
      </c>
      <c r="GZ88" s="30">
        <f>+'Simulacion prestamo'!GX59</f>
        <v>0</v>
      </c>
      <c r="HA88" s="30">
        <f>+'Simulacion prestamo'!GY59</f>
        <v>0</v>
      </c>
      <c r="HB88" s="30">
        <f>+'Simulacion prestamo'!GZ59</f>
        <v>0</v>
      </c>
      <c r="HC88" s="30">
        <f>+'Simulacion prestamo'!HA59</f>
        <v>0</v>
      </c>
      <c r="HD88" s="30">
        <f>+'Simulacion prestamo'!HB59</f>
        <v>0</v>
      </c>
      <c r="HE88" s="30">
        <f>+'Simulacion prestamo'!HC59</f>
        <v>0</v>
      </c>
      <c r="HF88" s="30">
        <f>+'Simulacion prestamo'!HD59</f>
        <v>0</v>
      </c>
      <c r="HG88" s="30">
        <f>+'Simulacion prestamo'!HE59</f>
        <v>0</v>
      </c>
      <c r="HH88" s="30">
        <f>+'Simulacion prestamo'!HF59</f>
        <v>0</v>
      </c>
      <c r="HI88" s="30">
        <f>+'Simulacion prestamo'!HG59</f>
        <v>0</v>
      </c>
      <c r="HJ88" s="30">
        <f>+'Simulacion prestamo'!HH59</f>
        <v>0</v>
      </c>
      <c r="HK88" s="30">
        <f>+'Simulacion prestamo'!HI59</f>
        <v>0</v>
      </c>
      <c r="HL88" s="30">
        <f>+'Simulacion prestamo'!HJ59</f>
        <v>0</v>
      </c>
      <c r="HM88" s="30">
        <f>+'Simulacion prestamo'!HK59</f>
        <v>0</v>
      </c>
      <c r="HN88" s="30">
        <f>+'Simulacion prestamo'!HL59</f>
        <v>0</v>
      </c>
      <c r="HO88" s="30">
        <f>+'Simulacion prestamo'!HM59</f>
        <v>0</v>
      </c>
      <c r="HP88" s="30">
        <f>+'Simulacion prestamo'!HN59</f>
        <v>0</v>
      </c>
      <c r="HQ88" s="30">
        <f>+'Simulacion prestamo'!HO59</f>
        <v>0</v>
      </c>
      <c r="HR88" s="30">
        <f>+'Simulacion prestamo'!HP59</f>
        <v>0</v>
      </c>
      <c r="HS88" s="30">
        <f>+'Simulacion prestamo'!HQ59</f>
        <v>0</v>
      </c>
      <c r="HT88" s="30">
        <f>+'Simulacion prestamo'!HR59</f>
        <v>0</v>
      </c>
      <c r="HU88" s="30">
        <f>+'Simulacion prestamo'!HS59</f>
        <v>0</v>
      </c>
      <c r="HV88" s="30">
        <f>+'Simulacion prestamo'!HT59</f>
        <v>0</v>
      </c>
      <c r="HW88" s="30">
        <f>+'Simulacion prestamo'!HU59</f>
        <v>0</v>
      </c>
      <c r="HX88" s="30">
        <f>+'Simulacion prestamo'!HV59</f>
        <v>0</v>
      </c>
      <c r="HY88" s="30">
        <f>+'Simulacion prestamo'!HW59</f>
        <v>0</v>
      </c>
      <c r="HZ88" s="30">
        <f>+'Simulacion prestamo'!HX59</f>
        <v>0</v>
      </c>
      <c r="IA88" s="30">
        <f>+'Simulacion prestamo'!HY59</f>
        <v>0</v>
      </c>
      <c r="IB88" s="30">
        <f>+'Simulacion prestamo'!HZ59</f>
        <v>0</v>
      </c>
      <c r="IC88" s="30">
        <f>+'Simulacion prestamo'!IA59</f>
        <v>0</v>
      </c>
      <c r="ID88" s="30">
        <f>+'Simulacion prestamo'!IB59</f>
        <v>0</v>
      </c>
      <c r="IE88" s="30">
        <f>+'Simulacion prestamo'!IC59</f>
        <v>0</v>
      </c>
      <c r="IF88" s="30">
        <f>+'Simulacion prestamo'!ID59</f>
        <v>0</v>
      </c>
      <c r="IG88" s="30">
        <f>+'Simulacion prestamo'!IE59</f>
        <v>0</v>
      </c>
      <c r="IH88" s="30">
        <f>+'Simulacion prestamo'!IF59</f>
        <v>0</v>
      </c>
      <c r="II88" s="30">
        <f>+'Simulacion prestamo'!IG59</f>
        <v>0</v>
      </c>
      <c r="IJ88" s="30">
        <f>+'Simulacion prestamo'!IH59</f>
        <v>0</v>
      </c>
      <c r="IK88" s="30">
        <f>+'Simulacion prestamo'!II59</f>
        <v>0</v>
      </c>
      <c r="IL88" s="30">
        <f>+'Simulacion prestamo'!IJ59</f>
        <v>0</v>
      </c>
      <c r="IM88" s="30">
        <f>+'Simulacion prestamo'!IK59</f>
        <v>0</v>
      </c>
      <c r="IN88" s="30">
        <f>+'Simulacion prestamo'!IL59</f>
        <v>0</v>
      </c>
      <c r="IO88" s="30">
        <f>+'Simulacion prestamo'!IM59</f>
        <v>0</v>
      </c>
    </row>
    <row r="89" spans="1:249" x14ac:dyDescent="0.3">
      <c r="A89" t="s">
        <v>643</v>
      </c>
      <c r="B89" s="33" t="e">
        <f t="shared" si="613"/>
        <v>#REF!</v>
      </c>
      <c r="C89" s="38" t="e">
        <f t="shared" si="614"/>
        <v>#REF!</v>
      </c>
      <c r="D89" s="30" t="e">
        <f t="shared" si="615"/>
        <v>#REF!</v>
      </c>
      <c r="E89" s="30">
        <f t="shared" ref="E89:BP89" si="616">+E56</f>
        <v>0</v>
      </c>
      <c r="F89" s="30">
        <f t="shared" si="616"/>
        <v>0</v>
      </c>
      <c r="G89" s="30">
        <f t="shared" si="616"/>
        <v>0</v>
      </c>
      <c r="H89" s="30" t="e">
        <f t="shared" si="616"/>
        <v>#REF!</v>
      </c>
      <c r="I89" s="30">
        <f t="shared" si="616"/>
        <v>0</v>
      </c>
      <c r="J89" s="30">
        <f t="shared" si="616"/>
        <v>0</v>
      </c>
      <c r="K89" s="30" t="e">
        <f t="shared" si="616"/>
        <v>#REF!</v>
      </c>
      <c r="L89" s="30">
        <f t="shared" si="616"/>
        <v>0</v>
      </c>
      <c r="M89" s="30">
        <f t="shared" si="616"/>
        <v>0</v>
      </c>
      <c r="N89" s="30" t="e">
        <f t="shared" si="616"/>
        <v>#REF!</v>
      </c>
      <c r="O89" s="30">
        <f t="shared" si="616"/>
        <v>0</v>
      </c>
      <c r="P89" s="30">
        <f t="shared" si="616"/>
        <v>0</v>
      </c>
      <c r="Q89" s="30" t="e">
        <f t="shared" si="616"/>
        <v>#REF!</v>
      </c>
      <c r="R89" s="30">
        <f t="shared" si="616"/>
        <v>0</v>
      </c>
      <c r="S89" s="30">
        <f t="shared" si="616"/>
        <v>0</v>
      </c>
      <c r="T89" s="30" t="e">
        <f t="shared" si="616"/>
        <v>#REF!</v>
      </c>
      <c r="U89" s="30">
        <f t="shared" si="616"/>
        <v>0</v>
      </c>
      <c r="V89" s="30">
        <f t="shared" si="616"/>
        <v>0</v>
      </c>
      <c r="W89" s="30" t="e">
        <f t="shared" si="616"/>
        <v>#REF!</v>
      </c>
      <c r="X89" s="30">
        <f t="shared" si="616"/>
        <v>0</v>
      </c>
      <c r="Y89" s="30">
        <f t="shared" si="616"/>
        <v>0</v>
      </c>
      <c r="Z89" s="30" t="e">
        <f t="shared" si="616"/>
        <v>#REF!</v>
      </c>
      <c r="AA89" s="30">
        <f t="shared" si="616"/>
        <v>0</v>
      </c>
      <c r="AB89" s="30">
        <f t="shared" si="616"/>
        <v>0</v>
      </c>
      <c r="AC89" s="30" t="e">
        <f t="shared" si="616"/>
        <v>#REF!</v>
      </c>
      <c r="AD89" s="30">
        <f t="shared" si="616"/>
        <v>0</v>
      </c>
      <c r="AE89" s="30">
        <f t="shared" si="616"/>
        <v>0</v>
      </c>
      <c r="AF89" s="30" t="e">
        <f t="shared" si="616"/>
        <v>#REF!</v>
      </c>
      <c r="AG89" s="30">
        <f t="shared" si="616"/>
        <v>0</v>
      </c>
      <c r="AH89" s="30">
        <f t="shared" si="616"/>
        <v>0</v>
      </c>
      <c r="AI89" s="30" t="e">
        <f t="shared" si="616"/>
        <v>#REF!</v>
      </c>
      <c r="AJ89" s="30">
        <f t="shared" si="616"/>
        <v>0</v>
      </c>
      <c r="AK89" s="30">
        <f t="shared" si="616"/>
        <v>0</v>
      </c>
      <c r="AL89" s="30" t="e">
        <f t="shared" si="616"/>
        <v>#REF!</v>
      </c>
      <c r="AM89" s="30">
        <f t="shared" si="616"/>
        <v>0</v>
      </c>
      <c r="AN89" s="30">
        <f t="shared" si="616"/>
        <v>0</v>
      </c>
      <c r="AO89" s="30" t="e">
        <f t="shared" si="616"/>
        <v>#REF!</v>
      </c>
      <c r="AP89" s="30">
        <f t="shared" si="616"/>
        <v>0</v>
      </c>
      <c r="AQ89" s="30">
        <f t="shared" si="616"/>
        <v>0</v>
      </c>
      <c r="AR89" s="30" t="e">
        <f t="shared" si="616"/>
        <v>#REF!</v>
      </c>
      <c r="AS89" s="30">
        <f t="shared" si="616"/>
        <v>0</v>
      </c>
      <c r="AT89" s="30">
        <f t="shared" si="616"/>
        <v>0</v>
      </c>
      <c r="AU89" s="30" t="e">
        <f t="shared" si="616"/>
        <v>#REF!</v>
      </c>
      <c r="AV89" s="30">
        <f t="shared" si="616"/>
        <v>0</v>
      </c>
      <c r="AW89" s="30">
        <f t="shared" si="616"/>
        <v>0</v>
      </c>
      <c r="AX89" s="30" t="e">
        <f t="shared" si="616"/>
        <v>#REF!</v>
      </c>
      <c r="AY89" s="30">
        <f t="shared" si="616"/>
        <v>0</v>
      </c>
      <c r="AZ89" s="30">
        <f t="shared" si="616"/>
        <v>0</v>
      </c>
      <c r="BA89" s="30" t="e">
        <f t="shared" si="616"/>
        <v>#REF!</v>
      </c>
      <c r="BB89" s="30">
        <f t="shared" si="616"/>
        <v>0</v>
      </c>
      <c r="BC89" s="30">
        <f t="shared" si="616"/>
        <v>0</v>
      </c>
      <c r="BD89" s="30" t="e">
        <f t="shared" si="616"/>
        <v>#REF!</v>
      </c>
      <c r="BE89" s="30">
        <f t="shared" si="616"/>
        <v>0</v>
      </c>
      <c r="BF89" s="30">
        <f t="shared" si="616"/>
        <v>0</v>
      </c>
      <c r="BG89" s="30" t="e">
        <f t="shared" si="616"/>
        <v>#REF!</v>
      </c>
      <c r="BH89" s="30">
        <f t="shared" si="616"/>
        <v>0</v>
      </c>
      <c r="BI89" s="30">
        <f t="shared" si="616"/>
        <v>0</v>
      </c>
      <c r="BJ89" s="30" t="e">
        <f t="shared" si="616"/>
        <v>#REF!</v>
      </c>
      <c r="BK89" s="30">
        <f t="shared" si="616"/>
        <v>0</v>
      </c>
      <c r="BL89" s="30">
        <f t="shared" si="616"/>
        <v>0</v>
      </c>
      <c r="BM89" s="30" t="e">
        <f t="shared" si="616"/>
        <v>#REF!</v>
      </c>
      <c r="BN89" s="30">
        <f t="shared" si="616"/>
        <v>0</v>
      </c>
      <c r="BO89" s="30">
        <f t="shared" si="616"/>
        <v>0</v>
      </c>
      <c r="BP89" s="30" t="e">
        <f t="shared" si="616"/>
        <v>#REF!</v>
      </c>
      <c r="BQ89" s="30">
        <f t="shared" ref="BQ89:EB89" si="617">+BQ56</f>
        <v>0</v>
      </c>
      <c r="BR89" s="30">
        <f t="shared" si="617"/>
        <v>0</v>
      </c>
      <c r="BS89" s="30" t="e">
        <f t="shared" si="617"/>
        <v>#REF!</v>
      </c>
      <c r="BT89" s="30">
        <f t="shared" si="617"/>
        <v>0</v>
      </c>
      <c r="BU89" s="30">
        <f t="shared" si="617"/>
        <v>0</v>
      </c>
      <c r="BV89" s="30" t="e">
        <f t="shared" si="617"/>
        <v>#REF!</v>
      </c>
      <c r="BW89" s="30">
        <f t="shared" si="617"/>
        <v>0</v>
      </c>
      <c r="BX89" s="30">
        <f t="shared" si="617"/>
        <v>0</v>
      </c>
      <c r="BY89" s="30" t="e">
        <f t="shared" si="617"/>
        <v>#REF!</v>
      </c>
      <c r="BZ89" s="30">
        <f t="shared" si="617"/>
        <v>0</v>
      </c>
      <c r="CA89" s="30">
        <f t="shared" si="617"/>
        <v>0</v>
      </c>
      <c r="CB89" s="30" t="e">
        <f t="shared" si="617"/>
        <v>#REF!</v>
      </c>
      <c r="CC89" s="30">
        <f t="shared" si="617"/>
        <v>0</v>
      </c>
      <c r="CD89" s="30">
        <f t="shared" si="617"/>
        <v>0</v>
      </c>
      <c r="CE89" s="30" t="e">
        <f t="shared" si="617"/>
        <v>#REF!</v>
      </c>
      <c r="CF89" s="30">
        <f t="shared" si="617"/>
        <v>0</v>
      </c>
      <c r="CG89" s="30">
        <f t="shared" si="617"/>
        <v>0</v>
      </c>
      <c r="CH89" s="30" t="e">
        <f t="shared" si="617"/>
        <v>#REF!</v>
      </c>
      <c r="CI89" s="30">
        <f t="shared" si="617"/>
        <v>0</v>
      </c>
      <c r="CJ89" s="30">
        <f t="shared" si="617"/>
        <v>0</v>
      </c>
      <c r="CK89" s="30" t="e">
        <f t="shared" si="617"/>
        <v>#REF!</v>
      </c>
      <c r="CL89" s="30">
        <f t="shared" si="617"/>
        <v>0</v>
      </c>
      <c r="CM89" s="30">
        <f t="shared" si="617"/>
        <v>0</v>
      </c>
      <c r="CN89" s="30" t="e">
        <f t="shared" si="617"/>
        <v>#REF!</v>
      </c>
      <c r="CO89" s="30">
        <f t="shared" si="617"/>
        <v>0</v>
      </c>
      <c r="CP89" s="30">
        <f t="shared" si="617"/>
        <v>0</v>
      </c>
      <c r="CQ89" s="30" t="e">
        <f t="shared" si="617"/>
        <v>#REF!</v>
      </c>
      <c r="CR89" s="30">
        <f t="shared" si="617"/>
        <v>0</v>
      </c>
      <c r="CS89" s="30">
        <f t="shared" si="617"/>
        <v>0</v>
      </c>
      <c r="CT89" s="30" t="e">
        <f t="shared" si="617"/>
        <v>#REF!</v>
      </c>
      <c r="CU89" s="30">
        <f t="shared" si="617"/>
        <v>0</v>
      </c>
      <c r="CV89" s="30">
        <f t="shared" si="617"/>
        <v>0</v>
      </c>
      <c r="CW89" s="30" t="e">
        <f t="shared" si="617"/>
        <v>#REF!</v>
      </c>
      <c r="CX89" s="30">
        <f t="shared" si="617"/>
        <v>0</v>
      </c>
      <c r="CY89" s="30">
        <f t="shared" si="617"/>
        <v>0</v>
      </c>
      <c r="CZ89" s="30" t="e">
        <f t="shared" si="617"/>
        <v>#REF!</v>
      </c>
      <c r="DA89" s="30">
        <f t="shared" si="617"/>
        <v>0</v>
      </c>
      <c r="DB89" s="30">
        <f t="shared" si="617"/>
        <v>0</v>
      </c>
      <c r="DC89" s="30" t="e">
        <f t="shared" si="617"/>
        <v>#REF!</v>
      </c>
      <c r="DD89" s="30">
        <f t="shared" si="617"/>
        <v>0</v>
      </c>
      <c r="DE89" s="30">
        <f t="shared" si="617"/>
        <v>0</v>
      </c>
      <c r="DF89" s="30" t="e">
        <f t="shared" si="617"/>
        <v>#REF!</v>
      </c>
      <c r="DG89" s="30">
        <f t="shared" si="617"/>
        <v>0</v>
      </c>
      <c r="DH89" s="30">
        <f t="shared" si="617"/>
        <v>0</v>
      </c>
      <c r="DI89" s="30" t="e">
        <f t="shared" si="617"/>
        <v>#REF!</v>
      </c>
      <c r="DJ89" s="30">
        <f t="shared" si="617"/>
        <v>0</v>
      </c>
      <c r="DK89" s="30">
        <f t="shared" si="617"/>
        <v>0</v>
      </c>
      <c r="DL89" s="30" t="e">
        <f t="shared" si="617"/>
        <v>#REF!</v>
      </c>
      <c r="DM89" s="30">
        <f t="shared" si="617"/>
        <v>0</v>
      </c>
      <c r="DN89" s="30">
        <f t="shared" si="617"/>
        <v>0</v>
      </c>
      <c r="DO89" s="30" t="e">
        <f t="shared" si="617"/>
        <v>#REF!</v>
      </c>
      <c r="DP89" s="30">
        <f t="shared" si="617"/>
        <v>0</v>
      </c>
      <c r="DQ89" s="30">
        <f t="shared" si="617"/>
        <v>0</v>
      </c>
      <c r="DR89" s="30" t="e">
        <f t="shared" si="617"/>
        <v>#REF!</v>
      </c>
      <c r="DS89" s="30">
        <f t="shared" si="617"/>
        <v>0</v>
      </c>
      <c r="DT89" s="30">
        <f t="shared" si="617"/>
        <v>0</v>
      </c>
      <c r="DU89" s="30" t="e">
        <f t="shared" si="617"/>
        <v>#REF!</v>
      </c>
      <c r="DV89" s="30">
        <f t="shared" si="617"/>
        <v>0</v>
      </c>
      <c r="DW89" s="30">
        <f t="shared" si="617"/>
        <v>0</v>
      </c>
      <c r="DX89" s="30" t="e">
        <f t="shared" si="617"/>
        <v>#REF!</v>
      </c>
      <c r="DY89" s="30">
        <f t="shared" si="617"/>
        <v>0</v>
      </c>
      <c r="DZ89" s="30">
        <f t="shared" si="617"/>
        <v>0</v>
      </c>
      <c r="EA89" s="30" t="e">
        <f t="shared" si="617"/>
        <v>#REF!</v>
      </c>
      <c r="EB89" s="30">
        <f t="shared" si="617"/>
        <v>0</v>
      </c>
      <c r="EC89" s="30">
        <f t="shared" ref="EC89:GN89" si="618">+EC56</f>
        <v>0</v>
      </c>
      <c r="ED89" s="30" t="e">
        <f t="shared" si="618"/>
        <v>#REF!</v>
      </c>
      <c r="EE89" s="30">
        <f t="shared" si="618"/>
        <v>0</v>
      </c>
      <c r="EF89" s="30">
        <f t="shared" si="618"/>
        <v>0</v>
      </c>
      <c r="EG89" s="30" t="e">
        <f t="shared" si="618"/>
        <v>#REF!</v>
      </c>
      <c r="EH89" s="30">
        <f t="shared" si="618"/>
        <v>0</v>
      </c>
      <c r="EI89" s="30">
        <f t="shared" si="618"/>
        <v>0</v>
      </c>
      <c r="EJ89" s="30" t="e">
        <f t="shared" si="618"/>
        <v>#REF!</v>
      </c>
      <c r="EK89" s="30">
        <f t="shared" si="618"/>
        <v>0</v>
      </c>
      <c r="EL89" s="30">
        <f t="shared" si="618"/>
        <v>0</v>
      </c>
      <c r="EM89" s="30" t="e">
        <f t="shared" si="618"/>
        <v>#REF!</v>
      </c>
      <c r="EN89" s="30">
        <f t="shared" si="618"/>
        <v>0</v>
      </c>
      <c r="EO89" s="30">
        <f t="shared" si="618"/>
        <v>0</v>
      </c>
      <c r="EP89" s="30" t="e">
        <f t="shared" si="618"/>
        <v>#REF!</v>
      </c>
      <c r="EQ89" s="30">
        <f t="shared" si="618"/>
        <v>0</v>
      </c>
      <c r="ER89" s="30">
        <f t="shared" si="618"/>
        <v>0</v>
      </c>
      <c r="ES89" s="30" t="e">
        <f t="shared" si="618"/>
        <v>#REF!</v>
      </c>
      <c r="ET89" s="30">
        <f t="shared" si="618"/>
        <v>0</v>
      </c>
      <c r="EU89" s="30">
        <f t="shared" si="618"/>
        <v>0</v>
      </c>
      <c r="EV89" s="30" t="e">
        <f t="shared" si="618"/>
        <v>#REF!</v>
      </c>
      <c r="EW89" s="30">
        <f t="shared" si="618"/>
        <v>0</v>
      </c>
      <c r="EX89" s="30">
        <f t="shared" si="618"/>
        <v>0</v>
      </c>
      <c r="EY89" s="30" t="e">
        <f t="shared" si="618"/>
        <v>#REF!</v>
      </c>
      <c r="EZ89" s="30">
        <f t="shared" si="618"/>
        <v>0</v>
      </c>
      <c r="FA89" s="30">
        <f t="shared" si="618"/>
        <v>0</v>
      </c>
      <c r="FB89" s="30" t="e">
        <f t="shared" si="618"/>
        <v>#REF!</v>
      </c>
      <c r="FC89" s="30">
        <f t="shared" si="618"/>
        <v>0</v>
      </c>
      <c r="FD89" s="30">
        <f t="shared" si="618"/>
        <v>0</v>
      </c>
      <c r="FE89" s="30" t="e">
        <f t="shared" si="618"/>
        <v>#REF!</v>
      </c>
      <c r="FF89" s="30">
        <f t="shared" si="618"/>
        <v>0</v>
      </c>
      <c r="FG89" s="30">
        <f t="shared" si="618"/>
        <v>0</v>
      </c>
      <c r="FH89" s="30" t="e">
        <f t="shared" si="618"/>
        <v>#REF!</v>
      </c>
      <c r="FI89" s="30">
        <f t="shared" si="618"/>
        <v>0</v>
      </c>
      <c r="FJ89" s="30">
        <f t="shared" si="618"/>
        <v>0</v>
      </c>
      <c r="FK89" s="30" t="e">
        <f t="shared" si="618"/>
        <v>#REF!</v>
      </c>
      <c r="FL89" s="30">
        <f t="shared" si="618"/>
        <v>0</v>
      </c>
      <c r="FM89" s="30">
        <f t="shared" si="618"/>
        <v>0</v>
      </c>
      <c r="FN89" s="30" t="e">
        <f t="shared" si="618"/>
        <v>#REF!</v>
      </c>
      <c r="FO89" s="30">
        <f t="shared" si="618"/>
        <v>0</v>
      </c>
      <c r="FP89" s="30">
        <f t="shared" si="618"/>
        <v>0</v>
      </c>
      <c r="FQ89" s="30" t="e">
        <f t="shared" si="618"/>
        <v>#REF!</v>
      </c>
      <c r="FR89" s="30">
        <f t="shared" si="618"/>
        <v>0</v>
      </c>
      <c r="FS89" s="30">
        <f t="shared" si="618"/>
        <v>0</v>
      </c>
      <c r="FT89" s="30" t="e">
        <f t="shared" si="618"/>
        <v>#REF!</v>
      </c>
      <c r="FU89" s="30">
        <f t="shared" si="618"/>
        <v>0</v>
      </c>
      <c r="FV89" s="30">
        <f t="shared" si="618"/>
        <v>0</v>
      </c>
      <c r="FW89" s="30" t="e">
        <f t="shared" si="618"/>
        <v>#REF!</v>
      </c>
      <c r="FX89" s="30">
        <f t="shared" si="618"/>
        <v>0</v>
      </c>
      <c r="FY89" s="30">
        <f t="shared" si="618"/>
        <v>0</v>
      </c>
      <c r="FZ89" s="30" t="e">
        <f t="shared" si="618"/>
        <v>#REF!</v>
      </c>
      <c r="GA89" s="30">
        <f t="shared" si="618"/>
        <v>0</v>
      </c>
      <c r="GB89" s="30">
        <f t="shared" si="618"/>
        <v>0</v>
      </c>
      <c r="GC89" s="30" t="e">
        <f t="shared" si="618"/>
        <v>#REF!</v>
      </c>
      <c r="GD89" s="30">
        <f t="shared" si="618"/>
        <v>0</v>
      </c>
      <c r="GE89" s="30">
        <f t="shared" si="618"/>
        <v>0</v>
      </c>
      <c r="GF89" s="30" t="e">
        <f t="shared" si="618"/>
        <v>#REF!</v>
      </c>
      <c r="GG89" s="30">
        <f t="shared" si="618"/>
        <v>0</v>
      </c>
      <c r="GH89" s="30">
        <f t="shared" si="618"/>
        <v>0</v>
      </c>
      <c r="GI89" s="30" t="e">
        <f t="shared" si="618"/>
        <v>#REF!</v>
      </c>
      <c r="GJ89" s="30">
        <f t="shared" si="618"/>
        <v>0</v>
      </c>
      <c r="GK89" s="30">
        <f t="shared" si="618"/>
        <v>0</v>
      </c>
      <c r="GL89" s="30" t="e">
        <f t="shared" si="618"/>
        <v>#REF!</v>
      </c>
      <c r="GM89" s="30">
        <f t="shared" si="618"/>
        <v>0</v>
      </c>
      <c r="GN89" s="30">
        <f t="shared" si="618"/>
        <v>0</v>
      </c>
      <c r="GO89" s="30" t="e">
        <f t="shared" ref="GO89:IJ89" si="619">+GO56</f>
        <v>#REF!</v>
      </c>
      <c r="GP89" s="30">
        <f t="shared" si="619"/>
        <v>0</v>
      </c>
      <c r="GQ89" s="30">
        <f t="shared" si="619"/>
        <v>0</v>
      </c>
      <c r="GR89" s="30" t="e">
        <f t="shared" si="619"/>
        <v>#REF!</v>
      </c>
      <c r="GS89" s="30">
        <f t="shared" si="619"/>
        <v>0</v>
      </c>
      <c r="GT89" s="30">
        <f t="shared" si="619"/>
        <v>0</v>
      </c>
      <c r="GU89" s="30" t="e">
        <f t="shared" si="619"/>
        <v>#REF!</v>
      </c>
      <c r="GV89" s="30">
        <f t="shared" si="619"/>
        <v>0</v>
      </c>
      <c r="GW89" s="30">
        <f t="shared" si="619"/>
        <v>0</v>
      </c>
      <c r="GX89" s="30" t="e">
        <f t="shared" si="619"/>
        <v>#REF!</v>
      </c>
      <c r="GY89" s="30">
        <f t="shared" si="619"/>
        <v>0</v>
      </c>
      <c r="GZ89" s="30">
        <f t="shared" si="619"/>
        <v>0</v>
      </c>
      <c r="HA89" s="30" t="e">
        <f t="shared" si="619"/>
        <v>#REF!</v>
      </c>
      <c r="HB89" s="30">
        <f t="shared" si="619"/>
        <v>0</v>
      </c>
      <c r="HC89" s="30">
        <f t="shared" si="619"/>
        <v>0</v>
      </c>
      <c r="HD89" s="30" t="e">
        <f t="shared" si="619"/>
        <v>#REF!</v>
      </c>
      <c r="HE89" s="30">
        <f t="shared" si="619"/>
        <v>0</v>
      </c>
      <c r="HF89" s="30">
        <f t="shared" si="619"/>
        <v>0</v>
      </c>
      <c r="HG89" s="30" t="e">
        <f t="shared" si="619"/>
        <v>#REF!</v>
      </c>
      <c r="HH89" s="30">
        <f t="shared" si="619"/>
        <v>0</v>
      </c>
      <c r="HI89" s="30">
        <f t="shared" si="619"/>
        <v>0</v>
      </c>
      <c r="HJ89" s="30" t="e">
        <f t="shared" si="619"/>
        <v>#REF!</v>
      </c>
      <c r="HK89" s="30">
        <f t="shared" si="619"/>
        <v>0</v>
      </c>
      <c r="HL89" s="30">
        <f t="shared" si="619"/>
        <v>0</v>
      </c>
      <c r="HM89" s="30" t="e">
        <f t="shared" si="619"/>
        <v>#REF!</v>
      </c>
      <c r="HN89" s="30">
        <f t="shared" si="619"/>
        <v>0</v>
      </c>
      <c r="HO89" s="30">
        <f t="shared" si="619"/>
        <v>0</v>
      </c>
      <c r="HP89" s="30" t="e">
        <f t="shared" si="619"/>
        <v>#REF!</v>
      </c>
      <c r="HQ89" s="30">
        <f t="shared" si="619"/>
        <v>0</v>
      </c>
      <c r="HR89" s="30">
        <f t="shared" si="619"/>
        <v>0</v>
      </c>
      <c r="HS89" s="30" t="e">
        <f t="shared" si="619"/>
        <v>#REF!</v>
      </c>
      <c r="HT89" s="30">
        <f t="shared" si="619"/>
        <v>0</v>
      </c>
      <c r="HU89" s="30">
        <f t="shared" si="619"/>
        <v>0</v>
      </c>
      <c r="HV89" s="30" t="e">
        <f t="shared" si="619"/>
        <v>#REF!</v>
      </c>
      <c r="HW89" s="30">
        <f t="shared" si="619"/>
        <v>0</v>
      </c>
      <c r="HX89" s="30">
        <f t="shared" si="619"/>
        <v>0</v>
      </c>
      <c r="HY89" s="30" t="e">
        <f t="shared" si="619"/>
        <v>#REF!</v>
      </c>
      <c r="HZ89" s="30">
        <f t="shared" si="619"/>
        <v>0</v>
      </c>
      <c r="IA89" s="30">
        <f t="shared" si="619"/>
        <v>0</v>
      </c>
      <c r="IB89" s="30" t="e">
        <f t="shared" si="619"/>
        <v>#REF!</v>
      </c>
      <c r="IC89" s="30">
        <f t="shared" si="619"/>
        <v>0</v>
      </c>
      <c r="ID89" s="30">
        <f t="shared" si="619"/>
        <v>0</v>
      </c>
      <c r="IE89" s="30" t="e">
        <f t="shared" si="619"/>
        <v>#REF!</v>
      </c>
      <c r="IF89" s="30">
        <f t="shared" si="619"/>
        <v>0</v>
      </c>
      <c r="IG89" s="30">
        <f t="shared" si="619"/>
        <v>0</v>
      </c>
      <c r="IH89" s="30" t="e">
        <f t="shared" si="619"/>
        <v>#REF!</v>
      </c>
      <c r="II89" s="30">
        <f t="shared" si="619"/>
        <v>0</v>
      </c>
      <c r="IJ89" s="30">
        <f t="shared" si="619"/>
        <v>0</v>
      </c>
      <c r="IK89" s="30">
        <f t="shared" ref="IK89:IO89" si="620">+IK56</f>
        <v>0</v>
      </c>
      <c r="IL89" s="30">
        <f t="shared" si="620"/>
        <v>0</v>
      </c>
      <c r="IM89" s="30">
        <f t="shared" si="620"/>
        <v>0</v>
      </c>
      <c r="IN89" s="30">
        <f t="shared" si="620"/>
        <v>0</v>
      </c>
      <c r="IO89" s="30">
        <f t="shared" si="620"/>
        <v>0</v>
      </c>
    </row>
    <row r="90" spans="1:249" x14ac:dyDescent="0.3">
      <c r="A90" t="s">
        <v>777</v>
      </c>
      <c r="B90" s="33" t="e">
        <f t="shared" si="613"/>
        <v>#REF!</v>
      </c>
      <c r="C90" s="38" t="e">
        <f t="shared" si="614"/>
        <v>#REF!</v>
      </c>
      <c r="D90" s="30" t="e">
        <f t="shared" si="615"/>
        <v>#REF!</v>
      </c>
      <c r="E90" s="30">
        <f t="shared" ref="E90:BP90" si="621">+E57</f>
        <v>0</v>
      </c>
      <c r="F90" s="30">
        <f t="shared" si="621"/>
        <v>0</v>
      </c>
      <c r="G90" s="30">
        <f t="shared" si="621"/>
        <v>0</v>
      </c>
      <c r="H90" s="30">
        <f t="shared" si="621"/>
        <v>0</v>
      </c>
      <c r="I90" s="30">
        <f t="shared" si="621"/>
        <v>0</v>
      </c>
      <c r="J90" s="30">
        <f t="shared" si="621"/>
        <v>0</v>
      </c>
      <c r="K90" s="30">
        <f t="shared" si="621"/>
        <v>0</v>
      </c>
      <c r="L90" s="30">
        <f t="shared" si="621"/>
        <v>0</v>
      </c>
      <c r="M90" s="30">
        <f t="shared" si="621"/>
        <v>0</v>
      </c>
      <c r="N90" s="30">
        <f t="shared" si="621"/>
        <v>0</v>
      </c>
      <c r="O90" s="30">
        <f t="shared" si="621"/>
        <v>0</v>
      </c>
      <c r="P90" s="30">
        <f t="shared" si="621"/>
        <v>0</v>
      </c>
      <c r="Q90" s="30">
        <f t="shared" si="621"/>
        <v>0</v>
      </c>
      <c r="R90" s="30">
        <f t="shared" si="621"/>
        <v>0</v>
      </c>
      <c r="S90" s="30">
        <f t="shared" si="621"/>
        <v>0</v>
      </c>
      <c r="T90" s="30">
        <f t="shared" si="621"/>
        <v>0</v>
      </c>
      <c r="U90" s="30">
        <f t="shared" si="621"/>
        <v>0</v>
      </c>
      <c r="V90" s="30">
        <f t="shared" si="621"/>
        <v>0</v>
      </c>
      <c r="W90" s="30">
        <f t="shared" si="621"/>
        <v>0</v>
      </c>
      <c r="X90" s="30">
        <f t="shared" si="621"/>
        <v>0</v>
      </c>
      <c r="Y90" s="30">
        <f t="shared" si="621"/>
        <v>0</v>
      </c>
      <c r="Z90" s="30">
        <f t="shared" si="621"/>
        <v>0</v>
      </c>
      <c r="AA90" s="30">
        <f t="shared" si="621"/>
        <v>0</v>
      </c>
      <c r="AB90" s="30">
        <f t="shared" si="621"/>
        <v>0</v>
      </c>
      <c r="AC90" s="30">
        <f t="shared" si="621"/>
        <v>0</v>
      </c>
      <c r="AD90" s="30">
        <f t="shared" si="621"/>
        <v>0</v>
      </c>
      <c r="AE90" s="30">
        <f t="shared" si="621"/>
        <v>0</v>
      </c>
      <c r="AF90" s="30">
        <f t="shared" si="621"/>
        <v>0</v>
      </c>
      <c r="AG90" s="30">
        <f t="shared" si="621"/>
        <v>0</v>
      </c>
      <c r="AH90" s="30">
        <f t="shared" si="621"/>
        <v>0</v>
      </c>
      <c r="AI90" s="30">
        <f t="shared" si="621"/>
        <v>0</v>
      </c>
      <c r="AJ90" s="30">
        <f t="shared" si="621"/>
        <v>0</v>
      </c>
      <c r="AK90" s="30">
        <f t="shared" si="621"/>
        <v>0</v>
      </c>
      <c r="AL90" s="30">
        <f t="shared" si="621"/>
        <v>0</v>
      </c>
      <c r="AM90" s="30">
        <f t="shared" si="621"/>
        <v>0</v>
      </c>
      <c r="AN90" s="30">
        <f t="shared" si="621"/>
        <v>0</v>
      </c>
      <c r="AO90" s="30">
        <f t="shared" si="621"/>
        <v>0</v>
      </c>
      <c r="AP90" s="30">
        <f t="shared" si="621"/>
        <v>0</v>
      </c>
      <c r="AQ90" s="30">
        <f t="shared" si="621"/>
        <v>0</v>
      </c>
      <c r="AR90" s="30">
        <f t="shared" si="621"/>
        <v>0</v>
      </c>
      <c r="AS90" s="30">
        <f t="shared" si="621"/>
        <v>0</v>
      </c>
      <c r="AT90" s="30">
        <f t="shared" si="621"/>
        <v>0</v>
      </c>
      <c r="AU90" s="30">
        <f t="shared" si="621"/>
        <v>0</v>
      </c>
      <c r="AV90" s="30">
        <f t="shared" si="621"/>
        <v>0</v>
      </c>
      <c r="AW90" s="30">
        <f t="shared" si="621"/>
        <v>0</v>
      </c>
      <c r="AX90" s="30">
        <f t="shared" si="621"/>
        <v>0</v>
      </c>
      <c r="AY90" s="30">
        <f t="shared" si="621"/>
        <v>0</v>
      </c>
      <c r="AZ90" s="30">
        <f t="shared" si="621"/>
        <v>0</v>
      </c>
      <c r="BA90" s="30" t="e">
        <f t="shared" si="621"/>
        <v>#REF!</v>
      </c>
      <c r="BB90" s="30" t="e">
        <f t="shared" si="621"/>
        <v>#REF!</v>
      </c>
      <c r="BC90" s="30" t="e">
        <f t="shared" si="621"/>
        <v>#REF!</v>
      </c>
      <c r="BD90" s="30" t="e">
        <f t="shared" si="621"/>
        <v>#REF!</v>
      </c>
      <c r="BE90" s="30" t="e">
        <f t="shared" si="621"/>
        <v>#REF!</v>
      </c>
      <c r="BF90" s="30" t="e">
        <f t="shared" si="621"/>
        <v>#REF!</v>
      </c>
      <c r="BG90" s="30" t="e">
        <f t="shared" si="621"/>
        <v>#REF!</v>
      </c>
      <c r="BH90" s="30" t="e">
        <f t="shared" si="621"/>
        <v>#REF!</v>
      </c>
      <c r="BI90" s="30" t="e">
        <f t="shared" si="621"/>
        <v>#REF!</v>
      </c>
      <c r="BJ90" s="30" t="e">
        <f t="shared" si="621"/>
        <v>#REF!</v>
      </c>
      <c r="BK90" s="30" t="e">
        <f t="shared" si="621"/>
        <v>#REF!</v>
      </c>
      <c r="BL90" s="30" t="e">
        <f t="shared" si="621"/>
        <v>#REF!</v>
      </c>
      <c r="BM90" s="30" t="e">
        <f t="shared" si="621"/>
        <v>#REF!</v>
      </c>
      <c r="BN90" s="30" t="e">
        <f t="shared" si="621"/>
        <v>#REF!</v>
      </c>
      <c r="BO90" s="30" t="e">
        <f t="shared" si="621"/>
        <v>#REF!</v>
      </c>
      <c r="BP90" s="30" t="e">
        <f t="shared" si="621"/>
        <v>#REF!</v>
      </c>
      <c r="BQ90" s="30" t="e">
        <f t="shared" ref="BQ90:EB90" si="622">+BQ57</f>
        <v>#REF!</v>
      </c>
      <c r="BR90" s="30" t="e">
        <f t="shared" si="622"/>
        <v>#REF!</v>
      </c>
      <c r="BS90" s="30" t="e">
        <f t="shared" si="622"/>
        <v>#REF!</v>
      </c>
      <c r="BT90" s="30" t="e">
        <f t="shared" si="622"/>
        <v>#REF!</v>
      </c>
      <c r="BU90" s="30" t="e">
        <f t="shared" si="622"/>
        <v>#REF!</v>
      </c>
      <c r="BV90" s="30" t="e">
        <f t="shared" si="622"/>
        <v>#REF!</v>
      </c>
      <c r="BW90" s="30" t="e">
        <f t="shared" si="622"/>
        <v>#REF!</v>
      </c>
      <c r="BX90" s="30" t="e">
        <f t="shared" si="622"/>
        <v>#REF!</v>
      </c>
      <c r="BY90" s="30" t="e">
        <f t="shared" si="622"/>
        <v>#REF!</v>
      </c>
      <c r="BZ90" s="30" t="e">
        <f t="shared" si="622"/>
        <v>#REF!</v>
      </c>
      <c r="CA90" s="30" t="e">
        <f t="shared" si="622"/>
        <v>#REF!</v>
      </c>
      <c r="CB90" s="30" t="e">
        <f t="shared" si="622"/>
        <v>#REF!</v>
      </c>
      <c r="CC90" s="30" t="e">
        <f t="shared" si="622"/>
        <v>#REF!</v>
      </c>
      <c r="CD90" s="30" t="e">
        <f t="shared" si="622"/>
        <v>#REF!</v>
      </c>
      <c r="CE90" s="30" t="e">
        <f t="shared" si="622"/>
        <v>#REF!</v>
      </c>
      <c r="CF90" s="30" t="e">
        <f t="shared" si="622"/>
        <v>#REF!</v>
      </c>
      <c r="CG90" s="30" t="e">
        <f t="shared" si="622"/>
        <v>#REF!</v>
      </c>
      <c r="CH90" s="30" t="e">
        <f t="shared" si="622"/>
        <v>#REF!</v>
      </c>
      <c r="CI90" s="30" t="e">
        <f t="shared" si="622"/>
        <v>#REF!</v>
      </c>
      <c r="CJ90" s="30" t="e">
        <f t="shared" si="622"/>
        <v>#REF!</v>
      </c>
      <c r="CK90" s="30" t="e">
        <f t="shared" si="622"/>
        <v>#REF!</v>
      </c>
      <c r="CL90" s="30" t="e">
        <f t="shared" si="622"/>
        <v>#REF!</v>
      </c>
      <c r="CM90" s="30" t="e">
        <f t="shared" si="622"/>
        <v>#REF!</v>
      </c>
      <c r="CN90" s="30" t="e">
        <f t="shared" si="622"/>
        <v>#REF!</v>
      </c>
      <c r="CO90" s="30" t="e">
        <f t="shared" si="622"/>
        <v>#REF!</v>
      </c>
      <c r="CP90" s="30" t="e">
        <f t="shared" si="622"/>
        <v>#REF!</v>
      </c>
      <c r="CQ90" s="30" t="e">
        <f t="shared" si="622"/>
        <v>#REF!</v>
      </c>
      <c r="CR90" s="30" t="e">
        <f t="shared" si="622"/>
        <v>#REF!</v>
      </c>
      <c r="CS90" s="30" t="e">
        <f t="shared" si="622"/>
        <v>#REF!</v>
      </c>
      <c r="CT90" s="30" t="e">
        <f t="shared" si="622"/>
        <v>#REF!</v>
      </c>
      <c r="CU90" s="30" t="e">
        <f t="shared" si="622"/>
        <v>#REF!</v>
      </c>
      <c r="CV90" s="30" t="e">
        <f t="shared" si="622"/>
        <v>#REF!</v>
      </c>
      <c r="CW90" s="30" t="e">
        <f t="shared" si="622"/>
        <v>#REF!</v>
      </c>
      <c r="CX90" s="30" t="e">
        <f t="shared" si="622"/>
        <v>#REF!</v>
      </c>
      <c r="CY90" s="30" t="e">
        <f t="shared" si="622"/>
        <v>#REF!</v>
      </c>
      <c r="CZ90" s="30" t="e">
        <f t="shared" si="622"/>
        <v>#REF!</v>
      </c>
      <c r="DA90" s="30" t="e">
        <f t="shared" si="622"/>
        <v>#REF!</v>
      </c>
      <c r="DB90" s="30" t="e">
        <f t="shared" si="622"/>
        <v>#REF!</v>
      </c>
      <c r="DC90" s="30" t="e">
        <f t="shared" si="622"/>
        <v>#REF!</v>
      </c>
      <c r="DD90" s="30" t="e">
        <f t="shared" si="622"/>
        <v>#REF!</v>
      </c>
      <c r="DE90" s="30" t="e">
        <f t="shared" si="622"/>
        <v>#REF!</v>
      </c>
      <c r="DF90" s="30" t="e">
        <f t="shared" si="622"/>
        <v>#REF!</v>
      </c>
      <c r="DG90" s="30" t="e">
        <f t="shared" si="622"/>
        <v>#REF!</v>
      </c>
      <c r="DH90" s="30" t="e">
        <f t="shared" si="622"/>
        <v>#REF!</v>
      </c>
      <c r="DI90" s="30" t="e">
        <f t="shared" si="622"/>
        <v>#REF!</v>
      </c>
      <c r="DJ90" s="30" t="e">
        <f t="shared" si="622"/>
        <v>#REF!</v>
      </c>
      <c r="DK90" s="30" t="e">
        <f t="shared" si="622"/>
        <v>#REF!</v>
      </c>
      <c r="DL90" s="30" t="e">
        <f t="shared" si="622"/>
        <v>#REF!</v>
      </c>
      <c r="DM90" s="30" t="e">
        <f t="shared" si="622"/>
        <v>#REF!</v>
      </c>
      <c r="DN90" s="30" t="e">
        <f t="shared" si="622"/>
        <v>#REF!</v>
      </c>
      <c r="DO90" s="30" t="e">
        <f t="shared" si="622"/>
        <v>#REF!</v>
      </c>
      <c r="DP90" s="30" t="e">
        <f t="shared" si="622"/>
        <v>#REF!</v>
      </c>
      <c r="DQ90" s="30" t="e">
        <f t="shared" si="622"/>
        <v>#REF!</v>
      </c>
      <c r="DR90" s="30" t="e">
        <f t="shared" si="622"/>
        <v>#REF!</v>
      </c>
      <c r="DS90" s="30" t="e">
        <f t="shared" si="622"/>
        <v>#REF!</v>
      </c>
      <c r="DT90" s="30" t="e">
        <f t="shared" si="622"/>
        <v>#REF!</v>
      </c>
      <c r="DU90" s="30" t="e">
        <f t="shared" si="622"/>
        <v>#REF!</v>
      </c>
      <c r="DV90" s="30" t="e">
        <f t="shared" si="622"/>
        <v>#REF!</v>
      </c>
      <c r="DW90" s="30" t="e">
        <f t="shared" si="622"/>
        <v>#REF!</v>
      </c>
      <c r="DX90" s="30" t="e">
        <f t="shared" si="622"/>
        <v>#REF!</v>
      </c>
      <c r="DY90" s="30" t="e">
        <f t="shared" si="622"/>
        <v>#REF!</v>
      </c>
      <c r="DZ90" s="30" t="e">
        <f t="shared" si="622"/>
        <v>#REF!</v>
      </c>
      <c r="EA90" s="30" t="e">
        <f t="shared" si="622"/>
        <v>#REF!</v>
      </c>
      <c r="EB90" s="30" t="e">
        <f t="shared" si="622"/>
        <v>#REF!</v>
      </c>
      <c r="EC90" s="30" t="e">
        <f t="shared" ref="EC90:GN90" si="623">+EC57</f>
        <v>#REF!</v>
      </c>
      <c r="ED90" s="30" t="e">
        <f t="shared" si="623"/>
        <v>#REF!</v>
      </c>
      <c r="EE90" s="30" t="e">
        <f t="shared" si="623"/>
        <v>#REF!</v>
      </c>
      <c r="EF90" s="30" t="e">
        <f t="shared" si="623"/>
        <v>#REF!</v>
      </c>
      <c r="EG90" s="30" t="e">
        <f t="shared" si="623"/>
        <v>#REF!</v>
      </c>
      <c r="EH90" s="30" t="e">
        <f t="shared" si="623"/>
        <v>#REF!</v>
      </c>
      <c r="EI90" s="30" t="e">
        <f t="shared" si="623"/>
        <v>#REF!</v>
      </c>
      <c r="EJ90" s="30" t="e">
        <f t="shared" si="623"/>
        <v>#REF!</v>
      </c>
      <c r="EK90" s="30" t="e">
        <f t="shared" si="623"/>
        <v>#REF!</v>
      </c>
      <c r="EL90" s="30" t="e">
        <f t="shared" si="623"/>
        <v>#REF!</v>
      </c>
      <c r="EM90" s="30" t="e">
        <f t="shared" si="623"/>
        <v>#REF!</v>
      </c>
      <c r="EN90" s="30" t="e">
        <f t="shared" si="623"/>
        <v>#REF!</v>
      </c>
      <c r="EO90" s="30" t="e">
        <f t="shared" si="623"/>
        <v>#REF!</v>
      </c>
      <c r="EP90" s="30" t="e">
        <f t="shared" si="623"/>
        <v>#REF!</v>
      </c>
      <c r="EQ90" s="30" t="e">
        <f t="shared" si="623"/>
        <v>#REF!</v>
      </c>
      <c r="ER90" s="30" t="e">
        <f t="shared" si="623"/>
        <v>#REF!</v>
      </c>
      <c r="ES90" s="30" t="e">
        <f t="shared" si="623"/>
        <v>#REF!</v>
      </c>
      <c r="ET90" s="30" t="e">
        <f t="shared" si="623"/>
        <v>#REF!</v>
      </c>
      <c r="EU90" s="30" t="e">
        <f t="shared" si="623"/>
        <v>#REF!</v>
      </c>
      <c r="EV90" s="30" t="e">
        <f t="shared" si="623"/>
        <v>#REF!</v>
      </c>
      <c r="EW90" s="30" t="e">
        <f t="shared" si="623"/>
        <v>#REF!</v>
      </c>
      <c r="EX90" s="30" t="e">
        <f t="shared" si="623"/>
        <v>#REF!</v>
      </c>
      <c r="EY90" s="30" t="e">
        <f t="shared" si="623"/>
        <v>#REF!</v>
      </c>
      <c r="EZ90" s="30" t="e">
        <f t="shared" si="623"/>
        <v>#REF!</v>
      </c>
      <c r="FA90" s="30" t="e">
        <f t="shared" si="623"/>
        <v>#REF!</v>
      </c>
      <c r="FB90" s="30" t="e">
        <f t="shared" si="623"/>
        <v>#REF!</v>
      </c>
      <c r="FC90" s="30" t="e">
        <f t="shared" si="623"/>
        <v>#REF!</v>
      </c>
      <c r="FD90" s="30" t="e">
        <f t="shared" si="623"/>
        <v>#REF!</v>
      </c>
      <c r="FE90" s="30" t="e">
        <f t="shared" si="623"/>
        <v>#REF!</v>
      </c>
      <c r="FF90" s="30" t="e">
        <f t="shared" si="623"/>
        <v>#REF!</v>
      </c>
      <c r="FG90" s="30" t="e">
        <f t="shared" si="623"/>
        <v>#REF!</v>
      </c>
      <c r="FH90" s="30" t="e">
        <f t="shared" si="623"/>
        <v>#REF!</v>
      </c>
      <c r="FI90" s="30" t="e">
        <f t="shared" si="623"/>
        <v>#REF!</v>
      </c>
      <c r="FJ90" s="30" t="e">
        <f t="shared" si="623"/>
        <v>#REF!</v>
      </c>
      <c r="FK90" s="30" t="e">
        <f t="shared" si="623"/>
        <v>#REF!</v>
      </c>
      <c r="FL90" s="30" t="e">
        <f t="shared" si="623"/>
        <v>#REF!</v>
      </c>
      <c r="FM90" s="30" t="e">
        <f t="shared" si="623"/>
        <v>#REF!</v>
      </c>
      <c r="FN90" s="30" t="e">
        <f t="shared" si="623"/>
        <v>#REF!</v>
      </c>
      <c r="FO90" s="30" t="e">
        <f t="shared" si="623"/>
        <v>#REF!</v>
      </c>
      <c r="FP90" s="30" t="e">
        <f t="shared" si="623"/>
        <v>#REF!</v>
      </c>
      <c r="FQ90" s="30">
        <f t="shared" si="623"/>
        <v>0</v>
      </c>
      <c r="FR90" s="30">
        <f t="shared" si="623"/>
        <v>0</v>
      </c>
      <c r="FS90" s="30">
        <f t="shared" si="623"/>
        <v>0</v>
      </c>
      <c r="FT90" s="30">
        <f t="shared" si="623"/>
        <v>0</v>
      </c>
      <c r="FU90" s="30">
        <f t="shared" si="623"/>
        <v>0</v>
      </c>
      <c r="FV90" s="30">
        <f t="shared" si="623"/>
        <v>0</v>
      </c>
      <c r="FW90" s="30">
        <f t="shared" si="623"/>
        <v>0</v>
      </c>
      <c r="FX90" s="30">
        <f t="shared" si="623"/>
        <v>0</v>
      </c>
      <c r="FY90" s="30">
        <f t="shared" si="623"/>
        <v>0</v>
      </c>
      <c r="FZ90" s="30">
        <f t="shared" si="623"/>
        <v>0</v>
      </c>
      <c r="GA90" s="30">
        <f t="shared" si="623"/>
        <v>0</v>
      </c>
      <c r="GB90" s="30">
        <f t="shared" si="623"/>
        <v>0</v>
      </c>
      <c r="GC90" s="30">
        <f t="shared" si="623"/>
        <v>0</v>
      </c>
      <c r="GD90" s="30">
        <f t="shared" si="623"/>
        <v>0</v>
      </c>
      <c r="GE90" s="30">
        <f t="shared" si="623"/>
        <v>0</v>
      </c>
      <c r="GF90" s="30">
        <f t="shared" si="623"/>
        <v>0</v>
      </c>
      <c r="GG90" s="30">
        <f t="shared" si="623"/>
        <v>0</v>
      </c>
      <c r="GH90" s="30">
        <f t="shared" si="623"/>
        <v>0</v>
      </c>
      <c r="GI90" s="30">
        <f t="shared" si="623"/>
        <v>0</v>
      </c>
      <c r="GJ90" s="30">
        <f t="shared" si="623"/>
        <v>0</v>
      </c>
      <c r="GK90" s="30">
        <f t="shared" si="623"/>
        <v>0</v>
      </c>
      <c r="GL90" s="30">
        <f t="shared" si="623"/>
        <v>0</v>
      </c>
      <c r="GM90" s="30">
        <f t="shared" si="623"/>
        <v>0</v>
      </c>
      <c r="GN90" s="30">
        <f t="shared" si="623"/>
        <v>0</v>
      </c>
      <c r="GO90" s="30">
        <f t="shared" ref="GO90:IJ90" si="624">+GO57</f>
        <v>0</v>
      </c>
      <c r="GP90" s="30">
        <f t="shared" si="624"/>
        <v>0</v>
      </c>
      <c r="GQ90" s="30">
        <f t="shared" si="624"/>
        <v>0</v>
      </c>
      <c r="GR90" s="30">
        <f t="shared" si="624"/>
        <v>0</v>
      </c>
      <c r="GS90" s="30">
        <f t="shared" si="624"/>
        <v>0</v>
      </c>
      <c r="GT90" s="30">
        <f t="shared" si="624"/>
        <v>0</v>
      </c>
      <c r="GU90" s="30">
        <f t="shared" si="624"/>
        <v>0</v>
      </c>
      <c r="GV90" s="30">
        <f t="shared" si="624"/>
        <v>0</v>
      </c>
      <c r="GW90" s="30">
        <f t="shared" si="624"/>
        <v>0</v>
      </c>
      <c r="GX90" s="30">
        <f t="shared" si="624"/>
        <v>0</v>
      </c>
      <c r="GY90" s="30">
        <f t="shared" si="624"/>
        <v>0</v>
      </c>
      <c r="GZ90" s="30">
        <f t="shared" si="624"/>
        <v>0</v>
      </c>
      <c r="HA90" s="30">
        <f t="shared" si="624"/>
        <v>0</v>
      </c>
      <c r="HB90" s="30">
        <f t="shared" si="624"/>
        <v>0</v>
      </c>
      <c r="HC90" s="30">
        <f t="shared" si="624"/>
        <v>0</v>
      </c>
      <c r="HD90" s="30">
        <f t="shared" si="624"/>
        <v>0</v>
      </c>
      <c r="HE90" s="30">
        <f t="shared" si="624"/>
        <v>0</v>
      </c>
      <c r="HF90" s="30">
        <f t="shared" si="624"/>
        <v>0</v>
      </c>
      <c r="HG90" s="30">
        <f t="shared" si="624"/>
        <v>0</v>
      </c>
      <c r="HH90" s="30">
        <f t="shared" si="624"/>
        <v>0</v>
      </c>
      <c r="HI90" s="30">
        <f t="shared" si="624"/>
        <v>0</v>
      </c>
      <c r="HJ90" s="30">
        <f t="shared" si="624"/>
        <v>0</v>
      </c>
      <c r="HK90" s="30">
        <f t="shared" si="624"/>
        <v>0</v>
      </c>
      <c r="HL90" s="30">
        <f t="shared" si="624"/>
        <v>0</v>
      </c>
      <c r="HM90" s="30">
        <f t="shared" si="624"/>
        <v>0</v>
      </c>
      <c r="HN90" s="30">
        <f t="shared" si="624"/>
        <v>0</v>
      </c>
      <c r="HO90" s="30">
        <f t="shared" si="624"/>
        <v>0</v>
      </c>
      <c r="HP90" s="30">
        <f t="shared" si="624"/>
        <v>0</v>
      </c>
      <c r="HQ90" s="30">
        <f t="shared" si="624"/>
        <v>0</v>
      </c>
      <c r="HR90" s="30">
        <f t="shared" si="624"/>
        <v>0</v>
      </c>
      <c r="HS90" s="30">
        <f t="shared" si="624"/>
        <v>0</v>
      </c>
      <c r="HT90" s="30">
        <f t="shared" si="624"/>
        <v>0</v>
      </c>
      <c r="HU90" s="30">
        <f t="shared" si="624"/>
        <v>0</v>
      </c>
      <c r="HV90" s="30">
        <f t="shared" si="624"/>
        <v>0</v>
      </c>
      <c r="HW90" s="30">
        <f t="shared" si="624"/>
        <v>0</v>
      </c>
      <c r="HX90" s="30">
        <f t="shared" si="624"/>
        <v>0</v>
      </c>
      <c r="HY90" s="30">
        <f t="shared" si="624"/>
        <v>0</v>
      </c>
      <c r="HZ90" s="30">
        <f t="shared" si="624"/>
        <v>0</v>
      </c>
      <c r="IA90" s="30">
        <f t="shared" si="624"/>
        <v>0</v>
      </c>
      <c r="IB90" s="30">
        <f t="shared" si="624"/>
        <v>0</v>
      </c>
      <c r="IC90" s="30">
        <f t="shared" si="624"/>
        <v>0</v>
      </c>
      <c r="ID90" s="30">
        <f t="shared" si="624"/>
        <v>0</v>
      </c>
      <c r="IE90" s="30">
        <f t="shared" si="624"/>
        <v>0</v>
      </c>
      <c r="IF90" s="30">
        <f t="shared" si="624"/>
        <v>0</v>
      </c>
      <c r="IG90" s="30">
        <f t="shared" si="624"/>
        <v>0</v>
      </c>
      <c r="IH90" s="30">
        <f t="shared" si="624"/>
        <v>0</v>
      </c>
      <c r="II90" s="30">
        <f t="shared" si="624"/>
        <v>0</v>
      </c>
      <c r="IJ90" s="30">
        <f t="shared" si="624"/>
        <v>0</v>
      </c>
      <c r="IK90" s="30">
        <f t="shared" ref="IK90:IO90" si="625">+IK57</f>
        <v>0</v>
      </c>
      <c r="IL90" s="30">
        <f t="shared" si="625"/>
        <v>0</v>
      </c>
      <c r="IM90" s="30">
        <f t="shared" si="625"/>
        <v>0</v>
      </c>
      <c r="IN90" s="30">
        <f t="shared" si="625"/>
        <v>0</v>
      </c>
      <c r="IO90" s="30">
        <f t="shared" si="625"/>
        <v>0</v>
      </c>
    </row>
    <row r="91" spans="1:249" x14ac:dyDescent="0.3">
      <c r="A91" t="s">
        <v>644</v>
      </c>
      <c r="B91" s="33" t="e">
        <f t="shared" si="613"/>
        <v>#REF!</v>
      </c>
      <c r="C91" s="38" t="e">
        <f t="shared" si="614"/>
        <v>#REF!</v>
      </c>
      <c r="D91" s="30" t="e">
        <f t="shared" si="615"/>
        <v>#REF!</v>
      </c>
      <c r="E91" s="30" t="e">
        <f>+E58</f>
        <v>#REF!</v>
      </c>
      <c r="F91" s="30" t="e">
        <f t="shared" ref="F91:BQ91" si="626">+F58</f>
        <v>#REF!</v>
      </c>
      <c r="G91" s="30" t="e">
        <f t="shared" si="626"/>
        <v>#REF!</v>
      </c>
      <c r="H91" s="30" t="e">
        <f t="shared" si="626"/>
        <v>#REF!</v>
      </c>
      <c r="I91" s="30" t="e">
        <f t="shared" si="626"/>
        <v>#REF!</v>
      </c>
      <c r="J91" s="30" t="e">
        <f t="shared" si="626"/>
        <v>#REF!</v>
      </c>
      <c r="K91" s="30" t="e">
        <f t="shared" si="626"/>
        <v>#REF!</v>
      </c>
      <c r="L91" s="30" t="e">
        <f t="shared" si="626"/>
        <v>#REF!</v>
      </c>
      <c r="M91" s="30" t="e">
        <f t="shared" si="626"/>
        <v>#REF!</v>
      </c>
      <c r="N91" s="30" t="e">
        <f t="shared" si="626"/>
        <v>#REF!</v>
      </c>
      <c r="O91" s="30" t="e">
        <f t="shared" si="626"/>
        <v>#REF!</v>
      </c>
      <c r="P91" s="30" t="e">
        <f t="shared" si="626"/>
        <v>#REF!</v>
      </c>
      <c r="Q91" s="30" t="e">
        <f t="shared" si="626"/>
        <v>#REF!</v>
      </c>
      <c r="R91" s="30" t="e">
        <f t="shared" si="626"/>
        <v>#REF!</v>
      </c>
      <c r="S91" s="30" t="e">
        <f t="shared" si="626"/>
        <v>#REF!</v>
      </c>
      <c r="T91" s="30" t="e">
        <f t="shared" si="626"/>
        <v>#REF!</v>
      </c>
      <c r="U91" s="30" t="e">
        <f t="shared" si="626"/>
        <v>#REF!</v>
      </c>
      <c r="V91" s="30" t="e">
        <f t="shared" si="626"/>
        <v>#REF!</v>
      </c>
      <c r="W91" s="30" t="e">
        <f t="shared" si="626"/>
        <v>#REF!</v>
      </c>
      <c r="X91" s="30" t="e">
        <f t="shared" si="626"/>
        <v>#REF!</v>
      </c>
      <c r="Y91" s="30" t="e">
        <f t="shared" si="626"/>
        <v>#REF!</v>
      </c>
      <c r="Z91" s="30" t="e">
        <f t="shared" si="626"/>
        <v>#REF!</v>
      </c>
      <c r="AA91" s="30" t="e">
        <f t="shared" si="626"/>
        <v>#REF!</v>
      </c>
      <c r="AB91" s="30" t="e">
        <f t="shared" si="626"/>
        <v>#REF!</v>
      </c>
      <c r="AC91" s="30" t="e">
        <f t="shared" si="626"/>
        <v>#REF!</v>
      </c>
      <c r="AD91" s="30" t="e">
        <f t="shared" si="626"/>
        <v>#REF!</v>
      </c>
      <c r="AE91" s="30" t="e">
        <f t="shared" si="626"/>
        <v>#REF!</v>
      </c>
      <c r="AF91" s="30" t="e">
        <f t="shared" si="626"/>
        <v>#REF!</v>
      </c>
      <c r="AG91" s="30" t="e">
        <f t="shared" si="626"/>
        <v>#REF!</v>
      </c>
      <c r="AH91" s="30" t="e">
        <f t="shared" si="626"/>
        <v>#REF!</v>
      </c>
      <c r="AI91" s="30" t="e">
        <f t="shared" si="626"/>
        <v>#REF!</v>
      </c>
      <c r="AJ91" s="30" t="e">
        <f t="shared" si="626"/>
        <v>#REF!</v>
      </c>
      <c r="AK91" s="30" t="e">
        <f t="shared" si="626"/>
        <v>#REF!</v>
      </c>
      <c r="AL91" s="30" t="e">
        <f t="shared" si="626"/>
        <v>#REF!</v>
      </c>
      <c r="AM91" s="30" t="e">
        <f t="shared" si="626"/>
        <v>#REF!</v>
      </c>
      <c r="AN91" s="30" t="e">
        <f t="shared" si="626"/>
        <v>#REF!</v>
      </c>
      <c r="AO91" s="30" t="e">
        <f t="shared" si="626"/>
        <v>#REF!</v>
      </c>
      <c r="AP91" s="30" t="e">
        <f t="shared" si="626"/>
        <v>#REF!</v>
      </c>
      <c r="AQ91" s="30" t="e">
        <f t="shared" si="626"/>
        <v>#REF!</v>
      </c>
      <c r="AR91" s="30" t="e">
        <f t="shared" si="626"/>
        <v>#REF!</v>
      </c>
      <c r="AS91" s="30" t="e">
        <f t="shared" si="626"/>
        <v>#REF!</v>
      </c>
      <c r="AT91" s="30" t="e">
        <f t="shared" si="626"/>
        <v>#REF!</v>
      </c>
      <c r="AU91" s="30" t="e">
        <f t="shared" si="626"/>
        <v>#REF!</v>
      </c>
      <c r="AV91" s="30" t="e">
        <f t="shared" si="626"/>
        <v>#REF!</v>
      </c>
      <c r="AW91" s="30" t="e">
        <f t="shared" si="626"/>
        <v>#REF!</v>
      </c>
      <c r="AX91" s="30" t="e">
        <f t="shared" si="626"/>
        <v>#REF!</v>
      </c>
      <c r="AY91" s="30" t="e">
        <f t="shared" si="626"/>
        <v>#REF!</v>
      </c>
      <c r="AZ91" s="30" t="e">
        <f t="shared" si="626"/>
        <v>#REF!</v>
      </c>
      <c r="BA91" s="30" t="e">
        <f t="shared" si="626"/>
        <v>#REF!</v>
      </c>
      <c r="BB91" s="30" t="e">
        <f t="shared" si="626"/>
        <v>#REF!</v>
      </c>
      <c r="BC91" s="30" t="e">
        <f t="shared" si="626"/>
        <v>#REF!</v>
      </c>
      <c r="BD91" s="30" t="e">
        <f t="shared" si="626"/>
        <v>#REF!</v>
      </c>
      <c r="BE91" s="30" t="e">
        <f t="shared" si="626"/>
        <v>#REF!</v>
      </c>
      <c r="BF91" s="30" t="e">
        <f t="shared" si="626"/>
        <v>#REF!</v>
      </c>
      <c r="BG91" s="30" t="e">
        <f t="shared" si="626"/>
        <v>#REF!</v>
      </c>
      <c r="BH91" s="30" t="e">
        <f t="shared" si="626"/>
        <v>#REF!</v>
      </c>
      <c r="BI91" s="30" t="e">
        <f t="shared" si="626"/>
        <v>#REF!</v>
      </c>
      <c r="BJ91" s="30" t="e">
        <f t="shared" si="626"/>
        <v>#REF!</v>
      </c>
      <c r="BK91" s="30" t="e">
        <f t="shared" si="626"/>
        <v>#REF!</v>
      </c>
      <c r="BL91" s="30" t="e">
        <f t="shared" si="626"/>
        <v>#REF!</v>
      </c>
      <c r="BM91" s="30" t="e">
        <f t="shared" si="626"/>
        <v>#REF!</v>
      </c>
      <c r="BN91" s="30" t="e">
        <f t="shared" si="626"/>
        <v>#REF!</v>
      </c>
      <c r="BO91" s="30" t="e">
        <f t="shared" si="626"/>
        <v>#REF!</v>
      </c>
      <c r="BP91" s="30" t="e">
        <f t="shared" si="626"/>
        <v>#REF!</v>
      </c>
      <c r="BQ91" s="30" t="e">
        <f t="shared" si="626"/>
        <v>#REF!</v>
      </c>
      <c r="BR91" s="30" t="e">
        <f t="shared" ref="BR91:CW91" si="627">+BR58</f>
        <v>#REF!</v>
      </c>
      <c r="BS91" s="30" t="e">
        <f t="shared" si="627"/>
        <v>#REF!</v>
      </c>
      <c r="BT91" s="30" t="e">
        <f t="shared" si="627"/>
        <v>#REF!</v>
      </c>
      <c r="BU91" s="30" t="e">
        <f t="shared" si="627"/>
        <v>#REF!</v>
      </c>
      <c r="BV91" s="30" t="e">
        <f t="shared" si="627"/>
        <v>#REF!</v>
      </c>
      <c r="BW91" s="30" t="e">
        <f t="shared" si="627"/>
        <v>#REF!</v>
      </c>
      <c r="BX91" s="30" t="e">
        <f t="shared" si="627"/>
        <v>#REF!</v>
      </c>
      <c r="BY91" s="30" t="e">
        <f t="shared" si="627"/>
        <v>#REF!</v>
      </c>
      <c r="BZ91" s="30" t="e">
        <f t="shared" si="627"/>
        <v>#REF!</v>
      </c>
      <c r="CA91" s="30" t="e">
        <f t="shared" si="627"/>
        <v>#REF!</v>
      </c>
      <c r="CB91" s="30" t="e">
        <f t="shared" si="627"/>
        <v>#REF!</v>
      </c>
      <c r="CC91" s="30" t="e">
        <f t="shared" si="627"/>
        <v>#REF!</v>
      </c>
      <c r="CD91" s="30" t="e">
        <f t="shared" si="627"/>
        <v>#REF!</v>
      </c>
      <c r="CE91" s="30" t="e">
        <f t="shared" si="627"/>
        <v>#REF!</v>
      </c>
      <c r="CF91" s="30" t="e">
        <f t="shared" si="627"/>
        <v>#REF!</v>
      </c>
      <c r="CG91" s="30" t="e">
        <f t="shared" si="627"/>
        <v>#REF!</v>
      </c>
      <c r="CH91" s="30" t="e">
        <f t="shared" si="627"/>
        <v>#REF!</v>
      </c>
      <c r="CI91" s="30" t="e">
        <f t="shared" si="627"/>
        <v>#REF!</v>
      </c>
      <c r="CJ91" s="30" t="e">
        <f t="shared" si="627"/>
        <v>#REF!</v>
      </c>
      <c r="CK91" s="30" t="e">
        <f t="shared" si="627"/>
        <v>#REF!</v>
      </c>
      <c r="CL91" s="30" t="e">
        <f t="shared" si="627"/>
        <v>#REF!</v>
      </c>
      <c r="CM91" s="30" t="e">
        <f t="shared" si="627"/>
        <v>#REF!</v>
      </c>
      <c r="CN91" s="30" t="e">
        <f t="shared" si="627"/>
        <v>#REF!</v>
      </c>
      <c r="CO91" s="30" t="e">
        <f t="shared" si="627"/>
        <v>#REF!</v>
      </c>
      <c r="CP91" s="30" t="e">
        <f t="shared" si="627"/>
        <v>#REF!</v>
      </c>
      <c r="CQ91" s="30" t="e">
        <f t="shared" si="627"/>
        <v>#REF!</v>
      </c>
      <c r="CR91" s="30" t="e">
        <f t="shared" si="627"/>
        <v>#REF!</v>
      </c>
      <c r="CS91" s="30" t="e">
        <f t="shared" si="627"/>
        <v>#REF!</v>
      </c>
      <c r="CT91" s="30" t="e">
        <f t="shared" si="627"/>
        <v>#REF!</v>
      </c>
      <c r="CU91" s="30" t="e">
        <f t="shared" si="627"/>
        <v>#REF!</v>
      </c>
      <c r="CV91" s="30" t="e">
        <f t="shared" si="627"/>
        <v>#REF!</v>
      </c>
      <c r="CW91" s="30" t="e">
        <f t="shared" si="627"/>
        <v>#REF!</v>
      </c>
      <c r="CX91" s="30" t="e">
        <f t="shared" ref="CX91:EC91" si="628">+CX58</f>
        <v>#REF!</v>
      </c>
      <c r="CY91" s="30" t="e">
        <f t="shared" si="628"/>
        <v>#REF!</v>
      </c>
      <c r="CZ91" s="30" t="e">
        <f t="shared" si="628"/>
        <v>#REF!</v>
      </c>
      <c r="DA91" s="30" t="e">
        <f t="shared" si="628"/>
        <v>#REF!</v>
      </c>
      <c r="DB91" s="30" t="e">
        <f t="shared" si="628"/>
        <v>#REF!</v>
      </c>
      <c r="DC91" s="30" t="e">
        <f t="shared" si="628"/>
        <v>#REF!</v>
      </c>
      <c r="DD91" s="30" t="e">
        <f t="shared" si="628"/>
        <v>#REF!</v>
      </c>
      <c r="DE91" s="30" t="e">
        <f t="shared" si="628"/>
        <v>#REF!</v>
      </c>
      <c r="DF91" s="30" t="e">
        <f t="shared" si="628"/>
        <v>#REF!</v>
      </c>
      <c r="DG91" s="30" t="e">
        <f t="shared" si="628"/>
        <v>#REF!</v>
      </c>
      <c r="DH91" s="30" t="e">
        <f t="shared" si="628"/>
        <v>#REF!</v>
      </c>
      <c r="DI91" s="30" t="e">
        <f t="shared" si="628"/>
        <v>#REF!</v>
      </c>
      <c r="DJ91" s="30" t="e">
        <f t="shared" si="628"/>
        <v>#REF!</v>
      </c>
      <c r="DK91" s="30" t="e">
        <f t="shared" si="628"/>
        <v>#REF!</v>
      </c>
      <c r="DL91" s="30" t="e">
        <f t="shared" si="628"/>
        <v>#REF!</v>
      </c>
      <c r="DM91" s="30" t="e">
        <f t="shared" si="628"/>
        <v>#REF!</v>
      </c>
      <c r="DN91" s="30" t="e">
        <f t="shared" si="628"/>
        <v>#REF!</v>
      </c>
      <c r="DO91" s="30" t="e">
        <f t="shared" si="628"/>
        <v>#REF!</v>
      </c>
      <c r="DP91" s="30" t="e">
        <f t="shared" si="628"/>
        <v>#REF!</v>
      </c>
      <c r="DQ91" s="30" t="e">
        <f t="shared" si="628"/>
        <v>#REF!</v>
      </c>
      <c r="DR91" s="30" t="e">
        <f t="shared" si="628"/>
        <v>#REF!</v>
      </c>
      <c r="DS91" s="30" t="e">
        <f t="shared" si="628"/>
        <v>#REF!</v>
      </c>
      <c r="DT91" s="30" t="e">
        <f t="shared" si="628"/>
        <v>#REF!</v>
      </c>
      <c r="DU91" s="30" t="e">
        <f t="shared" si="628"/>
        <v>#REF!</v>
      </c>
      <c r="DV91" s="30" t="e">
        <f t="shared" si="628"/>
        <v>#REF!</v>
      </c>
      <c r="DW91" s="30" t="e">
        <f t="shared" si="628"/>
        <v>#REF!</v>
      </c>
      <c r="DX91" s="30" t="e">
        <f t="shared" si="628"/>
        <v>#REF!</v>
      </c>
      <c r="DY91" s="30" t="e">
        <f t="shared" si="628"/>
        <v>#REF!</v>
      </c>
      <c r="DZ91" s="30" t="e">
        <f t="shared" si="628"/>
        <v>#REF!</v>
      </c>
      <c r="EA91" s="30" t="e">
        <f t="shared" si="628"/>
        <v>#REF!</v>
      </c>
      <c r="EB91" s="30" t="e">
        <f t="shared" si="628"/>
        <v>#REF!</v>
      </c>
      <c r="EC91" s="30" t="e">
        <f t="shared" si="628"/>
        <v>#REF!</v>
      </c>
      <c r="ED91" s="30" t="e">
        <f t="shared" ref="ED91:FI91" si="629">+ED58</f>
        <v>#REF!</v>
      </c>
      <c r="EE91" s="30" t="e">
        <f t="shared" si="629"/>
        <v>#REF!</v>
      </c>
      <c r="EF91" s="30" t="e">
        <f t="shared" si="629"/>
        <v>#REF!</v>
      </c>
      <c r="EG91" s="30" t="e">
        <f t="shared" si="629"/>
        <v>#REF!</v>
      </c>
      <c r="EH91" s="30" t="e">
        <f t="shared" si="629"/>
        <v>#REF!</v>
      </c>
      <c r="EI91" s="30" t="e">
        <f t="shared" si="629"/>
        <v>#REF!</v>
      </c>
      <c r="EJ91" s="30" t="e">
        <f t="shared" si="629"/>
        <v>#REF!</v>
      </c>
      <c r="EK91" s="30" t="e">
        <f t="shared" si="629"/>
        <v>#REF!</v>
      </c>
      <c r="EL91" s="30" t="e">
        <f t="shared" si="629"/>
        <v>#REF!</v>
      </c>
      <c r="EM91" s="30" t="e">
        <f t="shared" si="629"/>
        <v>#REF!</v>
      </c>
      <c r="EN91" s="30" t="e">
        <f t="shared" si="629"/>
        <v>#REF!</v>
      </c>
      <c r="EO91" s="30" t="e">
        <f t="shared" si="629"/>
        <v>#REF!</v>
      </c>
      <c r="EP91" s="30" t="e">
        <f t="shared" si="629"/>
        <v>#REF!</v>
      </c>
      <c r="EQ91" s="30" t="e">
        <f t="shared" si="629"/>
        <v>#REF!</v>
      </c>
      <c r="ER91" s="30" t="e">
        <f t="shared" si="629"/>
        <v>#REF!</v>
      </c>
      <c r="ES91" s="30" t="e">
        <f t="shared" si="629"/>
        <v>#REF!</v>
      </c>
      <c r="ET91" s="30" t="e">
        <f t="shared" si="629"/>
        <v>#REF!</v>
      </c>
      <c r="EU91" s="30" t="e">
        <f t="shared" si="629"/>
        <v>#REF!</v>
      </c>
      <c r="EV91" s="30" t="e">
        <f t="shared" si="629"/>
        <v>#REF!</v>
      </c>
      <c r="EW91" s="30" t="e">
        <f t="shared" si="629"/>
        <v>#REF!</v>
      </c>
      <c r="EX91" s="30" t="e">
        <f t="shared" si="629"/>
        <v>#REF!</v>
      </c>
      <c r="EY91" s="30" t="e">
        <f t="shared" si="629"/>
        <v>#REF!</v>
      </c>
      <c r="EZ91" s="30" t="e">
        <f t="shared" si="629"/>
        <v>#REF!</v>
      </c>
      <c r="FA91" s="30" t="e">
        <f t="shared" si="629"/>
        <v>#REF!</v>
      </c>
      <c r="FB91" s="30" t="e">
        <f t="shared" si="629"/>
        <v>#REF!</v>
      </c>
      <c r="FC91" s="30" t="e">
        <f t="shared" si="629"/>
        <v>#REF!</v>
      </c>
      <c r="FD91" s="30" t="e">
        <f t="shared" si="629"/>
        <v>#REF!</v>
      </c>
      <c r="FE91" s="30" t="e">
        <f t="shared" si="629"/>
        <v>#REF!</v>
      </c>
      <c r="FF91" s="30" t="e">
        <f t="shared" si="629"/>
        <v>#REF!</v>
      </c>
      <c r="FG91" s="30" t="e">
        <f t="shared" si="629"/>
        <v>#REF!</v>
      </c>
      <c r="FH91" s="30" t="e">
        <f t="shared" si="629"/>
        <v>#REF!</v>
      </c>
      <c r="FI91" s="30" t="e">
        <f t="shared" si="629"/>
        <v>#REF!</v>
      </c>
      <c r="FJ91" s="30" t="e">
        <f t="shared" ref="FJ91:GO91" si="630">+FJ58</f>
        <v>#REF!</v>
      </c>
      <c r="FK91" s="30" t="e">
        <f t="shared" si="630"/>
        <v>#REF!</v>
      </c>
      <c r="FL91" s="30" t="e">
        <f t="shared" si="630"/>
        <v>#REF!</v>
      </c>
      <c r="FM91" s="30" t="e">
        <f t="shared" si="630"/>
        <v>#REF!</v>
      </c>
      <c r="FN91" s="30" t="e">
        <f t="shared" si="630"/>
        <v>#REF!</v>
      </c>
      <c r="FO91" s="30" t="e">
        <f t="shared" si="630"/>
        <v>#REF!</v>
      </c>
      <c r="FP91" s="30" t="e">
        <f t="shared" si="630"/>
        <v>#REF!</v>
      </c>
      <c r="FQ91" s="30" t="e">
        <f t="shared" si="630"/>
        <v>#REF!</v>
      </c>
      <c r="FR91" s="30" t="e">
        <f t="shared" si="630"/>
        <v>#REF!</v>
      </c>
      <c r="FS91" s="30" t="e">
        <f t="shared" si="630"/>
        <v>#REF!</v>
      </c>
      <c r="FT91" s="30" t="e">
        <f t="shared" si="630"/>
        <v>#REF!</v>
      </c>
      <c r="FU91" s="30" t="e">
        <f t="shared" si="630"/>
        <v>#REF!</v>
      </c>
      <c r="FV91" s="30" t="e">
        <f t="shared" si="630"/>
        <v>#REF!</v>
      </c>
      <c r="FW91" s="30" t="e">
        <f t="shared" si="630"/>
        <v>#REF!</v>
      </c>
      <c r="FX91" s="30" t="e">
        <f t="shared" si="630"/>
        <v>#REF!</v>
      </c>
      <c r="FY91" s="30" t="e">
        <f t="shared" si="630"/>
        <v>#REF!</v>
      </c>
      <c r="FZ91" s="30" t="e">
        <f t="shared" si="630"/>
        <v>#REF!</v>
      </c>
      <c r="GA91" s="30" t="e">
        <f t="shared" si="630"/>
        <v>#REF!</v>
      </c>
      <c r="GB91" s="30" t="e">
        <f t="shared" si="630"/>
        <v>#REF!</v>
      </c>
      <c r="GC91" s="30" t="e">
        <f t="shared" si="630"/>
        <v>#REF!</v>
      </c>
      <c r="GD91" s="30" t="e">
        <f t="shared" si="630"/>
        <v>#REF!</v>
      </c>
      <c r="GE91" s="30" t="e">
        <f t="shared" si="630"/>
        <v>#REF!</v>
      </c>
      <c r="GF91" s="30" t="e">
        <f t="shared" si="630"/>
        <v>#REF!</v>
      </c>
      <c r="GG91" s="30" t="e">
        <f t="shared" si="630"/>
        <v>#REF!</v>
      </c>
      <c r="GH91" s="30" t="e">
        <f t="shared" si="630"/>
        <v>#REF!</v>
      </c>
      <c r="GI91" s="30" t="e">
        <f t="shared" si="630"/>
        <v>#REF!</v>
      </c>
      <c r="GJ91" s="30" t="e">
        <f t="shared" si="630"/>
        <v>#REF!</v>
      </c>
      <c r="GK91" s="30" t="e">
        <f t="shared" si="630"/>
        <v>#REF!</v>
      </c>
      <c r="GL91" s="30" t="e">
        <f t="shared" si="630"/>
        <v>#REF!</v>
      </c>
      <c r="GM91" s="30" t="e">
        <f t="shared" si="630"/>
        <v>#REF!</v>
      </c>
      <c r="GN91" s="30" t="e">
        <f t="shared" si="630"/>
        <v>#REF!</v>
      </c>
      <c r="GO91" s="30" t="e">
        <f t="shared" si="630"/>
        <v>#REF!</v>
      </c>
      <c r="GP91" s="30" t="e">
        <f t="shared" ref="GP91:HU91" si="631">+GP58</f>
        <v>#REF!</v>
      </c>
      <c r="GQ91" s="30" t="e">
        <f t="shared" si="631"/>
        <v>#REF!</v>
      </c>
      <c r="GR91" s="30" t="e">
        <f t="shared" si="631"/>
        <v>#REF!</v>
      </c>
      <c r="GS91" s="30" t="e">
        <f t="shared" si="631"/>
        <v>#REF!</v>
      </c>
      <c r="GT91" s="30" t="e">
        <f t="shared" si="631"/>
        <v>#REF!</v>
      </c>
      <c r="GU91" s="30" t="e">
        <f t="shared" si="631"/>
        <v>#REF!</v>
      </c>
      <c r="GV91" s="30" t="e">
        <f t="shared" si="631"/>
        <v>#REF!</v>
      </c>
      <c r="GW91" s="30" t="e">
        <f t="shared" si="631"/>
        <v>#REF!</v>
      </c>
      <c r="GX91" s="30" t="e">
        <f t="shared" si="631"/>
        <v>#REF!</v>
      </c>
      <c r="GY91" s="30" t="e">
        <f t="shared" si="631"/>
        <v>#REF!</v>
      </c>
      <c r="GZ91" s="30" t="e">
        <f t="shared" si="631"/>
        <v>#REF!</v>
      </c>
      <c r="HA91" s="30" t="e">
        <f t="shared" si="631"/>
        <v>#REF!</v>
      </c>
      <c r="HB91" s="30" t="e">
        <f t="shared" si="631"/>
        <v>#REF!</v>
      </c>
      <c r="HC91" s="30" t="e">
        <f t="shared" si="631"/>
        <v>#REF!</v>
      </c>
      <c r="HD91" s="30" t="e">
        <f t="shared" si="631"/>
        <v>#REF!</v>
      </c>
      <c r="HE91" s="30" t="e">
        <f t="shared" si="631"/>
        <v>#REF!</v>
      </c>
      <c r="HF91" s="30" t="e">
        <f t="shared" si="631"/>
        <v>#REF!</v>
      </c>
      <c r="HG91" s="30" t="e">
        <f t="shared" si="631"/>
        <v>#REF!</v>
      </c>
      <c r="HH91" s="30" t="e">
        <f t="shared" si="631"/>
        <v>#REF!</v>
      </c>
      <c r="HI91" s="30" t="e">
        <f t="shared" si="631"/>
        <v>#REF!</v>
      </c>
      <c r="HJ91" s="30" t="e">
        <f t="shared" si="631"/>
        <v>#REF!</v>
      </c>
      <c r="HK91" s="30" t="e">
        <f t="shared" si="631"/>
        <v>#REF!</v>
      </c>
      <c r="HL91" s="30" t="e">
        <f t="shared" si="631"/>
        <v>#REF!</v>
      </c>
      <c r="HM91" s="30" t="e">
        <f t="shared" si="631"/>
        <v>#REF!</v>
      </c>
      <c r="HN91" s="30" t="e">
        <f t="shared" si="631"/>
        <v>#REF!</v>
      </c>
      <c r="HO91" s="30" t="e">
        <f t="shared" si="631"/>
        <v>#REF!</v>
      </c>
      <c r="HP91" s="30" t="e">
        <f t="shared" si="631"/>
        <v>#REF!</v>
      </c>
      <c r="HQ91" s="30" t="e">
        <f t="shared" si="631"/>
        <v>#REF!</v>
      </c>
      <c r="HR91" s="30" t="e">
        <f t="shared" si="631"/>
        <v>#REF!</v>
      </c>
      <c r="HS91" s="30" t="e">
        <f t="shared" si="631"/>
        <v>#REF!</v>
      </c>
      <c r="HT91" s="30" t="e">
        <f t="shared" si="631"/>
        <v>#REF!</v>
      </c>
      <c r="HU91" s="30" t="e">
        <f t="shared" si="631"/>
        <v>#REF!</v>
      </c>
      <c r="HV91" s="30" t="e">
        <f t="shared" ref="HV91:IJ91" si="632">+HV58</f>
        <v>#REF!</v>
      </c>
      <c r="HW91" s="30" t="e">
        <f t="shared" si="632"/>
        <v>#REF!</v>
      </c>
      <c r="HX91" s="30" t="e">
        <f t="shared" si="632"/>
        <v>#REF!</v>
      </c>
      <c r="HY91" s="30" t="e">
        <f t="shared" si="632"/>
        <v>#REF!</v>
      </c>
      <c r="HZ91" s="30" t="e">
        <f t="shared" si="632"/>
        <v>#REF!</v>
      </c>
      <c r="IA91" s="30" t="e">
        <f t="shared" si="632"/>
        <v>#REF!</v>
      </c>
      <c r="IB91" s="30" t="e">
        <f t="shared" si="632"/>
        <v>#REF!</v>
      </c>
      <c r="IC91" s="30" t="e">
        <f t="shared" si="632"/>
        <v>#REF!</v>
      </c>
      <c r="ID91" s="30" t="e">
        <f t="shared" si="632"/>
        <v>#REF!</v>
      </c>
      <c r="IE91" s="30" t="e">
        <f t="shared" si="632"/>
        <v>#REF!</v>
      </c>
      <c r="IF91" s="30" t="e">
        <f t="shared" si="632"/>
        <v>#REF!</v>
      </c>
      <c r="IG91" s="30" t="e">
        <f t="shared" si="632"/>
        <v>#REF!</v>
      </c>
      <c r="IH91" s="30" t="e">
        <f t="shared" si="632"/>
        <v>#REF!</v>
      </c>
      <c r="II91" s="30" t="e">
        <f t="shared" si="632"/>
        <v>#REF!</v>
      </c>
      <c r="IJ91" s="30" t="e">
        <f t="shared" si="632"/>
        <v>#REF!</v>
      </c>
      <c r="IK91" s="30" t="e">
        <f t="shared" ref="IK91:IO91" si="633">+IK58</f>
        <v>#REF!</v>
      </c>
      <c r="IL91" s="30" t="e">
        <f t="shared" si="633"/>
        <v>#REF!</v>
      </c>
      <c r="IM91" s="30" t="e">
        <f t="shared" si="633"/>
        <v>#REF!</v>
      </c>
      <c r="IN91" s="30" t="e">
        <f t="shared" si="633"/>
        <v>#REF!</v>
      </c>
      <c r="IO91" s="30" t="e">
        <f t="shared" si="633"/>
        <v>#REF!</v>
      </c>
    </row>
    <row r="92" spans="1:249" x14ac:dyDescent="0.3">
      <c r="A92" t="s">
        <v>11</v>
      </c>
      <c r="B92" s="33" t="e">
        <f t="shared" si="613"/>
        <v>#REF!</v>
      </c>
      <c r="C92" s="33"/>
      <c r="D92" s="30" t="e">
        <f t="shared" si="615"/>
        <v>#REF!</v>
      </c>
      <c r="E92" s="33" t="e">
        <f t="shared" ref="E92:K92" si="634">+SUM(E86:E91)</f>
        <v>#REF!</v>
      </c>
      <c r="F92" s="33" t="e">
        <f t="shared" si="634"/>
        <v>#REF!</v>
      </c>
      <c r="G92" s="33" t="e">
        <f t="shared" si="634"/>
        <v>#REF!</v>
      </c>
      <c r="H92" s="33" t="e">
        <f t="shared" si="634"/>
        <v>#REF!</v>
      </c>
      <c r="I92" s="33" t="e">
        <f t="shared" si="634"/>
        <v>#REF!</v>
      </c>
      <c r="J92" s="33" t="e">
        <f t="shared" si="634"/>
        <v>#REF!</v>
      </c>
      <c r="K92" s="33" t="e">
        <f t="shared" si="634"/>
        <v>#REF!</v>
      </c>
      <c r="L92" s="33" t="e">
        <f t="shared" ref="L92:Q92" si="635">+SUM(L86:L91)</f>
        <v>#REF!</v>
      </c>
      <c r="M92" s="33" t="e">
        <f t="shared" si="635"/>
        <v>#REF!</v>
      </c>
      <c r="N92" s="33" t="e">
        <f t="shared" si="635"/>
        <v>#REF!</v>
      </c>
      <c r="O92" s="33" t="e">
        <f t="shared" si="635"/>
        <v>#REF!</v>
      </c>
      <c r="P92" s="33" t="e">
        <f t="shared" si="635"/>
        <v>#REF!</v>
      </c>
      <c r="Q92" s="33" t="e">
        <f t="shared" si="635"/>
        <v>#REF!</v>
      </c>
      <c r="R92" s="33" t="e">
        <f>+SUM(R86:R91)</f>
        <v>#REF!</v>
      </c>
      <c r="S92" s="33" t="e">
        <f t="shared" ref="S92:AZ92" si="636">+SUM(S86:S91)</f>
        <v>#REF!</v>
      </c>
      <c r="T92" s="33" t="e">
        <f t="shared" si="636"/>
        <v>#REF!</v>
      </c>
      <c r="U92" s="33" t="e">
        <f t="shared" si="636"/>
        <v>#REF!</v>
      </c>
      <c r="V92" s="33" t="e">
        <f t="shared" si="636"/>
        <v>#REF!</v>
      </c>
      <c r="W92" s="33" t="e">
        <f t="shared" si="636"/>
        <v>#REF!</v>
      </c>
      <c r="X92" s="33" t="e">
        <f t="shared" si="636"/>
        <v>#REF!</v>
      </c>
      <c r="Y92" s="33" t="e">
        <f t="shared" si="636"/>
        <v>#REF!</v>
      </c>
      <c r="Z92" s="33" t="e">
        <f t="shared" si="636"/>
        <v>#REF!</v>
      </c>
      <c r="AA92" s="33" t="e">
        <f t="shared" si="636"/>
        <v>#REF!</v>
      </c>
      <c r="AB92" s="33" t="e">
        <f t="shared" si="636"/>
        <v>#REF!</v>
      </c>
      <c r="AC92" s="33" t="e">
        <f t="shared" si="636"/>
        <v>#REF!</v>
      </c>
      <c r="AD92" s="33" t="e">
        <f t="shared" si="636"/>
        <v>#REF!</v>
      </c>
      <c r="AE92" s="33" t="e">
        <f t="shared" si="636"/>
        <v>#REF!</v>
      </c>
      <c r="AF92" s="33" t="e">
        <f t="shared" si="636"/>
        <v>#REF!</v>
      </c>
      <c r="AG92" s="33" t="e">
        <f t="shared" si="636"/>
        <v>#REF!</v>
      </c>
      <c r="AH92" s="33" t="e">
        <f t="shared" si="636"/>
        <v>#REF!</v>
      </c>
      <c r="AI92" s="33" t="e">
        <f t="shared" si="636"/>
        <v>#REF!</v>
      </c>
      <c r="AJ92" s="33" t="e">
        <f t="shared" si="636"/>
        <v>#REF!</v>
      </c>
      <c r="AK92" s="33" t="e">
        <f t="shared" si="636"/>
        <v>#REF!</v>
      </c>
      <c r="AL92" s="33" t="e">
        <f t="shared" si="636"/>
        <v>#REF!</v>
      </c>
      <c r="AM92" s="33" t="e">
        <f t="shared" si="636"/>
        <v>#REF!</v>
      </c>
      <c r="AN92" s="33" t="e">
        <f t="shared" si="636"/>
        <v>#REF!</v>
      </c>
      <c r="AO92" s="33" t="e">
        <f t="shared" si="636"/>
        <v>#REF!</v>
      </c>
      <c r="AP92" s="33" t="e">
        <f t="shared" si="636"/>
        <v>#REF!</v>
      </c>
      <c r="AQ92" s="33" t="e">
        <f t="shared" si="636"/>
        <v>#REF!</v>
      </c>
      <c r="AR92" s="33" t="e">
        <f t="shared" si="636"/>
        <v>#REF!</v>
      </c>
      <c r="AS92" s="33" t="e">
        <f t="shared" si="636"/>
        <v>#REF!</v>
      </c>
      <c r="AT92" s="33" t="e">
        <f t="shared" si="636"/>
        <v>#REF!</v>
      </c>
      <c r="AU92" s="33" t="e">
        <f t="shared" si="636"/>
        <v>#REF!</v>
      </c>
      <c r="AV92" s="33" t="e">
        <f t="shared" si="636"/>
        <v>#REF!</v>
      </c>
      <c r="AW92" s="33" t="e">
        <f t="shared" si="636"/>
        <v>#REF!</v>
      </c>
      <c r="AX92" s="33" t="e">
        <f t="shared" si="636"/>
        <v>#REF!</v>
      </c>
      <c r="AY92" s="33" t="e">
        <f t="shared" si="636"/>
        <v>#REF!</v>
      </c>
      <c r="AZ92" s="33" t="e">
        <f t="shared" si="636"/>
        <v>#REF!</v>
      </c>
      <c r="BA92" s="33" t="e">
        <f>+SUM(BA86:BA91)</f>
        <v>#REF!</v>
      </c>
      <c r="BB92" s="33" t="e">
        <f>+SUM(BB86:BB91)</f>
        <v>#REF!</v>
      </c>
      <c r="BC92" s="33" t="e">
        <f t="shared" ref="BC92:BF92" si="637">+SUM(BC86:BC91)</f>
        <v>#REF!</v>
      </c>
      <c r="BD92" s="33" t="e">
        <f t="shared" si="637"/>
        <v>#REF!</v>
      </c>
      <c r="BE92" s="33" t="e">
        <f t="shared" si="637"/>
        <v>#REF!</v>
      </c>
      <c r="BF92" s="33" t="e">
        <f t="shared" si="637"/>
        <v>#REF!</v>
      </c>
      <c r="BG92" s="33" t="e">
        <f>+SUM(BG86:BG91)</f>
        <v>#REF!</v>
      </c>
      <c r="BH92" s="33" t="e">
        <f t="shared" ref="BH92:BQ92" si="638">+SUM(BH86:BH91)</f>
        <v>#REF!</v>
      </c>
      <c r="BI92" s="33" t="e">
        <f t="shared" si="638"/>
        <v>#REF!</v>
      </c>
      <c r="BJ92" s="33" t="e">
        <f t="shared" si="638"/>
        <v>#REF!</v>
      </c>
      <c r="BK92" s="33" t="e">
        <f t="shared" si="638"/>
        <v>#REF!</v>
      </c>
      <c r="BL92" s="33" t="e">
        <f t="shared" si="638"/>
        <v>#REF!</v>
      </c>
      <c r="BM92" s="33" t="e">
        <f t="shared" si="638"/>
        <v>#REF!</v>
      </c>
      <c r="BN92" s="33" t="e">
        <f t="shared" si="638"/>
        <v>#REF!</v>
      </c>
      <c r="BO92" s="33" t="e">
        <f t="shared" si="638"/>
        <v>#REF!</v>
      </c>
      <c r="BP92" s="33" t="e">
        <f t="shared" si="638"/>
        <v>#REF!</v>
      </c>
      <c r="BQ92" s="33" t="e">
        <f t="shared" si="638"/>
        <v>#REF!</v>
      </c>
      <c r="BR92" s="33" t="e">
        <f t="shared" ref="BR92:DH92" si="639">+SUM(BR86:BR91)</f>
        <v>#REF!</v>
      </c>
      <c r="BS92" s="33" t="e">
        <f t="shared" si="639"/>
        <v>#REF!</v>
      </c>
      <c r="BT92" s="33" t="e">
        <f t="shared" si="639"/>
        <v>#REF!</v>
      </c>
      <c r="BU92" s="33" t="e">
        <f t="shared" si="639"/>
        <v>#REF!</v>
      </c>
      <c r="BV92" s="33" t="e">
        <f t="shared" si="639"/>
        <v>#REF!</v>
      </c>
      <c r="BW92" s="33" t="e">
        <f t="shared" si="639"/>
        <v>#REF!</v>
      </c>
      <c r="BX92" s="33" t="e">
        <f t="shared" si="639"/>
        <v>#REF!</v>
      </c>
      <c r="BY92" s="33" t="e">
        <f t="shared" si="639"/>
        <v>#REF!</v>
      </c>
      <c r="BZ92" s="33" t="e">
        <f t="shared" si="639"/>
        <v>#REF!</v>
      </c>
      <c r="CA92" s="33" t="e">
        <f t="shared" si="639"/>
        <v>#REF!</v>
      </c>
      <c r="CB92" s="33" t="e">
        <f t="shared" si="639"/>
        <v>#REF!</v>
      </c>
      <c r="CC92" s="33" t="e">
        <f t="shared" si="639"/>
        <v>#REF!</v>
      </c>
      <c r="CD92" s="33" t="e">
        <f t="shared" si="639"/>
        <v>#REF!</v>
      </c>
      <c r="CE92" s="33" t="e">
        <f t="shared" si="639"/>
        <v>#REF!</v>
      </c>
      <c r="CF92" s="33" t="e">
        <f t="shared" si="639"/>
        <v>#REF!</v>
      </c>
      <c r="CG92" s="33" t="e">
        <f t="shared" si="639"/>
        <v>#REF!</v>
      </c>
      <c r="CH92" s="33" t="e">
        <f t="shared" si="639"/>
        <v>#REF!</v>
      </c>
      <c r="CI92" s="33" t="e">
        <f t="shared" si="639"/>
        <v>#REF!</v>
      </c>
      <c r="CJ92" s="33" t="e">
        <f t="shared" si="639"/>
        <v>#REF!</v>
      </c>
      <c r="CK92" s="33" t="e">
        <f t="shared" si="639"/>
        <v>#REF!</v>
      </c>
      <c r="CL92" s="33" t="e">
        <f t="shared" si="639"/>
        <v>#REF!</v>
      </c>
      <c r="CM92" s="33" t="e">
        <f t="shared" si="639"/>
        <v>#REF!</v>
      </c>
      <c r="CN92" s="33" t="e">
        <f t="shared" si="639"/>
        <v>#REF!</v>
      </c>
      <c r="CO92" s="33" t="e">
        <f t="shared" si="639"/>
        <v>#REF!</v>
      </c>
      <c r="CP92" s="33" t="e">
        <f t="shared" si="639"/>
        <v>#REF!</v>
      </c>
      <c r="CQ92" s="33" t="e">
        <f t="shared" si="639"/>
        <v>#REF!</v>
      </c>
      <c r="CR92" s="33" t="e">
        <f t="shared" si="639"/>
        <v>#REF!</v>
      </c>
      <c r="CS92" s="33" t="e">
        <f t="shared" si="639"/>
        <v>#REF!</v>
      </c>
      <c r="CT92" s="33" t="e">
        <f t="shared" si="639"/>
        <v>#REF!</v>
      </c>
      <c r="CU92" s="33" t="e">
        <f t="shared" si="639"/>
        <v>#REF!</v>
      </c>
      <c r="CV92" s="33" t="e">
        <f t="shared" si="639"/>
        <v>#REF!</v>
      </c>
      <c r="CW92" s="33" t="e">
        <f t="shared" si="639"/>
        <v>#REF!</v>
      </c>
      <c r="CX92" s="33" t="e">
        <f t="shared" si="639"/>
        <v>#REF!</v>
      </c>
      <c r="CY92" s="33" t="e">
        <f t="shared" si="639"/>
        <v>#REF!</v>
      </c>
      <c r="CZ92" s="33" t="e">
        <f t="shared" si="639"/>
        <v>#REF!</v>
      </c>
      <c r="DA92" s="33" t="e">
        <f t="shared" si="639"/>
        <v>#REF!</v>
      </c>
      <c r="DB92" s="33" t="e">
        <f t="shared" si="639"/>
        <v>#REF!</v>
      </c>
      <c r="DC92" s="33" t="e">
        <f t="shared" si="639"/>
        <v>#REF!</v>
      </c>
      <c r="DD92" s="33" t="e">
        <f t="shared" si="639"/>
        <v>#REF!</v>
      </c>
      <c r="DE92" s="33" t="e">
        <f t="shared" si="639"/>
        <v>#REF!</v>
      </c>
      <c r="DF92" s="33" t="e">
        <f t="shared" si="639"/>
        <v>#REF!</v>
      </c>
      <c r="DG92" s="33" t="e">
        <f t="shared" si="639"/>
        <v>#REF!</v>
      </c>
      <c r="DH92" s="33" t="e">
        <f t="shared" si="639"/>
        <v>#REF!</v>
      </c>
      <c r="DI92" s="33" t="e">
        <f>+SUM(DI86:DI91)</f>
        <v>#REF!</v>
      </c>
      <c r="DJ92" s="33" t="e">
        <f t="shared" ref="DJ92:DS92" si="640">+SUM(DJ86:DJ91)</f>
        <v>#REF!</v>
      </c>
      <c r="DK92" s="33" t="e">
        <f t="shared" si="640"/>
        <v>#REF!</v>
      </c>
      <c r="DL92" s="33" t="e">
        <f t="shared" si="640"/>
        <v>#REF!</v>
      </c>
      <c r="DM92" s="33" t="e">
        <f t="shared" si="640"/>
        <v>#REF!</v>
      </c>
      <c r="DN92" s="33" t="e">
        <f t="shared" si="640"/>
        <v>#REF!</v>
      </c>
      <c r="DO92" s="33" t="e">
        <f t="shared" si="640"/>
        <v>#REF!</v>
      </c>
      <c r="DP92" s="33" t="e">
        <f t="shared" si="640"/>
        <v>#REF!</v>
      </c>
      <c r="DQ92" s="33" t="e">
        <f t="shared" si="640"/>
        <v>#REF!</v>
      </c>
      <c r="DR92" s="33" t="e">
        <f t="shared" si="640"/>
        <v>#REF!</v>
      </c>
      <c r="DS92" s="33" t="e">
        <f t="shared" si="640"/>
        <v>#REF!</v>
      </c>
      <c r="DT92" s="33" t="e">
        <f>+SUM(DT86:DT91)</f>
        <v>#REF!</v>
      </c>
      <c r="DU92" s="33" t="e">
        <f t="shared" ref="DU92:FO92" si="641">+SUM(DU86:DU91)</f>
        <v>#REF!</v>
      </c>
      <c r="DV92" s="33" t="e">
        <f t="shared" si="641"/>
        <v>#REF!</v>
      </c>
      <c r="DW92" s="33" t="e">
        <f t="shared" si="641"/>
        <v>#REF!</v>
      </c>
      <c r="DX92" s="33" t="e">
        <f t="shared" si="641"/>
        <v>#REF!</v>
      </c>
      <c r="DY92" s="33" t="e">
        <f t="shared" si="641"/>
        <v>#REF!</v>
      </c>
      <c r="DZ92" s="33" t="e">
        <f t="shared" si="641"/>
        <v>#REF!</v>
      </c>
      <c r="EA92" s="33" t="e">
        <f t="shared" si="641"/>
        <v>#REF!</v>
      </c>
      <c r="EB92" s="33" t="e">
        <f t="shared" si="641"/>
        <v>#REF!</v>
      </c>
      <c r="EC92" s="33" t="e">
        <f t="shared" si="641"/>
        <v>#REF!</v>
      </c>
      <c r="ED92" s="33" t="e">
        <f t="shared" si="641"/>
        <v>#REF!</v>
      </c>
      <c r="EE92" s="33" t="e">
        <f t="shared" si="641"/>
        <v>#REF!</v>
      </c>
      <c r="EF92" s="33" t="e">
        <f t="shared" si="641"/>
        <v>#REF!</v>
      </c>
      <c r="EG92" s="33" t="e">
        <f t="shared" si="641"/>
        <v>#REF!</v>
      </c>
      <c r="EH92" s="33" t="e">
        <f t="shared" si="641"/>
        <v>#REF!</v>
      </c>
      <c r="EI92" s="33" t="e">
        <f t="shared" si="641"/>
        <v>#REF!</v>
      </c>
      <c r="EJ92" s="33" t="e">
        <f t="shared" si="641"/>
        <v>#REF!</v>
      </c>
      <c r="EK92" s="33" t="e">
        <f t="shared" si="641"/>
        <v>#REF!</v>
      </c>
      <c r="EL92" s="33" t="e">
        <f t="shared" si="641"/>
        <v>#REF!</v>
      </c>
      <c r="EM92" s="33" t="e">
        <f t="shared" si="641"/>
        <v>#REF!</v>
      </c>
      <c r="EN92" s="33" t="e">
        <f t="shared" si="641"/>
        <v>#REF!</v>
      </c>
      <c r="EO92" s="33" t="e">
        <f t="shared" si="641"/>
        <v>#REF!</v>
      </c>
      <c r="EP92" s="33" t="e">
        <f t="shared" si="641"/>
        <v>#REF!</v>
      </c>
      <c r="EQ92" s="33" t="e">
        <f t="shared" si="641"/>
        <v>#REF!</v>
      </c>
      <c r="ER92" s="33" t="e">
        <f t="shared" si="641"/>
        <v>#REF!</v>
      </c>
      <c r="ES92" s="33" t="e">
        <f t="shared" si="641"/>
        <v>#REF!</v>
      </c>
      <c r="ET92" s="33" t="e">
        <f t="shared" si="641"/>
        <v>#REF!</v>
      </c>
      <c r="EU92" s="33" t="e">
        <f t="shared" si="641"/>
        <v>#REF!</v>
      </c>
      <c r="EV92" s="33" t="e">
        <f t="shared" si="641"/>
        <v>#REF!</v>
      </c>
      <c r="EW92" s="33" t="e">
        <f t="shared" si="641"/>
        <v>#REF!</v>
      </c>
      <c r="EX92" s="33" t="e">
        <f t="shared" si="641"/>
        <v>#REF!</v>
      </c>
      <c r="EY92" s="33" t="e">
        <f t="shared" si="641"/>
        <v>#REF!</v>
      </c>
      <c r="EZ92" s="33" t="e">
        <f t="shared" si="641"/>
        <v>#REF!</v>
      </c>
      <c r="FA92" s="33" t="e">
        <f t="shared" si="641"/>
        <v>#REF!</v>
      </c>
      <c r="FB92" s="33" t="e">
        <f t="shared" si="641"/>
        <v>#REF!</v>
      </c>
      <c r="FC92" s="33" t="e">
        <f t="shared" si="641"/>
        <v>#REF!</v>
      </c>
      <c r="FD92" s="33" t="e">
        <f t="shared" si="641"/>
        <v>#REF!</v>
      </c>
      <c r="FE92" s="33" t="e">
        <f t="shared" si="641"/>
        <v>#REF!</v>
      </c>
      <c r="FF92" s="33" t="e">
        <f t="shared" si="641"/>
        <v>#REF!</v>
      </c>
      <c r="FG92" s="33" t="e">
        <f t="shared" si="641"/>
        <v>#REF!</v>
      </c>
      <c r="FH92" s="33" t="e">
        <f t="shared" si="641"/>
        <v>#REF!</v>
      </c>
      <c r="FI92" s="33" t="e">
        <f t="shared" si="641"/>
        <v>#REF!</v>
      </c>
      <c r="FJ92" s="33" t="e">
        <f t="shared" si="641"/>
        <v>#REF!</v>
      </c>
      <c r="FK92" s="33" t="e">
        <f t="shared" si="641"/>
        <v>#REF!</v>
      </c>
      <c r="FL92" s="33" t="e">
        <f t="shared" si="641"/>
        <v>#REF!</v>
      </c>
      <c r="FM92" s="33" t="e">
        <f t="shared" si="641"/>
        <v>#REF!</v>
      </c>
      <c r="FN92" s="33" t="e">
        <f t="shared" si="641"/>
        <v>#REF!</v>
      </c>
      <c r="FO92" s="33" t="e">
        <f t="shared" si="641"/>
        <v>#REF!</v>
      </c>
      <c r="FP92" s="33" t="e">
        <f>+SUM(FP86:FP91)</f>
        <v>#REF!</v>
      </c>
      <c r="FQ92" s="33" t="e">
        <f t="shared" ref="FQ92:IB92" si="642">+SUM(FQ86:FQ91)</f>
        <v>#REF!</v>
      </c>
      <c r="FR92" s="33" t="e">
        <f t="shared" si="642"/>
        <v>#REF!</v>
      </c>
      <c r="FS92" s="33" t="e">
        <f t="shared" si="642"/>
        <v>#REF!</v>
      </c>
      <c r="FT92" s="33" t="e">
        <f t="shared" si="642"/>
        <v>#REF!</v>
      </c>
      <c r="FU92" s="33" t="e">
        <f t="shared" si="642"/>
        <v>#REF!</v>
      </c>
      <c r="FV92" s="33" t="e">
        <f t="shared" si="642"/>
        <v>#REF!</v>
      </c>
      <c r="FW92" s="33" t="e">
        <f t="shared" si="642"/>
        <v>#REF!</v>
      </c>
      <c r="FX92" s="33" t="e">
        <f t="shared" si="642"/>
        <v>#REF!</v>
      </c>
      <c r="FY92" s="33" t="e">
        <f t="shared" si="642"/>
        <v>#REF!</v>
      </c>
      <c r="FZ92" s="33" t="e">
        <f t="shared" si="642"/>
        <v>#REF!</v>
      </c>
      <c r="GA92" s="33" t="e">
        <f t="shared" si="642"/>
        <v>#REF!</v>
      </c>
      <c r="GB92" s="33" t="e">
        <f t="shared" si="642"/>
        <v>#REF!</v>
      </c>
      <c r="GC92" s="33" t="e">
        <f t="shared" si="642"/>
        <v>#REF!</v>
      </c>
      <c r="GD92" s="33" t="e">
        <f t="shared" si="642"/>
        <v>#REF!</v>
      </c>
      <c r="GE92" s="33" t="e">
        <f t="shared" si="642"/>
        <v>#REF!</v>
      </c>
      <c r="GF92" s="33" t="e">
        <f t="shared" si="642"/>
        <v>#REF!</v>
      </c>
      <c r="GG92" s="33" t="e">
        <f t="shared" si="642"/>
        <v>#REF!</v>
      </c>
      <c r="GH92" s="33" t="e">
        <f t="shared" si="642"/>
        <v>#REF!</v>
      </c>
      <c r="GI92" s="33" t="e">
        <f t="shared" si="642"/>
        <v>#REF!</v>
      </c>
      <c r="GJ92" s="33" t="e">
        <f t="shared" si="642"/>
        <v>#REF!</v>
      </c>
      <c r="GK92" s="33" t="e">
        <f t="shared" si="642"/>
        <v>#REF!</v>
      </c>
      <c r="GL92" s="33" t="e">
        <f t="shared" si="642"/>
        <v>#REF!</v>
      </c>
      <c r="GM92" s="33" t="e">
        <f t="shared" si="642"/>
        <v>#REF!</v>
      </c>
      <c r="GN92" s="33" t="e">
        <f t="shared" si="642"/>
        <v>#REF!</v>
      </c>
      <c r="GO92" s="33" t="e">
        <f t="shared" si="642"/>
        <v>#REF!</v>
      </c>
      <c r="GP92" s="33" t="e">
        <f t="shared" si="642"/>
        <v>#REF!</v>
      </c>
      <c r="GQ92" s="33" t="e">
        <f t="shared" si="642"/>
        <v>#REF!</v>
      </c>
      <c r="GR92" s="33" t="e">
        <f t="shared" si="642"/>
        <v>#REF!</v>
      </c>
      <c r="GS92" s="33" t="e">
        <f t="shared" si="642"/>
        <v>#REF!</v>
      </c>
      <c r="GT92" s="33" t="e">
        <f t="shared" si="642"/>
        <v>#REF!</v>
      </c>
      <c r="GU92" s="33" t="e">
        <f t="shared" si="642"/>
        <v>#REF!</v>
      </c>
      <c r="GV92" s="33" t="e">
        <f t="shared" si="642"/>
        <v>#REF!</v>
      </c>
      <c r="GW92" s="33" t="e">
        <f t="shared" si="642"/>
        <v>#REF!</v>
      </c>
      <c r="GX92" s="33" t="e">
        <f t="shared" si="642"/>
        <v>#REF!</v>
      </c>
      <c r="GY92" s="33" t="e">
        <f t="shared" si="642"/>
        <v>#REF!</v>
      </c>
      <c r="GZ92" s="33" t="e">
        <f t="shared" si="642"/>
        <v>#REF!</v>
      </c>
      <c r="HA92" s="33" t="e">
        <f t="shared" si="642"/>
        <v>#REF!</v>
      </c>
      <c r="HB92" s="33" t="e">
        <f t="shared" si="642"/>
        <v>#REF!</v>
      </c>
      <c r="HC92" s="33" t="e">
        <f t="shared" si="642"/>
        <v>#REF!</v>
      </c>
      <c r="HD92" s="33" t="e">
        <f t="shared" si="642"/>
        <v>#REF!</v>
      </c>
      <c r="HE92" s="33" t="e">
        <f t="shared" si="642"/>
        <v>#REF!</v>
      </c>
      <c r="HF92" s="33" t="e">
        <f t="shared" si="642"/>
        <v>#REF!</v>
      </c>
      <c r="HG92" s="33" t="e">
        <f t="shared" si="642"/>
        <v>#REF!</v>
      </c>
      <c r="HH92" s="33" t="e">
        <f t="shared" si="642"/>
        <v>#REF!</v>
      </c>
      <c r="HI92" s="33" t="e">
        <f t="shared" si="642"/>
        <v>#REF!</v>
      </c>
      <c r="HJ92" s="33" t="e">
        <f t="shared" si="642"/>
        <v>#REF!</v>
      </c>
      <c r="HK92" s="33" t="e">
        <f t="shared" si="642"/>
        <v>#REF!</v>
      </c>
      <c r="HL92" s="33" t="e">
        <f t="shared" si="642"/>
        <v>#REF!</v>
      </c>
      <c r="HM92" s="33" t="e">
        <f t="shared" si="642"/>
        <v>#REF!</v>
      </c>
      <c r="HN92" s="33" t="e">
        <f t="shared" si="642"/>
        <v>#REF!</v>
      </c>
      <c r="HO92" s="33" t="e">
        <f t="shared" si="642"/>
        <v>#REF!</v>
      </c>
      <c r="HP92" s="33" t="e">
        <f t="shared" si="642"/>
        <v>#REF!</v>
      </c>
      <c r="HQ92" s="33" t="e">
        <f t="shared" si="642"/>
        <v>#REF!</v>
      </c>
      <c r="HR92" s="33" t="e">
        <f t="shared" si="642"/>
        <v>#REF!</v>
      </c>
      <c r="HS92" s="33" t="e">
        <f t="shared" si="642"/>
        <v>#REF!</v>
      </c>
      <c r="HT92" s="33" t="e">
        <f t="shared" si="642"/>
        <v>#REF!</v>
      </c>
      <c r="HU92" s="33" t="e">
        <f t="shared" si="642"/>
        <v>#REF!</v>
      </c>
      <c r="HV92" s="33" t="e">
        <f t="shared" si="642"/>
        <v>#REF!</v>
      </c>
      <c r="HW92" s="33" t="e">
        <f t="shared" si="642"/>
        <v>#REF!</v>
      </c>
      <c r="HX92" s="33" t="e">
        <f t="shared" si="642"/>
        <v>#REF!</v>
      </c>
      <c r="HY92" s="33" t="e">
        <f t="shared" si="642"/>
        <v>#REF!</v>
      </c>
      <c r="HZ92" s="33" t="e">
        <f t="shared" si="642"/>
        <v>#REF!</v>
      </c>
      <c r="IA92" s="33" t="e">
        <f t="shared" si="642"/>
        <v>#REF!</v>
      </c>
      <c r="IB92" s="33" t="e">
        <f t="shared" si="642"/>
        <v>#REF!</v>
      </c>
      <c r="IC92" s="33" t="e">
        <f t="shared" ref="IC92:IG92" si="643">+SUM(IC86:IC91)</f>
        <v>#REF!</v>
      </c>
      <c r="ID92" s="33" t="e">
        <f t="shared" si="643"/>
        <v>#REF!</v>
      </c>
      <c r="IE92" s="33" t="e">
        <f t="shared" si="643"/>
        <v>#REF!</v>
      </c>
      <c r="IF92" s="33" t="e">
        <f t="shared" si="643"/>
        <v>#REF!</v>
      </c>
      <c r="IG92" s="33" t="e">
        <f t="shared" si="643"/>
        <v>#REF!</v>
      </c>
      <c r="IH92" s="33" t="e">
        <f>+SUM(IH86:IH91)</f>
        <v>#REF!</v>
      </c>
      <c r="II92" s="33" t="e">
        <f>+SUM(II86:II91)</f>
        <v>#REF!</v>
      </c>
      <c r="IJ92" s="33" t="e">
        <f>+SUM(IJ86:IJ91)</f>
        <v>#REF!</v>
      </c>
      <c r="IK92" s="33" t="e">
        <f t="shared" ref="IK92:IO92" si="644">+SUM(IK86:IK91)</f>
        <v>#REF!</v>
      </c>
      <c r="IL92" s="33" t="e">
        <f t="shared" si="644"/>
        <v>#REF!</v>
      </c>
      <c r="IM92" s="33" t="e">
        <f t="shared" si="644"/>
        <v>#REF!</v>
      </c>
      <c r="IN92" s="33" t="e">
        <f t="shared" si="644"/>
        <v>#REF!</v>
      </c>
      <c r="IO92" s="33" t="e">
        <f t="shared" si="644"/>
        <v>#REF!</v>
      </c>
    </row>
    <row r="93" spans="1:249" x14ac:dyDescent="0.3">
      <c r="A93" t="s">
        <v>815</v>
      </c>
      <c r="B93" s="33">
        <f>+SUM(E8:DY8)</f>
        <v>254510.59115624992</v>
      </c>
      <c r="C93" s="33"/>
      <c r="D93" s="30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  <c r="HI93" s="33"/>
      <c r="HJ93" s="33"/>
      <c r="HK93" s="33"/>
      <c r="HL93" s="33"/>
      <c r="HM93" s="33"/>
      <c r="HN93" s="33"/>
      <c r="HO93" s="33"/>
      <c r="HP93" s="33"/>
      <c r="HQ93" s="33"/>
      <c r="HR93" s="33"/>
      <c r="HS93" s="33"/>
      <c r="HT93" s="33"/>
      <c r="HU93" s="33"/>
      <c r="HV93" s="33"/>
      <c r="HW93" s="33"/>
      <c r="HX93" s="33"/>
      <c r="HY93" s="33"/>
      <c r="HZ93" s="33"/>
      <c r="IA93" s="33"/>
      <c r="IB93" s="33"/>
      <c r="IC93" s="33"/>
      <c r="ID93" s="33"/>
      <c r="IE93" s="33"/>
      <c r="IF93" s="33"/>
      <c r="IG93" s="33"/>
      <c r="IH93" s="33"/>
      <c r="II93" s="33"/>
      <c r="IJ93" s="33"/>
    </row>
    <row r="94" spans="1:249" x14ac:dyDescent="0.3">
      <c r="A94" s="6" t="s">
        <v>779</v>
      </c>
      <c r="B94" s="31" t="e">
        <f>+B92/SUM(E8:DY8)</f>
        <v>#REF!</v>
      </c>
      <c r="D94" s="30"/>
    </row>
    <row r="95" spans="1:249" x14ac:dyDescent="0.3">
      <c r="A95" s="6"/>
      <c r="B95" s="31"/>
    </row>
    <row r="96" spans="1:249" x14ac:dyDescent="0.3">
      <c r="A96" s="6"/>
      <c r="E96">
        <v>2024</v>
      </c>
      <c r="F96">
        <v>2025</v>
      </c>
      <c r="G96">
        <v>2026</v>
      </c>
      <c r="H96">
        <v>2027</v>
      </c>
      <c r="I96">
        <v>2028</v>
      </c>
      <c r="J96">
        <v>2029</v>
      </c>
      <c r="K96">
        <v>2030</v>
      </c>
      <c r="L96">
        <v>2031</v>
      </c>
      <c r="M96">
        <v>2032</v>
      </c>
      <c r="N96">
        <v>2033</v>
      </c>
      <c r="O96">
        <v>2034</v>
      </c>
      <c r="P96">
        <v>2035</v>
      </c>
      <c r="Q96">
        <v>2036</v>
      </c>
      <c r="R96">
        <v>2037</v>
      </c>
      <c r="S96">
        <v>2038</v>
      </c>
      <c r="T96">
        <v>2039</v>
      </c>
      <c r="U96">
        <v>2040</v>
      </c>
      <c r="V96">
        <v>2041</v>
      </c>
      <c r="W96">
        <v>2042</v>
      </c>
      <c r="X96">
        <v>2043</v>
      </c>
      <c r="Y96">
        <v>2044</v>
      </c>
    </row>
    <row r="97" spans="1:244" x14ac:dyDescent="0.3">
      <c r="A97" s="6"/>
      <c r="B97" t="s">
        <v>813</v>
      </c>
      <c r="E97" s="10" t="e">
        <f>+SUM(E98:E101)</f>
        <v>#REF!</v>
      </c>
      <c r="F97" s="10" t="e">
        <f t="shared" ref="F97:Y97" si="645">+SUM(F98:F101)</f>
        <v>#REF!</v>
      </c>
      <c r="G97" s="10" t="e">
        <f t="shared" si="645"/>
        <v>#REF!</v>
      </c>
      <c r="H97" s="10" t="e">
        <f t="shared" si="645"/>
        <v>#REF!</v>
      </c>
      <c r="I97" s="10" t="e">
        <f t="shared" si="645"/>
        <v>#REF!</v>
      </c>
      <c r="J97" s="10" t="e">
        <f t="shared" si="645"/>
        <v>#REF!</v>
      </c>
      <c r="K97" s="10" t="e">
        <f t="shared" si="645"/>
        <v>#REF!</v>
      </c>
      <c r="L97" s="10" t="e">
        <f t="shared" si="645"/>
        <v>#REF!</v>
      </c>
      <c r="M97" s="10" t="e">
        <f t="shared" si="645"/>
        <v>#REF!</v>
      </c>
      <c r="N97" s="10" t="e">
        <f t="shared" si="645"/>
        <v>#REF!</v>
      </c>
      <c r="O97" s="10" t="e">
        <f t="shared" si="645"/>
        <v>#REF!</v>
      </c>
      <c r="P97" s="10" t="e">
        <f t="shared" si="645"/>
        <v>#REF!</v>
      </c>
      <c r="Q97" s="10" t="e">
        <f t="shared" si="645"/>
        <v>#REF!</v>
      </c>
      <c r="R97" s="10" t="e">
        <f t="shared" si="645"/>
        <v>#REF!</v>
      </c>
      <c r="S97" s="10" t="e">
        <f t="shared" si="645"/>
        <v>#REF!</v>
      </c>
      <c r="T97" s="10" t="e">
        <f t="shared" si="645"/>
        <v>#REF!</v>
      </c>
      <c r="U97" s="10" t="e">
        <f t="shared" si="645"/>
        <v>#REF!</v>
      </c>
      <c r="V97" s="10" t="e">
        <f t="shared" si="645"/>
        <v>#REF!</v>
      </c>
      <c r="W97" s="10" t="e">
        <f t="shared" si="645"/>
        <v>#REF!</v>
      </c>
      <c r="X97" s="10" t="e">
        <f t="shared" si="645"/>
        <v>#REF!</v>
      </c>
      <c r="Y97" s="10" t="e">
        <f t="shared" si="645"/>
        <v>#REF!</v>
      </c>
    </row>
    <row r="98" spans="1:244" x14ac:dyDescent="0.3">
      <c r="A98" s="6"/>
      <c r="B98" t="s">
        <v>810</v>
      </c>
      <c r="E98" s="10" t="e">
        <f t="shared" ref="E98:Y98" si="646">+SUMIFS(86:86,84:84,E96)</f>
        <v>#REF!</v>
      </c>
      <c r="F98" s="10" t="e">
        <f t="shared" si="646"/>
        <v>#REF!</v>
      </c>
      <c r="G98" s="10" t="e">
        <f t="shared" si="646"/>
        <v>#REF!</v>
      </c>
      <c r="H98" s="10" t="e">
        <f t="shared" si="646"/>
        <v>#REF!</v>
      </c>
      <c r="I98" s="10" t="e">
        <f t="shared" si="646"/>
        <v>#REF!</v>
      </c>
      <c r="J98" s="10" t="e">
        <f t="shared" si="646"/>
        <v>#REF!</v>
      </c>
      <c r="K98" s="10" t="e">
        <f t="shared" si="646"/>
        <v>#REF!</v>
      </c>
      <c r="L98" s="10">
        <f t="shared" si="646"/>
        <v>0</v>
      </c>
      <c r="M98" s="10">
        <f t="shared" si="646"/>
        <v>0</v>
      </c>
      <c r="N98" s="10">
        <f t="shared" si="646"/>
        <v>0</v>
      </c>
      <c r="O98" s="10">
        <f t="shared" si="646"/>
        <v>0</v>
      </c>
      <c r="P98" s="10">
        <f t="shared" si="646"/>
        <v>0</v>
      </c>
      <c r="Q98" s="10">
        <f t="shared" si="646"/>
        <v>0</v>
      </c>
      <c r="R98" s="10">
        <f t="shared" si="646"/>
        <v>0</v>
      </c>
      <c r="S98" s="10">
        <f t="shared" si="646"/>
        <v>0</v>
      </c>
      <c r="T98" s="10">
        <f t="shared" si="646"/>
        <v>0</v>
      </c>
      <c r="U98" s="10">
        <f t="shared" si="646"/>
        <v>0</v>
      </c>
      <c r="V98" s="10">
        <f t="shared" si="646"/>
        <v>0</v>
      </c>
      <c r="W98" s="10">
        <f t="shared" si="646"/>
        <v>0</v>
      </c>
      <c r="X98" s="10">
        <f t="shared" si="646"/>
        <v>0</v>
      </c>
      <c r="Y98" s="10">
        <f t="shared" si="646"/>
        <v>0</v>
      </c>
    </row>
    <row r="99" spans="1:244" x14ac:dyDescent="0.3">
      <c r="A99" s="6"/>
      <c r="B99" t="s">
        <v>643</v>
      </c>
      <c r="E99" s="10" t="e">
        <f t="shared" ref="E99:Y99" si="647">+SUMIFS(89:89,84:84,E96)</f>
        <v>#REF!</v>
      </c>
      <c r="F99" s="10" t="e">
        <f t="shared" si="647"/>
        <v>#REF!</v>
      </c>
      <c r="G99" s="10" t="e">
        <f t="shared" si="647"/>
        <v>#REF!</v>
      </c>
      <c r="H99" s="10" t="e">
        <f t="shared" si="647"/>
        <v>#REF!</v>
      </c>
      <c r="I99" s="10" t="e">
        <f t="shared" si="647"/>
        <v>#REF!</v>
      </c>
      <c r="J99" s="10" t="e">
        <f t="shared" si="647"/>
        <v>#REF!</v>
      </c>
      <c r="K99" s="10" t="e">
        <f t="shared" si="647"/>
        <v>#REF!</v>
      </c>
      <c r="L99" s="10" t="e">
        <f t="shared" si="647"/>
        <v>#REF!</v>
      </c>
      <c r="M99" s="10" t="e">
        <f t="shared" si="647"/>
        <v>#REF!</v>
      </c>
      <c r="N99" s="10" t="e">
        <f t="shared" si="647"/>
        <v>#REF!</v>
      </c>
      <c r="O99" s="10" t="e">
        <f t="shared" si="647"/>
        <v>#REF!</v>
      </c>
      <c r="P99" s="10" t="e">
        <f t="shared" si="647"/>
        <v>#REF!</v>
      </c>
      <c r="Q99" s="10" t="e">
        <f t="shared" si="647"/>
        <v>#REF!</v>
      </c>
      <c r="R99" s="10" t="e">
        <f t="shared" si="647"/>
        <v>#REF!</v>
      </c>
      <c r="S99" s="10" t="e">
        <f t="shared" si="647"/>
        <v>#REF!</v>
      </c>
      <c r="T99" s="10" t="e">
        <f t="shared" si="647"/>
        <v>#REF!</v>
      </c>
      <c r="U99" s="10" t="e">
        <f t="shared" si="647"/>
        <v>#REF!</v>
      </c>
      <c r="V99" s="10" t="e">
        <f t="shared" si="647"/>
        <v>#REF!</v>
      </c>
      <c r="W99" s="10" t="e">
        <f t="shared" si="647"/>
        <v>#REF!</v>
      </c>
      <c r="X99" s="10" t="e">
        <f t="shared" si="647"/>
        <v>#REF!</v>
      </c>
      <c r="Y99" s="10" t="e">
        <f t="shared" si="647"/>
        <v>#REF!</v>
      </c>
    </row>
    <row r="100" spans="1:244" x14ac:dyDescent="0.3">
      <c r="A100" s="6"/>
      <c r="B100" t="s">
        <v>777</v>
      </c>
      <c r="E100" s="10">
        <f t="shared" ref="E100:Y100" si="648">+SUMIFS(90:90,84:84,E96)</f>
        <v>0</v>
      </c>
      <c r="F100" s="10">
        <f t="shared" si="648"/>
        <v>0</v>
      </c>
      <c r="G100" s="10">
        <f t="shared" si="648"/>
        <v>0</v>
      </c>
      <c r="H100" s="10">
        <f t="shared" si="648"/>
        <v>0</v>
      </c>
      <c r="I100" s="10" t="e">
        <f t="shared" si="648"/>
        <v>#REF!</v>
      </c>
      <c r="J100" s="10" t="e">
        <f t="shared" si="648"/>
        <v>#REF!</v>
      </c>
      <c r="K100" s="10" t="e">
        <f t="shared" si="648"/>
        <v>#REF!</v>
      </c>
      <c r="L100" s="10" t="e">
        <f t="shared" si="648"/>
        <v>#REF!</v>
      </c>
      <c r="M100" s="10" t="e">
        <f t="shared" si="648"/>
        <v>#REF!</v>
      </c>
      <c r="N100" s="10" t="e">
        <f t="shared" si="648"/>
        <v>#REF!</v>
      </c>
      <c r="O100" s="10" t="e">
        <f t="shared" si="648"/>
        <v>#REF!</v>
      </c>
      <c r="P100" s="10" t="e">
        <f t="shared" si="648"/>
        <v>#REF!</v>
      </c>
      <c r="Q100" s="10" t="e">
        <f t="shared" si="648"/>
        <v>#REF!</v>
      </c>
      <c r="R100" s="10" t="e">
        <f t="shared" si="648"/>
        <v>#REF!</v>
      </c>
      <c r="S100" s="10" t="e">
        <f t="shared" si="648"/>
        <v>#REF!</v>
      </c>
      <c r="T100" s="10">
        <f t="shared" si="648"/>
        <v>0</v>
      </c>
      <c r="U100" s="10">
        <f t="shared" si="648"/>
        <v>0</v>
      </c>
      <c r="V100" s="10">
        <f t="shared" si="648"/>
        <v>0</v>
      </c>
      <c r="W100" s="10">
        <f t="shared" si="648"/>
        <v>0</v>
      </c>
      <c r="X100" s="10">
        <f t="shared" si="648"/>
        <v>0</v>
      </c>
      <c r="Y100" s="10">
        <f t="shared" si="648"/>
        <v>0</v>
      </c>
    </row>
    <row r="101" spans="1:244" x14ac:dyDescent="0.3">
      <c r="A101" s="6"/>
      <c r="B101" t="s">
        <v>644</v>
      </c>
      <c r="E101" s="10" t="e">
        <f t="shared" ref="E101:Y101" si="649">+SUMIFS(91:91,84:84,E96)</f>
        <v>#REF!</v>
      </c>
      <c r="F101" s="10" t="e">
        <f t="shared" si="649"/>
        <v>#REF!</v>
      </c>
      <c r="G101" s="10" t="e">
        <f t="shared" si="649"/>
        <v>#REF!</v>
      </c>
      <c r="H101" s="10" t="e">
        <f t="shared" si="649"/>
        <v>#REF!</v>
      </c>
      <c r="I101" s="10" t="e">
        <f t="shared" si="649"/>
        <v>#REF!</v>
      </c>
      <c r="J101" s="10" t="e">
        <f t="shared" si="649"/>
        <v>#REF!</v>
      </c>
      <c r="K101" s="10" t="e">
        <f t="shared" si="649"/>
        <v>#REF!</v>
      </c>
      <c r="L101" s="10" t="e">
        <f t="shared" si="649"/>
        <v>#REF!</v>
      </c>
      <c r="M101" s="10" t="e">
        <f t="shared" si="649"/>
        <v>#REF!</v>
      </c>
      <c r="N101" s="10" t="e">
        <f t="shared" si="649"/>
        <v>#REF!</v>
      </c>
      <c r="O101" s="10" t="e">
        <f t="shared" si="649"/>
        <v>#REF!</v>
      </c>
      <c r="P101" s="10" t="e">
        <f t="shared" si="649"/>
        <v>#REF!</v>
      </c>
      <c r="Q101" s="10" t="e">
        <f t="shared" si="649"/>
        <v>#REF!</v>
      </c>
      <c r="R101" s="10" t="e">
        <f t="shared" si="649"/>
        <v>#REF!</v>
      </c>
      <c r="S101" s="10" t="e">
        <f t="shared" si="649"/>
        <v>#REF!</v>
      </c>
      <c r="T101" s="10" t="e">
        <f t="shared" si="649"/>
        <v>#REF!</v>
      </c>
      <c r="U101" s="10" t="e">
        <f t="shared" si="649"/>
        <v>#REF!</v>
      </c>
      <c r="V101" s="10" t="e">
        <f t="shared" si="649"/>
        <v>#REF!</v>
      </c>
      <c r="W101" s="10" t="e">
        <f t="shared" si="649"/>
        <v>#REF!</v>
      </c>
      <c r="X101" s="10" t="e">
        <f t="shared" si="649"/>
        <v>#REF!</v>
      </c>
      <c r="Y101" s="10" t="e">
        <f t="shared" si="649"/>
        <v>#REF!</v>
      </c>
    </row>
    <row r="102" spans="1:244" x14ac:dyDescent="0.3">
      <c r="A102" s="6"/>
      <c r="B102" t="s">
        <v>642</v>
      </c>
      <c r="E102" s="10" t="e">
        <f t="shared" ref="E102:Y102" si="650">+SUMIFS(87:87,84:84,E96)</f>
        <v>#REF!</v>
      </c>
      <c r="F102" s="10" t="e">
        <f t="shared" si="650"/>
        <v>#REF!</v>
      </c>
      <c r="G102" s="10" t="e">
        <f t="shared" si="650"/>
        <v>#REF!</v>
      </c>
      <c r="H102" s="10" t="e">
        <f t="shared" si="650"/>
        <v>#REF!</v>
      </c>
      <c r="I102" s="10" t="e">
        <f t="shared" si="650"/>
        <v>#REF!</v>
      </c>
      <c r="J102" s="10" t="e">
        <f t="shared" si="650"/>
        <v>#REF!</v>
      </c>
      <c r="K102" s="10" t="e">
        <f t="shared" si="650"/>
        <v>#REF!</v>
      </c>
      <c r="L102" s="10">
        <f t="shared" si="650"/>
        <v>0</v>
      </c>
      <c r="M102" s="10">
        <f t="shared" si="650"/>
        <v>0</v>
      </c>
      <c r="N102" s="10">
        <f t="shared" si="650"/>
        <v>0</v>
      </c>
      <c r="O102" s="10">
        <f t="shared" si="650"/>
        <v>0</v>
      </c>
      <c r="P102" s="10">
        <f t="shared" si="650"/>
        <v>0</v>
      </c>
      <c r="Q102" s="10">
        <f t="shared" si="650"/>
        <v>0</v>
      </c>
      <c r="R102" s="10">
        <f t="shared" si="650"/>
        <v>0</v>
      </c>
      <c r="S102" s="10">
        <f t="shared" si="650"/>
        <v>0</v>
      </c>
      <c r="T102" s="10">
        <f t="shared" si="650"/>
        <v>0</v>
      </c>
      <c r="U102" s="10">
        <f t="shared" si="650"/>
        <v>0</v>
      </c>
      <c r="V102" s="10">
        <f t="shared" si="650"/>
        <v>0</v>
      </c>
      <c r="W102" s="10">
        <f t="shared" si="650"/>
        <v>0</v>
      </c>
      <c r="X102" s="10">
        <f t="shared" si="650"/>
        <v>0</v>
      </c>
      <c r="Y102" s="10">
        <f t="shared" si="650"/>
        <v>0</v>
      </c>
    </row>
    <row r="103" spans="1:244" x14ac:dyDescent="0.3">
      <c r="A103" s="6"/>
      <c r="B103" t="s">
        <v>719</v>
      </c>
      <c r="E103" s="10" t="e">
        <f t="shared" ref="E103:Y103" si="651">+SUMIFS(88:88,84:84,E96)</f>
        <v>#REF!</v>
      </c>
      <c r="F103" s="10" t="e">
        <f t="shared" si="651"/>
        <v>#REF!</v>
      </c>
      <c r="G103" s="10" t="e">
        <f t="shared" si="651"/>
        <v>#REF!</v>
      </c>
      <c r="H103" s="10" t="e">
        <f t="shared" si="651"/>
        <v>#REF!</v>
      </c>
      <c r="I103" s="10" t="e">
        <f t="shared" si="651"/>
        <v>#REF!</v>
      </c>
      <c r="J103" s="10" t="e">
        <f t="shared" si="651"/>
        <v>#REF!</v>
      </c>
      <c r="K103" s="10" t="e">
        <f t="shared" si="651"/>
        <v>#REF!</v>
      </c>
      <c r="L103" s="10">
        <f t="shared" si="651"/>
        <v>0</v>
      </c>
      <c r="M103" s="10">
        <f t="shared" si="651"/>
        <v>0</v>
      </c>
      <c r="N103" s="10">
        <f t="shared" si="651"/>
        <v>0</v>
      </c>
      <c r="O103" s="10">
        <f t="shared" si="651"/>
        <v>0</v>
      </c>
      <c r="P103" s="10">
        <f t="shared" si="651"/>
        <v>0</v>
      </c>
      <c r="Q103" s="10">
        <f t="shared" si="651"/>
        <v>0</v>
      </c>
      <c r="R103" s="10">
        <f t="shared" si="651"/>
        <v>0</v>
      </c>
      <c r="S103" s="10">
        <f t="shared" si="651"/>
        <v>0</v>
      </c>
      <c r="T103" s="10">
        <f t="shared" si="651"/>
        <v>0</v>
      </c>
      <c r="U103" s="10">
        <f t="shared" si="651"/>
        <v>0</v>
      </c>
      <c r="V103" s="10">
        <f t="shared" si="651"/>
        <v>0</v>
      </c>
      <c r="W103" s="10">
        <f t="shared" si="651"/>
        <v>0</v>
      </c>
      <c r="X103" s="10">
        <f t="shared" si="651"/>
        <v>0</v>
      </c>
      <c r="Y103" s="10">
        <f t="shared" si="651"/>
        <v>0</v>
      </c>
    </row>
    <row r="104" spans="1:244" x14ac:dyDescent="0.3">
      <c r="A104" s="6"/>
      <c r="B104" t="s">
        <v>11</v>
      </c>
      <c r="E104" s="31" t="e">
        <f>+E97+E102+E103</f>
        <v>#REF!</v>
      </c>
      <c r="F104" s="31" t="e">
        <f t="shared" ref="F104:Y104" si="652">+F97+F102+F103</f>
        <v>#REF!</v>
      </c>
      <c r="G104" s="31" t="e">
        <f t="shared" si="652"/>
        <v>#REF!</v>
      </c>
      <c r="H104" s="31" t="e">
        <f t="shared" si="652"/>
        <v>#REF!</v>
      </c>
      <c r="I104" s="31" t="e">
        <f t="shared" si="652"/>
        <v>#REF!</v>
      </c>
      <c r="J104" s="31" t="e">
        <f t="shared" si="652"/>
        <v>#REF!</v>
      </c>
      <c r="K104" s="31" t="e">
        <f t="shared" si="652"/>
        <v>#REF!</v>
      </c>
      <c r="L104" s="31" t="e">
        <f t="shared" si="652"/>
        <v>#REF!</v>
      </c>
      <c r="M104" s="31" t="e">
        <f t="shared" si="652"/>
        <v>#REF!</v>
      </c>
      <c r="N104" s="31" t="e">
        <f t="shared" si="652"/>
        <v>#REF!</v>
      </c>
      <c r="O104" s="31" t="e">
        <f t="shared" si="652"/>
        <v>#REF!</v>
      </c>
      <c r="P104" s="31" t="e">
        <f t="shared" si="652"/>
        <v>#REF!</v>
      </c>
      <c r="Q104" s="31" t="e">
        <f t="shared" si="652"/>
        <v>#REF!</v>
      </c>
      <c r="R104" s="31" t="e">
        <f t="shared" si="652"/>
        <v>#REF!</v>
      </c>
      <c r="S104" s="31" t="e">
        <f t="shared" si="652"/>
        <v>#REF!</v>
      </c>
      <c r="T104" s="31" t="e">
        <f t="shared" si="652"/>
        <v>#REF!</v>
      </c>
      <c r="U104" s="31" t="e">
        <f t="shared" si="652"/>
        <v>#REF!</v>
      </c>
      <c r="V104" s="31" t="e">
        <f t="shared" si="652"/>
        <v>#REF!</v>
      </c>
      <c r="W104" s="31" t="e">
        <f t="shared" si="652"/>
        <v>#REF!</v>
      </c>
      <c r="X104" s="31" t="e">
        <f t="shared" si="652"/>
        <v>#REF!</v>
      </c>
      <c r="Y104" s="31" t="e">
        <f t="shared" si="652"/>
        <v>#REF!</v>
      </c>
    </row>
    <row r="106" spans="1:244" x14ac:dyDescent="0.3">
      <c r="E106">
        <f>+YEAR(E107)</f>
        <v>2024</v>
      </c>
      <c r="F106">
        <f t="shared" ref="F106:BQ106" si="653">+YEAR(F107)</f>
        <v>2024</v>
      </c>
      <c r="G106">
        <f t="shared" si="653"/>
        <v>2024</v>
      </c>
      <c r="H106">
        <f t="shared" si="653"/>
        <v>2024</v>
      </c>
      <c r="I106">
        <f t="shared" si="653"/>
        <v>2024</v>
      </c>
      <c r="J106">
        <f t="shared" si="653"/>
        <v>2025</v>
      </c>
      <c r="K106">
        <f t="shared" si="653"/>
        <v>2025</v>
      </c>
      <c r="L106">
        <f t="shared" si="653"/>
        <v>2025</v>
      </c>
      <c r="M106">
        <f t="shared" si="653"/>
        <v>2025</v>
      </c>
      <c r="N106">
        <f t="shared" si="653"/>
        <v>2025</v>
      </c>
      <c r="O106">
        <f t="shared" si="653"/>
        <v>2025</v>
      </c>
      <c r="P106">
        <f t="shared" si="653"/>
        <v>2025</v>
      </c>
      <c r="Q106">
        <f t="shared" si="653"/>
        <v>2025</v>
      </c>
      <c r="R106">
        <f t="shared" si="653"/>
        <v>2025</v>
      </c>
      <c r="S106">
        <f t="shared" si="653"/>
        <v>2025</v>
      </c>
      <c r="T106">
        <f t="shared" si="653"/>
        <v>2025</v>
      </c>
      <c r="U106">
        <f t="shared" si="653"/>
        <v>2025</v>
      </c>
      <c r="V106">
        <f t="shared" si="653"/>
        <v>2026</v>
      </c>
      <c r="W106">
        <f t="shared" si="653"/>
        <v>2026</v>
      </c>
      <c r="X106">
        <f t="shared" si="653"/>
        <v>2026</v>
      </c>
      <c r="Y106">
        <f t="shared" si="653"/>
        <v>2026</v>
      </c>
      <c r="Z106">
        <f t="shared" si="653"/>
        <v>2026</v>
      </c>
      <c r="AA106">
        <f t="shared" si="653"/>
        <v>2026</v>
      </c>
      <c r="AB106">
        <f t="shared" si="653"/>
        <v>2026</v>
      </c>
      <c r="AC106">
        <f t="shared" si="653"/>
        <v>2026</v>
      </c>
      <c r="AD106">
        <f t="shared" si="653"/>
        <v>2026</v>
      </c>
      <c r="AE106">
        <f t="shared" si="653"/>
        <v>2026</v>
      </c>
      <c r="AF106">
        <f t="shared" si="653"/>
        <v>2026</v>
      </c>
      <c r="AG106">
        <f t="shared" si="653"/>
        <v>2026</v>
      </c>
      <c r="AH106">
        <f t="shared" si="653"/>
        <v>2027</v>
      </c>
      <c r="AI106">
        <f t="shared" si="653"/>
        <v>2027</v>
      </c>
      <c r="AJ106">
        <f t="shared" si="653"/>
        <v>2027</v>
      </c>
      <c r="AK106">
        <f t="shared" si="653"/>
        <v>2027</v>
      </c>
      <c r="AL106">
        <f t="shared" si="653"/>
        <v>2027</v>
      </c>
      <c r="AM106">
        <f t="shared" si="653"/>
        <v>2027</v>
      </c>
      <c r="AN106">
        <f t="shared" si="653"/>
        <v>2027</v>
      </c>
      <c r="AO106">
        <f t="shared" si="653"/>
        <v>2027</v>
      </c>
      <c r="AP106">
        <f t="shared" si="653"/>
        <v>2027</v>
      </c>
      <c r="AQ106">
        <f t="shared" si="653"/>
        <v>2027</v>
      </c>
      <c r="AR106">
        <f t="shared" si="653"/>
        <v>2027</v>
      </c>
      <c r="AS106">
        <f t="shared" si="653"/>
        <v>2027</v>
      </c>
      <c r="AT106">
        <f t="shared" si="653"/>
        <v>2028</v>
      </c>
      <c r="AU106">
        <f t="shared" si="653"/>
        <v>2028</v>
      </c>
      <c r="AV106">
        <f t="shared" si="653"/>
        <v>2028</v>
      </c>
      <c r="AW106">
        <f t="shared" si="653"/>
        <v>2028</v>
      </c>
      <c r="AX106">
        <f t="shared" si="653"/>
        <v>2028</v>
      </c>
      <c r="AY106">
        <f t="shared" si="653"/>
        <v>2028</v>
      </c>
      <c r="AZ106">
        <f t="shared" si="653"/>
        <v>2028</v>
      </c>
      <c r="BA106">
        <f t="shared" si="653"/>
        <v>2028</v>
      </c>
      <c r="BB106">
        <f t="shared" si="653"/>
        <v>2028</v>
      </c>
      <c r="BC106">
        <f t="shared" si="653"/>
        <v>2028</v>
      </c>
      <c r="BD106">
        <f t="shared" si="653"/>
        <v>2028</v>
      </c>
      <c r="BE106">
        <f t="shared" si="653"/>
        <v>2028</v>
      </c>
      <c r="BF106">
        <f t="shared" si="653"/>
        <v>2029</v>
      </c>
      <c r="BG106">
        <f t="shared" si="653"/>
        <v>2029</v>
      </c>
      <c r="BH106">
        <f t="shared" si="653"/>
        <v>2029</v>
      </c>
      <c r="BI106">
        <f t="shared" si="653"/>
        <v>2029</v>
      </c>
      <c r="BJ106">
        <f t="shared" si="653"/>
        <v>2029</v>
      </c>
      <c r="BK106">
        <f t="shared" si="653"/>
        <v>2029</v>
      </c>
      <c r="BL106">
        <f t="shared" si="653"/>
        <v>2029</v>
      </c>
      <c r="BM106">
        <f t="shared" si="653"/>
        <v>2029</v>
      </c>
      <c r="BN106">
        <f t="shared" si="653"/>
        <v>2029</v>
      </c>
      <c r="BO106">
        <f t="shared" si="653"/>
        <v>2029</v>
      </c>
      <c r="BP106">
        <f t="shared" si="653"/>
        <v>2029</v>
      </c>
      <c r="BQ106">
        <f t="shared" si="653"/>
        <v>2029</v>
      </c>
      <c r="BR106">
        <f t="shared" ref="BR106:EC106" si="654">+YEAR(BR107)</f>
        <v>2030</v>
      </c>
      <c r="BS106">
        <f t="shared" si="654"/>
        <v>2030</v>
      </c>
      <c r="BT106">
        <f t="shared" si="654"/>
        <v>2030</v>
      </c>
      <c r="BU106">
        <f t="shared" si="654"/>
        <v>2030</v>
      </c>
      <c r="BV106">
        <f t="shared" si="654"/>
        <v>2030</v>
      </c>
      <c r="BW106">
        <f t="shared" si="654"/>
        <v>2030</v>
      </c>
      <c r="BX106">
        <f t="shared" si="654"/>
        <v>2030</v>
      </c>
      <c r="BY106">
        <f t="shared" si="654"/>
        <v>2030</v>
      </c>
      <c r="BZ106">
        <f t="shared" si="654"/>
        <v>2030</v>
      </c>
      <c r="CA106">
        <f t="shared" si="654"/>
        <v>2030</v>
      </c>
      <c r="CB106">
        <f t="shared" si="654"/>
        <v>2030</v>
      </c>
      <c r="CC106">
        <f t="shared" si="654"/>
        <v>2030</v>
      </c>
      <c r="CD106">
        <f t="shared" si="654"/>
        <v>2031</v>
      </c>
      <c r="CE106">
        <f t="shared" si="654"/>
        <v>2031</v>
      </c>
      <c r="CF106">
        <f t="shared" si="654"/>
        <v>2031</v>
      </c>
      <c r="CG106">
        <f t="shared" si="654"/>
        <v>2031</v>
      </c>
      <c r="CH106">
        <f t="shared" si="654"/>
        <v>2031</v>
      </c>
      <c r="CI106">
        <f t="shared" si="654"/>
        <v>2031</v>
      </c>
      <c r="CJ106">
        <f t="shared" si="654"/>
        <v>2031</v>
      </c>
      <c r="CK106">
        <f t="shared" si="654"/>
        <v>2031</v>
      </c>
      <c r="CL106">
        <f t="shared" si="654"/>
        <v>2031</v>
      </c>
      <c r="CM106">
        <f t="shared" si="654"/>
        <v>2031</v>
      </c>
      <c r="CN106">
        <f t="shared" si="654"/>
        <v>2031</v>
      </c>
      <c r="CO106">
        <f t="shared" si="654"/>
        <v>2031</v>
      </c>
      <c r="CP106">
        <f t="shared" si="654"/>
        <v>2032</v>
      </c>
      <c r="CQ106">
        <f t="shared" si="654"/>
        <v>2032</v>
      </c>
      <c r="CR106">
        <f t="shared" si="654"/>
        <v>2032</v>
      </c>
      <c r="CS106">
        <f t="shared" si="654"/>
        <v>2032</v>
      </c>
      <c r="CT106">
        <f t="shared" si="654"/>
        <v>2032</v>
      </c>
      <c r="CU106">
        <f t="shared" si="654"/>
        <v>2032</v>
      </c>
      <c r="CV106">
        <f t="shared" si="654"/>
        <v>2032</v>
      </c>
      <c r="CW106">
        <f t="shared" si="654"/>
        <v>2032</v>
      </c>
      <c r="CX106">
        <f t="shared" si="654"/>
        <v>2032</v>
      </c>
      <c r="CY106">
        <f t="shared" si="654"/>
        <v>2032</v>
      </c>
      <c r="CZ106">
        <f t="shared" si="654"/>
        <v>2032</v>
      </c>
      <c r="DA106">
        <f t="shared" si="654"/>
        <v>2032</v>
      </c>
      <c r="DB106">
        <f t="shared" si="654"/>
        <v>2033</v>
      </c>
      <c r="DC106">
        <f t="shared" si="654"/>
        <v>2033</v>
      </c>
      <c r="DD106">
        <f t="shared" si="654"/>
        <v>2033</v>
      </c>
      <c r="DE106">
        <f t="shared" si="654"/>
        <v>2033</v>
      </c>
      <c r="DF106">
        <f t="shared" si="654"/>
        <v>2033</v>
      </c>
      <c r="DG106">
        <f t="shared" si="654"/>
        <v>2033</v>
      </c>
      <c r="DH106">
        <f t="shared" si="654"/>
        <v>2033</v>
      </c>
      <c r="DI106">
        <f t="shared" si="654"/>
        <v>2033</v>
      </c>
      <c r="DJ106">
        <f t="shared" si="654"/>
        <v>2033</v>
      </c>
      <c r="DK106">
        <f t="shared" si="654"/>
        <v>2033</v>
      </c>
      <c r="DL106">
        <f t="shared" si="654"/>
        <v>2033</v>
      </c>
      <c r="DM106">
        <f t="shared" si="654"/>
        <v>2033</v>
      </c>
      <c r="DN106">
        <f t="shared" si="654"/>
        <v>2034</v>
      </c>
      <c r="DO106">
        <f t="shared" si="654"/>
        <v>2034</v>
      </c>
      <c r="DP106">
        <f t="shared" si="654"/>
        <v>2034</v>
      </c>
      <c r="DQ106">
        <f t="shared" si="654"/>
        <v>2034</v>
      </c>
      <c r="DR106">
        <f t="shared" si="654"/>
        <v>2034</v>
      </c>
      <c r="DS106">
        <f t="shared" si="654"/>
        <v>2034</v>
      </c>
      <c r="DT106">
        <f t="shared" si="654"/>
        <v>2034</v>
      </c>
      <c r="DU106">
        <f t="shared" si="654"/>
        <v>2034</v>
      </c>
      <c r="DV106">
        <f t="shared" si="654"/>
        <v>2034</v>
      </c>
      <c r="DW106">
        <f t="shared" si="654"/>
        <v>2034</v>
      </c>
      <c r="DX106">
        <f t="shared" si="654"/>
        <v>2034</v>
      </c>
      <c r="DY106">
        <f t="shared" si="654"/>
        <v>2034</v>
      </c>
      <c r="DZ106">
        <f t="shared" si="654"/>
        <v>2035</v>
      </c>
      <c r="EA106">
        <f t="shared" si="654"/>
        <v>2035</v>
      </c>
      <c r="EB106">
        <f t="shared" si="654"/>
        <v>2035</v>
      </c>
      <c r="EC106">
        <f t="shared" si="654"/>
        <v>2035</v>
      </c>
      <c r="ED106">
        <f t="shared" ref="ED106:GO106" si="655">+YEAR(ED107)</f>
        <v>2035</v>
      </c>
      <c r="EE106">
        <f t="shared" si="655"/>
        <v>2035</v>
      </c>
      <c r="EF106">
        <f t="shared" si="655"/>
        <v>2035</v>
      </c>
      <c r="EG106">
        <f t="shared" si="655"/>
        <v>2035</v>
      </c>
      <c r="EH106">
        <f t="shared" si="655"/>
        <v>2035</v>
      </c>
      <c r="EI106">
        <f t="shared" si="655"/>
        <v>2035</v>
      </c>
      <c r="EJ106">
        <f t="shared" si="655"/>
        <v>2035</v>
      </c>
      <c r="EK106">
        <f t="shared" si="655"/>
        <v>2035</v>
      </c>
      <c r="EL106">
        <f t="shared" si="655"/>
        <v>2036</v>
      </c>
      <c r="EM106">
        <f t="shared" si="655"/>
        <v>2036</v>
      </c>
      <c r="EN106">
        <f t="shared" si="655"/>
        <v>2036</v>
      </c>
      <c r="EO106">
        <f t="shared" si="655"/>
        <v>2036</v>
      </c>
      <c r="EP106">
        <f t="shared" si="655"/>
        <v>2036</v>
      </c>
      <c r="EQ106">
        <f t="shared" si="655"/>
        <v>2036</v>
      </c>
      <c r="ER106">
        <f t="shared" si="655"/>
        <v>2036</v>
      </c>
      <c r="ES106">
        <f t="shared" si="655"/>
        <v>2036</v>
      </c>
      <c r="ET106">
        <f t="shared" si="655"/>
        <v>2036</v>
      </c>
      <c r="EU106">
        <f t="shared" si="655"/>
        <v>2036</v>
      </c>
      <c r="EV106">
        <f t="shared" si="655"/>
        <v>2036</v>
      </c>
      <c r="EW106">
        <f t="shared" si="655"/>
        <v>2036</v>
      </c>
      <c r="EX106">
        <f t="shared" si="655"/>
        <v>2037</v>
      </c>
      <c r="EY106">
        <f t="shared" si="655"/>
        <v>2037</v>
      </c>
      <c r="EZ106">
        <f t="shared" si="655"/>
        <v>2037</v>
      </c>
      <c r="FA106">
        <f t="shared" si="655"/>
        <v>2037</v>
      </c>
      <c r="FB106">
        <f t="shared" si="655"/>
        <v>2037</v>
      </c>
      <c r="FC106">
        <f t="shared" si="655"/>
        <v>2037</v>
      </c>
      <c r="FD106">
        <f t="shared" si="655"/>
        <v>2037</v>
      </c>
      <c r="FE106">
        <f t="shared" si="655"/>
        <v>2037</v>
      </c>
      <c r="FF106">
        <f t="shared" si="655"/>
        <v>2037</v>
      </c>
      <c r="FG106">
        <f t="shared" si="655"/>
        <v>2037</v>
      </c>
      <c r="FH106">
        <f t="shared" si="655"/>
        <v>2037</v>
      </c>
      <c r="FI106">
        <f t="shared" si="655"/>
        <v>2037</v>
      </c>
      <c r="FJ106">
        <f t="shared" si="655"/>
        <v>2038</v>
      </c>
      <c r="FK106">
        <f t="shared" si="655"/>
        <v>2038</v>
      </c>
      <c r="FL106">
        <f t="shared" si="655"/>
        <v>2038</v>
      </c>
      <c r="FM106">
        <f t="shared" si="655"/>
        <v>2038</v>
      </c>
      <c r="FN106">
        <f t="shared" si="655"/>
        <v>2038</v>
      </c>
      <c r="FO106">
        <f t="shared" si="655"/>
        <v>2038</v>
      </c>
      <c r="FP106">
        <f t="shared" si="655"/>
        <v>2038</v>
      </c>
      <c r="FQ106">
        <f t="shared" si="655"/>
        <v>2038</v>
      </c>
      <c r="FR106">
        <f t="shared" si="655"/>
        <v>2038</v>
      </c>
      <c r="FS106">
        <f t="shared" si="655"/>
        <v>2038</v>
      </c>
      <c r="FT106">
        <f t="shared" si="655"/>
        <v>2038</v>
      </c>
      <c r="FU106">
        <f t="shared" si="655"/>
        <v>2038</v>
      </c>
      <c r="FV106">
        <f t="shared" si="655"/>
        <v>2039</v>
      </c>
      <c r="FW106">
        <f t="shared" si="655"/>
        <v>2039</v>
      </c>
      <c r="FX106">
        <f t="shared" si="655"/>
        <v>2039</v>
      </c>
      <c r="FY106">
        <f t="shared" si="655"/>
        <v>2039</v>
      </c>
      <c r="FZ106">
        <f t="shared" si="655"/>
        <v>2039</v>
      </c>
      <c r="GA106">
        <f t="shared" si="655"/>
        <v>2039</v>
      </c>
      <c r="GB106">
        <f t="shared" si="655"/>
        <v>2039</v>
      </c>
      <c r="GC106">
        <f t="shared" si="655"/>
        <v>2039</v>
      </c>
      <c r="GD106">
        <f t="shared" si="655"/>
        <v>2039</v>
      </c>
      <c r="GE106">
        <f t="shared" si="655"/>
        <v>2039</v>
      </c>
      <c r="GF106">
        <f t="shared" si="655"/>
        <v>2039</v>
      </c>
      <c r="GG106">
        <f t="shared" si="655"/>
        <v>2039</v>
      </c>
      <c r="GH106">
        <f t="shared" si="655"/>
        <v>2040</v>
      </c>
      <c r="GI106">
        <f t="shared" si="655"/>
        <v>2040</v>
      </c>
      <c r="GJ106">
        <f t="shared" si="655"/>
        <v>2040</v>
      </c>
      <c r="GK106">
        <f t="shared" si="655"/>
        <v>2040</v>
      </c>
      <c r="GL106">
        <f t="shared" si="655"/>
        <v>2040</v>
      </c>
      <c r="GM106">
        <f t="shared" si="655"/>
        <v>2040</v>
      </c>
      <c r="GN106">
        <f t="shared" si="655"/>
        <v>2040</v>
      </c>
      <c r="GO106">
        <f t="shared" si="655"/>
        <v>2040</v>
      </c>
      <c r="GP106">
        <f t="shared" ref="GP106:IJ106" si="656">+YEAR(GP107)</f>
        <v>2040</v>
      </c>
      <c r="GQ106">
        <f t="shared" si="656"/>
        <v>2040</v>
      </c>
      <c r="GR106">
        <f t="shared" si="656"/>
        <v>2040</v>
      </c>
      <c r="GS106">
        <f t="shared" si="656"/>
        <v>2040</v>
      </c>
      <c r="GT106">
        <f t="shared" si="656"/>
        <v>2041</v>
      </c>
      <c r="GU106">
        <f t="shared" si="656"/>
        <v>2041</v>
      </c>
      <c r="GV106">
        <f t="shared" si="656"/>
        <v>2041</v>
      </c>
      <c r="GW106">
        <f t="shared" si="656"/>
        <v>2041</v>
      </c>
      <c r="GX106">
        <f t="shared" si="656"/>
        <v>2041</v>
      </c>
      <c r="GY106">
        <f t="shared" si="656"/>
        <v>2041</v>
      </c>
      <c r="GZ106">
        <f t="shared" si="656"/>
        <v>2041</v>
      </c>
      <c r="HA106">
        <f t="shared" si="656"/>
        <v>2041</v>
      </c>
      <c r="HB106">
        <f t="shared" si="656"/>
        <v>2041</v>
      </c>
      <c r="HC106">
        <f t="shared" si="656"/>
        <v>2041</v>
      </c>
      <c r="HD106">
        <f t="shared" si="656"/>
        <v>2041</v>
      </c>
      <c r="HE106">
        <f t="shared" si="656"/>
        <v>2041</v>
      </c>
      <c r="HF106">
        <f t="shared" si="656"/>
        <v>2042</v>
      </c>
      <c r="HG106">
        <f t="shared" si="656"/>
        <v>2042</v>
      </c>
      <c r="HH106">
        <f t="shared" si="656"/>
        <v>2042</v>
      </c>
      <c r="HI106">
        <f t="shared" si="656"/>
        <v>2042</v>
      </c>
      <c r="HJ106">
        <f t="shared" si="656"/>
        <v>2042</v>
      </c>
      <c r="HK106">
        <f t="shared" si="656"/>
        <v>2042</v>
      </c>
      <c r="HL106">
        <f t="shared" si="656"/>
        <v>2042</v>
      </c>
      <c r="HM106">
        <f t="shared" si="656"/>
        <v>2042</v>
      </c>
      <c r="HN106">
        <f t="shared" si="656"/>
        <v>2042</v>
      </c>
      <c r="HO106">
        <f t="shared" si="656"/>
        <v>2042</v>
      </c>
      <c r="HP106">
        <f t="shared" si="656"/>
        <v>2042</v>
      </c>
      <c r="HQ106">
        <f t="shared" si="656"/>
        <v>2042</v>
      </c>
      <c r="HR106">
        <f t="shared" si="656"/>
        <v>2043</v>
      </c>
      <c r="HS106">
        <f t="shared" si="656"/>
        <v>2043</v>
      </c>
      <c r="HT106">
        <f t="shared" si="656"/>
        <v>2043</v>
      </c>
      <c r="HU106">
        <f t="shared" si="656"/>
        <v>2043</v>
      </c>
      <c r="HV106">
        <f t="shared" si="656"/>
        <v>2043</v>
      </c>
      <c r="HW106">
        <f t="shared" si="656"/>
        <v>2043</v>
      </c>
      <c r="HX106">
        <f t="shared" si="656"/>
        <v>2043</v>
      </c>
      <c r="HY106">
        <f t="shared" si="656"/>
        <v>2043</v>
      </c>
      <c r="HZ106">
        <f t="shared" si="656"/>
        <v>2043</v>
      </c>
      <c r="IA106">
        <f t="shared" si="656"/>
        <v>2043</v>
      </c>
      <c r="IB106">
        <f t="shared" si="656"/>
        <v>2043</v>
      </c>
      <c r="IC106">
        <f t="shared" si="656"/>
        <v>2043</v>
      </c>
      <c r="ID106">
        <f t="shared" si="656"/>
        <v>2044</v>
      </c>
      <c r="IE106">
        <f t="shared" si="656"/>
        <v>2044</v>
      </c>
      <c r="IF106">
        <f t="shared" si="656"/>
        <v>2044</v>
      </c>
      <c r="IG106">
        <f t="shared" si="656"/>
        <v>2044</v>
      </c>
      <c r="IH106">
        <f t="shared" si="656"/>
        <v>2044</v>
      </c>
      <c r="II106">
        <f t="shared" si="656"/>
        <v>2044</v>
      </c>
      <c r="IJ106">
        <f t="shared" si="656"/>
        <v>2044</v>
      </c>
    </row>
    <row r="107" spans="1:244" x14ac:dyDescent="0.3">
      <c r="A107" s="6" t="s">
        <v>816</v>
      </c>
      <c r="B107" t="s">
        <v>11</v>
      </c>
      <c r="C107" t="s">
        <v>311</v>
      </c>
      <c r="D107" t="s">
        <v>783</v>
      </c>
      <c r="E107" s="14">
        <v>45505</v>
      </c>
      <c r="F107" s="14">
        <v>45536</v>
      </c>
      <c r="G107" s="14">
        <v>45566</v>
      </c>
      <c r="H107" s="14">
        <v>45597</v>
      </c>
      <c r="I107" s="14">
        <v>45627</v>
      </c>
      <c r="J107" s="14">
        <v>45658</v>
      </c>
      <c r="K107" s="14">
        <v>45689</v>
      </c>
      <c r="L107" s="14">
        <v>45717</v>
      </c>
      <c r="M107" s="14">
        <v>45748</v>
      </c>
      <c r="N107" s="14">
        <v>45778</v>
      </c>
      <c r="O107" s="14">
        <v>45809</v>
      </c>
      <c r="P107" s="14">
        <v>45839</v>
      </c>
      <c r="Q107" s="14">
        <v>45870</v>
      </c>
      <c r="R107" s="14">
        <v>45901</v>
      </c>
      <c r="S107" s="14">
        <v>45931</v>
      </c>
      <c r="T107" s="14">
        <v>45962</v>
      </c>
      <c r="U107" s="14">
        <v>45992</v>
      </c>
      <c r="V107" s="14">
        <v>46023</v>
      </c>
      <c r="W107" s="14">
        <v>46054</v>
      </c>
      <c r="X107" s="14">
        <v>46082</v>
      </c>
      <c r="Y107" s="14">
        <v>46113</v>
      </c>
      <c r="Z107" s="14">
        <v>46143</v>
      </c>
      <c r="AA107" s="14">
        <v>46174</v>
      </c>
      <c r="AB107" s="14">
        <v>46204</v>
      </c>
      <c r="AC107" s="14">
        <v>46235</v>
      </c>
      <c r="AD107" s="14">
        <v>46266</v>
      </c>
      <c r="AE107" s="14">
        <v>46296</v>
      </c>
      <c r="AF107" s="14">
        <v>46327</v>
      </c>
      <c r="AG107" s="14">
        <v>46357</v>
      </c>
      <c r="AH107" s="14">
        <v>46388</v>
      </c>
      <c r="AI107" s="14">
        <v>46419</v>
      </c>
      <c r="AJ107" s="14">
        <v>46447</v>
      </c>
      <c r="AK107" s="14">
        <v>46478</v>
      </c>
      <c r="AL107" s="14">
        <v>46508</v>
      </c>
      <c r="AM107" s="14">
        <v>46539</v>
      </c>
      <c r="AN107" s="14">
        <v>46569</v>
      </c>
      <c r="AO107" s="14">
        <v>46600</v>
      </c>
      <c r="AP107" s="14">
        <v>46631</v>
      </c>
      <c r="AQ107" s="14">
        <v>46661</v>
      </c>
      <c r="AR107" s="14">
        <v>46692</v>
      </c>
      <c r="AS107" s="14">
        <v>46722</v>
      </c>
      <c r="AT107" s="14">
        <v>46753</v>
      </c>
      <c r="AU107" s="14">
        <v>46784</v>
      </c>
      <c r="AV107" s="14">
        <v>46813</v>
      </c>
      <c r="AW107" s="14">
        <v>46844</v>
      </c>
      <c r="AX107" s="14">
        <v>46874</v>
      </c>
      <c r="AY107" s="14">
        <v>46905</v>
      </c>
      <c r="AZ107" s="14">
        <v>46935</v>
      </c>
      <c r="BA107" s="14">
        <v>46966</v>
      </c>
      <c r="BB107" s="14">
        <v>46997</v>
      </c>
      <c r="BC107" s="14">
        <v>47027</v>
      </c>
      <c r="BD107" s="14">
        <v>47058</v>
      </c>
      <c r="BE107" s="14">
        <v>47088</v>
      </c>
      <c r="BF107" s="14">
        <v>47119</v>
      </c>
      <c r="BG107" s="14">
        <v>47150</v>
      </c>
      <c r="BH107" s="14">
        <v>47178</v>
      </c>
      <c r="BI107" s="14">
        <v>47209</v>
      </c>
      <c r="BJ107" s="14">
        <v>47239</v>
      </c>
      <c r="BK107" s="14">
        <v>47270</v>
      </c>
      <c r="BL107" s="14">
        <v>47300</v>
      </c>
      <c r="BM107" s="14">
        <v>47331</v>
      </c>
      <c r="BN107" s="14">
        <v>47362</v>
      </c>
      <c r="BO107" s="14">
        <v>47392</v>
      </c>
      <c r="BP107" s="14">
        <v>47423</v>
      </c>
      <c r="BQ107" s="14">
        <v>47453</v>
      </c>
      <c r="BR107" s="14">
        <v>47484</v>
      </c>
      <c r="BS107" s="14">
        <v>47515</v>
      </c>
      <c r="BT107" s="14">
        <v>47543</v>
      </c>
      <c r="BU107" s="14">
        <v>47574</v>
      </c>
      <c r="BV107" s="14">
        <v>47604</v>
      </c>
      <c r="BW107" s="14">
        <v>47635</v>
      </c>
      <c r="BX107" s="14">
        <v>47665</v>
      </c>
      <c r="BY107" s="14">
        <v>47696</v>
      </c>
      <c r="BZ107" s="14">
        <v>47727</v>
      </c>
      <c r="CA107" s="14">
        <v>47757</v>
      </c>
      <c r="CB107" s="14">
        <v>47788</v>
      </c>
      <c r="CC107" s="14">
        <v>47818</v>
      </c>
      <c r="CD107" s="14">
        <v>47849</v>
      </c>
      <c r="CE107" s="14">
        <v>47880</v>
      </c>
      <c r="CF107" s="14">
        <v>47908</v>
      </c>
      <c r="CG107" s="14">
        <v>47939</v>
      </c>
      <c r="CH107" s="14">
        <v>47969</v>
      </c>
      <c r="CI107" s="14">
        <v>48000</v>
      </c>
      <c r="CJ107" s="14">
        <v>48030</v>
      </c>
      <c r="CK107" s="14">
        <v>48061</v>
      </c>
      <c r="CL107" s="14">
        <v>48092</v>
      </c>
      <c r="CM107" s="14">
        <v>48122</v>
      </c>
      <c r="CN107" s="14">
        <v>48153</v>
      </c>
      <c r="CO107" s="14">
        <v>48183</v>
      </c>
      <c r="CP107" s="14">
        <v>48214</v>
      </c>
      <c r="CQ107" s="14">
        <v>48245</v>
      </c>
      <c r="CR107" s="14">
        <v>48274</v>
      </c>
      <c r="CS107" s="14">
        <v>48305</v>
      </c>
      <c r="CT107" s="14">
        <v>48335</v>
      </c>
      <c r="CU107" s="14">
        <v>48366</v>
      </c>
      <c r="CV107" s="14">
        <v>48396</v>
      </c>
      <c r="CW107" s="14">
        <v>48427</v>
      </c>
      <c r="CX107" s="14">
        <v>48458</v>
      </c>
      <c r="CY107" s="14">
        <v>48488</v>
      </c>
      <c r="CZ107" s="14">
        <v>48519</v>
      </c>
      <c r="DA107" s="14">
        <v>48549</v>
      </c>
      <c r="DB107" s="14">
        <v>48580</v>
      </c>
      <c r="DC107" s="14">
        <v>48611</v>
      </c>
      <c r="DD107" s="14">
        <v>48639</v>
      </c>
      <c r="DE107" s="14">
        <v>48670</v>
      </c>
      <c r="DF107" s="14">
        <v>48700</v>
      </c>
      <c r="DG107" s="14">
        <v>48731</v>
      </c>
      <c r="DH107" s="14">
        <v>48761</v>
      </c>
      <c r="DI107" s="14">
        <v>48792</v>
      </c>
      <c r="DJ107" s="14">
        <v>48823</v>
      </c>
      <c r="DK107" s="14">
        <v>48853</v>
      </c>
      <c r="DL107" s="14">
        <v>48884</v>
      </c>
      <c r="DM107" s="14">
        <v>48914</v>
      </c>
      <c r="DN107" s="14">
        <v>48945</v>
      </c>
      <c r="DO107" s="14">
        <v>48976</v>
      </c>
      <c r="DP107" s="14">
        <v>49004</v>
      </c>
      <c r="DQ107" s="14">
        <v>49035</v>
      </c>
      <c r="DR107" s="14">
        <v>49065</v>
      </c>
      <c r="DS107" s="14">
        <v>49096</v>
      </c>
      <c r="DT107" s="14">
        <v>49126</v>
      </c>
      <c r="DU107" s="14">
        <v>49157</v>
      </c>
      <c r="DV107" s="14">
        <v>49188</v>
      </c>
      <c r="DW107" s="14">
        <v>49218</v>
      </c>
      <c r="DX107" s="14">
        <v>49249</v>
      </c>
      <c r="DY107" s="14">
        <v>49279</v>
      </c>
      <c r="DZ107" s="14">
        <v>49310</v>
      </c>
      <c r="EA107" s="14">
        <v>49341</v>
      </c>
      <c r="EB107" s="14">
        <v>49369</v>
      </c>
      <c r="EC107" s="14">
        <v>49400</v>
      </c>
      <c r="ED107" s="14">
        <v>49430</v>
      </c>
      <c r="EE107" s="14">
        <v>49461</v>
      </c>
      <c r="EF107" s="14">
        <v>49491</v>
      </c>
      <c r="EG107" s="14">
        <v>49522</v>
      </c>
      <c r="EH107" s="14">
        <v>49553</v>
      </c>
      <c r="EI107" s="14">
        <v>49583</v>
      </c>
      <c r="EJ107" s="14">
        <v>49614</v>
      </c>
      <c r="EK107" s="14">
        <v>49644</v>
      </c>
      <c r="EL107" s="14">
        <v>49675</v>
      </c>
      <c r="EM107" s="14">
        <v>49706</v>
      </c>
      <c r="EN107" s="14">
        <v>49735</v>
      </c>
      <c r="EO107" s="14">
        <v>49766</v>
      </c>
      <c r="EP107" s="14">
        <v>49796</v>
      </c>
      <c r="EQ107" s="14">
        <v>49827</v>
      </c>
      <c r="ER107" s="14">
        <v>49857</v>
      </c>
      <c r="ES107" s="14">
        <v>49888</v>
      </c>
      <c r="ET107" s="14">
        <v>49919</v>
      </c>
      <c r="EU107" s="14">
        <v>49949</v>
      </c>
      <c r="EV107" s="14">
        <v>49980</v>
      </c>
      <c r="EW107" s="14">
        <v>50010</v>
      </c>
      <c r="EX107" s="14">
        <v>50041</v>
      </c>
      <c r="EY107" s="14">
        <v>50072</v>
      </c>
      <c r="EZ107" s="14">
        <v>50100</v>
      </c>
      <c r="FA107" s="14">
        <v>50131</v>
      </c>
      <c r="FB107" s="14">
        <v>50161</v>
      </c>
      <c r="FC107" s="14">
        <v>50192</v>
      </c>
      <c r="FD107" s="14">
        <v>50222</v>
      </c>
      <c r="FE107" s="14">
        <v>50253</v>
      </c>
      <c r="FF107" s="14">
        <v>50284</v>
      </c>
      <c r="FG107" s="14">
        <v>50314</v>
      </c>
      <c r="FH107" s="14">
        <v>50345</v>
      </c>
      <c r="FI107" s="14">
        <v>50375</v>
      </c>
      <c r="FJ107" s="14">
        <v>50406</v>
      </c>
      <c r="FK107" s="14">
        <v>50437</v>
      </c>
      <c r="FL107" s="14">
        <v>50465</v>
      </c>
      <c r="FM107" s="14">
        <v>50496</v>
      </c>
      <c r="FN107" s="14">
        <v>50526</v>
      </c>
      <c r="FO107" s="14">
        <v>50557</v>
      </c>
      <c r="FP107" s="14">
        <v>50587</v>
      </c>
      <c r="FQ107" s="14">
        <v>50618</v>
      </c>
      <c r="FR107" s="14">
        <v>50649</v>
      </c>
      <c r="FS107" s="14">
        <v>50679</v>
      </c>
      <c r="FT107" s="14">
        <v>50710</v>
      </c>
      <c r="FU107" s="14">
        <v>50740</v>
      </c>
      <c r="FV107" s="14">
        <v>50771</v>
      </c>
      <c r="FW107" s="14">
        <v>50802</v>
      </c>
      <c r="FX107" s="14">
        <v>50830</v>
      </c>
      <c r="FY107" s="14">
        <v>50861</v>
      </c>
      <c r="FZ107" s="14">
        <v>50891</v>
      </c>
      <c r="GA107" s="14">
        <v>50922</v>
      </c>
      <c r="GB107" s="14">
        <v>50952</v>
      </c>
      <c r="GC107" s="14">
        <v>50983</v>
      </c>
      <c r="GD107" s="14">
        <v>51014</v>
      </c>
      <c r="GE107" s="14">
        <v>51044</v>
      </c>
      <c r="GF107" s="14">
        <v>51075</v>
      </c>
      <c r="GG107" s="14">
        <v>51105</v>
      </c>
      <c r="GH107" s="14">
        <v>51136</v>
      </c>
      <c r="GI107" s="14">
        <v>51167</v>
      </c>
      <c r="GJ107" s="14">
        <v>51196</v>
      </c>
      <c r="GK107" s="14">
        <v>51227</v>
      </c>
      <c r="GL107" s="14">
        <v>51257</v>
      </c>
      <c r="GM107" s="14">
        <v>51288</v>
      </c>
      <c r="GN107" s="14">
        <v>51318</v>
      </c>
      <c r="GO107" s="14">
        <v>51349</v>
      </c>
      <c r="GP107" s="14">
        <v>51380</v>
      </c>
      <c r="GQ107" s="14">
        <v>51410</v>
      </c>
      <c r="GR107" s="14">
        <v>51441</v>
      </c>
      <c r="GS107" s="14">
        <v>51471</v>
      </c>
      <c r="GT107" s="14">
        <v>51502</v>
      </c>
      <c r="GU107" s="14">
        <v>51533</v>
      </c>
      <c r="GV107" s="14">
        <v>51561</v>
      </c>
      <c r="GW107" s="14">
        <v>51592</v>
      </c>
      <c r="GX107" s="14">
        <v>51622</v>
      </c>
      <c r="GY107" s="14">
        <v>51653</v>
      </c>
      <c r="GZ107" s="14">
        <v>51683</v>
      </c>
      <c r="HA107" s="14">
        <v>51714</v>
      </c>
      <c r="HB107" s="14">
        <v>51745</v>
      </c>
      <c r="HC107" s="14">
        <v>51775</v>
      </c>
      <c r="HD107" s="14">
        <v>51806</v>
      </c>
      <c r="HE107" s="14">
        <v>51836</v>
      </c>
      <c r="HF107" s="14">
        <v>51867</v>
      </c>
      <c r="HG107" s="14">
        <v>51898</v>
      </c>
      <c r="HH107" s="14">
        <v>51926</v>
      </c>
      <c r="HI107" s="14">
        <v>51957</v>
      </c>
      <c r="HJ107" s="14">
        <v>51987</v>
      </c>
      <c r="HK107" s="14">
        <v>52018</v>
      </c>
      <c r="HL107" s="14">
        <v>52048</v>
      </c>
      <c r="HM107" s="14">
        <v>52079</v>
      </c>
      <c r="HN107" s="14">
        <v>52110</v>
      </c>
      <c r="HO107" s="14">
        <v>52140</v>
      </c>
      <c r="HP107" s="14">
        <v>52171</v>
      </c>
      <c r="HQ107" s="14">
        <v>52201</v>
      </c>
      <c r="HR107" s="14">
        <v>52232</v>
      </c>
      <c r="HS107" s="14">
        <v>52263</v>
      </c>
      <c r="HT107" s="14">
        <v>52291</v>
      </c>
      <c r="HU107" s="14">
        <v>52322</v>
      </c>
      <c r="HV107" s="14">
        <v>52352</v>
      </c>
      <c r="HW107" s="14">
        <v>52383</v>
      </c>
      <c r="HX107" s="14">
        <v>52413</v>
      </c>
      <c r="HY107" s="14">
        <v>52444</v>
      </c>
      <c r="HZ107" s="14">
        <v>52475</v>
      </c>
      <c r="IA107" s="14">
        <v>52505</v>
      </c>
      <c r="IB107" s="14">
        <v>52536</v>
      </c>
      <c r="IC107" s="14">
        <v>52566</v>
      </c>
      <c r="ID107" s="14">
        <v>52597</v>
      </c>
      <c r="IE107" s="14">
        <v>52628</v>
      </c>
      <c r="IF107" s="14">
        <v>52657</v>
      </c>
      <c r="IG107" s="14">
        <v>52688</v>
      </c>
      <c r="IH107" s="14">
        <v>52718</v>
      </c>
      <c r="II107" s="14">
        <v>52749</v>
      </c>
      <c r="IJ107" s="14">
        <v>52779</v>
      </c>
    </row>
    <row r="108" spans="1:244" x14ac:dyDescent="0.3">
      <c r="A108" t="s">
        <v>810</v>
      </c>
      <c r="B108" s="33" t="e">
        <f t="shared" ref="B108:B114" si="657">+SUM(E108:GG108)</f>
        <v>#REF!</v>
      </c>
      <c r="C108" s="38" t="e">
        <f>+B108/$B$114</f>
        <v>#REF!</v>
      </c>
      <c r="D108" s="30" t="e">
        <f t="shared" ref="D108:D114" si="658">+B108/$B$115</f>
        <v>#REF!</v>
      </c>
      <c r="E108" s="30" t="e">
        <f>+'Simulacion prestamo'!C101</f>
        <v>#REF!</v>
      </c>
      <c r="F108" s="30" t="e">
        <f>+'Simulacion prestamo'!D101</f>
        <v>#REF!</v>
      </c>
      <c r="G108" s="30" t="e">
        <f>+'Simulacion prestamo'!E101</f>
        <v>#REF!</v>
      </c>
      <c r="H108" s="30" t="e">
        <f>+'Simulacion prestamo'!F101</f>
        <v>#REF!</v>
      </c>
      <c r="I108" s="30" t="e">
        <f>+'Simulacion prestamo'!G101</f>
        <v>#REF!</v>
      </c>
      <c r="J108" s="30" t="e">
        <f>+'Simulacion prestamo'!H101</f>
        <v>#REF!</v>
      </c>
      <c r="K108" s="30" t="e">
        <f>+'Simulacion prestamo'!I101</f>
        <v>#REF!</v>
      </c>
      <c r="L108" s="30" t="e">
        <f>+'Simulacion prestamo'!J101</f>
        <v>#REF!</v>
      </c>
      <c r="M108" s="30" t="e">
        <f>+'Simulacion prestamo'!K101</f>
        <v>#REF!</v>
      </c>
      <c r="N108" s="30" t="e">
        <f>+'Simulacion prestamo'!L101</f>
        <v>#REF!</v>
      </c>
      <c r="O108" s="30" t="e">
        <f>+'Simulacion prestamo'!M101</f>
        <v>#REF!</v>
      </c>
      <c r="P108" s="30" t="e">
        <f>+'Simulacion prestamo'!N101</f>
        <v>#REF!</v>
      </c>
      <c r="Q108" s="30" t="e">
        <f>+'Simulacion prestamo'!O101</f>
        <v>#REF!</v>
      </c>
      <c r="R108" s="30" t="e">
        <f>+'Simulacion prestamo'!P101</f>
        <v>#REF!</v>
      </c>
      <c r="S108" s="30" t="e">
        <f>+'Simulacion prestamo'!Q101</f>
        <v>#REF!</v>
      </c>
      <c r="T108" s="30" t="e">
        <f>+'Simulacion prestamo'!R101</f>
        <v>#REF!</v>
      </c>
      <c r="U108" s="30" t="e">
        <f>+'Simulacion prestamo'!S101</f>
        <v>#REF!</v>
      </c>
      <c r="V108" s="30" t="e">
        <f>+'Simulacion prestamo'!T101</f>
        <v>#REF!</v>
      </c>
      <c r="W108" s="30" t="e">
        <f>+'Simulacion prestamo'!U101</f>
        <v>#REF!</v>
      </c>
      <c r="X108" s="30" t="e">
        <f>+'Simulacion prestamo'!V101</f>
        <v>#REF!</v>
      </c>
      <c r="Y108" s="30" t="e">
        <f>+'Simulacion prestamo'!W101</f>
        <v>#REF!</v>
      </c>
      <c r="Z108" s="30" t="e">
        <f>+'Simulacion prestamo'!X101</f>
        <v>#REF!</v>
      </c>
      <c r="AA108" s="30" t="e">
        <f>+'Simulacion prestamo'!Y101</f>
        <v>#REF!</v>
      </c>
      <c r="AB108" s="30" t="e">
        <f>+'Simulacion prestamo'!Z101</f>
        <v>#REF!</v>
      </c>
      <c r="AC108" s="30" t="e">
        <f>+'Simulacion prestamo'!AA101</f>
        <v>#REF!</v>
      </c>
      <c r="AD108" s="30" t="e">
        <f>+'Simulacion prestamo'!AB101</f>
        <v>#REF!</v>
      </c>
      <c r="AE108" s="30" t="e">
        <f>+'Simulacion prestamo'!AC101</f>
        <v>#REF!</v>
      </c>
      <c r="AF108" s="30" t="e">
        <f>+'Simulacion prestamo'!AD101</f>
        <v>#REF!</v>
      </c>
      <c r="AG108" s="30" t="e">
        <f>+'Simulacion prestamo'!AE101</f>
        <v>#REF!</v>
      </c>
      <c r="AH108" s="30" t="e">
        <f>+'Simulacion prestamo'!AF101</f>
        <v>#REF!</v>
      </c>
      <c r="AI108" s="30" t="e">
        <f>+'Simulacion prestamo'!AG101</f>
        <v>#REF!</v>
      </c>
      <c r="AJ108" s="30" t="e">
        <f>+'Simulacion prestamo'!AH101</f>
        <v>#REF!</v>
      </c>
      <c r="AK108" s="30" t="e">
        <f>+'Simulacion prestamo'!AI101</f>
        <v>#REF!</v>
      </c>
      <c r="AL108" s="30" t="e">
        <f>+'Simulacion prestamo'!AJ101</f>
        <v>#REF!</v>
      </c>
      <c r="AM108" s="30" t="e">
        <f>+'Simulacion prestamo'!AK101</f>
        <v>#REF!</v>
      </c>
      <c r="AN108" s="30" t="e">
        <f>+'Simulacion prestamo'!AL101</f>
        <v>#REF!</v>
      </c>
      <c r="AO108" s="30" t="e">
        <f>+'Simulacion prestamo'!AM101</f>
        <v>#REF!</v>
      </c>
      <c r="AP108" s="30" t="e">
        <f>+'Simulacion prestamo'!AN101</f>
        <v>#REF!</v>
      </c>
      <c r="AQ108" s="30" t="e">
        <f>+'Simulacion prestamo'!AO101</f>
        <v>#REF!</v>
      </c>
      <c r="AR108" s="30" t="e">
        <f>+'Simulacion prestamo'!AP101</f>
        <v>#REF!</v>
      </c>
      <c r="AS108" s="30" t="e">
        <f>+'Simulacion prestamo'!AQ101</f>
        <v>#REF!</v>
      </c>
      <c r="AT108" s="30" t="e">
        <f>+'Simulacion prestamo'!AR101</f>
        <v>#REF!</v>
      </c>
      <c r="AU108" s="30" t="e">
        <f>+'Simulacion prestamo'!AS101</f>
        <v>#REF!</v>
      </c>
      <c r="AV108" s="30" t="e">
        <f>+'Simulacion prestamo'!AT101</f>
        <v>#REF!</v>
      </c>
      <c r="AW108" s="30" t="e">
        <f>+'Simulacion prestamo'!AU101</f>
        <v>#REF!</v>
      </c>
      <c r="AX108" s="30" t="e">
        <f>+'Simulacion prestamo'!AV101</f>
        <v>#REF!</v>
      </c>
      <c r="AY108" s="30" t="e">
        <f>+'Simulacion prestamo'!AW101</f>
        <v>#REF!</v>
      </c>
      <c r="AZ108" s="30" t="e">
        <f>+'Simulacion prestamo'!AX101</f>
        <v>#REF!</v>
      </c>
      <c r="BA108" s="30" t="e">
        <f>+'Simulacion prestamo'!AY101</f>
        <v>#REF!</v>
      </c>
      <c r="BB108" s="30" t="e">
        <f>+'Simulacion prestamo'!AZ101</f>
        <v>#REF!</v>
      </c>
      <c r="BC108" s="30" t="e">
        <f>+'Simulacion prestamo'!BA101</f>
        <v>#REF!</v>
      </c>
      <c r="BD108" s="30" t="e">
        <f>+'Simulacion prestamo'!BB101</f>
        <v>#REF!</v>
      </c>
      <c r="BE108" s="30" t="e">
        <f>+'Simulacion prestamo'!BC101</f>
        <v>#REF!</v>
      </c>
      <c r="BF108" s="30" t="e">
        <f>+'Simulacion prestamo'!BD101</f>
        <v>#REF!</v>
      </c>
      <c r="BG108" s="30" t="e">
        <f>+'Simulacion prestamo'!BE101</f>
        <v>#REF!</v>
      </c>
      <c r="BH108" s="30" t="e">
        <f>+'Simulacion prestamo'!BF101</f>
        <v>#REF!</v>
      </c>
      <c r="BI108" s="30" t="e">
        <f>+'Simulacion prestamo'!BG101</f>
        <v>#REF!</v>
      </c>
      <c r="BJ108" s="30" t="e">
        <f>+'Simulacion prestamo'!BH101</f>
        <v>#REF!</v>
      </c>
      <c r="BK108" s="30" t="e">
        <f>+'Simulacion prestamo'!BI101</f>
        <v>#REF!</v>
      </c>
      <c r="BL108" s="30" t="e">
        <f>+'Simulacion prestamo'!BJ101</f>
        <v>#REF!</v>
      </c>
      <c r="BM108" s="30" t="e">
        <f>+'Simulacion prestamo'!BK101</f>
        <v>#REF!</v>
      </c>
      <c r="BN108" s="30" t="e">
        <f>+'Simulacion prestamo'!BL101</f>
        <v>#REF!</v>
      </c>
      <c r="BO108" s="30" t="e">
        <f>+'Simulacion prestamo'!BM101</f>
        <v>#REF!</v>
      </c>
      <c r="BP108" s="30" t="e">
        <f>+'Simulacion prestamo'!BN101</f>
        <v>#REF!</v>
      </c>
      <c r="BQ108" s="30" t="e">
        <f>+'Simulacion prestamo'!BO101</f>
        <v>#REF!</v>
      </c>
      <c r="BR108" s="30" t="e">
        <f>+'Simulacion prestamo'!BP101</f>
        <v>#REF!</v>
      </c>
      <c r="BS108" s="30" t="e">
        <f>+'Simulacion prestamo'!BQ101</f>
        <v>#REF!</v>
      </c>
      <c r="BT108" s="30" t="e">
        <f>+'Simulacion prestamo'!BR101</f>
        <v>#REF!</v>
      </c>
      <c r="BU108" s="30" t="e">
        <f>+'Simulacion prestamo'!BS101</f>
        <v>#REF!</v>
      </c>
      <c r="BV108" s="30" t="e">
        <f>+'Simulacion prestamo'!BT101</f>
        <v>#REF!</v>
      </c>
      <c r="BW108" s="30" t="e">
        <f>+'Simulacion prestamo'!BU101</f>
        <v>#REF!</v>
      </c>
      <c r="BX108" s="30" t="e">
        <f>+'Simulacion prestamo'!BV101</f>
        <v>#REF!</v>
      </c>
      <c r="BY108" s="30" t="e">
        <f>+'Simulacion prestamo'!BW101</f>
        <v>#REF!</v>
      </c>
      <c r="BZ108" s="30" t="e">
        <f>+'Simulacion prestamo'!BX101</f>
        <v>#REF!</v>
      </c>
      <c r="CA108" s="30" t="e">
        <f>+'Simulacion prestamo'!BY101</f>
        <v>#REF!</v>
      </c>
      <c r="CB108" s="30" t="e">
        <f>+'Simulacion prestamo'!BZ101</f>
        <v>#REF!</v>
      </c>
      <c r="CC108" s="30" t="e">
        <f>+'Simulacion prestamo'!CA101</f>
        <v>#REF!</v>
      </c>
      <c r="CD108" s="30" t="e">
        <f>+'Simulacion prestamo'!CB101</f>
        <v>#REF!</v>
      </c>
      <c r="CE108" s="30" t="e">
        <f>+'Simulacion prestamo'!CC101</f>
        <v>#REF!</v>
      </c>
      <c r="CF108" s="30" t="e">
        <f>+'Simulacion prestamo'!CD101</f>
        <v>#REF!</v>
      </c>
      <c r="CG108" s="30" t="e">
        <f>+'Simulacion prestamo'!CE101</f>
        <v>#REF!</v>
      </c>
      <c r="CH108" s="30" t="e">
        <f>+'Simulacion prestamo'!CF101</f>
        <v>#REF!</v>
      </c>
      <c r="CI108" s="30" t="e">
        <f>+'Simulacion prestamo'!CG101</f>
        <v>#REF!</v>
      </c>
      <c r="CJ108" s="30" t="e">
        <f>+'Simulacion prestamo'!CH101</f>
        <v>#REF!</v>
      </c>
      <c r="CK108" s="30">
        <f>+'Simulacion prestamo'!CI101</f>
        <v>0</v>
      </c>
      <c r="CL108" s="30">
        <f>+'Simulacion prestamo'!CJ101</f>
        <v>0</v>
      </c>
      <c r="CM108" s="30">
        <f>+'Simulacion prestamo'!CK101</f>
        <v>0</v>
      </c>
      <c r="CN108" s="30">
        <f>+'Simulacion prestamo'!CL101</f>
        <v>0</v>
      </c>
      <c r="CO108" s="30">
        <f>+'Simulacion prestamo'!CM101</f>
        <v>0</v>
      </c>
      <c r="CP108" s="30">
        <f>+'Simulacion prestamo'!CN101</f>
        <v>0</v>
      </c>
      <c r="CQ108" s="30">
        <f>+'Simulacion prestamo'!CO101</f>
        <v>0</v>
      </c>
      <c r="CR108" s="30">
        <f>+'Simulacion prestamo'!CP101</f>
        <v>0</v>
      </c>
      <c r="CS108" s="30">
        <f>+'Simulacion prestamo'!CQ101</f>
        <v>0</v>
      </c>
      <c r="CT108" s="30">
        <f>+'Simulacion prestamo'!CR101</f>
        <v>0</v>
      </c>
      <c r="CU108" s="30">
        <f>+'Simulacion prestamo'!CS101</f>
        <v>0</v>
      </c>
      <c r="CV108" s="30">
        <f>+'Simulacion prestamo'!CT101</f>
        <v>0</v>
      </c>
      <c r="CW108" s="30">
        <f>+'Simulacion prestamo'!CU101</f>
        <v>0</v>
      </c>
      <c r="CX108" s="30">
        <f>+'Simulacion prestamo'!CV101</f>
        <v>0</v>
      </c>
      <c r="CY108" s="30">
        <f>+'Simulacion prestamo'!CW101</f>
        <v>0</v>
      </c>
      <c r="CZ108" s="30">
        <f>+'Simulacion prestamo'!CX101</f>
        <v>0</v>
      </c>
      <c r="DA108" s="30">
        <f>+'Simulacion prestamo'!CY101</f>
        <v>0</v>
      </c>
      <c r="DB108" s="30">
        <f>+'Simulacion prestamo'!CZ101</f>
        <v>0</v>
      </c>
      <c r="DC108" s="30">
        <f>+'Simulacion prestamo'!DA101</f>
        <v>0</v>
      </c>
      <c r="DD108" s="30">
        <f>+'Simulacion prestamo'!DB101</f>
        <v>0</v>
      </c>
      <c r="DE108" s="30">
        <f>+'Simulacion prestamo'!DC101</f>
        <v>0</v>
      </c>
      <c r="DF108" s="30">
        <f>+'Simulacion prestamo'!DD101</f>
        <v>0</v>
      </c>
      <c r="DG108" s="30">
        <f>+'Simulacion prestamo'!DE101</f>
        <v>0</v>
      </c>
      <c r="DH108" s="30">
        <f>+'Simulacion prestamo'!DF101</f>
        <v>0</v>
      </c>
      <c r="DI108" s="30">
        <f>+'Simulacion prestamo'!DG101</f>
        <v>0</v>
      </c>
      <c r="DJ108" s="30">
        <f>+'Simulacion prestamo'!DH101</f>
        <v>0</v>
      </c>
      <c r="DK108" s="30">
        <f>+'Simulacion prestamo'!DI101</f>
        <v>0</v>
      </c>
      <c r="DL108" s="30">
        <f>+'Simulacion prestamo'!DJ101</f>
        <v>0</v>
      </c>
      <c r="DM108" s="30">
        <f>+'Simulacion prestamo'!DK101</f>
        <v>0</v>
      </c>
      <c r="DN108" s="30">
        <f>+'Simulacion prestamo'!DL101</f>
        <v>0</v>
      </c>
      <c r="DO108" s="30">
        <f>+'Simulacion prestamo'!DM101</f>
        <v>0</v>
      </c>
      <c r="DP108" s="30">
        <f>+'Simulacion prestamo'!DN101</f>
        <v>0</v>
      </c>
      <c r="DQ108" s="30">
        <f>+'Simulacion prestamo'!DO101</f>
        <v>0</v>
      </c>
      <c r="DR108" s="30">
        <f>+'Simulacion prestamo'!DP101</f>
        <v>0</v>
      </c>
      <c r="DS108" s="30">
        <f>+'Simulacion prestamo'!DQ101</f>
        <v>0</v>
      </c>
      <c r="DT108" s="30">
        <f>+'Simulacion prestamo'!DR101</f>
        <v>0</v>
      </c>
      <c r="DU108" s="30">
        <f>+'Simulacion prestamo'!DS101</f>
        <v>0</v>
      </c>
      <c r="DV108" s="30">
        <f>+'Simulacion prestamo'!DT101</f>
        <v>0</v>
      </c>
      <c r="DW108" s="30">
        <f>+'Simulacion prestamo'!DU101</f>
        <v>0</v>
      </c>
      <c r="DX108" s="30">
        <f>+'Simulacion prestamo'!DV101</f>
        <v>0</v>
      </c>
      <c r="DY108" s="30">
        <f>+'Simulacion prestamo'!DW101</f>
        <v>0</v>
      </c>
      <c r="DZ108" s="30">
        <f>+'Simulacion prestamo'!DX101</f>
        <v>0</v>
      </c>
      <c r="EA108" s="30">
        <f>+'Simulacion prestamo'!DY101</f>
        <v>0</v>
      </c>
      <c r="EB108" s="30">
        <f>+'Simulacion prestamo'!DZ101</f>
        <v>0</v>
      </c>
      <c r="EC108" s="30">
        <f>+'Simulacion prestamo'!EA101</f>
        <v>0</v>
      </c>
      <c r="ED108" s="30">
        <f>+'Simulacion prestamo'!EB101</f>
        <v>0</v>
      </c>
      <c r="EE108" s="30">
        <f>+'Simulacion prestamo'!EC101</f>
        <v>0</v>
      </c>
      <c r="EF108" s="30">
        <f>+'Simulacion prestamo'!ED101</f>
        <v>0</v>
      </c>
      <c r="EG108" s="30">
        <f>+'Simulacion prestamo'!EE101</f>
        <v>0</v>
      </c>
      <c r="EH108" s="30">
        <f>+'Simulacion prestamo'!EF101</f>
        <v>0</v>
      </c>
      <c r="EI108" s="30">
        <f>+'Simulacion prestamo'!EG101</f>
        <v>0</v>
      </c>
      <c r="EJ108" s="30">
        <f>+'Simulacion prestamo'!EH101</f>
        <v>0</v>
      </c>
      <c r="EK108" s="30">
        <f>+'Simulacion prestamo'!EI101</f>
        <v>0</v>
      </c>
      <c r="EL108" s="30">
        <f>+'Simulacion prestamo'!EJ101</f>
        <v>0</v>
      </c>
      <c r="EM108" s="30">
        <f>+'Simulacion prestamo'!EK101</f>
        <v>0</v>
      </c>
      <c r="EN108" s="30">
        <f>+'Simulacion prestamo'!EL101</f>
        <v>0</v>
      </c>
      <c r="EO108" s="30">
        <f>+'Simulacion prestamo'!EM101</f>
        <v>0</v>
      </c>
      <c r="EP108" s="30">
        <f>+'Simulacion prestamo'!EN101</f>
        <v>0</v>
      </c>
      <c r="EQ108" s="30">
        <f>+'Simulacion prestamo'!EO101</f>
        <v>0</v>
      </c>
      <c r="ER108" s="30">
        <f>+'Simulacion prestamo'!EP101</f>
        <v>0</v>
      </c>
      <c r="ES108" s="30">
        <f>+'Simulacion prestamo'!EQ101</f>
        <v>0</v>
      </c>
      <c r="ET108" s="30">
        <f>+'Simulacion prestamo'!ER101</f>
        <v>0</v>
      </c>
      <c r="EU108" s="30">
        <f>+'Simulacion prestamo'!ES101</f>
        <v>0</v>
      </c>
      <c r="EV108" s="30">
        <f>+'Simulacion prestamo'!ET101</f>
        <v>0</v>
      </c>
      <c r="EW108" s="30">
        <f>+'Simulacion prestamo'!EU101</f>
        <v>0</v>
      </c>
      <c r="EX108" s="30">
        <f>+'Simulacion prestamo'!EV101</f>
        <v>0</v>
      </c>
      <c r="EY108" s="30">
        <f>+'Simulacion prestamo'!EW101</f>
        <v>0</v>
      </c>
      <c r="EZ108" s="30">
        <f>+'Simulacion prestamo'!EX101</f>
        <v>0</v>
      </c>
      <c r="FA108" s="30">
        <f>+'Simulacion prestamo'!EY101</f>
        <v>0</v>
      </c>
      <c r="FB108" s="30">
        <f>+'Simulacion prestamo'!EZ101</f>
        <v>0</v>
      </c>
      <c r="FC108" s="30">
        <f>+'Simulacion prestamo'!FA101</f>
        <v>0</v>
      </c>
      <c r="FD108" s="30">
        <f>+'Simulacion prestamo'!FB101</f>
        <v>0</v>
      </c>
      <c r="FE108" s="30">
        <f>+'Simulacion prestamo'!FC101</f>
        <v>0</v>
      </c>
      <c r="FF108" s="30">
        <f>+'Simulacion prestamo'!FD101</f>
        <v>0</v>
      </c>
      <c r="FG108" s="30">
        <f>+'Simulacion prestamo'!FE101</f>
        <v>0</v>
      </c>
      <c r="FH108" s="30">
        <f>+'Simulacion prestamo'!FF101</f>
        <v>0</v>
      </c>
      <c r="FI108" s="30">
        <f>+'Simulacion prestamo'!FG101</f>
        <v>0</v>
      </c>
      <c r="FJ108" s="30">
        <f>+'Simulacion prestamo'!FH101</f>
        <v>0</v>
      </c>
      <c r="FK108" s="30">
        <f>+'Simulacion prestamo'!FI101</f>
        <v>0</v>
      </c>
      <c r="FL108" s="30">
        <f>+'Simulacion prestamo'!FJ101</f>
        <v>0</v>
      </c>
      <c r="FM108" s="30">
        <f>+'Simulacion prestamo'!FK101</f>
        <v>0</v>
      </c>
      <c r="FN108" s="30">
        <f>+'Simulacion prestamo'!FL101</f>
        <v>0</v>
      </c>
      <c r="FO108" s="30">
        <f>+'Simulacion prestamo'!FM101</f>
        <v>0</v>
      </c>
      <c r="FP108" s="30">
        <f>+'Simulacion prestamo'!FN101</f>
        <v>0</v>
      </c>
      <c r="FQ108" s="30">
        <f>+'Simulacion prestamo'!FO101</f>
        <v>0</v>
      </c>
      <c r="FR108" s="30">
        <f>+'Simulacion prestamo'!FP101</f>
        <v>0</v>
      </c>
      <c r="FS108" s="30">
        <f>+'Simulacion prestamo'!FQ101</f>
        <v>0</v>
      </c>
      <c r="FT108" s="30">
        <f>+'Simulacion prestamo'!FR101</f>
        <v>0</v>
      </c>
      <c r="FU108" s="30">
        <f>+'Simulacion prestamo'!FS101</f>
        <v>0</v>
      </c>
      <c r="FV108" s="30">
        <f>+'Simulacion prestamo'!FT101</f>
        <v>0</v>
      </c>
      <c r="FW108" s="30">
        <f>+'Simulacion prestamo'!FU101</f>
        <v>0</v>
      </c>
      <c r="FX108" s="30">
        <f>+'Simulacion prestamo'!FV101</f>
        <v>0</v>
      </c>
      <c r="FY108" s="30">
        <f>+'Simulacion prestamo'!FW101</f>
        <v>0</v>
      </c>
      <c r="FZ108" s="30">
        <f>+'Simulacion prestamo'!FX101</f>
        <v>0</v>
      </c>
      <c r="GA108" s="30">
        <f>+'Simulacion prestamo'!FY101</f>
        <v>0</v>
      </c>
      <c r="GB108" s="30">
        <f>+'Simulacion prestamo'!FZ101</f>
        <v>0</v>
      </c>
      <c r="GC108" s="30">
        <f>+'Simulacion prestamo'!GA101</f>
        <v>0</v>
      </c>
      <c r="GD108" s="30">
        <f>+'Simulacion prestamo'!GB101</f>
        <v>0</v>
      </c>
      <c r="GE108" s="30">
        <f>+'Simulacion prestamo'!GC101</f>
        <v>0</v>
      </c>
      <c r="GF108" s="30">
        <f>+'Simulacion prestamo'!GD101</f>
        <v>0</v>
      </c>
      <c r="GG108" s="30">
        <f>+'Simulacion prestamo'!GE101</f>
        <v>0</v>
      </c>
      <c r="GH108" s="30">
        <f>+'Simulacion prestamo'!GF101</f>
        <v>0</v>
      </c>
      <c r="GI108" s="30">
        <f>+'Simulacion prestamo'!GG101</f>
        <v>0</v>
      </c>
      <c r="GJ108" s="30">
        <f>+'Simulacion prestamo'!GH101</f>
        <v>0</v>
      </c>
      <c r="GK108" s="30">
        <f>+'Simulacion prestamo'!GI101</f>
        <v>0</v>
      </c>
      <c r="GL108" s="30">
        <f>+'Simulacion prestamo'!GJ101</f>
        <v>0</v>
      </c>
      <c r="GM108" s="30">
        <f>+'Simulacion prestamo'!GK101</f>
        <v>0</v>
      </c>
      <c r="GN108" s="30">
        <f>+'Simulacion prestamo'!GL101</f>
        <v>0</v>
      </c>
      <c r="GO108" s="30">
        <f>+'Simulacion prestamo'!GM101</f>
        <v>0</v>
      </c>
      <c r="GP108" s="30">
        <f>+'Simulacion prestamo'!GN101</f>
        <v>0</v>
      </c>
      <c r="GQ108" s="30">
        <f>+'Simulacion prestamo'!GO101</f>
        <v>0</v>
      </c>
      <c r="GR108" s="30">
        <f>+'Simulacion prestamo'!GP101</f>
        <v>0</v>
      </c>
      <c r="GS108" s="30">
        <f>+'Simulacion prestamo'!GQ101</f>
        <v>0</v>
      </c>
      <c r="GT108" s="30">
        <f>+'Simulacion prestamo'!GR101</f>
        <v>0</v>
      </c>
      <c r="GU108" s="30">
        <f>+'Simulacion prestamo'!GS101</f>
        <v>0</v>
      </c>
      <c r="GV108" s="30">
        <f>+'Simulacion prestamo'!GT101</f>
        <v>0</v>
      </c>
      <c r="GW108" s="30">
        <f>+'Simulacion prestamo'!GU101</f>
        <v>0</v>
      </c>
      <c r="GX108" s="30">
        <f>+'Simulacion prestamo'!GV101</f>
        <v>0</v>
      </c>
      <c r="GY108" s="30">
        <f>+'Simulacion prestamo'!GW101</f>
        <v>0</v>
      </c>
      <c r="GZ108" s="30">
        <f>+'Simulacion prestamo'!GX101</f>
        <v>0</v>
      </c>
      <c r="HA108" s="30">
        <f>+'Simulacion prestamo'!GY101</f>
        <v>0</v>
      </c>
      <c r="HB108" s="30">
        <f>+'Simulacion prestamo'!GZ101</f>
        <v>0</v>
      </c>
      <c r="HC108" s="30">
        <f>+'Simulacion prestamo'!HA101</f>
        <v>0</v>
      </c>
      <c r="HD108" s="30">
        <f>+'Simulacion prestamo'!HB101</f>
        <v>0</v>
      </c>
      <c r="HE108" s="30">
        <f>+'Simulacion prestamo'!HC101</f>
        <v>0</v>
      </c>
      <c r="HF108" s="30">
        <f>+'Simulacion prestamo'!HD101</f>
        <v>0</v>
      </c>
      <c r="HG108" s="30">
        <f>+'Simulacion prestamo'!HE101</f>
        <v>0</v>
      </c>
      <c r="HH108" s="30">
        <f>+'Simulacion prestamo'!HF101</f>
        <v>0</v>
      </c>
      <c r="HI108" s="30">
        <f>+'Simulacion prestamo'!HG101</f>
        <v>0</v>
      </c>
      <c r="HJ108" s="30">
        <f>+'Simulacion prestamo'!HH101</f>
        <v>0</v>
      </c>
      <c r="HK108" s="30">
        <f>+'Simulacion prestamo'!HI101</f>
        <v>0</v>
      </c>
      <c r="HL108" s="30">
        <f>+'Simulacion prestamo'!HJ101</f>
        <v>0</v>
      </c>
      <c r="HM108" s="30">
        <f>+'Simulacion prestamo'!HK101</f>
        <v>0</v>
      </c>
      <c r="HN108" s="30">
        <f>+'Simulacion prestamo'!HL101</f>
        <v>0</v>
      </c>
      <c r="HO108" s="30">
        <f>+'Simulacion prestamo'!HM101</f>
        <v>0</v>
      </c>
      <c r="HP108" s="30">
        <f>+'Simulacion prestamo'!HN101</f>
        <v>0</v>
      </c>
      <c r="HQ108" s="30">
        <f>+'Simulacion prestamo'!HO101</f>
        <v>0</v>
      </c>
      <c r="HR108" s="30">
        <f>+'Simulacion prestamo'!HP101</f>
        <v>0</v>
      </c>
      <c r="HS108" s="30">
        <f>+'Simulacion prestamo'!HQ101</f>
        <v>0</v>
      </c>
      <c r="HT108" s="30">
        <f>+'Simulacion prestamo'!HR101</f>
        <v>0</v>
      </c>
      <c r="HU108" s="30">
        <f>+'Simulacion prestamo'!HS101</f>
        <v>0</v>
      </c>
      <c r="HV108" s="30">
        <f>+'Simulacion prestamo'!HT101</f>
        <v>0</v>
      </c>
      <c r="HW108" s="30">
        <f>+'Simulacion prestamo'!HU101</f>
        <v>0</v>
      </c>
      <c r="HX108" s="30">
        <f>+'Simulacion prestamo'!HV101</f>
        <v>0</v>
      </c>
      <c r="HY108" s="30">
        <f>+'Simulacion prestamo'!HW101</f>
        <v>0</v>
      </c>
      <c r="HZ108" s="30">
        <f>+'Simulacion prestamo'!HX101</f>
        <v>0</v>
      </c>
      <c r="IA108" s="30">
        <f>+'Simulacion prestamo'!HY101</f>
        <v>0</v>
      </c>
      <c r="IB108" s="30">
        <f>+'Simulacion prestamo'!HZ101</f>
        <v>0</v>
      </c>
      <c r="IC108" s="30">
        <f>+'Simulacion prestamo'!IA101</f>
        <v>0</v>
      </c>
      <c r="ID108" s="30">
        <f>+'Simulacion prestamo'!IB101</f>
        <v>0</v>
      </c>
      <c r="IE108" s="30">
        <f>+'Simulacion prestamo'!IC101</f>
        <v>0</v>
      </c>
      <c r="IF108" s="30">
        <f>+'Simulacion prestamo'!ID101</f>
        <v>0</v>
      </c>
      <c r="IG108" s="30">
        <f>+'Simulacion prestamo'!IE101</f>
        <v>0</v>
      </c>
      <c r="IH108" s="30">
        <f>+'Simulacion prestamo'!IF101</f>
        <v>0</v>
      </c>
      <c r="II108" s="30">
        <f>+'Simulacion prestamo'!IG101</f>
        <v>0</v>
      </c>
      <c r="IJ108" s="30">
        <f>+'Simulacion prestamo'!IH101</f>
        <v>0</v>
      </c>
    </row>
    <row r="109" spans="1:244" x14ac:dyDescent="0.3">
      <c r="A109" t="s">
        <v>811</v>
      </c>
      <c r="B109" s="33" t="e">
        <f t="shared" si="657"/>
        <v>#REF!</v>
      </c>
      <c r="C109" s="38" t="e">
        <f t="shared" ref="C109:C113" si="659">+B109/$B$114</f>
        <v>#REF!</v>
      </c>
      <c r="D109" s="30" t="e">
        <f t="shared" si="658"/>
        <v>#REF!</v>
      </c>
      <c r="E109" s="30" t="e">
        <f>+'Simulacion prestamo'!C100</f>
        <v>#REF!</v>
      </c>
      <c r="F109" s="30" t="e">
        <f>+'Simulacion prestamo'!D100</f>
        <v>#REF!</v>
      </c>
      <c r="G109" s="30" t="e">
        <f>+'Simulacion prestamo'!E100</f>
        <v>#REF!</v>
      </c>
      <c r="H109" s="30" t="e">
        <f>+'Simulacion prestamo'!F100</f>
        <v>#REF!</v>
      </c>
      <c r="I109" s="30" t="e">
        <f>+'Simulacion prestamo'!G100</f>
        <v>#REF!</v>
      </c>
      <c r="J109" s="30" t="e">
        <f>+'Simulacion prestamo'!H100</f>
        <v>#REF!</v>
      </c>
      <c r="K109" s="30" t="e">
        <f>+'Simulacion prestamo'!I100</f>
        <v>#REF!</v>
      </c>
      <c r="L109" s="30" t="e">
        <f>+'Simulacion prestamo'!J100</f>
        <v>#REF!</v>
      </c>
      <c r="M109" s="30" t="e">
        <f>+'Simulacion prestamo'!K100</f>
        <v>#REF!</v>
      </c>
      <c r="N109" s="30" t="e">
        <f>+'Simulacion prestamo'!L100</f>
        <v>#REF!</v>
      </c>
      <c r="O109" s="30" t="e">
        <f>+'Simulacion prestamo'!M100</f>
        <v>#REF!</v>
      </c>
      <c r="P109" s="30" t="e">
        <f>+'Simulacion prestamo'!N100</f>
        <v>#REF!</v>
      </c>
      <c r="Q109" s="30" t="e">
        <f>+'Simulacion prestamo'!O100</f>
        <v>#REF!</v>
      </c>
      <c r="R109" s="30" t="e">
        <f>+'Simulacion prestamo'!P100</f>
        <v>#REF!</v>
      </c>
      <c r="S109" s="30" t="e">
        <f>+'Simulacion prestamo'!Q100</f>
        <v>#REF!</v>
      </c>
      <c r="T109" s="30" t="e">
        <f>+'Simulacion prestamo'!R100</f>
        <v>#REF!</v>
      </c>
      <c r="U109" s="30" t="e">
        <f>+'Simulacion prestamo'!S100</f>
        <v>#REF!</v>
      </c>
      <c r="V109" s="30" t="e">
        <f>+'Simulacion prestamo'!T100</f>
        <v>#REF!</v>
      </c>
      <c r="W109" s="30" t="e">
        <f>+'Simulacion prestamo'!U100</f>
        <v>#REF!</v>
      </c>
      <c r="X109" s="30" t="e">
        <f>+'Simulacion prestamo'!V100</f>
        <v>#REF!</v>
      </c>
      <c r="Y109" s="30" t="e">
        <f>+'Simulacion prestamo'!W100</f>
        <v>#REF!</v>
      </c>
      <c r="Z109" s="30" t="e">
        <f>+'Simulacion prestamo'!X100</f>
        <v>#REF!</v>
      </c>
      <c r="AA109" s="30" t="e">
        <f>+'Simulacion prestamo'!Y100</f>
        <v>#REF!</v>
      </c>
      <c r="AB109" s="30" t="e">
        <f>+'Simulacion prestamo'!Z100</f>
        <v>#REF!</v>
      </c>
      <c r="AC109" s="30" t="e">
        <f>+'Simulacion prestamo'!AA100</f>
        <v>#REF!</v>
      </c>
      <c r="AD109" s="30" t="e">
        <f>+'Simulacion prestamo'!AB100</f>
        <v>#REF!</v>
      </c>
      <c r="AE109" s="30" t="e">
        <f>+'Simulacion prestamo'!AC100</f>
        <v>#REF!</v>
      </c>
      <c r="AF109" s="30" t="e">
        <f>+'Simulacion prestamo'!AD100</f>
        <v>#REF!</v>
      </c>
      <c r="AG109" s="30" t="e">
        <f>+'Simulacion prestamo'!AE100</f>
        <v>#REF!</v>
      </c>
      <c r="AH109" s="30" t="e">
        <f>+'Simulacion prestamo'!AF100</f>
        <v>#REF!</v>
      </c>
      <c r="AI109" s="30" t="e">
        <f>+'Simulacion prestamo'!AG100</f>
        <v>#REF!</v>
      </c>
      <c r="AJ109" s="30" t="e">
        <f>+'Simulacion prestamo'!AH100</f>
        <v>#REF!</v>
      </c>
      <c r="AK109" s="30" t="e">
        <f>+'Simulacion prestamo'!AI100</f>
        <v>#REF!</v>
      </c>
      <c r="AL109" s="30" t="e">
        <f>+'Simulacion prestamo'!AJ100</f>
        <v>#REF!</v>
      </c>
      <c r="AM109" s="30" t="e">
        <f>+'Simulacion prestamo'!AK100</f>
        <v>#REF!</v>
      </c>
      <c r="AN109" s="30" t="e">
        <f>+'Simulacion prestamo'!AL100</f>
        <v>#REF!</v>
      </c>
      <c r="AO109" s="30" t="e">
        <f>+'Simulacion prestamo'!AM100</f>
        <v>#REF!</v>
      </c>
      <c r="AP109" s="30" t="e">
        <f>+'Simulacion prestamo'!AN100</f>
        <v>#REF!</v>
      </c>
      <c r="AQ109" s="30" t="e">
        <f>+'Simulacion prestamo'!AO100</f>
        <v>#REF!</v>
      </c>
      <c r="AR109" s="30" t="e">
        <f>+'Simulacion prestamo'!AP100</f>
        <v>#REF!</v>
      </c>
      <c r="AS109" s="30" t="e">
        <f>+'Simulacion prestamo'!AQ100</f>
        <v>#REF!</v>
      </c>
      <c r="AT109" s="30" t="e">
        <f>+'Simulacion prestamo'!AR100</f>
        <v>#REF!</v>
      </c>
      <c r="AU109" s="30" t="e">
        <f>+'Simulacion prestamo'!AS100</f>
        <v>#REF!</v>
      </c>
      <c r="AV109" s="30" t="e">
        <f>+'Simulacion prestamo'!AT100</f>
        <v>#REF!</v>
      </c>
      <c r="AW109" s="30" t="e">
        <f>+'Simulacion prestamo'!AU100</f>
        <v>#REF!</v>
      </c>
      <c r="AX109" s="30" t="e">
        <f>+'Simulacion prestamo'!AV100</f>
        <v>#REF!</v>
      </c>
      <c r="AY109" s="30" t="e">
        <f>+'Simulacion prestamo'!AW100</f>
        <v>#REF!</v>
      </c>
      <c r="AZ109" s="30" t="e">
        <f>+'Simulacion prestamo'!AX100</f>
        <v>#REF!</v>
      </c>
      <c r="BA109" s="30" t="e">
        <f>+'Simulacion prestamo'!AY100</f>
        <v>#REF!</v>
      </c>
      <c r="BB109" s="30" t="e">
        <f>+'Simulacion prestamo'!AZ100</f>
        <v>#REF!</v>
      </c>
      <c r="BC109" s="30" t="e">
        <f>+'Simulacion prestamo'!BA100</f>
        <v>#REF!</v>
      </c>
      <c r="BD109" s="30" t="e">
        <f>+'Simulacion prestamo'!BB100</f>
        <v>#REF!</v>
      </c>
      <c r="BE109" s="30" t="e">
        <f>+'Simulacion prestamo'!BC100</f>
        <v>#REF!</v>
      </c>
      <c r="BF109" s="30" t="e">
        <f>+'Simulacion prestamo'!BD100</f>
        <v>#REF!</v>
      </c>
      <c r="BG109" s="30" t="e">
        <f>+'Simulacion prestamo'!BE100</f>
        <v>#REF!</v>
      </c>
      <c r="BH109" s="30" t="e">
        <f>+'Simulacion prestamo'!BF100</f>
        <v>#REF!</v>
      </c>
      <c r="BI109" s="30" t="e">
        <f>+'Simulacion prestamo'!BG100</f>
        <v>#REF!</v>
      </c>
      <c r="BJ109" s="30" t="e">
        <f>+'Simulacion prestamo'!BH100</f>
        <v>#REF!</v>
      </c>
      <c r="BK109" s="30" t="e">
        <f>+'Simulacion prestamo'!BI100</f>
        <v>#REF!</v>
      </c>
      <c r="BL109" s="30" t="e">
        <f>+'Simulacion prestamo'!BJ100</f>
        <v>#REF!</v>
      </c>
      <c r="BM109" s="30" t="e">
        <f>+'Simulacion prestamo'!BK100</f>
        <v>#REF!</v>
      </c>
      <c r="BN109" s="30" t="e">
        <f>+'Simulacion prestamo'!BL100</f>
        <v>#REF!</v>
      </c>
      <c r="BO109" s="30" t="e">
        <f>+'Simulacion prestamo'!BM100</f>
        <v>#REF!</v>
      </c>
      <c r="BP109" s="30" t="e">
        <f>+'Simulacion prestamo'!BN100</f>
        <v>#REF!</v>
      </c>
      <c r="BQ109" s="30" t="e">
        <f>+'Simulacion prestamo'!BO100</f>
        <v>#REF!</v>
      </c>
      <c r="BR109" s="30" t="e">
        <f>+'Simulacion prestamo'!BP100</f>
        <v>#REF!</v>
      </c>
      <c r="BS109" s="30" t="e">
        <f>+'Simulacion prestamo'!BQ100</f>
        <v>#REF!</v>
      </c>
      <c r="BT109" s="30" t="e">
        <f>+'Simulacion prestamo'!BR100</f>
        <v>#REF!</v>
      </c>
      <c r="BU109" s="30" t="e">
        <f>+'Simulacion prestamo'!BS100</f>
        <v>#REF!</v>
      </c>
      <c r="BV109" s="30" t="e">
        <f>+'Simulacion prestamo'!BT100</f>
        <v>#REF!</v>
      </c>
      <c r="BW109" s="30" t="e">
        <f>+'Simulacion prestamo'!BU100</f>
        <v>#REF!</v>
      </c>
      <c r="BX109" s="30" t="e">
        <f>+'Simulacion prestamo'!BV100</f>
        <v>#REF!</v>
      </c>
      <c r="BY109" s="30" t="e">
        <f>+'Simulacion prestamo'!BW100</f>
        <v>#REF!</v>
      </c>
      <c r="BZ109" s="30" t="e">
        <f>+'Simulacion prestamo'!BX100</f>
        <v>#REF!</v>
      </c>
      <c r="CA109" s="30" t="e">
        <f>+'Simulacion prestamo'!BY100</f>
        <v>#REF!</v>
      </c>
      <c r="CB109" s="30" t="e">
        <f>+'Simulacion prestamo'!BZ100</f>
        <v>#REF!</v>
      </c>
      <c r="CC109" s="30" t="e">
        <f>+'Simulacion prestamo'!CA100</f>
        <v>#REF!</v>
      </c>
      <c r="CD109" s="30" t="e">
        <f>+'Simulacion prestamo'!CB100</f>
        <v>#REF!</v>
      </c>
      <c r="CE109" s="30" t="e">
        <f>+'Simulacion prestamo'!CC100</f>
        <v>#REF!</v>
      </c>
      <c r="CF109" s="30" t="e">
        <f>+'Simulacion prestamo'!CD100</f>
        <v>#REF!</v>
      </c>
      <c r="CG109" s="30" t="e">
        <f>+'Simulacion prestamo'!CE100</f>
        <v>#REF!</v>
      </c>
      <c r="CH109" s="30" t="e">
        <f>+'Simulacion prestamo'!CF100</f>
        <v>#REF!</v>
      </c>
      <c r="CI109" s="30" t="e">
        <f>+'Simulacion prestamo'!CG100</f>
        <v>#REF!</v>
      </c>
      <c r="CJ109" s="30" t="e">
        <f>+'Simulacion prestamo'!CH100</f>
        <v>#REF!</v>
      </c>
      <c r="CK109" s="30">
        <f>+'Simulacion prestamo'!CI100</f>
        <v>0</v>
      </c>
      <c r="CL109" s="30">
        <f>+'Simulacion prestamo'!CJ100</f>
        <v>0</v>
      </c>
      <c r="CM109" s="30">
        <f>+'Simulacion prestamo'!CK100</f>
        <v>0</v>
      </c>
      <c r="CN109" s="30">
        <f>+'Simulacion prestamo'!CL100</f>
        <v>0</v>
      </c>
      <c r="CO109" s="30">
        <f>+'Simulacion prestamo'!CM100</f>
        <v>0</v>
      </c>
      <c r="CP109" s="30">
        <f>+'Simulacion prestamo'!CN100</f>
        <v>0</v>
      </c>
      <c r="CQ109" s="30">
        <f>+'Simulacion prestamo'!CO100</f>
        <v>0</v>
      </c>
      <c r="CR109" s="30">
        <f>+'Simulacion prestamo'!CP100</f>
        <v>0</v>
      </c>
      <c r="CS109" s="30">
        <f>+'Simulacion prestamo'!CQ100</f>
        <v>0</v>
      </c>
      <c r="CT109" s="30">
        <f>+'Simulacion prestamo'!CR100</f>
        <v>0</v>
      </c>
      <c r="CU109" s="30">
        <f>+'Simulacion prestamo'!CS100</f>
        <v>0</v>
      </c>
      <c r="CV109" s="30">
        <f>+'Simulacion prestamo'!CT100</f>
        <v>0</v>
      </c>
      <c r="CW109" s="30">
        <f>+'Simulacion prestamo'!CU100</f>
        <v>0</v>
      </c>
      <c r="CX109" s="30">
        <f>+'Simulacion prestamo'!CV100</f>
        <v>0</v>
      </c>
      <c r="CY109" s="30">
        <f>+'Simulacion prestamo'!CW100</f>
        <v>0</v>
      </c>
      <c r="CZ109" s="30">
        <f>+'Simulacion prestamo'!CX100</f>
        <v>0</v>
      </c>
      <c r="DA109" s="30">
        <f>+'Simulacion prestamo'!CY100</f>
        <v>0</v>
      </c>
      <c r="DB109" s="30">
        <f>+'Simulacion prestamo'!CZ100</f>
        <v>0</v>
      </c>
      <c r="DC109" s="30">
        <f>+'Simulacion prestamo'!DA100</f>
        <v>0</v>
      </c>
      <c r="DD109" s="30">
        <f>+'Simulacion prestamo'!DB100</f>
        <v>0</v>
      </c>
      <c r="DE109" s="30">
        <f>+'Simulacion prestamo'!DC100</f>
        <v>0</v>
      </c>
      <c r="DF109" s="30">
        <f>+'Simulacion prestamo'!DD100</f>
        <v>0</v>
      </c>
      <c r="DG109" s="30">
        <f>+'Simulacion prestamo'!DE100</f>
        <v>0</v>
      </c>
      <c r="DH109" s="30">
        <f>+'Simulacion prestamo'!DF100</f>
        <v>0</v>
      </c>
      <c r="DI109" s="30">
        <f>+'Simulacion prestamo'!DG100</f>
        <v>0</v>
      </c>
      <c r="DJ109" s="30">
        <f>+'Simulacion prestamo'!DH100</f>
        <v>0</v>
      </c>
      <c r="DK109" s="30">
        <f>+'Simulacion prestamo'!DI100</f>
        <v>0</v>
      </c>
      <c r="DL109" s="30">
        <f>+'Simulacion prestamo'!DJ100</f>
        <v>0</v>
      </c>
      <c r="DM109" s="30">
        <f>+'Simulacion prestamo'!DK100</f>
        <v>0</v>
      </c>
      <c r="DN109" s="30">
        <f>+'Simulacion prestamo'!DL100</f>
        <v>0</v>
      </c>
      <c r="DO109" s="30">
        <f>+'Simulacion prestamo'!DM100</f>
        <v>0</v>
      </c>
      <c r="DP109" s="30">
        <f>+'Simulacion prestamo'!DN100</f>
        <v>0</v>
      </c>
      <c r="DQ109" s="30">
        <f>+'Simulacion prestamo'!DO100</f>
        <v>0</v>
      </c>
      <c r="DR109" s="30">
        <f>+'Simulacion prestamo'!DP100</f>
        <v>0</v>
      </c>
      <c r="DS109" s="30">
        <f>+'Simulacion prestamo'!DQ100</f>
        <v>0</v>
      </c>
      <c r="DT109" s="30">
        <f>+'Simulacion prestamo'!DR100</f>
        <v>0</v>
      </c>
      <c r="DU109" s="30">
        <f>+'Simulacion prestamo'!DS100</f>
        <v>0</v>
      </c>
      <c r="DV109" s="30">
        <f>+'Simulacion prestamo'!DT100</f>
        <v>0</v>
      </c>
      <c r="DW109" s="30">
        <f>+'Simulacion prestamo'!DU100</f>
        <v>0</v>
      </c>
      <c r="DX109" s="30">
        <f>+'Simulacion prestamo'!DV100</f>
        <v>0</v>
      </c>
      <c r="DY109" s="30">
        <f>+'Simulacion prestamo'!DW100</f>
        <v>0</v>
      </c>
      <c r="DZ109" s="30">
        <f>+'Simulacion prestamo'!DX100</f>
        <v>0</v>
      </c>
      <c r="EA109" s="30">
        <f>+'Simulacion prestamo'!DY100</f>
        <v>0</v>
      </c>
      <c r="EB109" s="30">
        <f>+'Simulacion prestamo'!DZ100</f>
        <v>0</v>
      </c>
      <c r="EC109" s="30">
        <f>+'Simulacion prestamo'!EA100</f>
        <v>0</v>
      </c>
      <c r="ED109" s="30">
        <f>+'Simulacion prestamo'!EB100</f>
        <v>0</v>
      </c>
      <c r="EE109" s="30">
        <f>+'Simulacion prestamo'!EC100</f>
        <v>0</v>
      </c>
      <c r="EF109" s="30">
        <f>+'Simulacion prestamo'!ED100</f>
        <v>0</v>
      </c>
      <c r="EG109" s="30">
        <f>+'Simulacion prestamo'!EE100</f>
        <v>0</v>
      </c>
      <c r="EH109" s="30">
        <f>+'Simulacion prestamo'!EF100</f>
        <v>0</v>
      </c>
      <c r="EI109" s="30">
        <f>+'Simulacion prestamo'!EG100</f>
        <v>0</v>
      </c>
      <c r="EJ109" s="30">
        <f>+'Simulacion prestamo'!EH100</f>
        <v>0</v>
      </c>
      <c r="EK109" s="30">
        <f>+'Simulacion prestamo'!EI100</f>
        <v>0</v>
      </c>
      <c r="EL109" s="30">
        <f>+'Simulacion prestamo'!EJ100</f>
        <v>0</v>
      </c>
      <c r="EM109" s="30">
        <f>+'Simulacion prestamo'!EK100</f>
        <v>0</v>
      </c>
      <c r="EN109" s="30">
        <f>+'Simulacion prestamo'!EL100</f>
        <v>0</v>
      </c>
      <c r="EO109" s="30">
        <f>+'Simulacion prestamo'!EM100</f>
        <v>0</v>
      </c>
      <c r="EP109" s="30">
        <f>+'Simulacion prestamo'!EN100</f>
        <v>0</v>
      </c>
      <c r="EQ109" s="30">
        <f>+'Simulacion prestamo'!EO100</f>
        <v>0</v>
      </c>
      <c r="ER109" s="30">
        <f>+'Simulacion prestamo'!EP100</f>
        <v>0</v>
      </c>
      <c r="ES109" s="30">
        <f>+'Simulacion prestamo'!EQ100</f>
        <v>0</v>
      </c>
      <c r="ET109" s="30">
        <f>+'Simulacion prestamo'!ER100</f>
        <v>0</v>
      </c>
      <c r="EU109" s="30">
        <f>+'Simulacion prestamo'!ES100</f>
        <v>0</v>
      </c>
      <c r="EV109" s="30">
        <f>+'Simulacion prestamo'!ET100</f>
        <v>0</v>
      </c>
      <c r="EW109" s="30">
        <f>+'Simulacion prestamo'!EU100</f>
        <v>0</v>
      </c>
      <c r="EX109" s="30">
        <f>+'Simulacion prestamo'!EV100</f>
        <v>0</v>
      </c>
      <c r="EY109" s="30">
        <f>+'Simulacion prestamo'!EW100</f>
        <v>0</v>
      </c>
      <c r="EZ109" s="30">
        <f>+'Simulacion prestamo'!EX100</f>
        <v>0</v>
      </c>
      <c r="FA109" s="30">
        <f>+'Simulacion prestamo'!EY100</f>
        <v>0</v>
      </c>
      <c r="FB109" s="30">
        <f>+'Simulacion prestamo'!EZ100</f>
        <v>0</v>
      </c>
      <c r="FC109" s="30">
        <f>+'Simulacion prestamo'!FA100</f>
        <v>0</v>
      </c>
      <c r="FD109" s="30">
        <f>+'Simulacion prestamo'!FB100</f>
        <v>0</v>
      </c>
      <c r="FE109" s="30">
        <f>+'Simulacion prestamo'!FC100</f>
        <v>0</v>
      </c>
      <c r="FF109" s="30">
        <f>+'Simulacion prestamo'!FD100</f>
        <v>0</v>
      </c>
      <c r="FG109" s="30">
        <f>+'Simulacion prestamo'!FE100</f>
        <v>0</v>
      </c>
      <c r="FH109" s="30">
        <f>+'Simulacion prestamo'!FF100</f>
        <v>0</v>
      </c>
      <c r="FI109" s="30">
        <f>+'Simulacion prestamo'!FG100</f>
        <v>0</v>
      </c>
      <c r="FJ109" s="30">
        <f>+'Simulacion prestamo'!FH100</f>
        <v>0</v>
      </c>
      <c r="FK109" s="30">
        <f>+'Simulacion prestamo'!FI100</f>
        <v>0</v>
      </c>
      <c r="FL109" s="30">
        <f>+'Simulacion prestamo'!FJ100</f>
        <v>0</v>
      </c>
      <c r="FM109" s="30">
        <f>+'Simulacion prestamo'!FK100</f>
        <v>0</v>
      </c>
      <c r="FN109" s="30">
        <f>+'Simulacion prestamo'!FL100</f>
        <v>0</v>
      </c>
      <c r="FO109" s="30">
        <f>+'Simulacion prestamo'!FM100</f>
        <v>0</v>
      </c>
      <c r="FP109" s="30">
        <f>+'Simulacion prestamo'!FN100</f>
        <v>0</v>
      </c>
      <c r="FQ109" s="30">
        <f>+'Simulacion prestamo'!FO100</f>
        <v>0</v>
      </c>
      <c r="FR109" s="30">
        <f>+'Simulacion prestamo'!FP100</f>
        <v>0</v>
      </c>
      <c r="FS109" s="30">
        <f>+'Simulacion prestamo'!FQ100</f>
        <v>0</v>
      </c>
      <c r="FT109" s="30">
        <f>+'Simulacion prestamo'!FR100</f>
        <v>0</v>
      </c>
      <c r="FU109" s="30">
        <f>+'Simulacion prestamo'!FS100</f>
        <v>0</v>
      </c>
      <c r="FV109" s="30">
        <f>+'Simulacion prestamo'!FT100</f>
        <v>0</v>
      </c>
      <c r="FW109" s="30">
        <f>+'Simulacion prestamo'!FU100</f>
        <v>0</v>
      </c>
      <c r="FX109" s="30">
        <f>+'Simulacion prestamo'!FV100</f>
        <v>0</v>
      </c>
      <c r="FY109" s="30">
        <f>+'Simulacion prestamo'!FW100</f>
        <v>0</v>
      </c>
      <c r="FZ109" s="30">
        <f>+'Simulacion prestamo'!FX100</f>
        <v>0</v>
      </c>
      <c r="GA109" s="30">
        <f>+'Simulacion prestamo'!FY100</f>
        <v>0</v>
      </c>
      <c r="GB109" s="30">
        <f>+'Simulacion prestamo'!FZ100</f>
        <v>0</v>
      </c>
      <c r="GC109" s="30">
        <f>+'Simulacion prestamo'!GA100</f>
        <v>0</v>
      </c>
      <c r="GD109" s="30">
        <f>+'Simulacion prestamo'!GB100</f>
        <v>0</v>
      </c>
      <c r="GE109" s="30">
        <f>+'Simulacion prestamo'!GC100</f>
        <v>0</v>
      </c>
      <c r="GF109" s="30">
        <f>+'Simulacion prestamo'!GD100</f>
        <v>0</v>
      </c>
      <c r="GG109" s="30">
        <f>+'Simulacion prestamo'!GE100</f>
        <v>0</v>
      </c>
      <c r="GH109" s="30">
        <f>+'Simulacion prestamo'!GF100</f>
        <v>0</v>
      </c>
      <c r="GI109" s="30">
        <f>+'Simulacion prestamo'!GG100</f>
        <v>0</v>
      </c>
      <c r="GJ109" s="30">
        <f>+'Simulacion prestamo'!GH100</f>
        <v>0</v>
      </c>
      <c r="GK109" s="30">
        <f>+'Simulacion prestamo'!GI100</f>
        <v>0</v>
      </c>
      <c r="GL109" s="30">
        <f>+'Simulacion prestamo'!GJ100</f>
        <v>0</v>
      </c>
      <c r="GM109" s="30">
        <f>+'Simulacion prestamo'!GK100</f>
        <v>0</v>
      </c>
      <c r="GN109" s="30">
        <f>+'Simulacion prestamo'!GL100</f>
        <v>0</v>
      </c>
      <c r="GO109" s="30">
        <f>+'Simulacion prestamo'!GM100</f>
        <v>0</v>
      </c>
      <c r="GP109" s="30">
        <f>+'Simulacion prestamo'!GN100</f>
        <v>0</v>
      </c>
      <c r="GQ109" s="30">
        <f>+'Simulacion prestamo'!GO100</f>
        <v>0</v>
      </c>
      <c r="GR109" s="30">
        <f>+'Simulacion prestamo'!GP100</f>
        <v>0</v>
      </c>
      <c r="GS109" s="30">
        <f>+'Simulacion prestamo'!GQ100</f>
        <v>0</v>
      </c>
      <c r="GT109" s="30">
        <f>+'Simulacion prestamo'!GR100</f>
        <v>0</v>
      </c>
      <c r="GU109" s="30">
        <f>+'Simulacion prestamo'!GS100</f>
        <v>0</v>
      </c>
      <c r="GV109" s="30">
        <f>+'Simulacion prestamo'!GT100</f>
        <v>0</v>
      </c>
      <c r="GW109" s="30">
        <f>+'Simulacion prestamo'!GU100</f>
        <v>0</v>
      </c>
      <c r="GX109" s="30">
        <f>+'Simulacion prestamo'!GV100</f>
        <v>0</v>
      </c>
      <c r="GY109" s="30">
        <f>+'Simulacion prestamo'!GW100</f>
        <v>0</v>
      </c>
      <c r="GZ109" s="30">
        <f>+'Simulacion prestamo'!GX100</f>
        <v>0</v>
      </c>
      <c r="HA109" s="30">
        <f>+'Simulacion prestamo'!GY100</f>
        <v>0</v>
      </c>
      <c r="HB109" s="30">
        <f>+'Simulacion prestamo'!GZ100</f>
        <v>0</v>
      </c>
      <c r="HC109" s="30">
        <f>+'Simulacion prestamo'!HA100</f>
        <v>0</v>
      </c>
      <c r="HD109" s="30">
        <f>+'Simulacion prestamo'!HB100</f>
        <v>0</v>
      </c>
      <c r="HE109" s="30">
        <f>+'Simulacion prestamo'!HC100</f>
        <v>0</v>
      </c>
      <c r="HF109" s="30">
        <f>+'Simulacion prestamo'!HD100</f>
        <v>0</v>
      </c>
      <c r="HG109" s="30">
        <f>+'Simulacion prestamo'!HE100</f>
        <v>0</v>
      </c>
      <c r="HH109" s="30">
        <f>+'Simulacion prestamo'!HF100</f>
        <v>0</v>
      </c>
      <c r="HI109" s="30">
        <f>+'Simulacion prestamo'!HG100</f>
        <v>0</v>
      </c>
      <c r="HJ109" s="30">
        <f>+'Simulacion prestamo'!HH100</f>
        <v>0</v>
      </c>
      <c r="HK109" s="30">
        <f>+'Simulacion prestamo'!HI100</f>
        <v>0</v>
      </c>
      <c r="HL109" s="30">
        <f>+'Simulacion prestamo'!HJ100</f>
        <v>0</v>
      </c>
      <c r="HM109" s="30">
        <f>+'Simulacion prestamo'!HK100</f>
        <v>0</v>
      </c>
      <c r="HN109" s="30">
        <f>+'Simulacion prestamo'!HL100</f>
        <v>0</v>
      </c>
      <c r="HO109" s="30">
        <f>+'Simulacion prestamo'!HM100</f>
        <v>0</v>
      </c>
      <c r="HP109" s="30">
        <f>+'Simulacion prestamo'!HN100</f>
        <v>0</v>
      </c>
      <c r="HQ109" s="30">
        <f>+'Simulacion prestamo'!HO100</f>
        <v>0</v>
      </c>
      <c r="HR109" s="30">
        <f>+'Simulacion prestamo'!HP100</f>
        <v>0</v>
      </c>
      <c r="HS109" s="30">
        <f>+'Simulacion prestamo'!HQ100</f>
        <v>0</v>
      </c>
      <c r="HT109" s="30">
        <f>+'Simulacion prestamo'!HR100</f>
        <v>0</v>
      </c>
      <c r="HU109" s="30">
        <f>+'Simulacion prestamo'!HS100</f>
        <v>0</v>
      </c>
      <c r="HV109" s="30">
        <f>+'Simulacion prestamo'!HT100</f>
        <v>0</v>
      </c>
      <c r="HW109" s="30">
        <f>+'Simulacion prestamo'!HU100</f>
        <v>0</v>
      </c>
      <c r="HX109" s="30">
        <f>+'Simulacion prestamo'!HV100</f>
        <v>0</v>
      </c>
      <c r="HY109" s="30">
        <f>+'Simulacion prestamo'!HW100</f>
        <v>0</v>
      </c>
      <c r="HZ109" s="30">
        <f>+'Simulacion prestamo'!HX100</f>
        <v>0</v>
      </c>
      <c r="IA109" s="30">
        <f>+'Simulacion prestamo'!HY100</f>
        <v>0</v>
      </c>
      <c r="IB109" s="30">
        <f>+'Simulacion prestamo'!HZ100</f>
        <v>0</v>
      </c>
      <c r="IC109" s="30">
        <f>+'Simulacion prestamo'!IA100</f>
        <v>0</v>
      </c>
      <c r="ID109" s="30">
        <f>+'Simulacion prestamo'!IB100</f>
        <v>0</v>
      </c>
      <c r="IE109" s="30">
        <f>+'Simulacion prestamo'!IC100</f>
        <v>0</v>
      </c>
      <c r="IF109" s="30">
        <f>+'Simulacion prestamo'!ID100</f>
        <v>0</v>
      </c>
      <c r="IG109" s="30">
        <f>+'Simulacion prestamo'!IE100</f>
        <v>0</v>
      </c>
      <c r="IH109" s="30">
        <f>+'Simulacion prestamo'!IF100</f>
        <v>0</v>
      </c>
      <c r="II109" s="30">
        <f>+'Simulacion prestamo'!IG100</f>
        <v>0</v>
      </c>
      <c r="IJ109" s="30">
        <f>+'Simulacion prestamo'!IH100</f>
        <v>0</v>
      </c>
    </row>
    <row r="110" spans="1:244" x14ac:dyDescent="0.3">
      <c r="A110" t="s">
        <v>719</v>
      </c>
      <c r="B110" s="33" t="e">
        <f t="shared" si="657"/>
        <v>#REF!</v>
      </c>
      <c r="C110" s="38" t="e">
        <f t="shared" si="659"/>
        <v>#REF!</v>
      </c>
      <c r="D110" s="30" t="e">
        <f t="shared" si="658"/>
        <v>#REF!</v>
      </c>
      <c r="E110" s="30" t="e">
        <f>+'Simulacion prestamo'!C103</f>
        <v>#REF!</v>
      </c>
      <c r="F110" s="30" t="e">
        <f>+'Simulacion prestamo'!D103</f>
        <v>#REF!</v>
      </c>
      <c r="G110" s="30" t="e">
        <f>+'Simulacion prestamo'!E103</f>
        <v>#REF!</v>
      </c>
      <c r="H110" s="30" t="e">
        <f>+'Simulacion prestamo'!F103</f>
        <v>#REF!</v>
      </c>
      <c r="I110" s="30" t="e">
        <f>+'Simulacion prestamo'!G103</f>
        <v>#REF!</v>
      </c>
      <c r="J110" s="30" t="e">
        <f>+'Simulacion prestamo'!H103</f>
        <v>#REF!</v>
      </c>
      <c r="K110" s="30" t="e">
        <f>+'Simulacion prestamo'!I103</f>
        <v>#REF!</v>
      </c>
      <c r="L110" s="30" t="e">
        <f>+'Simulacion prestamo'!J103</f>
        <v>#REF!</v>
      </c>
      <c r="M110" s="30" t="e">
        <f>+'Simulacion prestamo'!K103</f>
        <v>#REF!</v>
      </c>
      <c r="N110" s="30" t="e">
        <f>+'Simulacion prestamo'!L103</f>
        <v>#REF!</v>
      </c>
      <c r="O110" s="30" t="e">
        <f>+'Simulacion prestamo'!M103</f>
        <v>#REF!</v>
      </c>
      <c r="P110" s="30" t="e">
        <f>+'Simulacion prestamo'!N103</f>
        <v>#REF!</v>
      </c>
      <c r="Q110" s="30" t="e">
        <f>+'Simulacion prestamo'!O103</f>
        <v>#REF!</v>
      </c>
      <c r="R110" s="30" t="e">
        <f>+'Simulacion prestamo'!P103</f>
        <v>#REF!</v>
      </c>
      <c r="S110" s="30" t="e">
        <f>+'Simulacion prestamo'!Q103</f>
        <v>#REF!</v>
      </c>
      <c r="T110" s="30" t="e">
        <f>+'Simulacion prestamo'!R103</f>
        <v>#REF!</v>
      </c>
      <c r="U110" s="30" t="e">
        <f>+'Simulacion prestamo'!S103</f>
        <v>#REF!</v>
      </c>
      <c r="V110" s="30" t="e">
        <f>+'Simulacion prestamo'!T103</f>
        <v>#REF!</v>
      </c>
      <c r="W110" s="30" t="e">
        <f>+'Simulacion prestamo'!U103</f>
        <v>#REF!</v>
      </c>
      <c r="X110" s="30" t="e">
        <f>+'Simulacion prestamo'!V103</f>
        <v>#REF!</v>
      </c>
      <c r="Y110" s="30" t="e">
        <f>+'Simulacion prestamo'!W103</f>
        <v>#REF!</v>
      </c>
      <c r="Z110" s="30" t="e">
        <f>+'Simulacion prestamo'!X103</f>
        <v>#REF!</v>
      </c>
      <c r="AA110" s="30" t="e">
        <f>+'Simulacion prestamo'!Y103</f>
        <v>#REF!</v>
      </c>
      <c r="AB110" s="30" t="e">
        <f>+'Simulacion prestamo'!Z103</f>
        <v>#REF!</v>
      </c>
      <c r="AC110" s="30" t="e">
        <f>+'Simulacion prestamo'!AA103</f>
        <v>#REF!</v>
      </c>
      <c r="AD110" s="30" t="e">
        <f>+'Simulacion prestamo'!AB103</f>
        <v>#REF!</v>
      </c>
      <c r="AE110" s="30" t="e">
        <f>+'Simulacion prestamo'!AC103</f>
        <v>#REF!</v>
      </c>
      <c r="AF110" s="30" t="e">
        <f>+'Simulacion prestamo'!AD103</f>
        <v>#REF!</v>
      </c>
      <c r="AG110" s="30" t="e">
        <f>+'Simulacion prestamo'!AE103</f>
        <v>#REF!</v>
      </c>
      <c r="AH110" s="30" t="e">
        <f>+'Simulacion prestamo'!AF103</f>
        <v>#REF!</v>
      </c>
      <c r="AI110" s="30" t="e">
        <f>+'Simulacion prestamo'!AG103</f>
        <v>#REF!</v>
      </c>
      <c r="AJ110" s="30" t="e">
        <f>+'Simulacion prestamo'!AH103</f>
        <v>#REF!</v>
      </c>
      <c r="AK110" s="30" t="e">
        <f>+'Simulacion prestamo'!AI103</f>
        <v>#REF!</v>
      </c>
      <c r="AL110" s="30" t="e">
        <f>+'Simulacion prestamo'!AJ103</f>
        <v>#REF!</v>
      </c>
      <c r="AM110" s="30" t="e">
        <f>+'Simulacion prestamo'!AK103</f>
        <v>#REF!</v>
      </c>
      <c r="AN110" s="30" t="e">
        <f>+'Simulacion prestamo'!AL103</f>
        <v>#REF!</v>
      </c>
      <c r="AO110" s="30" t="e">
        <f>+'Simulacion prestamo'!AM103</f>
        <v>#REF!</v>
      </c>
      <c r="AP110" s="30" t="e">
        <f>+'Simulacion prestamo'!AN103</f>
        <v>#REF!</v>
      </c>
      <c r="AQ110" s="30" t="e">
        <f>+'Simulacion prestamo'!AO103</f>
        <v>#REF!</v>
      </c>
      <c r="AR110" s="30" t="e">
        <f>+'Simulacion prestamo'!AP103</f>
        <v>#REF!</v>
      </c>
      <c r="AS110" s="30" t="e">
        <f>+'Simulacion prestamo'!AQ103</f>
        <v>#REF!</v>
      </c>
      <c r="AT110" s="30" t="e">
        <f>+'Simulacion prestamo'!AR103</f>
        <v>#REF!</v>
      </c>
      <c r="AU110" s="30" t="e">
        <f>+'Simulacion prestamo'!AS103</f>
        <v>#REF!</v>
      </c>
      <c r="AV110" s="30" t="e">
        <f>+'Simulacion prestamo'!AT103</f>
        <v>#REF!</v>
      </c>
      <c r="AW110" s="30" t="e">
        <f>+'Simulacion prestamo'!AU103</f>
        <v>#REF!</v>
      </c>
      <c r="AX110" s="30" t="e">
        <f>+'Simulacion prestamo'!AV103</f>
        <v>#REF!</v>
      </c>
      <c r="AY110" s="30" t="e">
        <f>+'Simulacion prestamo'!AW103</f>
        <v>#REF!</v>
      </c>
      <c r="AZ110" s="30" t="e">
        <f>+'Simulacion prestamo'!AX103</f>
        <v>#REF!</v>
      </c>
      <c r="BA110" s="30" t="e">
        <f>+'Simulacion prestamo'!AY103</f>
        <v>#REF!</v>
      </c>
      <c r="BB110" s="30" t="e">
        <f>+'Simulacion prestamo'!AZ103</f>
        <v>#REF!</v>
      </c>
      <c r="BC110" s="30" t="e">
        <f>+'Simulacion prestamo'!BA103</f>
        <v>#REF!</v>
      </c>
      <c r="BD110" s="30" t="e">
        <f>+'Simulacion prestamo'!BB103</f>
        <v>#REF!</v>
      </c>
      <c r="BE110" s="30" t="e">
        <f>+'Simulacion prestamo'!BC103</f>
        <v>#REF!</v>
      </c>
      <c r="BF110" s="30" t="e">
        <f>+'Simulacion prestamo'!BD103</f>
        <v>#REF!</v>
      </c>
      <c r="BG110" s="30" t="e">
        <f>+'Simulacion prestamo'!BE103</f>
        <v>#REF!</v>
      </c>
      <c r="BH110" s="30" t="e">
        <f>+'Simulacion prestamo'!BF103</f>
        <v>#REF!</v>
      </c>
      <c r="BI110" s="30" t="e">
        <f>+'Simulacion prestamo'!BG103</f>
        <v>#REF!</v>
      </c>
      <c r="BJ110" s="30" t="e">
        <f>+'Simulacion prestamo'!BH103</f>
        <v>#REF!</v>
      </c>
      <c r="BK110" s="30" t="e">
        <f>+'Simulacion prestamo'!BI103</f>
        <v>#REF!</v>
      </c>
      <c r="BL110" s="30" t="e">
        <f>+'Simulacion prestamo'!BJ103</f>
        <v>#REF!</v>
      </c>
      <c r="BM110" s="30" t="e">
        <f>+'Simulacion prestamo'!BK103</f>
        <v>#REF!</v>
      </c>
      <c r="BN110" s="30" t="e">
        <f>+'Simulacion prestamo'!BL103</f>
        <v>#REF!</v>
      </c>
      <c r="BO110" s="30" t="e">
        <f>+'Simulacion prestamo'!BM103</f>
        <v>#REF!</v>
      </c>
      <c r="BP110" s="30" t="e">
        <f>+'Simulacion prestamo'!BN103</f>
        <v>#REF!</v>
      </c>
      <c r="BQ110" s="30" t="e">
        <f>+'Simulacion prestamo'!BO103</f>
        <v>#REF!</v>
      </c>
      <c r="BR110" s="30" t="e">
        <f>+'Simulacion prestamo'!BP103</f>
        <v>#REF!</v>
      </c>
      <c r="BS110" s="30" t="e">
        <f>+'Simulacion prestamo'!BQ103</f>
        <v>#REF!</v>
      </c>
      <c r="BT110" s="30" t="e">
        <f>+'Simulacion prestamo'!BR103</f>
        <v>#REF!</v>
      </c>
      <c r="BU110" s="30" t="e">
        <f>+'Simulacion prestamo'!BS103</f>
        <v>#REF!</v>
      </c>
      <c r="BV110" s="30" t="e">
        <f>+'Simulacion prestamo'!BT103</f>
        <v>#REF!</v>
      </c>
      <c r="BW110" s="30" t="e">
        <f>+'Simulacion prestamo'!BU103</f>
        <v>#REF!</v>
      </c>
      <c r="BX110" s="30" t="e">
        <f>+'Simulacion prestamo'!BV103</f>
        <v>#REF!</v>
      </c>
      <c r="BY110" s="30" t="e">
        <f>+'Simulacion prestamo'!BW103</f>
        <v>#REF!</v>
      </c>
      <c r="BZ110" s="30" t="e">
        <f>+'Simulacion prestamo'!BX103</f>
        <v>#REF!</v>
      </c>
      <c r="CA110" s="30" t="e">
        <f>+'Simulacion prestamo'!BY103</f>
        <v>#REF!</v>
      </c>
      <c r="CB110" s="30" t="e">
        <f>+'Simulacion prestamo'!BZ103</f>
        <v>#REF!</v>
      </c>
      <c r="CC110" s="30" t="e">
        <f>+'Simulacion prestamo'!CA103</f>
        <v>#REF!</v>
      </c>
      <c r="CD110" s="30" t="e">
        <f>+'Simulacion prestamo'!CB103</f>
        <v>#REF!</v>
      </c>
      <c r="CE110" s="30" t="e">
        <f>+'Simulacion prestamo'!CC103</f>
        <v>#REF!</v>
      </c>
      <c r="CF110" s="30" t="e">
        <f>+'Simulacion prestamo'!CD103</f>
        <v>#REF!</v>
      </c>
      <c r="CG110" s="30" t="e">
        <f>+'Simulacion prestamo'!CE103</f>
        <v>#REF!</v>
      </c>
      <c r="CH110" s="30" t="e">
        <f>+'Simulacion prestamo'!CF103</f>
        <v>#REF!</v>
      </c>
      <c r="CI110" s="30" t="e">
        <f>+'Simulacion prestamo'!CG103</f>
        <v>#REF!</v>
      </c>
      <c r="CJ110" s="30" t="e">
        <f>+'Simulacion prestamo'!CH103</f>
        <v>#REF!</v>
      </c>
      <c r="CK110" s="30">
        <f>+'Simulacion prestamo'!CI103</f>
        <v>0</v>
      </c>
      <c r="CL110" s="30">
        <f>+'Simulacion prestamo'!CJ103</f>
        <v>0</v>
      </c>
      <c r="CM110" s="30">
        <f>+'Simulacion prestamo'!CK103</f>
        <v>0</v>
      </c>
      <c r="CN110" s="30">
        <f>+'Simulacion prestamo'!CL103</f>
        <v>0</v>
      </c>
      <c r="CO110" s="30">
        <f>+'Simulacion prestamo'!CM103</f>
        <v>0</v>
      </c>
      <c r="CP110" s="30">
        <f>+'Simulacion prestamo'!CN103</f>
        <v>0</v>
      </c>
      <c r="CQ110" s="30">
        <f>+'Simulacion prestamo'!CO103</f>
        <v>0</v>
      </c>
      <c r="CR110" s="30">
        <f>+'Simulacion prestamo'!CP103</f>
        <v>0</v>
      </c>
      <c r="CS110" s="30">
        <f>+'Simulacion prestamo'!CQ103</f>
        <v>0</v>
      </c>
      <c r="CT110" s="30">
        <f>+'Simulacion prestamo'!CR103</f>
        <v>0</v>
      </c>
      <c r="CU110" s="30">
        <f>+'Simulacion prestamo'!CS103</f>
        <v>0</v>
      </c>
      <c r="CV110" s="30">
        <f>+'Simulacion prestamo'!CT103</f>
        <v>0</v>
      </c>
      <c r="CW110" s="30">
        <f>+'Simulacion prestamo'!CU103</f>
        <v>0</v>
      </c>
      <c r="CX110" s="30">
        <f>+'Simulacion prestamo'!CV103</f>
        <v>0</v>
      </c>
      <c r="CY110" s="30">
        <f>+'Simulacion prestamo'!CW103</f>
        <v>0</v>
      </c>
      <c r="CZ110" s="30">
        <f>+'Simulacion prestamo'!CX103</f>
        <v>0</v>
      </c>
      <c r="DA110" s="30">
        <f>+'Simulacion prestamo'!CY103</f>
        <v>0</v>
      </c>
      <c r="DB110" s="30">
        <f>+'Simulacion prestamo'!CZ103</f>
        <v>0</v>
      </c>
      <c r="DC110" s="30">
        <f>+'Simulacion prestamo'!DA103</f>
        <v>0</v>
      </c>
      <c r="DD110" s="30">
        <f>+'Simulacion prestamo'!DB103</f>
        <v>0</v>
      </c>
      <c r="DE110" s="30">
        <f>+'Simulacion prestamo'!DC103</f>
        <v>0</v>
      </c>
      <c r="DF110" s="30">
        <f>+'Simulacion prestamo'!DD103</f>
        <v>0</v>
      </c>
      <c r="DG110" s="30">
        <f>+'Simulacion prestamo'!DE103</f>
        <v>0</v>
      </c>
      <c r="DH110" s="30">
        <f>+'Simulacion prestamo'!DF103</f>
        <v>0</v>
      </c>
      <c r="DI110" s="30">
        <f>+'Simulacion prestamo'!DG103</f>
        <v>0</v>
      </c>
      <c r="DJ110" s="30">
        <f>+'Simulacion prestamo'!DH103</f>
        <v>0</v>
      </c>
      <c r="DK110" s="30">
        <f>+'Simulacion prestamo'!DI103</f>
        <v>0</v>
      </c>
      <c r="DL110" s="30">
        <f>+'Simulacion prestamo'!DJ103</f>
        <v>0</v>
      </c>
      <c r="DM110" s="30">
        <f>+'Simulacion prestamo'!DK103</f>
        <v>0</v>
      </c>
      <c r="DN110" s="30">
        <f>+'Simulacion prestamo'!DL103</f>
        <v>0</v>
      </c>
      <c r="DO110" s="30">
        <f>+'Simulacion prestamo'!DM103</f>
        <v>0</v>
      </c>
      <c r="DP110" s="30">
        <f>+'Simulacion prestamo'!DN103</f>
        <v>0</v>
      </c>
      <c r="DQ110" s="30">
        <f>+'Simulacion prestamo'!DO103</f>
        <v>0</v>
      </c>
      <c r="DR110" s="30">
        <f>+'Simulacion prestamo'!DP103</f>
        <v>0</v>
      </c>
      <c r="DS110" s="30">
        <f>+'Simulacion prestamo'!DQ103</f>
        <v>0</v>
      </c>
      <c r="DT110" s="30">
        <f>+'Simulacion prestamo'!DR103</f>
        <v>0</v>
      </c>
      <c r="DU110" s="30">
        <f>+'Simulacion prestamo'!DS103</f>
        <v>0</v>
      </c>
      <c r="DV110" s="30">
        <f>+'Simulacion prestamo'!DT103</f>
        <v>0</v>
      </c>
      <c r="DW110" s="30">
        <f>+'Simulacion prestamo'!DU103</f>
        <v>0</v>
      </c>
      <c r="DX110" s="30">
        <f>+'Simulacion prestamo'!DV103</f>
        <v>0</v>
      </c>
      <c r="DY110" s="30">
        <f>+'Simulacion prestamo'!DW103</f>
        <v>0</v>
      </c>
      <c r="DZ110" s="30">
        <f>+'Simulacion prestamo'!DX103</f>
        <v>0</v>
      </c>
      <c r="EA110" s="30">
        <f>+'Simulacion prestamo'!DY103</f>
        <v>0</v>
      </c>
      <c r="EB110" s="30">
        <f>+'Simulacion prestamo'!DZ103</f>
        <v>0</v>
      </c>
      <c r="EC110" s="30">
        <f>+'Simulacion prestamo'!EA103</f>
        <v>0</v>
      </c>
      <c r="ED110" s="30">
        <f>+'Simulacion prestamo'!EB103</f>
        <v>0</v>
      </c>
      <c r="EE110" s="30">
        <f>+'Simulacion prestamo'!EC103</f>
        <v>0</v>
      </c>
      <c r="EF110" s="30">
        <f>+'Simulacion prestamo'!ED103</f>
        <v>0</v>
      </c>
      <c r="EG110" s="30">
        <f>+'Simulacion prestamo'!EE103</f>
        <v>0</v>
      </c>
      <c r="EH110" s="30">
        <f>+'Simulacion prestamo'!EF103</f>
        <v>0</v>
      </c>
      <c r="EI110" s="30">
        <f>+'Simulacion prestamo'!EG103</f>
        <v>0</v>
      </c>
      <c r="EJ110" s="30">
        <f>+'Simulacion prestamo'!EH103</f>
        <v>0</v>
      </c>
      <c r="EK110" s="30">
        <f>+'Simulacion prestamo'!EI103</f>
        <v>0</v>
      </c>
      <c r="EL110" s="30">
        <f>+'Simulacion prestamo'!EJ103</f>
        <v>0</v>
      </c>
      <c r="EM110" s="30">
        <f>+'Simulacion prestamo'!EK103</f>
        <v>0</v>
      </c>
      <c r="EN110" s="30">
        <f>+'Simulacion prestamo'!EL103</f>
        <v>0</v>
      </c>
      <c r="EO110" s="30">
        <f>+'Simulacion prestamo'!EM103</f>
        <v>0</v>
      </c>
      <c r="EP110" s="30">
        <f>+'Simulacion prestamo'!EN103</f>
        <v>0</v>
      </c>
      <c r="EQ110" s="30">
        <f>+'Simulacion prestamo'!EO103</f>
        <v>0</v>
      </c>
      <c r="ER110" s="30">
        <f>+'Simulacion prestamo'!EP103</f>
        <v>0</v>
      </c>
      <c r="ES110" s="30">
        <f>+'Simulacion prestamo'!EQ103</f>
        <v>0</v>
      </c>
      <c r="ET110" s="30">
        <f>+'Simulacion prestamo'!ER103</f>
        <v>0</v>
      </c>
      <c r="EU110" s="30">
        <f>+'Simulacion prestamo'!ES103</f>
        <v>0</v>
      </c>
      <c r="EV110" s="30">
        <f>+'Simulacion prestamo'!ET103</f>
        <v>0</v>
      </c>
      <c r="EW110" s="30">
        <f>+'Simulacion prestamo'!EU103</f>
        <v>0</v>
      </c>
      <c r="EX110" s="30">
        <f>+'Simulacion prestamo'!EV103</f>
        <v>0</v>
      </c>
      <c r="EY110" s="30">
        <f>+'Simulacion prestamo'!EW103</f>
        <v>0</v>
      </c>
      <c r="EZ110" s="30">
        <f>+'Simulacion prestamo'!EX103</f>
        <v>0</v>
      </c>
      <c r="FA110" s="30">
        <f>+'Simulacion prestamo'!EY103</f>
        <v>0</v>
      </c>
      <c r="FB110" s="30">
        <f>+'Simulacion prestamo'!EZ103</f>
        <v>0</v>
      </c>
      <c r="FC110" s="30">
        <f>+'Simulacion prestamo'!FA103</f>
        <v>0</v>
      </c>
      <c r="FD110" s="30">
        <f>+'Simulacion prestamo'!FB103</f>
        <v>0</v>
      </c>
      <c r="FE110" s="30">
        <f>+'Simulacion prestamo'!FC103</f>
        <v>0</v>
      </c>
      <c r="FF110" s="30">
        <f>+'Simulacion prestamo'!FD103</f>
        <v>0</v>
      </c>
      <c r="FG110" s="30">
        <f>+'Simulacion prestamo'!FE103</f>
        <v>0</v>
      </c>
      <c r="FH110" s="30">
        <f>+'Simulacion prestamo'!FF103</f>
        <v>0</v>
      </c>
      <c r="FI110" s="30">
        <f>+'Simulacion prestamo'!FG103</f>
        <v>0</v>
      </c>
      <c r="FJ110" s="30">
        <f>+'Simulacion prestamo'!FH103</f>
        <v>0</v>
      </c>
      <c r="FK110" s="30">
        <f>+'Simulacion prestamo'!FI103</f>
        <v>0</v>
      </c>
      <c r="FL110" s="30">
        <f>+'Simulacion prestamo'!FJ103</f>
        <v>0</v>
      </c>
      <c r="FM110" s="30">
        <f>+'Simulacion prestamo'!FK103</f>
        <v>0</v>
      </c>
      <c r="FN110" s="30">
        <f>+'Simulacion prestamo'!FL103</f>
        <v>0</v>
      </c>
      <c r="FO110" s="30">
        <f>+'Simulacion prestamo'!FM103</f>
        <v>0</v>
      </c>
      <c r="FP110" s="30">
        <f>+'Simulacion prestamo'!FN103</f>
        <v>0</v>
      </c>
      <c r="FQ110" s="30">
        <f>+'Simulacion prestamo'!FO103</f>
        <v>0</v>
      </c>
      <c r="FR110" s="30">
        <f>+'Simulacion prestamo'!FP103</f>
        <v>0</v>
      </c>
      <c r="FS110" s="30">
        <f>+'Simulacion prestamo'!FQ103</f>
        <v>0</v>
      </c>
      <c r="FT110" s="30">
        <f>+'Simulacion prestamo'!FR103</f>
        <v>0</v>
      </c>
      <c r="FU110" s="30">
        <f>+'Simulacion prestamo'!FS103</f>
        <v>0</v>
      </c>
      <c r="FV110" s="30">
        <f>+'Simulacion prestamo'!FT103</f>
        <v>0</v>
      </c>
      <c r="FW110" s="30">
        <f>+'Simulacion prestamo'!FU103</f>
        <v>0</v>
      </c>
      <c r="FX110" s="30">
        <f>+'Simulacion prestamo'!FV103</f>
        <v>0</v>
      </c>
      <c r="FY110" s="30">
        <f>+'Simulacion prestamo'!FW103</f>
        <v>0</v>
      </c>
      <c r="FZ110" s="30">
        <f>+'Simulacion prestamo'!FX103</f>
        <v>0</v>
      </c>
      <c r="GA110" s="30">
        <f>+'Simulacion prestamo'!FY103</f>
        <v>0</v>
      </c>
      <c r="GB110" s="30">
        <f>+'Simulacion prestamo'!FZ103</f>
        <v>0</v>
      </c>
      <c r="GC110" s="30">
        <f>+'Simulacion prestamo'!GA103</f>
        <v>0</v>
      </c>
      <c r="GD110" s="30">
        <f>+'Simulacion prestamo'!GB103</f>
        <v>0</v>
      </c>
      <c r="GE110" s="30">
        <f>+'Simulacion prestamo'!GC103</f>
        <v>0</v>
      </c>
      <c r="GF110" s="30">
        <f>+'Simulacion prestamo'!GD103</f>
        <v>0</v>
      </c>
      <c r="GG110" s="30">
        <f>+'Simulacion prestamo'!GE103</f>
        <v>0</v>
      </c>
      <c r="GH110" s="30">
        <f>+'Simulacion prestamo'!GF103</f>
        <v>0</v>
      </c>
      <c r="GI110" s="30">
        <f>+'Simulacion prestamo'!GG103</f>
        <v>0</v>
      </c>
      <c r="GJ110" s="30">
        <f>+'Simulacion prestamo'!GH103</f>
        <v>0</v>
      </c>
      <c r="GK110" s="30">
        <f>+'Simulacion prestamo'!GI103</f>
        <v>0</v>
      </c>
      <c r="GL110" s="30">
        <f>+'Simulacion prestamo'!GJ103</f>
        <v>0</v>
      </c>
      <c r="GM110" s="30">
        <f>+'Simulacion prestamo'!GK103</f>
        <v>0</v>
      </c>
      <c r="GN110" s="30">
        <f>+'Simulacion prestamo'!GL103</f>
        <v>0</v>
      </c>
      <c r="GO110" s="30">
        <f>+'Simulacion prestamo'!GM103</f>
        <v>0</v>
      </c>
      <c r="GP110" s="30">
        <f>+'Simulacion prestamo'!GN103</f>
        <v>0</v>
      </c>
      <c r="GQ110" s="30">
        <f>+'Simulacion prestamo'!GO103</f>
        <v>0</v>
      </c>
      <c r="GR110" s="30">
        <f>+'Simulacion prestamo'!GP103</f>
        <v>0</v>
      </c>
      <c r="GS110" s="30">
        <f>+'Simulacion prestamo'!GQ103</f>
        <v>0</v>
      </c>
      <c r="GT110" s="30">
        <f>+'Simulacion prestamo'!GR103</f>
        <v>0</v>
      </c>
      <c r="GU110" s="30">
        <f>+'Simulacion prestamo'!GS103</f>
        <v>0</v>
      </c>
      <c r="GV110" s="30">
        <f>+'Simulacion prestamo'!GT103</f>
        <v>0</v>
      </c>
      <c r="GW110" s="30">
        <f>+'Simulacion prestamo'!GU103</f>
        <v>0</v>
      </c>
      <c r="GX110" s="30">
        <f>+'Simulacion prestamo'!GV103</f>
        <v>0</v>
      </c>
      <c r="GY110" s="30">
        <f>+'Simulacion prestamo'!GW103</f>
        <v>0</v>
      </c>
      <c r="GZ110" s="30">
        <f>+'Simulacion prestamo'!GX103</f>
        <v>0</v>
      </c>
      <c r="HA110" s="30">
        <f>+'Simulacion prestamo'!GY103</f>
        <v>0</v>
      </c>
      <c r="HB110" s="30">
        <f>+'Simulacion prestamo'!GZ103</f>
        <v>0</v>
      </c>
      <c r="HC110" s="30">
        <f>+'Simulacion prestamo'!HA103</f>
        <v>0</v>
      </c>
      <c r="HD110" s="30">
        <f>+'Simulacion prestamo'!HB103</f>
        <v>0</v>
      </c>
      <c r="HE110" s="30">
        <f>+'Simulacion prestamo'!HC103</f>
        <v>0</v>
      </c>
      <c r="HF110" s="30">
        <f>+'Simulacion prestamo'!HD103</f>
        <v>0</v>
      </c>
      <c r="HG110" s="30">
        <f>+'Simulacion prestamo'!HE103</f>
        <v>0</v>
      </c>
      <c r="HH110" s="30">
        <f>+'Simulacion prestamo'!HF103</f>
        <v>0</v>
      </c>
      <c r="HI110" s="30">
        <f>+'Simulacion prestamo'!HG103</f>
        <v>0</v>
      </c>
      <c r="HJ110" s="30">
        <f>+'Simulacion prestamo'!HH103</f>
        <v>0</v>
      </c>
      <c r="HK110" s="30">
        <f>+'Simulacion prestamo'!HI103</f>
        <v>0</v>
      </c>
      <c r="HL110" s="30">
        <f>+'Simulacion prestamo'!HJ103</f>
        <v>0</v>
      </c>
      <c r="HM110" s="30">
        <f>+'Simulacion prestamo'!HK103</f>
        <v>0</v>
      </c>
      <c r="HN110" s="30">
        <f>+'Simulacion prestamo'!HL103</f>
        <v>0</v>
      </c>
      <c r="HO110" s="30">
        <f>+'Simulacion prestamo'!HM103</f>
        <v>0</v>
      </c>
      <c r="HP110" s="30">
        <f>+'Simulacion prestamo'!HN103</f>
        <v>0</v>
      </c>
      <c r="HQ110" s="30">
        <f>+'Simulacion prestamo'!HO103</f>
        <v>0</v>
      </c>
      <c r="HR110" s="30">
        <f>+'Simulacion prestamo'!HP103</f>
        <v>0</v>
      </c>
      <c r="HS110" s="30">
        <f>+'Simulacion prestamo'!HQ103</f>
        <v>0</v>
      </c>
      <c r="HT110" s="30">
        <f>+'Simulacion prestamo'!HR103</f>
        <v>0</v>
      </c>
      <c r="HU110" s="30">
        <f>+'Simulacion prestamo'!HS103</f>
        <v>0</v>
      </c>
      <c r="HV110" s="30">
        <f>+'Simulacion prestamo'!HT103</f>
        <v>0</v>
      </c>
      <c r="HW110" s="30">
        <f>+'Simulacion prestamo'!HU103</f>
        <v>0</v>
      </c>
      <c r="HX110" s="30">
        <f>+'Simulacion prestamo'!HV103</f>
        <v>0</v>
      </c>
      <c r="HY110" s="30">
        <f>+'Simulacion prestamo'!HW103</f>
        <v>0</v>
      </c>
      <c r="HZ110" s="30">
        <f>+'Simulacion prestamo'!HX103</f>
        <v>0</v>
      </c>
      <c r="IA110" s="30">
        <f>+'Simulacion prestamo'!HY103</f>
        <v>0</v>
      </c>
      <c r="IB110" s="30">
        <f>+'Simulacion prestamo'!HZ103</f>
        <v>0</v>
      </c>
      <c r="IC110" s="30">
        <f>+'Simulacion prestamo'!IA103</f>
        <v>0</v>
      </c>
      <c r="ID110" s="30">
        <f>+'Simulacion prestamo'!IB103</f>
        <v>0</v>
      </c>
      <c r="IE110" s="30">
        <f>+'Simulacion prestamo'!IC103</f>
        <v>0</v>
      </c>
      <c r="IF110" s="30">
        <f>+'Simulacion prestamo'!ID103</f>
        <v>0</v>
      </c>
      <c r="IG110" s="30">
        <f>+'Simulacion prestamo'!IE103</f>
        <v>0</v>
      </c>
      <c r="IH110" s="30">
        <f>+'Simulacion prestamo'!IF103</f>
        <v>0</v>
      </c>
      <c r="II110" s="30">
        <f>+'Simulacion prestamo'!IG103</f>
        <v>0</v>
      </c>
      <c r="IJ110" s="30">
        <f>+'Simulacion prestamo'!IH103</f>
        <v>0</v>
      </c>
    </row>
    <row r="111" spans="1:244" x14ac:dyDescent="0.3">
      <c r="A111" t="s">
        <v>643</v>
      </c>
      <c r="B111" s="33" t="e">
        <f t="shared" si="657"/>
        <v>#REF!</v>
      </c>
      <c r="C111" s="38" t="e">
        <f t="shared" si="659"/>
        <v>#REF!</v>
      </c>
      <c r="D111" s="30" t="e">
        <f t="shared" si="658"/>
        <v>#REF!</v>
      </c>
      <c r="E111" s="30">
        <f>+E89</f>
        <v>0</v>
      </c>
      <c r="F111" s="30">
        <f t="shared" ref="F111:BQ111" si="660">+F89</f>
        <v>0</v>
      </c>
      <c r="G111" s="30">
        <f t="shared" si="660"/>
        <v>0</v>
      </c>
      <c r="H111" s="30" t="e">
        <f t="shared" si="660"/>
        <v>#REF!</v>
      </c>
      <c r="I111" s="30">
        <f t="shared" si="660"/>
        <v>0</v>
      </c>
      <c r="J111" s="30">
        <f t="shared" si="660"/>
        <v>0</v>
      </c>
      <c r="K111" s="30" t="e">
        <f t="shared" si="660"/>
        <v>#REF!</v>
      </c>
      <c r="L111" s="30">
        <f t="shared" si="660"/>
        <v>0</v>
      </c>
      <c r="M111" s="30">
        <f t="shared" si="660"/>
        <v>0</v>
      </c>
      <c r="N111" s="30" t="e">
        <f t="shared" si="660"/>
        <v>#REF!</v>
      </c>
      <c r="O111" s="30">
        <f t="shared" si="660"/>
        <v>0</v>
      </c>
      <c r="P111" s="30">
        <f t="shared" si="660"/>
        <v>0</v>
      </c>
      <c r="Q111" s="30" t="e">
        <f t="shared" si="660"/>
        <v>#REF!</v>
      </c>
      <c r="R111" s="30">
        <f t="shared" si="660"/>
        <v>0</v>
      </c>
      <c r="S111" s="30">
        <f t="shared" si="660"/>
        <v>0</v>
      </c>
      <c r="T111" s="30" t="e">
        <f t="shared" si="660"/>
        <v>#REF!</v>
      </c>
      <c r="U111" s="30">
        <f t="shared" si="660"/>
        <v>0</v>
      </c>
      <c r="V111" s="30">
        <f t="shared" si="660"/>
        <v>0</v>
      </c>
      <c r="W111" s="30" t="e">
        <f t="shared" si="660"/>
        <v>#REF!</v>
      </c>
      <c r="X111" s="30">
        <f t="shared" si="660"/>
        <v>0</v>
      </c>
      <c r="Y111" s="30">
        <f t="shared" si="660"/>
        <v>0</v>
      </c>
      <c r="Z111" s="30" t="e">
        <f t="shared" si="660"/>
        <v>#REF!</v>
      </c>
      <c r="AA111" s="30">
        <f t="shared" si="660"/>
        <v>0</v>
      </c>
      <c r="AB111" s="30">
        <f t="shared" si="660"/>
        <v>0</v>
      </c>
      <c r="AC111" s="30" t="e">
        <f t="shared" si="660"/>
        <v>#REF!</v>
      </c>
      <c r="AD111" s="30">
        <f t="shared" si="660"/>
        <v>0</v>
      </c>
      <c r="AE111" s="30">
        <f t="shared" si="660"/>
        <v>0</v>
      </c>
      <c r="AF111" s="30" t="e">
        <f t="shared" si="660"/>
        <v>#REF!</v>
      </c>
      <c r="AG111" s="30">
        <f t="shared" si="660"/>
        <v>0</v>
      </c>
      <c r="AH111" s="30">
        <f t="shared" si="660"/>
        <v>0</v>
      </c>
      <c r="AI111" s="30" t="e">
        <f t="shared" si="660"/>
        <v>#REF!</v>
      </c>
      <c r="AJ111" s="30">
        <f t="shared" si="660"/>
        <v>0</v>
      </c>
      <c r="AK111" s="30">
        <f t="shared" si="660"/>
        <v>0</v>
      </c>
      <c r="AL111" s="30" t="e">
        <f t="shared" si="660"/>
        <v>#REF!</v>
      </c>
      <c r="AM111" s="30">
        <f t="shared" si="660"/>
        <v>0</v>
      </c>
      <c r="AN111" s="30">
        <f t="shared" si="660"/>
        <v>0</v>
      </c>
      <c r="AO111" s="30" t="e">
        <f t="shared" si="660"/>
        <v>#REF!</v>
      </c>
      <c r="AP111" s="30">
        <f t="shared" si="660"/>
        <v>0</v>
      </c>
      <c r="AQ111" s="30">
        <f t="shared" si="660"/>
        <v>0</v>
      </c>
      <c r="AR111" s="30" t="e">
        <f t="shared" si="660"/>
        <v>#REF!</v>
      </c>
      <c r="AS111" s="30">
        <f t="shared" si="660"/>
        <v>0</v>
      </c>
      <c r="AT111" s="30">
        <f t="shared" si="660"/>
        <v>0</v>
      </c>
      <c r="AU111" s="30" t="e">
        <f t="shared" si="660"/>
        <v>#REF!</v>
      </c>
      <c r="AV111" s="30">
        <f t="shared" si="660"/>
        <v>0</v>
      </c>
      <c r="AW111" s="30">
        <f t="shared" si="660"/>
        <v>0</v>
      </c>
      <c r="AX111" s="30" t="e">
        <f t="shared" si="660"/>
        <v>#REF!</v>
      </c>
      <c r="AY111" s="30">
        <f t="shared" si="660"/>
        <v>0</v>
      </c>
      <c r="AZ111" s="30">
        <f t="shared" si="660"/>
        <v>0</v>
      </c>
      <c r="BA111" s="30" t="e">
        <f t="shared" si="660"/>
        <v>#REF!</v>
      </c>
      <c r="BB111" s="30">
        <f t="shared" si="660"/>
        <v>0</v>
      </c>
      <c r="BC111" s="30">
        <f t="shared" si="660"/>
        <v>0</v>
      </c>
      <c r="BD111" s="30" t="e">
        <f t="shared" si="660"/>
        <v>#REF!</v>
      </c>
      <c r="BE111" s="30">
        <f t="shared" si="660"/>
        <v>0</v>
      </c>
      <c r="BF111" s="30">
        <f t="shared" si="660"/>
        <v>0</v>
      </c>
      <c r="BG111" s="30" t="e">
        <f t="shared" si="660"/>
        <v>#REF!</v>
      </c>
      <c r="BH111" s="30">
        <f t="shared" si="660"/>
        <v>0</v>
      </c>
      <c r="BI111" s="30">
        <f t="shared" si="660"/>
        <v>0</v>
      </c>
      <c r="BJ111" s="30" t="e">
        <f t="shared" si="660"/>
        <v>#REF!</v>
      </c>
      <c r="BK111" s="30">
        <f t="shared" si="660"/>
        <v>0</v>
      </c>
      <c r="BL111" s="30">
        <f t="shared" si="660"/>
        <v>0</v>
      </c>
      <c r="BM111" s="30" t="e">
        <f t="shared" si="660"/>
        <v>#REF!</v>
      </c>
      <c r="BN111" s="30">
        <f t="shared" si="660"/>
        <v>0</v>
      </c>
      <c r="BO111" s="30">
        <f t="shared" si="660"/>
        <v>0</v>
      </c>
      <c r="BP111" s="30" t="e">
        <f t="shared" si="660"/>
        <v>#REF!</v>
      </c>
      <c r="BQ111" s="30">
        <f t="shared" si="660"/>
        <v>0</v>
      </c>
      <c r="BR111" s="30">
        <f t="shared" ref="BR111:EC111" si="661">+BR89</f>
        <v>0</v>
      </c>
      <c r="BS111" s="30" t="e">
        <f t="shared" si="661"/>
        <v>#REF!</v>
      </c>
      <c r="BT111" s="30">
        <f t="shared" si="661"/>
        <v>0</v>
      </c>
      <c r="BU111" s="30">
        <f t="shared" si="661"/>
        <v>0</v>
      </c>
      <c r="BV111" s="30" t="e">
        <f t="shared" si="661"/>
        <v>#REF!</v>
      </c>
      <c r="BW111" s="30">
        <f t="shared" si="661"/>
        <v>0</v>
      </c>
      <c r="BX111" s="30">
        <f t="shared" si="661"/>
        <v>0</v>
      </c>
      <c r="BY111" s="30" t="e">
        <f t="shared" si="661"/>
        <v>#REF!</v>
      </c>
      <c r="BZ111" s="30">
        <f t="shared" si="661"/>
        <v>0</v>
      </c>
      <c r="CA111" s="30">
        <f t="shared" si="661"/>
        <v>0</v>
      </c>
      <c r="CB111" s="30" t="e">
        <f t="shared" si="661"/>
        <v>#REF!</v>
      </c>
      <c r="CC111" s="30">
        <f t="shared" si="661"/>
        <v>0</v>
      </c>
      <c r="CD111" s="30">
        <f t="shared" si="661"/>
        <v>0</v>
      </c>
      <c r="CE111" s="30" t="e">
        <f t="shared" si="661"/>
        <v>#REF!</v>
      </c>
      <c r="CF111" s="30">
        <f t="shared" si="661"/>
        <v>0</v>
      </c>
      <c r="CG111" s="30">
        <f t="shared" si="661"/>
        <v>0</v>
      </c>
      <c r="CH111" s="30" t="e">
        <f t="shared" si="661"/>
        <v>#REF!</v>
      </c>
      <c r="CI111" s="30">
        <f t="shared" si="661"/>
        <v>0</v>
      </c>
      <c r="CJ111" s="30">
        <f t="shared" si="661"/>
        <v>0</v>
      </c>
      <c r="CK111" s="30" t="e">
        <f t="shared" si="661"/>
        <v>#REF!</v>
      </c>
      <c r="CL111" s="30">
        <f t="shared" si="661"/>
        <v>0</v>
      </c>
      <c r="CM111" s="30">
        <f t="shared" si="661"/>
        <v>0</v>
      </c>
      <c r="CN111" s="30" t="e">
        <f t="shared" si="661"/>
        <v>#REF!</v>
      </c>
      <c r="CO111" s="30">
        <f t="shared" si="661"/>
        <v>0</v>
      </c>
      <c r="CP111" s="30">
        <f t="shared" si="661"/>
        <v>0</v>
      </c>
      <c r="CQ111" s="30" t="e">
        <f t="shared" si="661"/>
        <v>#REF!</v>
      </c>
      <c r="CR111" s="30">
        <f t="shared" si="661"/>
        <v>0</v>
      </c>
      <c r="CS111" s="30">
        <f t="shared" si="661"/>
        <v>0</v>
      </c>
      <c r="CT111" s="30" t="e">
        <f t="shared" si="661"/>
        <v>#REF!</v>
      </c>
      <c r="CU111" s="30">
        <f t="shared" si="661"/>
        <v>0</v>
      </c>
      <c r="CV111" s="30">
        <f t="shared" si="661"/>
        <v>0</v>
      </c>
      <c r="CW111" s="30" t="e">
        <f t="shared" si="661"/>
        <v>#REF!</v>
      </c>
      <c r="CX111" s="30">
        <f t="shared" si="661"/>
        <v>0</v>
      </c>
      <c r="CY111" s="30">
        <f t="shared" si="661"/>
        <v>0</v>
      </c>
      <c r="CZ111" s="30" t="e">
        <f t="shared" si="661"/>
        <v>#REF!</v>
      </c>
      <c r="DA111" s="30">
        <f t="shared" si="661"/>
        <v>0</v>
      </c>
      <c r="DB111" s="30">
        <f t="shared" si="661"/>
        <v>0</v>
      </c>
      <c r="DC111" s="30" t="e">
        <f t="shared" si="661"/>
        <v>#REF!</v>
      </c>
      <c r="DD111" s="30">
        <f t="shared" si="661"/>
        <v>0</v>
      </c>
      <c r="DE111" s="30">
        <f t="shared" si="661"/>
        <v>0</v>
      </c>
      <c r="DF111" s="30" t="e">
        <f t="shared" si="661"/>
        <v>#REF!</v>
      </c>
      <c r="DG111" s="30">
        <f t="shared" si="661"/>
        <v>0</v>
      </c>
      <c r="DH111" s="30">
        <f t="shared" si="661"/>
        <v>0</v>
      </c>
      <c r="DI111" s="30" t="e">
        <f t="shared" si="661"/>
        <v>#REF!</v>
      </c>
      <c r="DJ111" s="30">
        <f t="shared" si="661"/>
        <v>0</v>
      </c>
      <c r="DK111" s="30">
        <f t="shared" si="661"/>
        <v>0</v>
      </c>
      <c r="DL111" s="30" t="e">
        <f t="shared" si="661"/>
        <v>#REF!</v>
      </c>
      <c r="DM111" s="30">
        <f t="shared" si="661"/>
        <v>0</v>
      </c>
      <c r="DN111" s="30">
        <f t="shared" si="661"/>
        <v>0</v>
      </c>
      <c r="DO111" s="30" t="e">
        <f t="shared" si="661"/>
        <v>#REF!</v>
      </c>
      <c r="DP111" s="30">
        <f t="shared" si="661"/>
        <v>0</v>
      </c>
      <c r="DQ111" s="30">
        <f t="shared" si="661"/>
        <v>0</v>
      </c>
      <c r="DR111" s="30" t="e">
        <f t="shared" si="661"/>
        <v>#REF!</v>
      </c>
      <c r="DS111" s="30">
        <f t="shared" si="661"/>
        <v>0</v>
      </c>
      <c r="DT111" s="30">
        <f t="shared" si="661"/>
        <v>0</v>
      </c>
      <c r="DU111" s="30" t="e">
        <f t="shared" si="661"/>
        <v>#REF!</v>
      </c>
      <c r="DV111" s="30">
        <f t="shared" si="661"/>
        <v>0</v>
      </c>
      <c r="DW111" s="30">
        <f t="shared" si="661"/>
        <v>0</v>
      </c>
      <c r="DX111" s="30" t="e">
        <f t="shared" si="661"/>
        <v>#REF!</v>
      </c>
      <c r="DY111" s="30">
        <f t="shared" si="661"/>
        <v>0</v>
      </c>
      <c r="DZ111" s="30">
        <f t="shared" si="661"/>
        <v>0</v>
      </c>
      <c r="EA111" s="30" t="e">
        <f t="shared" si="661"/>
        <v>#REF!</v>
      </c>
      <c r="EB111" s="30">
        <f t="shared" si="661"/>
        <v>0</v>
      </c>
      <c r="EC111" s="30">
        <f t="shared" si="661"/>
        <v>0</v>
      </c>
      <c r="ED111" s="30" t="e">
        <f t="shared" ref="ED111:GO111" si="662">+ED89</f>
        <v>#REF!</v>
      </c>
      <c r="EE111" s="30">
        <f t="shared" si="662"/>
        <v>0</v>
      </c>
      <c r="EF111" s="30">
        <f t="shared" si="662"/>
        <v>0</v>
      </c>
      <c r="EG111" s="30" t="e">
        <f t="shared" si="662"/>
        <v>#REF!</v>
      </c>
      <c r="EH111" s="30">
        <f t="shared" si="662"/>
        <v>0</v>
      </c>
      <c r="EI111" s="30">
        <f t="shared" si="662"/>
        <v>0</v>
      </c>
      <c r="EJ111" s="30" t="e">
        <f t="shared" si="662"/>
        <v>#REF!</v>
      </c>
      <c r="EK111" s="30">
        <f t="shared" si="662"/>
        <v>0</v>
      </c>
      <c r="EL111" s="30">
        <f t="shared" si="662"/>
        <v>0</v>
      </c>
      <c r="EM111" s="30" t="e">
        <f t="shared" si="662"/>
        <v>#REF!</v>
      </c>
      <c r="EN111" s="30">
        <f t="shared" si="662"/>
        <v>0</v>
      </c>
      <c r="EO111" s="30">
        <f t="shared" si="662"/>
        <v>0</v>
      </c>
      <c r="EP111" s="30" t="e">
        <f t="shared" si="662"/>
        <v>#REF!</v>
      </c>
      <c r="EQ111" s="30">
        <f t="shared" si="662"/>
        <v>0</v>
      </c>
      <c r="ER111" s="30">
        <f t="shared" si="662"/>
        <v>0</v>
      </c>
      <c r="ES111" s="30" t="e">
        <f t="shared" si="662"/>
        <v>#REF!</v>
      </c>
      <c r="ET111" s="30">
        <f t="shared" si="662"/>
        <v>0</v>
      </c>
      <c r="EU111" s="30">
        <f t="shared" si="662"/>
        <v>0</v>
      </c>
      <c r="EV111" s="30" t="e">
        <f t="shared" si="662"/>
        <v>#REF!</v>
      </c>
      <c r="EW111" s="30">
        <f t="shared" si="662"/>
        <v>0</v>
      </c>
      <c r="EX111" s="30">
        <f t="shared" si="662"/>
        <v>0</v>
      </c>
      <c r="EY111" s="30" t="e">
        <f t="shared" si="662"/>
        <v>#REF!</v>
      </c>
      <c r="EZ111" s="30">
        <f t="shared" si="662"/>
        <v>0</v>
      </c>
      <c r="FA111" s="30">
        <f t="shared" si="662"/>
        <v>0</v>
      </c>
      <c r="FB111" s="30" t="e">
        <f t="shared" si="662"/>
        <v>#REF!</v>
      </c>
      <c r="FC111" s="30">
        <f t="shared" si="662"/>
        <v>0</v>
      </c>
      <c r="FD111" s="30">
        <f t="shared" si="662"/>
        <v>0</v>
      </c>
      <c r="FE111" s="30" t="e">
        <f t="shared" si="662"/>
        <v>#REF!</v>
      </c>
      <c r="FF111" s="30">
        <f t="shared" si="662"/>
        <v>0</v>
      </c>
      <c r="FG111" s="30">
        <f t="shared" si="662"/>
        <v>0</v>
      </c>
      <c r="FH111" s="30" t="e">
        <f t="shared" si="662"/>
        <v>#REF!</v>
      </c>
      <c r="FI111" s="30">
        <f t="shared" si="662"/>
        <v>0</v>
      </c>
      <c r="FJ111" s="30">
        <f t="shared" si="662"/>
        <v>0</v>
      </c>
      <c r="FK111" s="30" t="e">
        <f t="shared" si="662"/>
        <v>#REF!</v>
      </c>
      <c r="FL111" s="30">
        <f t="shared" si="662"/>
        <v>0</v>
      </c>
      <c r="FM111" s="30">
        <f t="shared" si="662"/>
        <v>0</v>
      </c>
      <c r="FN111" s="30" t="e">
        <f t="shared" si="662"/>
        <v>#REF!</v>
      </c>
      <c r="FO111" s="30">
        <f t="shared" si="662"/>
        <v>0</v>
      </c>
      <c r="FP111" s="30">
        <f t="shared" si="662"/>
        <v>0</v>
      </c>
      <c r="FQ111" s="30" t="e">
        <f t="shared" si="662"/>
        <v>#REF!</v>
      </c>
      <c r="FR111" s="30">
        <f t="shared" si="662"/>
        <v>0</v>
      </c>
      <c r="FS111" s="30">
        <f t="shared" si="662"/>
        <v>0</v>
      </c>
      <c r="FT111" s="30" t="e">
        <f t="shared" si="662"/>
        <v>#REF!</v>
      </c>
      <c r="FU111" s="30">
        <f t="shared" si="662"/>
        <v>0</v>
      </c>
      <c r="FV111" s="30">
        <f t="shared" si="662"/>
        <v>0</v>
      </c>
      <c r="FW111" s="30" t="e">
        <f t="shared" si="662"/>
        <v>#REF!</v>
      </c>
      <c r="FX111" s="30">
        <f t="shared" si="662"/>
        <v>0</v>
      </c>
      <c r="FY111" s="30">
        <f t="shared" si="662"/>
        <v>0</v>
      </c>
      <c r="FZ111" s="30" t="e">
        <f t="shared" si="662"/>
        <v>#REF!</v>
      </c>
      <c r="GA111" s="30">
        <f t="shared" si="662"/>
        <v>0</v>
      </c>
      <c r="GB111" s="30">
        <f t="shared" si="662"/>
        <v>0</v>
      </c>
      <c r="GC111" s="30" t="e">
        <f t="shared" si="662"/>
        <v>#REF!</v>
      </c>
      <c r="GD111" s="30">
        <f t="shared" si="662"/>
        <v>0</v>
      </c>
      <c r="GE111" s="30">
        <f t="shared" si="662"/>
        <v>0</v>
      </c>
      <c r="GF111" s="30" t="e">
        <f t="shared" si="662"/>
        <v>#REF!</v>
      </c>
      <c r="GG111" s="30">
        <f t="shared" si="662"/>
        <v>0</v>
      </c>
      <c r="GH111" s="30">
        <f t="shared" si="662"/>
        <v>0</v>
      </c>
      <c r="GI111" s="30" t="e">
        <f t="shared" si="662"/>
        <v>#REF!</v>
      </c>
      <c r="GJ111" s="30">
        <f t="shared" si="662"/>
        <v>0</v>
      </c>
      <c r="GK111" s="30">
        <f t="shared" si="662"/>
        <v>0</v>
      </c>
      <c r="GL111" s="30" t="e">
        <f t="shared" si="662"/>
        <v>#REF!</v>
      </c>
      <c r="GM111" s="30">
        <f t="shared" si="662"/>
        <v>0</v>
      </c>
      <c r="GN111" s="30">
        <f t="shared" si="662"/>
        <v>0</v>
      </c>
      <c r="GO111" s="30" t="e">
        <f t="shared" si="662"/>
        <v>#REF!</v>
      </c>
      <c r="GP111" s="30">
        <f t="shared" ref="GP111:IJ111" si="663">+GP89</f>
        <v>0</v>
      </c>
      <c r="GQ111" s="30">
        <f t="shared" si="663"/>
        <v>0</v>
      </c>
      <c r="GR111" s="30" t="e">
        <f t="shared" si="663"/>
        <v>#REF!</v>
      </c>
      <c r="GS111" s="30">
        <f t="shared" si="663"/>
        <v>0</v>
      </c>
      <c r="GT111" s="30">
        <f t="shared" si="663"/>
        <v>0</v>
      </c>
      <c r="GU111" s="30" t="e">
        <f t="shared" si="663"/>
        <v>#REF!</v>
      </c>
      <c r="GV111" s="30">
        <f t="shared" si="663"/>
        <v>0</v>
      </c>
      <c r="GW111" s="30">
        <f t="shared" si="663"/>
        <v>0</v>
      </c>
      <c r="GX111" s="30" t="e">
        <f t="shared" si="663"/>
        <v>#REF!</v>
      </c>
      <c r="GY111" s="30">
        <f t="shared" si="663"/>
        <v>0</v>
      </c>
      <c r="GZ111" s="30">
        <f t="shared" si="663"/>
        <v>0</v>
      </c>
      <c r="HA111" s="30" t="e">
        <f t="shared" si="663"/>
        <v>#REF!</v>
      </c>
      <c r="HB111" s="30">
        <f t="shared" si="663"/>
        <v>0</v>
      </c>
      <c r="HC111" s="30">
        <f t="shared" si="663"/>
        <v>0</v>
      </c>
      <c r="HD111" s="30" t="e">
        <f t="shared" si="663"/>
        <v>#REF!</v>
      </c>
      <c r="HE111" s="30">
        <f t="shared" si="663"/>
        <v>0</v>
      </c>
      <c r="HF111" s="30">
        <f t="shared" si="663"/>
        <v>0</v>
      </c>
      <c r="HG111" s="30" t="e">
        <f t="shared" si="663"/>
        <v>#REF!</v>
      </c>
      <c r="HH111" s="30">
        <f t="shared" si="663"/>
        <v>0</v>
      </c>
      <c r="HI111" s="30">
        <f t="shared" si="663"/>
        <v>0</v>
      </c>
      <c r="HJ111" s="30" t="e">
        <f t="shared" si="663"/>
        <v>#REF!</v>
      </c>
      <c r="HK111" s="30">
        <f t="shared" si="663"/>
        <v>0</v>
      </c>
      <c r="HL111" s="30">
        <f t="shared" si="663"/>
        <v>0</v>
      </c>
      <c r="HM111" s="30" t="e">
        <f t="shared" si="663"/>
        <v>#REF!</v>
      </c>
      <c r="HN111" s="30">
        <f t="shared" si="663"/>
        <v>0</v>
      </c>
      <c r="HO111" s="30">
        <f t="shared" si="663"/>
        <v>0</v>
      </c>
      <c r="HP111" s="30" t="e">
        <f t="shared" si="663"/>
        <v>#REF!</v>
      </c>
      <c r="HQ111" s="30">
        <f t="shared" si="663"/>
        <v>0</v>
      </c>
      <c r="HR111" s="30">
        <f t="shared" si="663"/>
        <v>0</v>
      </c>
      <c r="HS111" s="30" t="e">
        <f t="shared" si="663"/>
        <v>#REF!</v>
      </c>
      <c r="HT111" s="30">
        <f t="shared" si="663"/>
        <v>0</v>
      </c>
      <c r="HU111" s="30">
        <f t="shared" si="663"/>
        <v>0</v>
      </c>
      <c r="HV111" s="30" t="e">
        <f t="shared" si="663"/>
        <v>#REF!</v>
      </c>
      <c r="HW111" s="30">
        <f t="shared" si="663"/>
        <v>0</v>
      </c>
      <c r="HX111" s="30">
        <f t="shared" si="663"/>
        <v>0</v>
      </c>
      <c r="HY111" s="30" t="e">
        <f t="shared" si="663"/>
        <v>#REF!</v>
      </c>
      <c r="HZ111" s="30">
        <f t="shared" si="663"/>
        <v>0</v>
      </c>
      <c r="IA111" s="30">
        <f t="shared" si="663"/>
        <v>0</v>
      </c>
      <c r="IB111" s="30" t="e">
        <f t="shared" si="663"/>
        <v>#REF!</v>
      </c>
      <c r="IC111" s="30">
        <f t="shared" si="663"/>
        <v>0</v>
      </c>
      <c r="ID111" s="30">
        <f t="shared" si="663"/>
        <v>0</v>
      </c>
      <c r="IE111" s="30" t="e">
        <f t="shared" si="663"/>
        <v>#REF!</v>
      </c>
      <c r="IF111" s="30">
        <f t="shared" si="663"/>
        <v>0</v>
      </c>
      <c r="IG111" s="30">
        <f t="shared" si="663"/>
        <v>0</v>
      </c>
      <c r="IH111" s="30" t="e">
        <f t="shared" si="663"/>
        <v>#REF!</v>
      </c>
      <c r="II111" s="30">
        <f t="shared" si="663"/>
        <v>0</v>
      </c>
      <c r="IJ111" s="30">
        <f t="shared" si="663"/>
        <v>0</v>
      </c>
    </row>
    <row r="112" spans="1:244" x14ac:dyDescent="0.3">
      <c r="A112" t="s">
        <v>777</v>
      </c>
      <c r="B112" s="33" t="e">
        <f t="shared" si="657"/>
        <v>#REF!</v>
      </c>
      <c r="C112" s="38" t="e">
        <f t="shared" si="659"/>
        <v>#REF!</v>
      </c>
      <c r="D112" s="30" t="e">
        <f t="shared" si="658"/>
        <v>#REF!</v>
      </c>
      <c r="E112" s="30">
        <f>+E90</f>
        <v>0</v>
      </c>
      <c r="F112" s="30">
        <f t="shared" ref="F112:BQ112" si="664">+F90</f>
        <v>0</v>
      </c>
      <c r="G112" s="30">
        <f t="shared" si="664"/>
        <v>0</v>
      </c>
      <c r="H112" s="30">
        <f t="shared" si="664"/>
        <v>0</v>
      </c>
      <c r="I112" s="30">
        <f t="shared" si="664"/>
        <v>0</v>
      </c>
      <c r="J112" s="30">
        <f t="shared" si="664"/>
        <v>0</v>
      </c>
      <c r="K112" s="30">
        <f t="shared" si="664"/>
        <v>0</v>
      </c>
      <c r="L112" s="30">
        <f t="shared" si="664"/>
        <v>0</v>
      </c>
      <c r="M112" s="30">
        <f t="shared" si="664"/>
        <v>0</v>
      </c>
      <c r="N112" s="30">
        <f t="shared" si="664"/>
        <v>0</v>
      </c>
      <c r="O112" s="30">
        <f t="shared" si="664"/>
        <v>0</v>
      </c>
      <c r="P112" s="30">
        <f t="shared" si="664"/>
        <v>0</v>
      </c>
      <c r="Q112" s="30">
        <f t="shared" si="664"/>
        <v>0</v>
      </c>
      <c r="R112" s="30">
        <f t="shared" si="664"/>
        <v>0</v>
      </c>
      <c r="S112" s="30">
        <f t="shared" si="664"/>
        <v>0</v>
      </c>
      <c r="T112" s="30">
        <f t="shared" si="664"/>
        <v>0</v>
      </c>
      <c r="U112" s="30">
        <f t="shared" si="664"/>
        <v>0</v>
      </c>
      <c r="V112" s="30">
        <f t="shared" si="664"/>
        <v>0</v>
      </c>
      <c r="W112" s="30">
        <f t="shared" si="664"/>
        <v>0</v>
      </c>
      <c r="X112" s="30">
        <f t="shared" si="664"/>
        <v>0</v>
      </c>
      <c r="Y112" s="30">
        <f t="shared" si="664"/>
        <v>0</v>
      </c>
      <c r="Z112" s="30">
        <f t="shared" si="664"/>
        <v>0</v>
      </c>
      <c r="AA112" s="30">
        <f t="shared" si="664"/>
        <v>0</v>
      </c>
      <c r="AB112" s="30">
        <f t="shared" si="664"/>
        <v>0</v>
      </c>
      <c r="AC112" s="30">
        <f t="shared" si="664"/>
        <v>0</v>
      </c>
      <c r="AD112" s="30">
        <f t="shared" si="664"/>
        <v>0</v>
      </c>
      <c r="AE112" s="30">
        <f t="shared" si="664"/>
        <v>0</v>
      </c>
      <c r="AF112" s="30">
        <f t="shared" si="664"/>
        <v>0</v>
      </c>
      <c r="AG112" s="30">
        <f t="shared" si="664"/>
        <v>0</v>
      </c>
      <c r="AH112" s="30">
        <f t="shared" si="664"/>
        <v>0</v>
      </c>
      <c r="AI112" s="30">
        <f t="shared" si="664"/>
        <v>0</v>
      </c>
      <c r="AJ112" s="30">
        <f t="shared" si="664"/>
        <v>0</v>
      </c>
      <c r="AK112" s="30">
        <f t="shared" si="664"/>
        <v>0</v>
      </c>
      <c r="AL112" s="30">
        <f t="shared" si="664"/>
        <v>0</v>
      </c>
      <c r="AM112" s="30">
        <f t="shared" si="664"/>
        <v>0</v>
      </c>
      <c r="AN112" s="30">
        <f t="shared" si="664"/>
        <v>0</v>
      </c>
      <c r="AO112" s="30">
        <f t="shared" si="664"/>
        <v>0</v>
      </c>
      <c r="AP112" s="30">
        <f t="shared" si="664"/>
        <v>0</v>
      </c>
      <c r="AQ112" s="30">
        <f t="shared" si="664"/>
        <v>0</v>
      </c>
      <c r="AR112" s="30">
        <f t="shared" si="664"/>
        <v>0</v>
      </c>
      <c r="AS112" s="30">
        <f t="shared" si="664"/>
        <v>0</v>
      </c>
      <c r="AT112" s="30">
        <f t="shared" si="664"/>
        <v>0</v>
      </c>
      <c r="AU112" s="30">
        <f t="shared" si="664"/>
        <v>0</v>
      </c>
      <c r="AV112" s="30">
        <f t="shared" si="664"/>
        <v>0</v>
      </c>
      <c r="AW112" s="30">
        <f t="shared" si="664"/>
        <v>0</v>
      </c>
      <c r="AX112" s="30">
        <f t="shared" si="664"/>
        <v>0</v>
      </c>
      <c r="AY112" s="30">
        <f t="shared" si="664"/>
        <v>0</v>
      </c>
      <c r="AZ112" s="30">
        <f t="shared" si="664"/>
        <v>0</v>
      </c>
      <c r="BA112" s="30" t="e">
        <f t="shared" si="664"/>
        <v>#REF!</v>
      </c>
      <c r="BB112" s="30" t="e">
        <f t="shared" si="664"/>
        <v>#REF!</v>
      </c>
      <c r="BC112" s="30" t="e">
        <f t="shared" si="664"/>
        <v>#REF!</v>
      </c>
      <c r="BD112" s="30" t="e">
        <f t="shared" si="664"/>
        <v>#REF!</v>
      </c>
      <c r="BE112" s="30" t="e">
        <f t="shared" si="664"/>
        <v>#REF!</v>
      </c>
      <c r="BF112" s="30" t="e">
        <f t="shared" si="664"/>
        <v>#REF!</v>
      </c>
      <c r="BG112" s="30" t="e">
        <f t="shared" si="664"/>
        <v>#REF!</v>
      </c>
      <c r="BH112" s="30" t="e">
        <f t="shared" si="664"/>
        <v>#REF!</v>
      </c>
      <c r="BI112" s="30" t="e">
        <f t="shared" si="664"/>
        <v>#REF!</v>
      </c>
      <c r="BJ112" s="30" t="e">
        <f t="shared" si="664"/>
        <v>#REF!</v>
      </c>
      <c r="BK112" s="30" t="e">
        <f t="shared" si="664"/>
        <v>#REF!</v>
      </c>
      <c r="BL112" s="30" t="e">
        <f t="shared" si="664"/>
        <v>#REF!</v>
      </c>
      <c r="BM112" s="30" t="e">
        <f t="shared" si="664"/>
        <v>#REF!</v>
      </c>
      <c r="BN112" s="30" t="e">
        <f t="shared" si="664"/>
        <v>#REF!</v>
      </c>
      <c r="BO112" s="30" t="e">
        <f t="shared" si="664"/>
        <v>#REF!</v>
      </c>
      <c r="BP112" s="30" t="e">
        <f t="shared" si="664"/>
        <v>#REF!</v>
      </c>
      <c r="BQ112" s="30" t="e">
        <f t="shared" si="664"/>
        <v>#REF!</v>
      </c>
      <c r="BR112" s="30" t="e">
        <f t="shared" ref="BR112:EC112" si="665">+BR90</f>
        <v>#REF!</v>
      </c>
      <c r="BS112" s="30" t="e">
        <f t="shared" si="665"/>
        <v>#REF!</v>
      </c>
      <c r="BT112" s="30" t="e">
        <f t="shared" si="665"/>
        <v>#REF!</v>
      </c>
      <c r="BU112" s="30" t="e">
        <f t="shared" si="665"/>
        <v>#REF!</v>
      </c>
      <c r="BV112" s="30" t="e">
        <f t="shared" si="665"/>
        <v>#REF!</v>
      </c>
      <c r="BW112" s="30" t="e">
        <f t="shared" si="665"/>
        <v>#REF!</v>
      </c>
      <c r="BX112" s="30" t="e">
        <f t="shared" si="665"/>
        <v>#REF!</v>
      </c>
      <c r="BY112" s="30" t="e">
        <f t="shared" si="665"/>
        <v>#REF!</v>
      </c>
      <c r="BZ112" s="30" t="e">
        <f t="shared" si="665"/>
        <v>#REF!</v>
      </c>
      <c r="CA112" s="30" t="e">
        <f t="shared" si="665"/>
        <v>#REF!</v>
      </c>
      <c r="CB112" s="30" t="e">
        <f t="shared" si="665"/>
        <v>#REF!</v>
      </c>
      <c r="CC112" s="30" t="e">
        <f t="shared" si="665"/>
        <v>#REF!</v>
      </c>
      <c r="CD112" s="30" t="e">
        <f t="shared" si="665"/>
        <v>#REF!</v>
      </c>
      <c r="CE112" s="30" t="e">
        <f t="shared" si="665"/>
        <v>#REF!</v>
      </c>
      <c r="CF112" s="30" t="e">
        <f t="shared" si="665"/>
        <v>#REF!</v>
      </c>
      <c r="CG112" s="30" t="e">
        <f t="shared" si="665"/>
        <v>#REF!</v>
      </c>
      <c r="CH112" s="30" t="e">
        <f t="shared" si="665"/>
        <v>#REF!</v>
      </c>
      <c r="CI112" s="30" t="e">
        <f t="shared" si="665"/>
        <v>#REF!</v>
      </c>
      <c r="CJ112" s="30" t="e">
        <f t="shared" si="665"/>
        <v>#REF!</v>
      </c>
      <c r="CK112" s="30" t="e">
        <f t="shared" si="665"/>
        <v>#REF!</v>
      </c>
      <c r="CL112" s="30" t="e">
        <f t="shared" si="665"/>
        <v>#REF!</v>
      </c>
      <c r="CM112" s="30" t="e">
        <f t="shared" si="665"/>
        <v>#REF!</v>
      </c>
      <c r="CN112" s="30" t="e">
        <f t="shared" si="665"/>
        <v>#REF!</v>
      </c>
      <c r="CO112" s="30" t="e">
        <f t="shared" si="665"/>
        <v>#REF!</v>
      </c>
      <c r="CP112" s="30" t="e">
        <f t="shared" si="665"/>
        <v>#REF!</v>
      </c>
      <c r="CQ112" s="30" t="e">
        <f t="shared" si="665"/>
        <v>#REF!</v>
      </c>
      <c r="CR112" s="30" t="e">
        <f t="shared" si="665"/>
        <v>#REF!</v>
      </c>
      <c r="CS112" s="30" t="e">
        <f t="shared" si="665"/>
        <v>#REF!</v>
      </c>
      <c r="CT112" s="30" t="e">
        <f t="shared" si="665"/>
        <v>#REF!</v>
      </c>
      <c r="CU112" s="30" t="e">
        <f t="shared" si="665"/>
        <v>#REF!</v>
      </c>
      <c r="CV112" s="30" t="e">
        <f t="shared" si="665"/>
        <v>#REF!</v>
      </c>
      <c r="CW112" s="30" t="e">
        <f t="shared" si="665"/>
        <v>#REF!</v>
      </c>
      <c r="CX112" s="30" t="e">
        <f t="shared" si="665"/>
        <v>#REF!</v>
      </c>
      <c r="CY112" s="30" t="e">
        <f t="shared" si="665"/>
        <v>#REF!</v>
      </c>
      <c r="CZ112" s="30" t="e">
        <f t="shared" si="665"/>
        <v>#REF!</v>
      </c>
      <c r="DA112" s="30" t="e">
        <f t="shared" si="665"/>
        <v>#REF!</v>
      </c>
      <c r="DB112" s="30" t="e">
        <f t="shared" si="665"/>
        <v>#REF!</v>
      </c>
      <c r="DC112" s="30" t="e">
        <f t="shared" si="665"/>
        <v>#REF!</v>
      </c>
      <c r="DD112" s="30" t="e">
        <f t="shared" si="665"/>
        <v>#REF!</v>
      </c>
      <c r="DE112" s="30" t="e">
        <f t="shared" si="665"/>
        <v>#REF!</v>
      </c>
      <c r="DF112" s="30" t="e">
        <f t="shared" si="665"/>
        <v>#REF!</v>
      </c>
      <c r="DG112" s="30" t="e">
        <f t="shared" si="665"/>
        <v>#REF!</v>
      </c>
      <c r="DH112" s="30" t="e">
        <f t="shared" si="665"/>
        <v>#REF!</v>
      </c>
      <c r="DI112" s="30" t="e">
        <f t="shared" si="665"/>
        <v>#REF!</v>
      </c>
      <c r="DJ112" s="30" t="e">
        <f t="shared" si="665"/>
        <v>#REF!</v>
      </c>
      <c r="DK112" s="30" t="e">
        <f t="shared" si="665"/>
        <v>#REF!</v>
      </c>
      <c r="DL112" s="30" t="e">
        <f t="shared" si="665"/>
        <v>#REF!</v>
      </c>
      <c r="DM112" s="30" t="e">
        <f t="shared" si="665"/>
        <v>#REF!</v>
      </c>
      <c r="DN112" s="30" t="e">
        <f t="shared" si="665"/>
        <v>#REF!</v>
      </c>
      <c r="DO112" s="30" t="e">
        <f t="shared" si="665"/>
        <v>#REF!</v>
      </c>
      <c r="DP112" s="30" t="e">
        <f t="shared" si="665"/>
        <v>#REF!</v>
      </c>
      <c r="DQ112" s="30" t="e">
        <f t="shared" si="665"/>
        <v>#REF!</v>
      </c>
      <c r="DR112" s="30" t="e">
        <f t="shared" si="665"/>
        <v>#REF!</v>
      </c>
      <c r="DS112" s="30" t="e">
        <f t="shared" si="665"/>
        <v>#REF!</v>
      </c>
      <c r="DT112" s="30" t="e">
        <f t="shared" si="665"/>
        <v>#REF!</v>
      </c>
      <c r="DU112" s="30" t="e">
        <f t="shared" si="665"/>
        <v>#REF!</v>
      </c>
      <c r="DV112" s="30" t="e">
        <f t="shared" si="665"/>
        <v>#REF!</v>
      </c>
      <c r="DW112" s="30" t="e">
        <f t="shared" si="665"/>
        <v>#REF!</v>
      </c>
      <c r="DX112" s="30" t="e">
        <f t="shared" si="665"/>
        <v>#REF!</v>
      </c>
      <c r="DY112" s="30" t="e">
        <f t="shared" si="665"/>
        <v>#REF!</v>
      </c>
      <c r="DZ112" s="30" t="e">
        <f t="shared" si="665"/>
        <v>#REF!</v>
      </c>
      <c r="EA112" s="30" t="e">
        <f t="shared" si="665"/>
        <v>#REF!</v>
      </c>
      <c r="EB112" s="30" t="e">
        <f t="shared" si="665"/>
        <v>#REF!</v>
      </c>
      <c r="EC112" s="30" t="e">
        <f t="shared" si="665"/>
        <v>#REF!</v>
      </c>
      <c r="ED112" s="30" t="e">
        <f t="shared" ref="ED112:FP112" si="666">+ED90</f>
        <v>#REF!</v>
      </c>
      <c r="EE112" s="30" t="e">
        <f t="shared" si="666"/>
        <v>#REF!</v>
      </c>
      <c r="EF112" s="30" t="e">
        <f t="shared" si="666"/>
        <v>#REF!</v>
      </c>
      <c r="EG112" s="30" t="e">
        <f t="shared" si="666"/>
        <v>#REF!</v>
      </c>
      <c r="EH112" s="30" t="e">
        <f t="shared" si="666"/>
        <v>#REF!</v>
      </c>
      <c r="EI112" s="30" t="e">
        <f t="shared" si="666"/>
        <v>#REF!</v>
      </c>
      <c r="EJ112" s="30" t="e">
        <f t="shared" si="666"/>
        <v>#REF!</v>
      </c>
      <c r="EK112" s="30" t="e">
        <f t="shared" si="666"/>
        <v>#REF!</v>
      </c>
      <c r="EL112" s="30" t="e">
        <f t="shared" si="666"/>
        <v>#REF!</v>
      </c>
      <c r="EM112" s="30" t="e">
        <f t="shared" si="666"/>
        <v>#REF!</v>
      </c>
      <c r="EN112" s="30" t="e">
        <f t="shared" si="666"/>
        <v>#REF!</v>
      </c>
      <c r="EO112" s="30" t="e">
        <f t="shared" si="666"/>
        <v>#REF!</v>
      </c>
      <c r="EP112" s="30" t="e">
        <f t="shared" si="666"/>
        <v>#REF!</v>
      </c>
      <c r="EQ112" s="30" t="e">
        <f t="shared" si="666"/>
        <v>#REF!</v>
      </c>
      <c r="ER112" s="30" t="e">
        <f t="shared" si="666"/>
        <v>#REF!</v>
      </c>
      <c r="ES112" s="30" t="e">
        <f t="shared" si="666"/>
        <v>#REF!</v>
      </c>
      <c r="ET112" s="30" t="e">
        <f t="shared" si="666"/>
        <v>#REF!</v>
      </c>
      <c r="EU112" s="30" t="e">
        <f t="shared" si="666"/>
        <v>#REF!</v>
      </c>
      <c r="EV112" s="30" t="e">
        <f t="shared" si="666"/>
        <v>#REF!</v>
      </c>
      <c r="EW112" s="30" t="e">
        <f t="shared" si="666"/>
        <v>#REF!</v>
      </c>
      <c r="EX112" s="30" t="e">
        <f t="shared" si="666"/>
        <v>#REF!</v>
      </c>
      <c r="EY112" s="30" t="e">
        <f t="shared" si="666"/>
        <v>#REF!</v>
      </c>
      <c r="EZ112" s="30" t="e">
        <f t="shared" si="666"/>
        <v>#REF!</v>
      </c>
      <c r="FA112" s="30" t="e">
        <f t="shared" si="666"/>
        <v>#REF!</v>
      </c>
      <c r="FB112" s="30" t="e">
        <f t="shared" si="666"/>
        <v>#REF!</v>
      </c>
      <c r="FC112" s="30" t="e">
        <f t="shared" si="666"/>
        <v>#REF!</v>
      </c>
      <c r="FD112" s="30" t="e">
        <f t="shared" si="666"/>
        <v>#REF!</v>
      </c>
      <c r="FE112" s="30" t="e">
        <f t="shared" si="666"/>
        <v>#REF!</v>
      </c>
      <c r="FF112" s="30" t="e">
        <f t="shared" si="666"/>
        <v>#REF!</v>
      </c>
      <c r="FG112" s="30" t="e">
        <f t="shared" si="666"/>
        <v>#REF!</v>
      </c>
      <c r="FH112" s="30" t="e">
        <f t="shared" si="666"/>
        <v>#REF!</v>
      </c>
      <c r="FI112" s="30" t="e">
        <f t="shared" si="666"/>
        <v>#REF!</v>
      </c>
      <c r="FJ112" s="30" t="e">
        <f t="shared" si="666"/>
        <v>#REF!</v>
      </c>
      <c r="FK112" s="30" t="e">
        <f t="shared" si="666"/>
        <v>#REF!</v>
      </c>
      <c r="FL112" s="30" t="e">
        <f t="shared" si="666"/>
        <v>#REF!</v>
      </c>
      <c r="FM112" s="30" t="e">
        <f t="shared" si="666"/>
        <v>#REF!</v>
      </c>
      <c r="FN112" s="30" t="e">
        <f t="shared" si="666"/>
        <v>#REF!</v>
      </c>
      <c r="FO112" s="30" t="e">
        <f t="shared" si="666"/>
        <v>#REF!</v>
      </c>
      <c r="FP112" s="30" t="e">
        <f t="shared" si="666"/>
        <v>#REF!</v>
      </c>
      <c r="FQ112" s="30" t="e">
        <f>+FP112</f>
        <v>#REF!</v>
      </c>
      <c r="FR112" s="30" t="e">
        <f t="shared" ref="FR112:GG112" si="667">+FQ112</f>
        <v>#REF!</v>
      </c>
      <c r="FS112" s="30" t="e">
        <f t="shared" si="667"/>
        <v>#REF!</v>
      </c>
      <c r="FT112" s="30" t="e">
        <f t="shared" si="667"/>
        <v>#REF!</v>
      </c>
      <c r="FU112" s="30" t="e">
        <f t="shared" si="667"/>
        <v>#REF!</v>
      </c>
      <c r="FV112" s="30" t="e">
        <f t="shared" si="667"/>
        <v>#REF!</v>
      </c>
      <c r="FW112" s="30" t="e">
        <f t="shared" si="667"/>
        <v>#REF!</v>
      </c>
      <c r="FX112" s="30" t="e">
        <f t="shared" si="667"/>
        <v>#REF!</v>
      </c>
      <c r="FY112" s="30" t="e">
        <f t="shared" si="667"/>
        <v>#REF!</v>
      </c>
      <c r="FZ112" s="30" t="e">
        <f t="shared" si="667"/>
        <v>#REF!</v>
      </c>
      <c r="GA112" s="30" t="e">
        <f t="shared" si="667"/>
        <v>#REF!</v>
      </c>
      <c r="GB112" s="30" t="e">
        <f t="shared" si="667"/>
        <v>#REF!</v>
      </c>
      <c r="GC112" s="30" t="e">
        <f t="shared" si="667"/>
        <v>#REF!</v>
      </c>
      <c r="GD112" s="30" t="e">
        <f t="shared" si="667"/>
        <v>#REF!</v>
      </c>
      <c r="GE112" s="30" t="e">
        <f t="shared" si="667"/>
        <v>#REF!</v>
      </c>
      <c r="GF112" s="30" t="e">
        <f t="shared" si="667"/>
        <v>#REF!</v>
      </c>
      <c r="GG112" s="30" t="e">
        <f t="shared" si="667"/>
        <v>#REF!</v>
      </c>
      <c r="GH112" s="30">
        <f t="shared" ref="GH112:GO112" si="668">+GH90</f>
        <v>0</v>
      </c>
      <c r="GI112" s="30">
        <f t="shared" si="668"/>
        <v>0</v>
      </c>
      <c r="GJ112" s="30">
        <f t="shared" si="668"/>
        <v>0</v>
      </c>
      <c r="GK112" s="30">
        <f t="shared" si="668"/>
        <v>0</v>
      </c>
      <c r="GL112" s="30">
        <f t="shared" si="668"/>
        <v>0</v>
      </c>
      <c r="GM112" s="30">
        <f t="shared" si="668"/>
        <v>0</v>
      </c>
      <c r="GN112" s="30">
        <f t="shared" si="668"/>
        <v>0</v>
      </c>
      <c r="GO112" s="30">
        <f t="shared" si="668"/>
        <v>0</v>
      </c>
      <c r="GP112" s="30">
        <f t="shared" ref="GP112:IJ112" si="669">+GP90</f>
        <v>0</v>
      </c>
      <c r="GQ112" s="30">
        <f t="shared" si="669"/>
        <v>0</v>
      </c>
      <c r="GR112" s="30">
        <f t="shared" si="669"/>
        <v>0</v>
      </c>
      <c r="GS112" s="30">
        <f t="shared" si="669"/>
        <v>0</v>
      </c>
      <c r="GT112" s="30">
        <f t="shared" si="669"/>
        <v>0</v>
      </c>
      <c r="GU112" s="30">
        <f t="shared" si="669"/>
        <v>0</v>
      </c>
      <c r="GV112" s="30">
        <f t="shared" si="669"/>
        <v>0</v>
      </c>
      <c r="GW112" s="30">
        <f t="shared" si="669"/>
        <v>0</v>
      </c>
      <c r="GX112" s="30">
        <f t="shared" si="669"/>
        <v>0</v>
      </c>
      <c r="GY112" s="30">
        <f t="shared" si="669"/>
        <v>0</v>
      </c>
      <c r="GZ112" s="30">
        <f t="shared" si="669"/>
        <v>0</v>
      </c>
      <c r="HA112" s="30">
        <f t="shared" si="669"/>
        <v>0</v>
      </c>
      <c r="HB112" s="30">
        <f t="shared" si="669"/>
        <v>0</v>
      </c>
      <c r="HC112" s="30">
        <f t="shared" si="669"/>
        <v>0</v>
      </c>
      <c r="HD112" s="30">
        <f t="shared" si="669"/>
        <v>0</v>
      </c>
      <c r="HE112" s="30">
        <f t="shared" si="669"/>
        <v>0</v>
      </c>
      <c r="HF112" s="30">
        <f t="shared" si="669"/>
        <v>0</v>
      </c>
      <c r="HG112" s="30">
        <f t="shared" si="669"/>
        <v>0</v>
      </c>
      <c r="HH112" s="30">
        <f t="shared" si="669"/>
        <v>0</v>
      </c>
      <c r="HI112" s="30">
        <f t="shared" si="669"/>
        <v>0</v>
      </c>
      <c r="HJ112" s="30">
        <f t="shared" si="669"/>
        <v>0</v>
      </c>
      <c r="HK112" s="30">
        <f t="shared" si="669"/>
        <v>0</v>
      </c>
      <c r="HL112" s="30">
        <f t="shared" si="669"/>
        <v>0</v>
      </c>
      <c r="HM112" s="30">
        <f t="shared" si="669"/>
        <v>0</v>
      </c>
      <c r="HN112" s="30">
        <f t="shared" si="669"/>
        <v>0</v>
      </c>
      <c r="HO112" s="30">
        <f t="shared" si="669"/>
        <v>0</v>
      </c>
      <c r="HP112" s="30">
        <f t="shared" si="669"/>
        <v>0</v>
      </c>
      <c r="HQ112" s="30">
        <f t="shared" si="669"/>
        <v>0</v>
      </c>
      <c r="HR112" s="30">
        <f t="shared" si="669"/>
        <v>0</v>
      </c>
      <c r="HS112" s="30">
        <f t="shared" si="669"/>
        <v>0</v>
      </c>
      <c r="HT112" s="30">
        <f t="shared" si="669"/>
        <v>0</v>
      </c>
      <c r="HU112" s="30">
        <f t="shared" si="669"/>
        <v>0</v>
      </c>
      <c r="HV112" s="30">
        <f t="shared" si="669"/>
        <v>0</v>
      </c>
      <c r="HW112" s="30">
        <f t="shared" si="669"/>
        <v>0</v>
      </c>
      <c r="HX112" s="30">
        <f t="shared" si="669"/>
        <v>0</v>
      </c>
      <c r="HY112" s="30">
        <f t="shared" si="669"/>
        <v>0</v>
      </c>
      <c r="HZ112" s="30">
        <f t="shared" si="669"/>
        <v>0</v>
      </c>
      <c r="IA112" s="30">
        <f t="shared" si="669"/>
        <v>0</v>
      </c>
      <c r="IB112" s="30">
        <f t="shared" si="669"/>
        <v>0</v>
      </c>
      <c r="IC112" s="30">
        <f t="shared" si="669"/>
        <v>0</v>
      </c>
      <c r="ID112" s="30">
        <f t="shared" si="669"/>
        <v>0</v>
      </c>
      <c r="IE112" s="30">
        <f t="shared" si="669"/>
        <v>0</v>
      </c>
      <c r="IF112" s="30">
        <f t="shared" si="669"/>
        <v>0</v>
      </c>
      <c r="IG112" s="30">
        <f t="shared" si="669"/>
        <v>0</v>
      </c>
      <c r="IH112" s="30">
        <f t="shared" si="669"/>
        <v>0</v>
      </c>
      <c r="II112" s="30">
        <f t="shared" si="669"/>
        <v>0</v>
      </c>
      <c r="IJ112" s="30">
        <f t="shared" si="669"/>
        <v>0</v>
      </c>
    </row>
    <row r="113" spans="1:244" x14ac:dyDescent="0.3">
      <c r="A113" t="s">
        <v>644</v>
      </c>
      <c r="B113" s="33" t="e">
        <f t="shared" si="657"/>
        <v>#REF!</v>
      </c>
      <c r="C113" s="38" t="e">
        <f t="shared" si="659"/>
        <v>#REF!</v>
      </c>
      <c r="D113" s="30" t="e">
        <f t="shared" si="658"/>
        <v>#REF!</v>
      </c>
      <c r="E113" s="30" t="e">
        <f>+E91</f>
        <v>#REF!</v>
      </c>
      <c r="F113" s="30" t="e">
        <f t="shared" ref="F113:BQ113" si="670">+F91</f>
        <v>#REF!</v>
      </c>
      <c r="G113" s="30" t="e">
        <f t="shared" si="670"/>
        <v>#REF!</v>
      </c>
      <c r="H113" s="30" t="e">
        <f t="shared" si="670"/>
        <v>#REF!</v>
      </c>
      <c r="I113" s="30" t="e">
        <f t="shared" si="670"/>
        <v>#REF!</v>
      </c>
      <c r="J113" s="30" t="e">
        <f t="shared" si="670"/>
        <v>#REF!</v>
      </c>
      <c r="K113" s="30" t="e">
        <f t="shared" si="670"/>
        <v>#REF!</v>
      </c>
      <c r="L113" s="30" t="e">
        <f t="shared" si="670"/>
        <v>#REF!</v>
      </c>
      <c r="M113" s="30" t="e">
        <f t="shared" si="670"/>
        <v>#REF!</v>
      </c>
      <c r="N113" s="30" t="e">
        <f t="shared" si="670"/>
        <v>#REF!</v>
      </c>
      <c r="O113" s="30" t="e">
        <f t="shared" si="670"/>
        <v>#REF!</v>
      </c>
      <c r="P113" s="30" t="e">
        <f t="shared" si="670"/>
        <v>#REF!</v>
      </c>
      <c r="Q113" s="30" t="e">
        <f t="shared" si="670"/>
        <v>#REF!</v>
      </c>
      <c r="R113" s="30" t="e">
        <f t="shared" si="670"/>
        <v>#REF!</v>
      </c>
      <c r="S113" s="30" t="e">
        <f t="shared" si="670"/>
        <v>#REF!</v>
      </c>
      <c r="T113" s="30" t="e">
        <f t="shared" si="670"/>
        <v>#REF!</v>
      </c>
      <c r="U113" s="30" t="e">
        <f t="shared" si="670"/>
        <v>#REF!</v>
      </c>
      <c r="V113" s="30" t="e">
        <f t="shared" si="670"/>
        <v>#REF!</v>
      </c>
      <c r="W113" s="30" t="e">
        <f t="shared" si="670"/>
        <v>#REF!</v>
      </c>
      <c r="X113" s="30" t="e">
        <f t="shared" si="670"/>
        <v>#REF!</v>
      </c>
      <c r="Y113" s="30" t="e">
        <f t="shared" si="670"/>
        <v>#REF!</v>
      </c>
      <c r="Z113" s="30" t="e">
        <f t="shared" si="670"/>
        <v>#REF!</v>
      </c>
      <c r="AA113" s="30" t="e">
        <f t="shared" si="670"/>
        <v>#REF!</v>
      </c>
      <c r="AB113" s="30" t="e">
        <f t="shared" si="670"/>
        <v>#REF!</v>
      </c>
      <c r="AC113" s="30" t="e">
        <f t="shared" si="670"/>
        <v>#REF!</v>
      </c>
      <c r="AD113" s="30" t="e">
        <f t="shared" si="670"/>
        <v>#REF!</v>
      </c>
      <c r="AE113" s="30" t="e">
        <f t="shared" si="670"/>
        <v>#REF!</v>
      </c>
      <c r="AF113" s="30" t="e">
        <f t="shared" si="670"/>
        <v>#REF!</v>
      </c>
      <c r="AG113" s="30" t="e">
        <f t="shared" si="670"/>
        <v>#REF!</v>
      </c>
      <c r="AH113" s="30" t="e">
        <f t="shared" si="670"/>
        <v>#REF!</v>
      </c>
      <c r="AI113" s="30" t="e">
        <f t="shared" si="670"/>
        <v>#REF!</v>
      </c>
      <c r="AJ113" s="30" t="e">
        <f t="shared" si="670"/>
        <v>#REF!</v>
      </c>
      <c r="AK113" s="30" t="e">
        <f t="shared" si="670"/>
        <v>#REF!</v>
      </c>
      <c r="AL113" s="30" t="e">
        <f t="shared" si="670"/>
        <v>#REF!</v>
      </c>
      <c r="AM113" s="30" t="e">
        <f t="shared" si="670"/>
        <v>#REF!</v>
      </c>
      <c r="AN113" s="30" t="e">
        <f t="shared" si="670"/>
        <v>#REF!</v>
      </c>
      <c r="AO113" s="30" t="e">
        <f t="shared" si="670"/>
        <v>#REF!</v>
      </c>
      <c r="AP113" s="30" t="e">
        <f t="shared" si="670"/>
        <v>#REF!</v>
      </c>
      <c r="AQ113" s="30" t="e">
        <f t="shared" si="670"/>
        <v>#REF!</v>
      </c>
      <c r="AR113" s="30" t="e">
        <f t="shared" si="670"/>
        <v>#REF!</v>
      </c>
      <c r="AS113" s="30" t="e">
        <f t="shared" si="670"/>
        <v>#REF!</v>
      </c>
      <c r="AT113" s="30" t="e">
        <f t="shared" si="670"/>
        <v>#REF!</v>
      </c>
      <c r="AU113" s="30" t="e">
        <f t="shared" si="670"/>
        <v>#REF!</v>
      </c>
      <c r="AV113" s="30" t="e">
        <f t="shared" si="670"/>
        <v>#REF!</v>
      </c>
      <c r="AW113" s="30" t="e">
        <f t="shared" si="670"/>
        <v>#REF!</v>
      </c>
      <c r="AX113" s="30" t="e">
        <f t="shared" si="670"/>
        <v>#REF!</v>
      </c>
      <c r="AY113" s="30" t="e">
        <f t="shared" si="670"/>
        <v>#REF!</v>
      </c>
      <c r="AZ113" s="30" t="e">
        <f t="shared" si="670"/>
        <v>#REF!</v>
      </c>
      <c r="BA113" s="30" t="e">
        <f t="shared" si="670"/>
        <v>#REF!</v>
      </c>
      <c r="BB113" s="30" t="e">
        <f t="shared" si="670"/>
        <v>#REF!</v>
      </c>
      <c r="BC113" s="30" t="e">
        <f t="shared" si="670"/>
        <v>#REF!</v>
      </c>
      <c r="BD113" s="30" t="e">
        <f t="shared" si="670"/>
        <v>#REF!</v>
      </c>
      <c r="BE113" s="30" t="e">
        <f t="shared" si="670"/>
        <v>#REF!</v>
      </c>
      <c r="BF113" s="30" t="e">
        <f t="shared" si="670"/>
        <v>#REF!</v>
      </c>
      <c r="BG113" s="30" t="e">
        <f t="shared" si="670"/>
        <v>#REF!</v>
      </c>
      <c r="BH113" s="30" t="e">
        <f t="shared" si="670"/>
        <v>#REF!</v>
      </c>
      <c r="BI113" s="30" t="e">
        <f t="shared" si="670"/>
        <v>#REF!</v>
      </c>
      <c r="BJ113" s="30" t="e">
        <f t="shared" si="670"/>
        <v>#REF!</v>
      </c>
      <c r="BK113" s="30" t="e">
        <f t="shared" si="670"/>
        <v>#REF!</v>
      </c>
      <c r="BL113" s="30" t="e">
        <f t="shared" si="670"/>
        <v>#REF!</v>
      </c>
      <c r="BM113" s="30" t="e">
        <f t="shared" si="670"/>
        <v>#REF!</v>
      </c>
      <c r="BN113" s="30" t="e">
        <f t="shared" si="670"/>
        <v>#REF!</v>
      </c>
      <c r="BO113" s="30" t="e">
        <f t="shared" si="670"/>
        <v>#REF!</v>
      </c>
      <c r="BP113" s="30" t="e">
        <f t="shared" si="670"/>
        <v>#REF!</v>
      </c>
      <c r="BQ113" s="30" t="e">
        <f t="shared" si="670"/>
        <v>#REF!</v>
      </c>
      <c r="BR113" s="30" t="e">
        <f t="shared" ref="BR113:EC113" si="671">+BR91</f>
        <v>#REF!</v>
      </c>
      <c r="BS113" s="30" t="e">
        <f t="shared" si="671"/>
        <v>#REF!</v>
      </c>
      <c r="BT113" s="30" t="e">
        <f t="shared" si="671"/>
        <v>#REF!</v>
      </c>
      <c r="BU113" s="30" t="e">
        <f t="shared" si="671"/>
        <v>#REF!</v>
      </c>
      <c r="BV113" s="30" t="e">
        <f t="shared" si="671"/>
        <v>#REF!</v>
      </c>
      <c r="BW113" s="30" t="e">
        <f t="shared" si="671"/>
        <v>#REF!</v>
      </c>
      <c r="BX113" s="30" t="e">
        <f t="shared" si="671"/>
        <v>#REF!</v>
      </c>
      <c r="BY113" s="30" t="e">
        <f t="shared" si="671"/>
        <v>#REF!</v>
      </c>
      <c r="BZ113" s="30" t="e">
        <f t="shared" si="671"/>
        <v>#REF!</v>
      </c>
      <c r="CA113" s="30" t="e">
        <f t="shared" si="671"/>
        <v>#REF!</v>
      </c>
      <c r="CB113" s="30" t="e">
        <f t="shared" si="671"/>
        <v>#REF!</v>
      </c>
      <c r="CC113" s="30" t="e">
        <f t="shared" si="671"/>
        <v>#REF!</v>
      </c>
      <c r="CD113" s="30" t="e">
        <f t="shared" si="671"/>
        <v>#REF!</v>
      </c>
      <c r="CE113" s="30" t="e">
        <f t="shared" si="671"/>
        <v>#REF!</v>
      </c>
      <c r="CF113" s="30" t="e">
        <f t="shared" si="671"/>
        <v>#REF!</v>
      </c>
      <c r="CG113" s="30" t="e">
        <f t="shared" si="671"/>
        <v>#REF!</v>
      </c>
      <c r="CH113" s="30" t="e">
        <f t="shared" si="671"/>
        <v>#REF!</v>
      </c>
      <c r="CI113" s="30" t="e">
        <f t="shared" si="671"/>
        <v>#REF!</v>
      </c>
      <c r="CJ113" s="30" t="e">
        <f t="shared" si="671"/>
        <v>#REF!</v>
      </c>
      <c r="CK113" s="30" t="e">
        <f t="shared" si="671"/>
        <v>#REF!</v>
      </c>
      <c r="CL113" s="30" t="e">
        <f t="shared" si="671"/>
        <v>#REF!</v>
      </c>
      <c r="CM113" s="30" t="e">
        <f t="shared" si="671"/>
        <v>#REF!</v>
      </c>
      <c r="CN113" s="30" t="e">
        <f t="shared" si="671"/>
        <v>#REF!</v>
      </c>
      <c r="CO113" s="30" t="e">
        <f t="shared" si="671"/>
        <v>#REF!</v>
      </c>
      <c r="CP113" s="30" t="e">
        <f t="shared" si="671"/>
        <v>#REF!</v>
      </c>
      <c r="CQ113" s="30" t="e">
        <f t="shared" si="671"/>
        <v>#REF!</v>
      </c>
      <c r="CR113" s="30" t="e">
        <f t="shared" si="671"/>
        <v>#REF!</v>
      </c>
      <c r="CS113" s="30" t="e">
        <f t="shared" si="671"/>
        <v>#REF!</v>
      </c>
      <c r="CT113" s="30" t="e">
        <f t="shared" si="671"/>
        <v>#REF!</v>
      </c>
      <c r="CU113" s="30" t="e">
        <f t="shared" si="671"/>
        <v>#REF!</v>
      </c>
      <c r="CV113" s="30" t="e">
        <f t="shared" si="671"/>
        <v>#REF!</v>
      </c>
      <c r="CW113" s="30" t="e">
        <f t="shared" si="671"/>
        <v>#REF!</v>
      </c>
      <c r="CX113" s="30" t="e">
        <f t="shared" si="671"/>
        <v>#REF!</v>
      </c>
      <c r="CY113" s="30" t="e">
        <f t="shared" si="671"/>
        <v>#REF!</v>
      </c>
      <c r="CZ113" s="30" t="e">
        <f t="shared" si="671"/>
        <v>#REF!</v>
      </c>
      <c r="DA113" s="30" t="e">
        <f t="shared" si="671"/>
        <v>#REF!</v>
      </c>
      <c r="DB113" s="30" t="e">
        <f t="shared" si="671"/>
        <v>#REF!</v>
      </c>
      <c r="DC113" s="30" t="e">
        <f t="shared" si="671"/>
        <v>#REF!</v>
      </c>
      <c r="DD113" s="30" t="e">
        <f t="shared" si="671"/>
        <v>#REF!</v>
      </c>
      <c r="DE113" s="30" t="e">
        <f t="shared" si="671"/>
        <v>#REF!</v>
      </c>
      <c r="DF113" s="30" t="e">
        <f t="shared" si="671"/>
        <v>#REF!</v>
      </c>
      <c r="DG113" s="30" t="e">
        <f t="shared" si="671"/>
        <v>#REF!</v>
      </c>
      <c r="DH113" s="30" t="e">
        <f t="shared" si="671"/>
        <v>#REF!</v>
      </c>
      <c r="DI113" s="30" t="e">
        <f t="shared" si="671"/>
        <v>#REF!</v>
      </c>
      <c r="DJ113" s="30" t="e">
        <f t="shared" si="671"/>
        <v>#REF!</v>
      </c>
      <c r="DK113" s="30" t="e">
        <f t="shared" si="671"/>
        <v>#REF!</v>
      </c>
      <c r="DL113" s="30" t="e">
        <f t="shared" si="671"/>
        <v>#REF!</v>
      </c>
      <c r="DM113" s="30" t="e">
        <f t="shared" si="671"/>
        <v>#REF!</v>
      </c>
      <c r="DN113" s="30" t="e">
        <f t="shared" si="671"/>
        <v>#REF!</v>
      </c>
      <c r="DO113" s="30" t="e">
        <f t="shared" si="671"/>
        <v>#REF!</v>
      </c>
      <c r="DP113" s="30" t="e">
        <f t="shared" si="671"/>
        <v>#REF!</v>
      </c>
      <c r="DQ113" s="30" t="e">
        <f t="shared" si="671"/>
        <v>#REF!</v>
      </c>
      <c r="DR113" s="30" t="e">
        <f t="shared" si="671"/>
        <v>#REF!</v>
      </c>
      <c r="DS113" s="30" t="e">
        <f t="shared" si="671"/>
        <v>#REF!</v>
      </c>
      <c r="DT113" s="30" t="e">
        <f t="shared" si="671"/>
        <v>#REF!</v>
      </c>
      <c r="DU113" s="30" t="e">
        <f t="shared" si="671"/>
        <v>#REF!</v>
      </c>
      <c r="DV113" s="30" t="e">
        <f t="shared" si="671"/>
        <v>#REF!</v>
      </c>
      <c r="DW113" s="30" t="e">
        <f t="shared" si="671"/>
        <v>#REF!</v>
      </c>
      <c r="DX113" s="30" t="e">
        <f t="shared" si="671"/>
        <v>#REF!</v>
      </c>
      <c r="DY113" s="30" t="e">
        <f t="shared" si="671"/>
        <v>#REF!</v>
      </c>
      <c r="DZ113" s="30" t="e">
        <f t="shared" si="671"/>
        <v>#REF!</v>
      </c>
      <c r="EA113" s="30" t="e">
        <f t="shared" si="671"/>
        <v>#REF!</v>
      </c>
      <c r="EB113" s="30" t="e">
        <f t="shared" si="671"/>
        <v>#REF!</v>
      </c>
      <c r="EC113" s="30" t="e">
        <f t="shared" si="671"/>
        <v>#REF!</v>
      </c>
      <c r="ED113" s="30" t="e">
        <f t="shared" ref="ED113:GO113" si="672">+ED91</f>
        <v>#REF!</v>
      </c>
      <c r="EE113" s="30" t="e">
        <f t="shared" si="672"/>
        <v>#REF!</v>
      </c>
      <c r="EF113" s="30" t="e">
        <f t="shared" si="672"/>
        <v>#REF!</v>
      </c>
      <c r="EG113" s="30" t="e">
        <f t="shared" si="672"/>
        <v>#REF!</v>
      </c>
      <c r="EH113" s="30" t="e">
        <f t="shared" si="672"/>
        <v>#REF!</v>
      </c>
      <c r="EI113" s="30" t="e">
        <f t="shared" si="672"/>
        <v>#REF!</v>
      </c>
      <c r="EJ113" s="30" t="e">
        <f t="shared" si="672"/>
        <v>#REF!</v>
      </c>
      <c r="EK113" s="30" t="e">
        <f t="shared" si="672"/>
        <v>#REF!</v>
      </c>
      <c r="EL113" s="30" t="e">
        <f t="shared" si="672"/>
        <v>#REF!</v>
      </c>
      <c r="EM113" s="30" t="e">
        <f t="shared" si="672"/>
        <v>#REF!</v>
      </c>
      <c r="EN113" s="30" t="e">
        <f t="shared" si="672"/>
        <v>#REF!</v>
      </c>
      <c r="EO113" s="30" t="e">
        <f t="shared" si="672"/>
        <v>#REF!</v>
      </c>
      <c r="EP113" s="30" t="e">
        <f t="shared" si="672"/>
        <v>#REF!</v>
      </c>
      <c r="EQ113" s="30" t="e">
        <f t="shared" si="672"/>
        <v>#REF!</v>
      </c>
      <c r="ER113" s="30" t="e">
        <f t="shared" si="672"/>
        <v>#REF!</v>
      </c>
      <c r="ES113" s="30" t="e">
        <f t="shared" si="672"/>
        <v>#REF!</v>
      </c>
      <c r="ET113" s="30" t="e">
        <f t="shared" si="672"/>
        <v>#REF!</v>
      </c>
      <c r="EU113" s="30" t="e">
        <f t="shared" si="672"/>
        <v>#REF!</v>
      </c>
      <c r="EV113" s="30" t="e">
        <f t="shared" si="672"/>
        <v>#REF!</v>
      </c>
      <c r="EW113" s="30" t="e">
        <f t="shared" si="672"/>
        <v>#REF!</v>
      </c>
      <c r="EX113" s="30" t="e">
        <f t="shared" si="672"/>
        <v>#REF!</v>
      </c>
      <c r="EY113" s="30" t="e">
        <f t="shared" si="672"/>
        <v>#REF!</v>
      </c>
      <c r="EZ113" s="30" t="e">
        <f t="shared" si="672"/>
        <v>#REF!</v>
      </c>
      <c r="FA113" s="30" t="e">
        <f t="shared" si="672"/>
        <v>#REF!</v>
      </c>
      <c r="FB113" s="30" t="e">
        <f t="shared" si="672"/>
        <v>#REF!</v>
      </c>
      <c r="FC113" s="30" t="e">
        <f t="shared" si="672"/>
        <v>#REF!</v>
      </c>
      <c r="FD113" s="30" t="e">
        <f t="shared" si="672"/>
        <v>#REF!</v>
      </c>
      <c r="FE113" s="30" t="e">
        <f t="shared" si="672"/>
        <v>#REF!</v>
      </c>
      <c r="FF113" s="30" t="e">
        <f t="shared" si="672"/>
        <v>#REF!</v>
      </c>
      <c r="FG113" s="30" t="e">
        <f t="shared" si="672"/>
        <v>#REF!</v>
      </c>
      <c r="FH113" s="30" t="e">
        <f t="shared" si="672"/>
        <v>#REF!</v>
      </c>
      <c r="FI113" s="30" t="e">
        <f t="shared" si="672"/>
        <v>#REF!</v>
      </c>
      <c r="FJ113" s="30" t="e">
        <f t="shared" si="672"/>
        <v>#REF!</v>
      </c>
      <c r="FK113" s="30" t="e">
        <f t="shared" si="672"/>
        <v>#REF!</v>
      </c>
      <c r="FL113" s="30" t="e">
        <f t="shared" si="672"/>
        <v>#REF!</v>
      </c>
      <c r="FM113" s="30" t="e">
        <f t="shared" si="672"/>
        <v>#REF!</v>
      </c>
      <c r="FN113" s="30" t="e">
        <f t="shared" si="672"/>
        <v>#REF!</v>
      </c>
      <c r="FO113" s="30" t="e">
        <f t="shared" si="672"/>
        <v>#REF!</v>
      </c>
      <c r="FP113" s="30" t="e">
        <f t="shared" si="672"/>
        <v>#REF!</v>
      </c>
      <c r="FQ113" s="30" t="e">
        <f t="shared" si="672"/>
        <v>#REF!</v>
      </c>
      <c r="FR113" s="30" t="e">
        <f t="shared" si="672"/>
        <v>#REF!</v>
      </c>
      <c r="FS113" s="30" t="e">
        <f t="shared" si="672"/>
        <v>#REF!</v>
      </c>
      <c r="FT113" s="30" t="e">
        <f t="shared" si="672"/>
        <v>#REF!</v>
      </c>
      <c r="FU113" s="30" t="e">
        <f t="shared" si="672"/>
        <v>#REF!</v>
      </c>
      <c r="FV113" s="30" t="e">
        <f t="shared" si="672"/>
        <v>#REF!</v>
      </c>
      <c r="FW113" s="30" t="e">
        <f t="shared" si="672"/>
        <v>#REF!</v>
      </c>
      <c r="FX113" s="30" t="e">
        <f t="shared" si="672"/>
        <v>#REF!</v>
      </c>
      <c r="FY113" s="30" t="e">
        <f t="shared" si="672"/>
        <v>#REF!</v>
      </c>
      <c r="FZ113" s="30" t="e">
        <f t="shared" si="672"/>
        <v>#REF!</v>
      </c>
      <c r="GA113" s="30" t="e">
        <f t="shared" si="672"/>
        <v>#REF!</v>
      </c>
      <c r="GB113" s="30" t="e">
        <f t="shared" si="672"/>
        <v>#REF!</v>
      </c>
      <c r="GC113" s="30" t="e">
        <f t="shared" si="672"/>
        <v>#REF!</v>
      </c>
      <c r="GD113" s="30" t="e">
        <f t="shared" si="672"/>
        <v>#REF!</v>
      </c>
      <c r="GE113" s="30" t="e">
        <f t="shared" si="672"/>
        <v>#REF!</v>
      </c>
      <c r="GF113" s="30" t="e">
        <f t="shared" si="672"/>
        <v>#REF!</v>
      </c>
      <c r="GG113" s="30" t="e">
        <f t="shared" si="672"/>
        <v>#REF!</v>
      </c>
      <c r="GH113" s="30" t="e">
        <f t="shared" si="672"/>
        <v>#REF!</v>
      </c>
      <c r="GI113" s="30" t="e">
        <f t="shared" si="672"/>
        <v>#REF!</v>
      </c>
      <c r="GJ113" s="30" t="e">
        <f t="shared" si="672"/>
        <v>#REF!</v>
      </c>
      <c r="GK113" s="30" t="e">
        <f t="shared" si="672"/>
        <v>#REF!</v>
      </c>
      <c r="GL113" s="30" t="e">
        <f t="shared" si="672"/>
        <v>#REF!</v>
      </c>
      <c r="GM113" s="30" t="e">
        <f t="shared" si="672"/>
        <v>#REF!</v>
      </c>
      <c r="GN113" s="30" t="e">
        <f t="shared" si="672"/>
        <v>#REF!</v>
      </c>
      <c r="GO113" s="30" t="e">
        <f t="shared" si="672"/>
        <v>#REF!</v>
      </c>
      <c r="GP113" s="30" t="e">
        <f t="shared" ref="GP113:IJ113" si="673">+GP91</f>
        <v>#REF!</v>
      </c>
      <c r="GQ113" s="30" t="e">
        <f t="shared" si="673"/>
        <v>#REF!</v>
      </c>
      <c r="GR113" s="30" t="e">
        <f t="shared" si="673"/>
        <v>#REF!</v>
      </c>
      <c r="GS113" s="30" t="e">
        <f t="shared" si="673"/>
        <v>#REF!</v>
      </c>
      <c r="GT113" s="30" t="e">
        <f t="shared" si="673"/>
        <v>#REF!</v>
      </c>
      <c r="GU113" s="30" t="e">
        <f t="shared" si="673"/>
        <v>#REF!</v>
      </c>
      <c r="GV113" s="30" t="e">
        <f t="shared" si="673"/>
        <v>#REF!</v>
      </c>
      <c r="GW113" s="30" t="e">
        <f t="shared" si="673"/>
        <v>#REF!</v>
      </c>
      <c r="GX113" s="30" t="e">
        <f t="shared" si="673"/>
        <v>#REF!</v>
      </c>
      <c r="GY113" s="30" t="e">
        <f t="shared" si="673"/>
        <v>#REF!</v>
      </c>
      <c r="GZ113" s="30" t="e">
        <f t="shared" si="673"/>
        <v>#REF!</v>
      </c>
      <c r="HA113" s="30" t="e">
        <f t="shared" si="673"/>
        <v>#REF!</v>
      </c>
      <c r="HB113" s="30" t="e">
        <f t="shared" si="673"/>
        <v>#REF!</v>
      </c>
      <c r="HC113" s="30" t="e">
        <f t="shared" si="673"/>
        <v>#REF!</v>
      </c>
      <c r="HD113" s="30" t="e">
        <f t="shared" si="673"/>
        <v>#REF!</v>
      </c>
      <c r="HE113" s="30" t="e">
        <f t="shared" si="673"/>
        <v>#REF!</v>
      </c>
      <c r="HF113" s="30" t="e">
        <f t="shared" si="673"/>
        <v>#REF!</v>
      </c>
      <c r="HG113" s="30" t="e">
        <f t="shared" si="673"/>
        <v>#REF!</v>
      </c>
      <c r="HH113" s="30" t="e">
        <f t="shared" si="673"/>
        <v>#REF!</v>
      </c>
      <c r="HI113" s="30" t="e">
        <f t="shared" si="673"/>
        <v>#REF!</v>
      </c>
      <c r="HJ113" s="30" t="e">
        <f t="shared" si="673"/>
        <v>#REF!</v>
      </c>
      <c r="HK113" s="30" t="e">
        <f t="shared" si="673"/>
        <v>#REF!</v>
      </c>
      <c r="HL113" s="30" t="e">
        <f t="shared" si="673"/>
        <v>#REF!</v>
      </c>
      <c r="HM113" s="30" t="e">
        <f t="shared" si="673"/>
        <v>#REF!</v>
      </c>
      <c r="HN113" s="30" t="e">
        <f t="shared" si="673"/>
        <v>#REF!</v>
      </c>
      <c r="HO113" s="30" t="e">
        <f t="shared" si="673"/>
        <v>#REF!</v>
      </c>
      <c r="HP113" s="30" t="e">
        <f t="shared" si="673"/>
        <v>#REF!</v>
      </c>
      <c r="HQ113" s="30" t="e">
        <f t="shared" si="673"/>
        <v>#REF!</v>
      </c>
      <c r="HR113" s="30" t="e">
        <f t="shared" si="673"/>
        <v>#REF!</v>
      </c>
      <c r="HS113" s="30" t="e">
        <f t="shared" si="673"/>
        <v>#REF!</v>
      </c>
      <c r="HT113" s="30" t="e">
        <f t="shared" si="673"/>
        <v>#REF!</v>
      </c>
      <c r="HU113" s="30" t="e">
        <f t="shared" si="673"/>
        <v>#REF!</v>
      </c>
      <c r="HV113" s="30" t="e">
        <f t="shared" si="673"/>
        <v>#REF!</v>
      </c>
      <c r="HW113" s="30" t="e">
        <f t="shared" si="673"/>
        <v>#REF!</v>
      </c>
      <c r="HX113" s="30" t="e">
        <f t="shared" si="673"/>
        <v>#REF!</v>
      </c>
      <c r="HY113" s="30" t="e">
        <f t="shared" si="673"/>
        <v>#REF!</v>
      </c>
      <c r="HZ113" s="30" t="e">
        <f t="shared" si="673"/>
        <v>#REF!</v>
      </c>
      <c r="IA113" s="30" t="e">
        <f t="shared" si="673"/>
        <v>#REF!</v>
      </c>
      <c r="IB113" s="30" t="e">
        <f t="shared" si="673"/>
        <v>#REF!</v>
      </c>
      <c r="IC113" s="30" t="e">
        <f t="shared" si="673"/>
        <v>#REF!</v>
      </c>
      <c r="ID113" s="30" t="e">
        <f t="shared" si="673"/>
        <v>#REF!</v>
      </c>
      <c r="IE113" s="30" t="e">
        <f t="shared" si="673"/>
        <v>#REF!</v>
      </c>
      <c r="IF113" s="30" t="e">
        <f t="shared" si="673"/>
        <v>#REF!</v>
      </c>
      <c r="IG113" s="30" t="e">
        <f t="shared" si="673"/>
        <v>#REF!</v>
      </c>
      <c r="IH113" s="30" t="e">
        <f t="shared" si="673"/>
        <v>#REF!</v>
      </c>
      <c r="II113" s="30" t="e">
        <f t="shared" si="673"/>
        <v>#REF!</v>
      </c>
      <c r="IJ113" s="30" t="e">
        <f t="shared" si="673"/>
        <v>#REF!</v>
      </c>
    </row>
    <row r="114" spans="1:244" x14ac:dyDescent="0.3">
      <c r="A114" t="s">
        <v>11</v>
      </c>
      <c r="B114" s="33" t="e">
        <f t="shared" si="657"/>
        <v>#REF!</v>
      </c>
      <c r="C114" s="33"/>
      <c r="D114" s="30" t="e">
        <f t="shared" si="658"/>
        <v>#REF!</v>
      </c>
      <c r="E114" s="33" t="e">
        <f t="shared" ref="E114:K114" si="674">+SUM(E108:E113)</f>
        <v>#REF!</v>
      </c>
      <c r="F114" s="33" t="e">
        <f t="shared" si="674"/>
        <v>#REF!</v>
      </c>
      <c r="G114" s="33" t="e">
        <f t="shared" si="674"/>
        <v>#REF!</v>
      </c>
      <c r="H114" s="33" t="e">
        <f t="shared" si="674"/>
        <v>#REF!</v>
      </c>
      <c r="I114" s="33" t="e">
        <f t="shared" si="674"/>
        <v>#REF!</v>
      </c>
      <c r="J114" s="33" t="e">
        <f t="shared" si="674"/>
        <v>#REF!</v>
      </c>
      <c r="K114" s="33" t="e">
        <f t="shared" si="674"/>
        <v>#REF!</v>
      </c>
      <c r="L114" s="33" t="e">
        <f t="shared" ref="L114:Q114" si="675">+SUM(L108:L113)</f>
        <v>#REF!</v>
      </c>
      <c r="M114" s="33" t="e">
        <f t="shared" si="675"/>
        <v>#REF!</v>
      </c>
      <c r="N114" s="33" t="e">
        <f t="shared" si="675"/>
        <v>#REF!</v>
      </c>
      <c r="O114" s="33" t="e">
        <f t="shared" si="675"/>
        <v>#REF!</v>
      </c>
      <c r="P114" s="33" t="e">
        <f t="shared" si="675"/>
        <v>#REF!</v>
      </c>
      <c r="Q114" s="33" t="e">
        <f t="shared" si="675"/>
        <v>#REF!</v>
      </c>
      <c r="R114" s="33" t="e">
        <f>+SUM(R108:R113)</f>
        <v>#REF!</v>
      </c>
      <c r="S114" s="33" t="e">
        <f t="shared" ref="S114:AZ114" si="676">+SUM(S108:S113)</f>
        <v>#REF!</v>
      </c>
      <c r="T114" s="33" t="e">
        <f t="shared" si="676"/>
        <v>#REF!</v>
      </c>
      <c r="U114" s="33" t="e">
        <f t="shared" si="676"/>
        <v>#REF!</v>
      </c>
      <c r="V114" s="33" t="e">
        <f t="shared" si="676"/>
        <v>#REF!</v>
      </c>
      <c r="W114" s="33" t="e">
        <f t="shared" si="676"/>
        <v>#REF!</v>
      </c>
      <c r="X114" s="33" t="e">
        <f t="shared" si="676"/>
        <v>#REF!</v>
      </c>
      <c r="Y114" s="33" t="e">
        <f t="shared" si="676"/>
        <v>#REF!</v>
      </c>
      <c r="Z114" s="33" t="e">
        <f t="shared" si="676"/>
        <v>#REF!</v>
      </c>
      <c r="AA114" s="33" t="e">
        <f t="shared" si="676"/>
        <v>#REF!</v>
      </c>
      <c r="AB114" s="33" t="e">
        <f t="shared" si="676"/>
        <v>#REF!</v>
      </c>
      <c r="AC114" s="33" t="e">
        <f t="shared" si="676"/>
        <v>#REF!</v>
      </c>
      <c r="AD114" s="33" t="e">
        <f t="shared" si="676"/>
        <v>#REF!</v>
      </c>
      <c r="AE114" s="33" t="e">
        <f t="shared" si="676"/>
        <v>#REF!</v>
      </c>
      <c r="AF114" s="33" t="e">
        <f t="shared" si="676"/>
        <v>#REF!</v>
      </c>
      <c r="AG114" s="33" t="e">
        <f t="shared" si="676"/>
        <v>#REF!</v>
      </c>
      <c r="AH114" s="33" t="e">
        <f t="shared" si="676"/>
        <v>#REF!</v>
      </c>
      <c r="AI114" s="33" t="e">
        <f t="shared" si="676"/>
        <v>#REF!</v>
      </c>
      <c r="AJ114" s="33" t="e">
        <f t="shared" si="676"/>
        <v>#REF!</v>
      </c>
      <c r="AK114" s="33" t="e">
        <f t="shared" si="676"/>
        <v>#REF!</v>
      </c>
      <c r="AL114" s="33" t="e">
        <f t="shared" si="676"/>
        <v>#REF!</v>
      </c>
      <c r="AM114" s="33" t="e">
        <f t="shared" si="676"/>
        <v>#REF!</v>
      </c>
      <c r="AN114" s="33" t="e">
        <f t="shared" si="676"/>
        <v>#REF!</v>
      </c>
      <c r="AO114" s="33" t="e">
        <f t="shared" si="676"/>
        <v>#REF!</v>
      </c>
      <c r="AP114" s="33" t="e">
        <f t="shared" si="676"/>
        <v>#REF!</v>
      </c>
      <c r="AQ114" s="33" t="e">
        <f t="shared" si="676"/>
        <v>#REF!</v>
      </c>
      <c r="AR114" s="33" t="e">
        <f t="shared" si="676"/>
        <v>#REF!</v>
      </c>
      <c r="AS114" s="33" t="e">
        <f t="shared" si="676"/>
        <v>#REF!</v>
      </c>
      <c r="AT114" s="33" t="e">
        <f t="shared" si="676"/>
        <v>#REF!</v>
      </c>
      <c r="AU114" s="33" t="e">
        <f t="shared" si="676"/>
        <v>#REF!</v>
      </c>
      <c r="AV114" s="33" t="e">
        <f t="shared" si="676"/>
        <v>#REF!</v>
      </c>
      <c r="AW114" s="33" t="e">
        <f t="shared" si="676"/>
        <v>#REF!</v>
      </c>
      <c r="AX114" s="33" t="e">
        <f t="shared" si="676"/>
        <v>#REF!</v>
      </c>
      <c r="AY114" s="33" t="e">
        <f t="shared" si="676"/>
        <v>#REF!</v>
      </c>
      <c r="AZ114" s="33" t="e">
        <f t="shared" si="676"/>
        <v>#REF!</v>
      </c>
      <c r="BA114" s="33" t="e">
        <f>+SUM(BA108:BA113)</f>
        <v>#REF!</v>
      </c>
      <c r="BB114" s="33" t="e">
        <f>+SUM(BB108:BB113)</f>
        <v>#REF!</v>
      </c>
      <c r="BC114" s="33" t="e">
        <f t="shared" ref="BC114:BF114" si="677">+SUM(BC108:BC113)</f>
        <v>#REF!</v>
      </c>
      <c r="BD114" s="33" t="e">
        <f t="shared" si="677"/>
        <v>#REF!</v>
      </c>
      <c r="BE114" s="33" t="e">
        <f t="shared" si="677"/>
        <v>#REF!</v>
      </c>
      <c r="BF114" s="33" t="e">
        <f t="shared" si="677"/>
        <v>#REF!</v>
      </c>
      <c r="BG114" s="33" t="e">
        <f>+SUM(BG108:BG113)</f>
        <v>#REF!</v>
      </c>
      <c r="BH114" s="33" t="e">
        <f t="shared" ref="BH114:BQ114" si="678">+SUM(BH108:BH113)</f>
        <v>#REF!</v>
      </c>
      <c r="BI114" s="33" t="e">
        <f t="shared" si="678"/>
        <v>#REF!</v>
      </c>
      <c r="BJ114" s="33" t="e">
        <f t="shared" si="678"/>
        <v>#REF!</v>
      </c>
      <c r="BK114" s="33" t="e">
        <f t="shared" si="678"/>
        <v>#REF!</v>
      </c>
      <c r="BL114" s="33" t="e">
        <f t="shared" si="678"/>
        <v>#REF!</v>
      </c>
      <c r="BM114" s="33" t="e">
        <f t="shared" si="678"/>
        <v>#REF!</v>
      </c>
      <c r="BN114" s="33" t="e">
        <f t="shared" si="678"/>
        <v>#REF!</v>
      </c>
      <c r="BO114" s="33" t="e">
        <f t="shared" si="678"/>
        <v>#REF!</v>
      </c>
      <c r="BP114" s="33" t="e">
        <f t="shared" si="678"/>
        <v>#REF!</v>
      </c>
      <c r="BQ114" s="33" t="e">
        <f t="shared" si="678"/>
        <v>#REF!</v>
      </c>
      <c r="BR114" s="33" t="e">
        <f t="shared" ref="BR114:DH114" si="679">+SUM(BR108:BR113)</f>
        <v>#REF!</v>
      </c>
      <c r="BS114" s="33" t="e">
        <f t="shared" si="679"/>
        <v>#REF!</v>
      </c>
      <c r="BT114" s="33" t="e">
        <f t="shared" si="679"/>
        <v>#REF!</v>
      </c>
      <c r="BU114" s="33" t="e">
        <f t="shared" si="679"/>
        <v>#REF!</v>
      </c>
      <c r="BV114" s="33" t="e">
        <f t="shared" si="679"/>
        <v>#REF!</v>
      </c>
      <c r="BW114" s="33" t="e">
        <f t="shared" si="679"/>
        <v>#REF!</v>
      </c>
      <c r="BX114" s="33" t="e">
        <f t="shared" si="679"/>
        <v>#REF!</v>
      </c>
      <c r="BY114" s="33" t="e">
        <f t="shared" si="679"/>
        <v>#REF!</v>
      </c>
      <c r="BZ114" s="33" t="e">
        <f t="shared" si="679"/>
        <v>#REF!</v>
      </c>
      <c r="CA114" s="33" t="e">
        <f t="shared" si="679"/>
        <v>#REF!</v>
      </c>
      <c r="CB114" s="33" t="e">
        <f t="shared" si="679"/>
        <v>#REF!</v>
      </c>
      <c r="CC114" s="33" t="e">
        <f t="shared" si="679"/>
        <v>#REF!</v>
      </c>
      <c r="CD114" s="33" t="e">
        <f t="shared" si="679"/>
        <v>#REF!</v>
      </c>
      <c r="CE114" s="33" t="e">
        <f t="shared" si="679"/>
        <v>#REF!</v>
      </c>
      <c r="CF114" s="33" t="e">
        <f t="shared" si="679"/>
        <v>#REF!</v>
      </c>
      <c r="CG114" s="33" t="e">
        <f t="shared" si="679"/>
        <v>#REF!</v>
      </c>
      <c r="CH114" s="33" t="e">
        <f t="shared" si="679"/>
        <v>#REF!</v>
      </c>
      <c r="CI114" s="33" t="e">
        <f t="shared" si="679"/>
        <v>#REF!</v>
      </c>
      <c r="CJ114" s="33" t="e">
        <f t="shared" si="679"/>
        <v>#REF!</v>
      </c>
      <c r="CK114" s="33" t="e">
        <f t="shared" si="679"/>
        <v>#REF!</v>
      </c>
      <c r="CL114" s="33" t="e">
        <f t="shared" si="679"/>
        <v>#REF!</v>
      </c>
      <c r="CM114" s="33" t="e">
        <f t="shared" si="679"/>
        <v>#REF!</v>
      </c>
      <c r="CN114" s="33" t="e">
        <f t="shared" si="679"/>
        <v>#REF!</v>
      </c>
      <c r="CO114" s="33" t="e">
        <f t="shared" si="679"/>
        <v>#REF!</v>
      </c>
      <c r="CP114" s="33" t="e">
        <f t="shared" si="679"/>
        <v>#REF!</v>
      </c>
      <c r="CQ114" s="33" t="e">
        <f t="shared" si="679"/>
        <v>#REF!</v>
      </c>
      <c r="CR114" s="33" t="e">
        <f t="shared" si="679"/>
        <v>#REF!</v>
      </c>
      <c r="CS114" s="33" t="e">
        <f t="shared" si="679"/>
        <v>#REF!</v>
      </c>
      <c r="CT114" s="33" t="e">
        <f t="shared" si="679"/>
        <v>#REF!</v>
      </c>
      <c r="CU114" s="33" t="e">
        <f t="shared" si="679"/>
        <v>#REF!</v>
      </c>
      <c r="CV114" s="33" t="e">
        <f t="shared" si="679"/>
        <v>#REF!</v>
      </c>
      <c r="CW114" s="33" t="e">
        <f t="shared" si="679"/>
        <v>#REF!</v>
      </c>
      <c r="CX114" s="33" t="e">
        <f t="shared" si="679"/>
        <v>#REF!</v>
      </c>
      <c r="CY114" s="33" t="e">
        <f t="shared" si="679"/>
        <v>#REF!</v>
      </c>
      <c r="CZ114" s="33" t="e">
        <f t="shared" si="679"/>
        <v>#REF!</v>
      </c>
      <c r="DA114" s="33" t="e">
        <f t="shared" si="679"/>
        <v>#REF!</v>
      </c>
      <c r="DB114" s="33" t="e">
        <f t="shared" si="679"/>
        <v>#REF!</v>
      </c>
      <c r="DC114" s="33" t="e">
        <f t="shared" si="679"/>
        <v>#REF!</v>
      </c>
      <c r="DD114" s="33" t="e">
        <f t="shared" si="679"/>
        <v>#REF!</v>
      </c>
      <c r="DE114" s="33" t="e">
        <f t="shared" si="679"/>
        <v>#REF!</v>
      </c>
      <c r="DF114" s="33" t="e">
        <f t="shared" si="679"/>
        <v>#REF!</v>
      </c>
      <c r="DG114" s="33" t="e">
        <f t="shared" si="679"/>
        <v>#REF!</v>
      </c>
      <c r="DH114" s="33" t="e">
        <f t="shared" si="679"/>
        <v>#REF!</v>
      </c>
      <c r="DI114" s="33" t="e">
        <f>+SUM(DI108:DI113)</f>
        <v>#REF!</v>
      </c>
      <c r="DJ114" s="33" t="e">
        <f t="shared" ref="DJ114:DS114" si="680">+SUM(DJ108:DJ113)</f>
        <v>#REF!</v>
      </c>
      <c r="DK114" s="33" t="e">
        <f t="shared" si="680"/>
        <v>#REF!</v>
      </c>
      <c r="DL114" s="33" t="e">
        <f t="shared" si="680"/>
        <v>#REF!</v>
      </c>
      <c r="DM114" s="33" t="e">
        <f t="shared" si="680"/>
        <v>#REF!</v>
      </c>
      <c r="DN114" s="33" t="e">
        <f t="shared" si="680"/>
        <v>#REF!</v>
      </c>
      <c r="DO114" s="33" t="e">
        <f t="shared" si="680"/>
        <v>#REF!</v>
      </c>
      <c r="DP114" s="33" t="e">
        <f t="shared" si="680"/>
        <v>#REF!</v>
      </c>
      <c r="DQ114" s="33" t="e">
        <f t="shared" si="680"/>
        <v>#REF!</v>
      </c>
      <c r="DR114" s="33" t="e">
        <f t="shared" si="680"/>
        <v>#REF!</v>
      </c>
      <c r="DS114" s="33" t="e">
        <f t="shared" si="680"/>
        <v>#REF!</v>
      </c>
      <c r="DT114" s="33" t="e">
        <f>+SUM(DT108:DT113)</f>
        <v>#REF!</v>
      </c>
      <c r="DU114" s="33" t="e">
        <f t="shared" ref="DU114:FO114" si="681">+SUM(DU108:DU113)</f>
        <v>#REF!</v>
      </c>
      <c r="DV114" s="33" t="e">
        <f t="shared" si="681"/>
        <v>#REF!</v>
      </c>
      <c r="DW114" s="33" t="e">
        <f t="shared" si="681"/>
        <v>#REF!</v>
      </c>
      <c r="DX114" s="33" t="e">
        <f t="shared" si="681"/>
        <v>#REF!</v>
      </c>
      <c r="DY114" s="33" t="e">
        <f t="shared" si="681"/>
        <v>#REF!</v>
      </c>
      <c r="DZ114" s="33" t="e">
        <f t="shared" si="681"/>
        <v>#REF!</v>
      </c>
      <c r="EA114" s="33" t="e">
        <f t="shared" si="681"/>
        <v>#REF!</v>
      </c>
      <c r="EB114" s="33" t="e">
        <f t="shared" si="681"/>
        <v>#REF!</v>
      </c>
      <c r="EC114" s="33" t="e">
        <f t="shared" si="681"/>
        <v>#REF!</v>
      </c>
      <c r="ED114" s="33" t="e">
        <f t="shared" si="681"/>
        <v>#REF!</v>
      </c>
      <c r="EE114" s="33" t="e">
        <f t="shared" si="681"/>
        <v>#REF!</v>
      </c>
      <c r="EF114" s="33" t="e">
        <f t="shared" si="681"/>
        <v>#REF!</v>
      </c>
      <c r="EG114" s="33" t="e">
        <f t="shared" si="681"/>
        <v>#REF!</v>
      </c>
      <c r="EH114" s="33" t="e">
        <f t="shared" si="681"/>
        <v>#REF!</v>
      </c>
      <c r="EI114" s="33" t="e">
        <f t="shared" si="681"/>
        <v>#REF!</v>
      </c>
      <c r="EJ114" s="33" t="e">
        <f t="shared" si="681"/>
        <v>#REF!</v>
      </c>
      <c r="EK114" s="33" t="e">
        <f t="shared" si="681"/>
        <v>#REF!</v>
      </c>
      <c r="EL114" s="33" t="e">
        <f t="shared" si="681"/>
        <v>#REF!</v>
      </c>
      <c r="EM114" s="33" t="e">
        <f t="shared" si="681"/>
        <v>#REF!</v>
      </c>
      <c r="EN114" s="33" t="e">
        <f t="shared" si="681"/>
        <v>#REF!</v>
      </c>
      <c r="EO114" s="33" t="e">
        <f t="shared" si="681"/>
        <v>#REF!</v>
      </c>
      <c r="EP114" s="33" t="e">
        <f t="shared" si="681"/>
        <v>#REF!</v>
      </c>
      <c r="EQ114" s="33" t="e">
        <f t="shared" si="681"/>
        <v>#REF!</v>
      </c>
      <c r="ER114" s="33" t="e">
        <f t="shared" si="681"/>
        <v>#REF!</v>
      </c>
      <c r="ES114" s="33" t="e">
        <f t="shared" si="681"/>
        <v>#REF!</v>
      </c>
      <c r="ET114" s="33" t="e">
        <f t="shared" si="681"/>
        <v>#REF!</v>
      </c>
      <c r="EU114" s="33" t="e">
        <f t="shared" si="681"/>
        <v>#REF!</v>
      </c>
      <c r="EV114" s="33" t="e">
        <f t="shared" si="681"/>
        <v>#REF!</v>
      </c>
      <c r="EW114" s="33" t="e">
        <f t="shared" si="681"/>
        <v>#REF!</v>
      </c>
      <c r="EX114" s="33" t="e">
        <f t="shared" si="681"/>
        <v>#REF!</v>
      </c>
      <c r="EY114" s="33" t="e">
        <f t="shared" si="681"/>
        <v>#REF!</v>
      </c>
      <c r="EZ114" s="33" t="e">
        <f t="shared" si="681"/>
        <v>#REF!</v>
      </c>
      <c r="FA114" s="33" t="e">
        <f t="shared" si="681"/>
        <v>#REF!</v>
      </c>
      <c r="FB114" s="33" t="e">
        <f t="shared" si="681"/>
        <v>#REF!</v>
      </c>
      <c r="FC114" s="33" t="e">
        <f t="shared" si="681"/>
        <v>#REF!</v>
      </c>
      <c r="FD114" s="33" t="e">
        <f t="shared" si="681"/>
        <v>#REF!</v>
      </c>
      <c r="FE114" s="33" t="e">
        <f t="shared" si="681"/>
        <v>#REF!</v>
      </c>
      <c r="FF114" s="33" t="e">
        <f t="shared" si="681"/>
        <v>#REF!</v>
      </c>
      <c r="FG114" s="33" t="e">
        <f t="shared" si="681"/>
        <v>#REF!</v>
      </c>
      <c r="FH114" s="33" t="e">
        <f t="shared" si="681"/>
        <v>#REF!</v>
      </c>
      <c r="FI114" s="33" t="e">
        <f t="shared" si="681"/>
        <v>#REF!</v>
      </c>
      <c r="FJ114" s="33" t="e">
        <f t="shared" si="681"/>
        <v>#REF!</v>
      </c>
      <c r="FK114" s="33" t="e">
        <f t="shared" si="681"/>
        <v>#REF!</v>
      </c>
      <c r="FL114" s="33" t="e">
        <f t="shared" si="681"/>
        <v>#REF!</v>
      </c>
      <c r="FM114" s="33" t="e">
        <f t="shared" si="681"/>
        <v>#REF!</v>
      </c>
      <c r="FN114" s="33" t="e">
        <f t="shared" si="681"/>
        <v>#REF!</v>
      </c>
      <c r="FO114" s="33" t="e">
        <f t="shared" si="681"/>
        <v>#REF!</v>
      </c>
      <c r="FP114" s="33" t="e">
        <f>+SUM(FP108:FP113)</f>
        <v>#REF!</v>
      </c>
      <c r="FQ114" s="33" t="e">
        <f t="shared" ref="FQ114:IB114" si="682">+SUM(FQ108:FQ113)</f>
        <v>#REF!</v>
      </c>
      <c r="FR114" s="33" t="e">
        <f t="shared" si="682"/>
        <v>#REF!</v>
      </c>
      <c r="FS114" s="33" t="e">
        <f t="shared" si="682"/>
        <v>#REF!</v>
      </c>
      <c r="FT114" s="33" t="e">
        <f t="shared" si="682"/>
        <v>#REF!</v>
      </c>
      <c r="FU114" s="33" t="e">
        <f t="shared" si="682"/>
        <v>#REF!</v>
      </c>
      <c r="FV114" s="33" t="e">
        <f t="shared" si="682"/>
        <v>#REF!</v>
      </c>
      <c r="FW114" s="33" t="e">
        <f t="shared" si="682"/>
        <v>#REF!</v>
      </c>
      <c r="FX114" s="33" t="e">
        <f t="shared" si="682"/>
        <v>#REF!</v>
      </c>
      <c r="FY114" s="33" t="e">
        <f t="shared" si="682"/>
        <v>#REF!</v>
      </c>
      <c r="FZ114" s="33" t="e">
        <f t="shared" si="682"/>
        <v>#REF!</v>
      </c>
      <c r="GA114" s="33" t="e">
        <f t="shared" si="682"/>
        <v>#REF!</v>
      </c>
      <c r="GB114" s="33" t="e">
        <f t="shared" si="682"/>
        <v>#REF!</v>
      </c>
      <c r="GC114" s="33" t="e">
        <f t="shared" si="682"/>
        <v>#REF!</v>
      </c>
      <c r="GD114" s="33" t="e">
        <f t="shared" si="682"/>
        <v>#REF!</v>
      </c>
      <c r="GE114" s="33" t="e">
        <f t="shared" si="682"/>
        <v>#REF!</v>
      </c>
      <c r="GF114" s="33" t="e">
        <f t="shared" si="682"/>
        <v>#REF!</v>
      </c>
      <c r="GG114" s="33" t="e">
        <f t="shared" si="682"/>
        <v>#REF!</v>
      </c>
      <c r="GH114" s="33" t="e">
        <f t="shared" si="682"/>
        <v>#REF!</v>
      </c>
      <c r="GI114" s="33" t="e">
        <f t="shared" si="682"/>
        <v>#REF!</v>
      </c>
      <c r="GJ114" s="33" t="e">
        <f t="shared" si="682"/>
        <v>#REF!</v>
      </c>
      <c r="GK114" s="33" t="e">
        <f t="shared" si="682"/>
        <v>#REF!</v>
      </c>
      <c r="GL114" s="33" t="e">
        <f t="shared" si="682"/>
        <v>#REF!</v>
      </c>
      <c r="GM114" s="33" t="e">
        <f t="shared" si="682"/>
        <v>#REF!</v>
      </c>
      <c r="GN114" s="33" t="e">
        <f t="shared" si="682"/>
        <v>#REF!</v>
      </c>
      <c r="GO114" s="33" t="e">
        <f t="shared" si="682"/>
        <v>#REF!</v>
      </c>
      <c r="GP114" s="33" t="e">
        <f t="shared" si="682"/>
        <v>#REF!</v>
      </c>
      <c r="GQ114" s="33" t="e">
        <f t="shared" si="682"/>
        <v>#REF!</v>
      </c>
      <c r="GR114" s="33" t="e">
        <f t="shared" si="682"/>
        <v>#REF!</v>
      </c>
      <c r="GS114" s="33" t="e">
        <f t="shared" si="682"/>
        <v>#REF!</v>
      </c>
      <c r="GT114" s="33" t="e">
        <f t="shared" si="682"/>
        <v>#REF!</v>
      </c>
      <c r="GU114" s="33" t="e">
        <f t="shared" si="682"/>
        <v>#REF!</v>
      </c>
      <c r="GV114" s="33" t="e">
        <f t="shared" si="682"/>
        <v>#REF!</v>
      </c>
      <c r="GW114" s="33" t="e">
        <f t="shared" si="682"/>
        <v>#REF!</v>
      </c>
      <c r="GX114" s="33" t="e">
        <f t="shared" si="682"/>
        <v>#REF!</v>
      </c>
      <c r="GY114" s="33" t="e">
        <f t="shared" si="682"/>
        <v>#REF!</v>
      </c>
      <c r="GZ114" s="33" t="e">
        <f t="shared" si="682"/>
        <v>#REF!</v>
      </c>
      <c r="HA114" s="33" t="e">
        <f t="shared" si="682"/>
        <v>#REF!</v>
      </c>
      <c r="HB114" s="33" t="e">
        <f t="shared" si="682"/>
        <v>#REF!</v>
      </c>
      <c r="HC114" s="33" t="e">
        <f t="shared" si="682"/>
        <v>#REF!</v>
      </c>
      <c r="HD114" s="33" t="e">
        <f t="shared" si="682"/>
        <v>#REF!</v>
      </c>
      <c r="HE114" s="33" t="e">
        <f t="shared" si="682"/>
        <v>#REF!</v>
      </c>
      <c r="HF114" s="33" t="e">
        <f t="shared" si="682"/>
        <v>#REF!</v>
      </c>
      <c r="HG114" s="33" t="e">
        <f t="shared" si="682"/>
        <v>#REF!</v>
      </c>
      <c r="HH114" s="33" t="e">
        <f t="shared" si="682"/>
        <v>#REF!</v>
      </c>
      <c r="HI114" s="33" t="e">
        <f t="shared" si="682"/>
        <v>#REF!</v>
      </c>
      <c r="HJ114" s="33" t="e">
        <f t="shared" si="682"/>
        <v>#REF!</v>
      </c>
      <c r="HK114" s="33" t="e">
        <f t="shared" si="682"/>
        <v>#REF!</v>
      </c>
      <c r="HL114" s="33" t="e">
        <f t="shared" si="682"/>
        <v>#REF!</v>
      </c>
      <c r="HM114" s="33" t="e">
        <f t="shared" si="682"/>
        <v>#REF!</v>
      </c>
      <c r="HN114" s="33" t="e">
        <f t="shared" si="682"/>
        <v>#REF!</v>
      </c>
      <c r="HO114" s="33" t="e">
        <f t="shared" si="682"/>
        <v>#REF!</v>
      </c>
      <c r="HP114" s="33" t="e">
        <f t="shared" si="682"/>
        <v>#REF!</v>
      </c>
      <c r="HQ114" s="33" t="e">
        <f t="shared" si="682"/>
        <v>#REF!</v>
      </c>
      <c r="HR114" s="33" t="e">
        <f t="shared" si="682"/>
        <v>#REF!</v>
      </c>
      <c r="HS114" s="33" t="e">
        <f t="shared" si="682"/>
        <v>#REF!</v>
      </c>
      <c r="HT114" s="33" t="e">
        <f t="shared" si="682"/>
        <v>#REF!</v>
      </c>
      <c r="HU114" s="33" t="e">
        <f t="shared" si="682"/>
        <v>#REF!</v>
      </c>
      <c r="HV114" s="33" t="e">
        <f t="shared" si="682"/>
        <v>#REF!</v>
      </c>
      <c r="HW114" s="33" t="e">
        <f t="shared" si="682"/>
        <v>#REF!</v>
      </c>
      <c r="HX114" s="33" t="e">
        <f t="shared" si="682"/>
        <v>#REF!</v>
      </c>
      <c r="HY114" s="33" t="e">
        <f t="shared" si="682"/>
        <v>#REF!</v>
      </c>
      <c r="HZ114" s="33" t="e">
        <f t="shared" si="682"/>
        <v>#REF!</v>
      </c>
      <c r="IA114" s="33" t="e">
        <f t="shared" si="682"/>
        <v>#REF!</v>
      </c>
      <c r="IB114" s="33" t="e">
        <f t="shared" si="682"/>
        <v>#REF!</v>
      </c>
      <c r="IC114" s="33" t="e">
        <f t="shared" ref="IC114:IG114" si="683">+SUM(IC108:IC113)</f>
        <v>#REF!</v>
      </c>
      <c r="ID114" s="33" t="e">
        <f t="shared" si="683"/>
        <v>#REF!</v>
      </c>
      <c r="IE114" s="33" t="e">
        <f t="shared" si="683"/>
        <v>#REF!</v>
      </c>
      <c r="IF114" s="33" t="e">
        <f t="shared" si="683"/>
        <v>#REF!</v>
      </c>
      <c r="IG114" s="33" t="e">
        <f t="shared" si="683"/>
        <v>#REF!</v>
      </c>
      <c r="IH114" s="33" t="e">
        <f>+SUM(IH108:IH113)</f>
        <v>#REF!</v>
      </c>
      <c r="II114" s="33" t="e">
        <f>+SUM(II108:II113)</f>
        <v>#REF!</v>
      </c>
      <c r="IJ114" s="33" t="e">
        <f>+SUM(IJ108:IJ113)</f>
        <v>#REF!</v>
      </c>
    </row>
    <row r="115" spans="1:244" x14ac:dyDescent="0.3">
      <c r="A115" t="s">
        <v>815</v>
      </c>
      <c r="B115" s="31">
        <f>+SUM(E8:GG8)</f>
        <v>370978.62217074994</v>
      </c>
      <c r="D115" s="30"/>
    </row>
    <row r="116" spans="1:244" x14ac:dyDescent="0.3">
      <c r="A116" s="6" t="s">
        <v>779</v>
      </c>
      <c r="B116" s="31" t="e">
        <f>+B114/SUM(E8:GG8)</f>
        <v>#REF!</v>
      </c>
      <c r="D116" s="30"/>
    </row>
    <row r="117" spans="1:244" x14ac:dyDescent="0.3">
      <c r="A117" s="6"/>
      <c r="B117" s="31"/>
    </row>
    <row r="118" spans="1:244" x14ac:dyDescent="0.3">
      <c r="A118" s="6"/>
      <c r="E118">
        <v>2024</v>
      </c>
      <c r="F118">
        <v>2025</v>
      </c>
      <c r="G118">
        <v>2026</v>
      </c>
      <c r="H118">
        <v>2027</v>
      </c>
      <c r="I118">
        <v>2028</v>
      </c>
      <c r="J118">
        <v>2029</v>
      </c>
      <c r="K118">
        <v>2030</v>
      </c>
      <c r="L118">
        <v>2031</v>
      </c>
      <c r="M118">
        <v>2032</v>
      </c>
      <c r="N118">
        <v>2033</v>
      </c>
      <c r="O118">
        <v>2034</v>
      </c>
      <c r="P118">
        <v>2035</v>
      </c>
      <c r="Q118">
        <v>2036</v>
      </c>
      <c r="R118">
        <v>2037</v>
      </c>
      <c r="S118">
        <v>2038</v>
      </c>
      <c r="T118">
        <v>2039</v>
      </c>
      <c r="U118">
        <v>2040</v>
      </c>
      <c r="V118">
        <v>2041</v>
      </c>
      <c r="W118">
        <v>2042</v>
      </c>
      <c r="X118">
        <v>2043</v>
      </c>
      <c r="Y118">
        <v>2044</v>
      </c>
    </row>
    <row r="119" spans="1:244" x14ac:dyDescent="0.3">
      <c r="A119" s="6"/>
      <c r="B119" t="s">
        <v>813</v>
      </c>
      <c r="E119" s="10" t="e">
        <f>+SUM(E120:E123)</f>
        <v>#REF!</v>
      </c>
      <c r="F119" s="10" t="e">
        <f>+SUM(F120:F123)</f>
        <v>#REF!</v>
      </c>
      <c r="G119" s="10" t="e">
        <f t="shared" ref="G119" si="684">+SUM(G120:G123)</f>
        <v>#REF!</v>
      </c>
      <c r="H119" s="10" t="e">
        <f t="shared" ref="H119" si="685">+SUM(H120:H123)</f>
        <v>#REF!</v>
      </c>
      <c r="I119" s="10" t="e">
        <f t="shared" ref="I119" si="686">+SUM(I120:I123)</f>
        <v>#REF!</v>
      </c>
      <c r="J119" s="10" t="e">
        <f t="shared" ref="J119" si="687">+SUM(J120:J123)</f>
        <v>#REF!</v>
      </c>
      <c r="K119" s="10" t="e">
        <f t="shared" ref="K119" si="688">+SUM(K120:K123)</f>
        <v>#REF!</v>
      </c>
      <c r="L119" s="10" t="e">
        <f t="shared" ref="L119" si="689">+SUM(L120:L123)</f>
        <v>#REF!</v>
      </c>
      <c r="M119" s="10" t="e">
        <f t="shared" ref="M119" si="690">+SUM(M120:M123)</f>
        <v>#REF!</v>
      </c>
      <c r="N119" s="10" t="e">
        <f t="shared" ref="N119" si="691">+SUM(N120:N123)</f>
        <v>#REF!</v>
      </c>
      <c r="O119" s="10" t="e">
        <f t="shared" ref="O119" si="692">+SUM(O120:O123)</f>
        <v>#REF!</v>
      </c>
      <c r="P119" s="10" t="e">
        <f t="shared" ref="P119" si="693">+SUM(P120:P123)</f>
        <v>#REF!</v>
      </c>
      <c r="Q119" s="10" t="e">
        <f t="shared" ref="Q119" si="694">+SUM(Q120:Q123)</f>
        <v>#REF!</v>
      </c>
      <c r="R119" s="10" t="e">
        <f t="shared" ref="R119" si="695">+SUM(R120:R123)</f>
        <v>#REF!</v>
      </c>
      <c r="S119" s="10" t="e">
        <f t="shared" ref="S119" si="696">+SUM(S120:S123)</f>
        <v>#REF!</v>
      </c>
      <c r="T119" s="10" t="e">
        <f t="shared" ref="T119" si="697">+SUM(T120:T123)</f>
        <v>#REF!</v>
      </c>
      <c r="U119" s="10" t="e">
        <f t="shared" ref="U119" si="698">+SUM(U120:U123)</f>
        <v>#REF!</v>
      </c>
      <c r="V119" s="10" t="e">
        <f t="shared" ref="V119" si="699">+SUM(V120:V123)</f>
        <v>#REF!</v>
      </c>
      <c r="W119" s="10" t="e">
        <f t="shared" ref="W119" si="700">+SUM(W120:W123)</f>
        <v>#REF!</v>
      </c>
      <c r="X119" s="10" t="e">
        <f t="shared" ref="X119" si="701">+SUM(X120:X123)</f>
        <v>#REF!</v>
      </c>
      <c r="Y119" s="10" t="e">
        <f>+SUM(Y120:Y123)</f>
        <v>#REF!</v>
      </c>
    </row>
    <row r="120" spans="1:244" x14ac:dyDescent="0.3">
      <c r="A120" s="6"/>
      <c r="B120" t="s">
        <v>810</v>
      </c>
      <c r="E120" s="10" t="e">
        <f t="shared" ref="E120:Y120" si="702">+SUMIFS(108:108,106:106,E118)</f>
        <v>#REF!</v>
      </c>
      <c r="F120" s="10" t="e">
        <f t="shared" si="702"/>
        <v>#REF!</v>
      </c>
      <c r="G120" s="10" t="e">
        <f t="shared" si="702"/>
        <v>#REF!</v>
      </c>
      <c r="H120" s="10" t="e">
        <f t="shared" si="702"/>
        <v>#REF!</v>
      </c>
      <c r="I120" s="10" t="e">
        <f t="shared" si="702"/>
        <v>#REF!</v>
      </c>
      <c r="J120" s="10" t="e">
        <f t="shared" si="702"/>
        <v>#REF!</v>
      </c>
      <c r="K120" s="10" t="e">
        <f t="shared" si="702"/>
        <v>#REF!</v>
      </c>
      <c r="L120" s="10" t="e">
        <f t="shared" si="702"/>
        <v>#REF!</v>
      </c>
      <c r="M120" s="10">
        <f t="shared" si="702"/>
        <v>0</v>
      </c>
      <c r="N120" s="10">
        <f t="shared" si="702"/>
        <v>0</v>
      </c>
      <c r="O120" s="10">
        <f t="shared" si="702"/>
        <v>0</v>
      </c>
      <c r="P120" s="10">
        <f t="shared" si="702"/>
        <v>0</v>
      </c>
      <c r="Q120" s="10">
        <f t="shared" si="702"/>
        <v>0</v>
      </c>
      <c r="R120" s="10">
        <f t="shared" si="702"/>
        <v>0</v>
      </c>
      <c r="S120" s="10">
        <f t="shared" si="702"/>
        <v>0</v>
      </c>
      <c r="T120" s="10">
        <f t="shared" si="702"/>
        <v>0</v>
      </c>
      <c r="U120" s="10">
        <f t="shared" si="702"/>
        <v>0</v>
      </c>
      <c r="V120" s="10">
        <f t="shared" si="702"/>
        <v>0</v>
      </c>
      <c r="W120" s="10">
        <f t="shared" si="702"/>
        <v>0</v>
      </c>
      <c r="X120" s="10">
        <f t="shared" si="702"/>
        <v>0</v>
      </c>
      <c r="Y120" s="10">
        <f t="shared" si="702"/>
        <v>0</v>
      </c>
    </row>
    <row r="121" spans="1:244" x14ac:dyDescent="0.3">
      <c r="A121" s="6"/>
      <c r="B121" t="s">
        <v>643</v>
      </c>
      <c r="E121" s="10" t="e">
        <f t="shared" ref="E121:Y121" si="703">+SUMIFS(111:111,106:106,E118)</f>
        <v>#REF!</v>
      </c>
      <c r="F121" s="10" t="e">
        <f t="shared" si="703"/>
        <v>#REF!</v>
      </c>
      <c r="G121" s="10" t="e">
        <f t="shared" si="703"/>
        <v>#REF!</v>
      </c>
      <c r="H121" s="10" t="e">
        <f t="shared" si="703"/>
        <v>#REF!</v>
      </c>
      <c r="I121" s="10" t="e">
        <f t="shared" si="703"/>
        <v>#REF!</v>
      </c>
      <c r="J121" s="10" t="e">
        <f t="shared" si="703"/>
        <v>#REF!</v>
      </c>
      <c r="K121" s="10" t="e">
        <f t="shared" si="703"/>
        <v>#REF!</v>
      </c>
      <c r="L121" s="10" t="e">
        <f t="shared" si="703"/>
        <v>#REF!</v>
      </c>
      <c r="M121" s="10" t="e">
        <f t="shared" si="703"/>
        <v>#REF!</v>
      </c>
      <c r="N121" s="10" t="e">
        <f t="shared" si="703"/>
        <v>#REF!</v>
      </c>
      <c r="O121" s="10" t="e">
        <f t="shared" si="703"/>
        <v>#REF!</v>
      </c>
      <c r="P121" s="10" t="e">
        <f t="shared" si="703"/>
        <v>#REF!</v>
      </c>
      <c r="Q121" s="10" t="e">
        <f t="shared" si="703"/>
        <v>#REF!</v>
      </c>
      <c r="R121" s="10" t="e">
        <f t="shared" si="703"/>
        <v>#REF!</v>
      </c>
      <c r="S121" s="10" t="e">
        <f t="shared" si="703"/>
        <v>#REF!</v>
      </c>
      <c r="T121" s="10" t="e">
        <f t="shared" si="703"/>
        <v>#REF!</v>
      </c>
      <c r="U121" s="10" t="e">
        <f t="shared" si="703"/>
        <v>#REF!</v>
      </c>
      <c r="V121" s="10" t="e">
        <f t="shared" si="703"/>
        <v>#REF!</v>
      </c>
      <c r="W121" s="10" t="e">
        <f t="shared" si="703"/>
        <v>#REF!</v>
      </c>
      <c r="X121" s="10" t="e">
        <f t="shared" si="703"/>
        <v>#REF!</v>
      </c>
      <c r="Y121" s="10" t="e">
        <f t="shared" si="703"/>
        <v>#REF!</v>
      </c>
    </row>
    <row r="122" spans="1:244" x14ac:dyDescent="0.3">
      <c r="A122" s="6"/>
      <c r="B122" t="s">
        <v>777</v>
      </c>
      <c r="E122" s="10">
        <f t="shared" ref="E122:Y122" si="704">+SUMIFS(112:112,106:106,E118)</f>
        <v>0</v>
      </c>
      <c r="F122" s="10">
        <f t="shared" si="704"/>
        <v>0</v>
      </c>
      <c r="G122" s="10">
        <f t="shared" si="704"/>
        <v>0</v>
      </c>
      <c r="H122" s="10">
        <f t="shared" si="704"/>
        <v>0</v>
      </c>
      <c r="I122" s="10" t="e">
        <f t="shared" si="704"/>
        <v>#REF!</v>
      </c>
      <c r="J122" s="10" t="e">
        <f t="shared" si="704"/>
        <v>#REF!</v>
      </c>
      <c r="K122" s="10" t="e">
        <f t="shared" si="704"/>
        <v>#REF!</v>
      </c>
      <c r="L122" s="10" t="e">
        <f t="shared" si="704"/>
        <v>#REF!</v>
      </c>
      <c r="M122" s="10" t="e">
        <f t="shared" si="704"/>
        <v>#REF!</v>
      </c>
      <c r="N122" s="10" t="e">
        <f t="shared" si="704"/>
        <v>#REF!</v>
      </c>
      <c r="O122" s="10" t="e">
        <f t="shared" si="704"/>
        <v>#REF!</v>
      </c>
      <c r="P122" s="10" t="e">
        <f t="shared" si="704"/>
        <v>#REF!</v>
      </c>
      <c r="Q122" s="10" t="e">
        <f t="shared" si="704"/>
        <v>#REF!</v>
      </c>
      <c r="R122" s="10" t="e">
        <f t="shared" si="704"/>
        <v>#REF!</v>
      </c>
      <c r="S122" s="10" t="e">
        <f t="shared" si="704"/>
        <v>#REF!</v>
      </c>
      <c r="T122" s="10" t="e">
        <f t="shared" si="704"/>
        <v>#REF!</v>
      </c>
      <c r="U122" s="10">
        <f t="shared" si="704"/>
        <v>0</v>
      </c>
      <c r="V122" s="10">
        <f t="shared" si="704"/>
        <v>0</v>
      </c>
      <c r="W122" s="10">
        <f t="shared" si="704"/>
        <v>0</v>
      </c>
      <c r="X122" s="10">
        <f t="shared" si="704"/>
        <v>0</v>
      </c>
      <c r="Y122" s="10">
        <f t="shared" si="704"/>
        <v>0</v>
      </c>
    </row>
    <row r="123" spans="1:244" x14ac:dyDescent="0.3">
      <c r="A123" s="6"/>
      <c r="B123" t="s">
        <v>644</v>
      </c>
      <c r="E123" s="10" t="e">
        <f t="shared" ref="E123:Y123" si="705">+SUMIFS(113:113,106:106,E118)</f>
        <v>#REF!</v>
      </c>
      <c r="F123" s="10" t="e">
        <f t="shared" si="705"/>
        <v>#REF!</v>
      </c>
      <c r="G123" s="10" t="e">
        <f t="shared" si="705"/>
        <v>#REF!</v>
      </c>
      <c r="H123" s="10" t="e">
        <f t="shared" si="705"/>
        <v>#REF!</v>
      </c>
      <c r="I123" s="10" t="e">
        <f t="shared" si="705"/>
        <v>#REF!</v>
      </c>
      <c r="J123" s="10" t="e">
        <f t="shared" si="705"/>
        <v>#REF!</v>
      </c>
      <c r="K123" s="10" t="e">
        <f t="shared" si="705"/>
        <v>#REF!</v>
      </c>
      <c r="L123" s="10" t="e">
        <f t="shared" si="705"/>
        <v>#REF!</v>
      </c>
      <c r="M123" s="10" t="e">
        <f t="shared" si="705"/>
        <v>#REF!</v>
      </c>
      <c r="N123" s="10" t="e">
        <f t="shared" si="705"/>
        <v>#REF!</v>
      </c>
      <c r="O123" s="10" t="e">
        <f t="shared" si="705"/>
        <v>#REF!</v>
      </c>
      <c r="P123" s="10" t="e">
        <f t="shared" si="705"/>
        <v>#REF!</v>
      </c>
      <c r="Q123" s="10" t="e">
        <f t="shared" si="705"/>
        <v>#REF!</v>
      </c>
      <c r="R123" s="10" t="e">
        <f t="shared" si="705"/>
        <v>#REF!</v>
      </c>
      <c r="S123" s="10" t="e">
        <f t="shared" si="705"/>
        <v>#REF!</v>
      </c>
      <c r="T123" s="10" t="e">
        <f t="shared" si="705"/>
        <v>#REF!</v>
      </c>
      <c r="U123" s="10" t="e">
        <f t="shared" si="705"/>
        <v>#REF!</v>
      </c>
      <c r="V123" s="10" t="e">
        <f t="shared" si="705"/>
        <v>#REF!</v>
      </c>
      <c r="W123" s="10" t="e">
        <f t="shared" si="705"/>
        <v>#REF!</v>
      </c>
      <c r="X123" s="10" t="e">
        <f t="shared" si="705"/>
        <v>#REF!</v>
      </c>
      <c r="Y123" s="10" t="e">
        <f t="shared" si="705"/>
        <v>#REF!</v>
      </c>
    </row>
    <row r="124" spans="1:244" x14ac:dyDescent="0.3">
      <c r="A124" s="6"/>
      <c r="B124" t="s">
        <v>642</v>
      </c>
      <c r="E124" s="10" t="e">
        <f t="shared" ref="E124:Y124" si="706">+SUMIFS(109:109,106:106,E118)</f>
        <v>#REF!</v>
      </c>
      <c r="F124" s="10" t="e">
        <f t="shared" si="706"/>
        <v>#REF!</v>
      </c>
      <c r="G124" s="10" t="e">
        <f t="shared" si="706"/>
        <v>#REF!</v>
      </c>
      <c r="H124" s="10" t="e">
        <f t="shared" si="706"/>
        <v>#REF!</v>
      </c>
      <c r="I124" s="10" t="e">
        <f t="shared" si="706"/>
        <v>#REF!</v>
      </c>
      <c r="J124" s="10" t="e">
        <f t="shared" si="706"/>
        <v>#REF!</v>
      </c>
      <c r="K124" s="10" t="e">
        <f t="shared" si="706"/>
        <v>#REF!</v>
      </c>
      <c r="L124" s="10" t="e">
        <f t="shared" si="706"/>
        <v>#REF!</v>
      </c>
      <c r="M124" s="10">
        <f t="shared" si="706"/>
        <v>0</v>
      </c>
      <c r="N124" s="10">
        <f t="shared" si="706"/>
        <v>0</v>
      </c>
      <c r="O124" s="10">
        <f t="shared" si="706"/>
        <v>0</v>
      </c>
      <c r="P124" s="10">
        <f t="shared" si="706"/>
        <v>0</v>
      </c>
      <c r="Q124" s="10">
        <f t="shared" si="706"/>
        <v>0</v>
      </c>
      <c r="R124" s="10">
        <f t="shared" si="706"/>
        <v>0</v>
      </c>
      <c r="S124" s="10">
        <f t="shared" si="706"/>
        <v>0</v>
      </c>
      <c r="T124" s="10">
        <f t="shared" si="706"/>
        <v>0</v>
      </c>
      <c r="U124" s="10">
        <f t="shared" si="706"/>
        <v>0</v>
      </c>
      <c r="V124" s="10">
        <f t="shared" si="706"/>
        <v>0</v>
      </c>
      <c r="W124" s="10">
        <f t="shared" si="706"/>
        <v>0</v>
      </c>
      <c r="X124" s="10">
        <f t="shared" si="706"/>
        <v>0</v>
      </c>
      <c r="Y124" s="10">
        <f t="shared" si="706"/>
        <v>0</v>
      </c>
    </row>
    <row r="125" spans="1:244" x14ac:dyDescent="0.3">
      <c r="A125" s="6"/>
      <c r="B125" t="s">
        <v>719</v>
      </c>
      <c r="E125" s="10" t="e">
        <f t="shared" ref="E125:Y125" si="707">+SUMIFS(110:110,106:106,E118)</f>
        <v>#REF!</v>
      </c>
      <c r="F125" s="10" t="e">
        <f t="shared" si="707"/>
        <v>#REF!</v>
      </c>
      <c r="G125" s="10" t="e">
        <f t="shared" si="707"/>
        <v>#REF!</v>
      </c>
      <c r="H125" s="10" t="e">
        <f t="shared" si="707"/>
        <v>#REF!</v>
      </c>
      <c r="I125" s="10" t="e">
        <f t="shared" si="707"/>
        <v>#REF!</v>
      </c>
      <c r="J125" s="10" t="e">
        <f t="shared" si="707"/>
        <v>#REF!</v>
      </c>
      <c r="K125" s="10" t="e">
        <f t="shared" si="707"/>
        <v>#REF!</v>
      </c>
      <c r="L125" s="10" t="e">
        <f t="shared" si="707"/>
        <v>#REF!</v>
      </c>
      <c r="M125" s="10">
        <f t="shared" si="707"/>
        <v>0</v>
      </c>
      <c r="N125" s="10">
        <f t="shared" si="707"/>
        <v>0</v>
      </c>
      <c r="O125" s="10">
        <f t="shared" si="707"/>
        <v>0</v>
      </c>
      <c r="P125" s="10">
        <f t="shared" si="707"/>
        <v>0</v>
      </c>
      <c r="Q125" s="10">
        <f t="shared" si="707"/>
        <v>0</v>
      </c>
      <c r="R125" s="10">
        <f t="shared" si="707"/>
        <v>0</v>
      </c>
      <c r="S125" s="10">
        <f t="shared" si="707"/>
        <v>0</v>
      </c>
      <c r="T125" s="10">
        <f t="shared" si="707"/>
        <v>0</v>
      </c>
      <c r="U125" s="10">
        <f t="shared" si="707"/>
        <v>0</v>
      </c>
      <c r="V125" s="10">
        <f t="shared" si="707"/>
        <v>0</v>
      </c>
      <c r="W125" s="10">
        <f t="shared" si="707"/>
        <v>0</v>
      </c>
      <c r="X125" s="10">
        <f t="shared" si="707"/>
        <v>0</v>
      </c>
      <c r="Y125" s="10">
        <f t="shared" si="707"/>
        <v>0</v>
      </c>
    </row>
    <row r="126" spans="1:244" x14ac:dyDescent="0.3">
      <c r="A126" s="6"/>
      <c r="B126" t="s">
        <v>11</v>
      </c>
      <c r="E126" s="31" t="e">
        <f>+E119+E124+E125</f>
        <v>#REF!</v>
      </c>
      <c r="F126" s="31" t="e">
        <f t="shared" ref="F126:Y126" si="708">+F119+F124+F125</f>
        <v>#REF!</v>
      </c>
      <c r="G126" s="31" t="e">
        <f t="shared" si="708"/>
        <v>#REF!</v>
      </c>
      <c r="H126" s="31" t="e">
        <f t="shared" si="708"/>
        <v>#REF!</v>
      </c>
      <c r="I126" s="31" t="e">
        <f t="shared" si="708"/>
        <v>#REF!</v>
      </c>
      <c r="J126" s="31" t="e">
        <f t="shared" si="708"/>
        <v>#REF!</v>
      </c>
      <c r="K126" s="31" t="e">
        <f t="shared" si="708"/>
        <v>#REF!</v>
      </c>
      <c r="L126" s="31" t="e">
        <f t="shared" si="708"/>
        <v>#REF!</v>
      </c>
      <c r="M126" s="31" t="e">
        <f t="shared" si="708"/>
        <v>#REF!</v>
      </c>
      <c r="N126" s="31" t="e">
        <f t="shared" si="708"/>
        <v>#REF!</v>
      </c>
      <c r="O126" s="31" t="e">
        <f t="shared" si="708"/>
        <v>#REF!</v>
      </c>
      <c r="P126" s="31" t="e">
        <f t="shared" si="708"/>
        <v>#REF!</v>
      </c>
      <c r="Q126" s="31" t="e">
        <f t="shared" si="708"/>
        <v>#REF!</v>
      </c>
      <c r="R126" s="31" t="e">
        <f t="shared" si="708"/>
        <v>#REF!</v>
      </c>
      <c r="S126" s="31" t="e">
        <f t="shared" si="708"/>
        <v>#REF!</v>
      </c>
      <c r="T126" s="31" t="e">
        <f t="shared" si="708"/>
        <v>#REF!</v>
      </c>
      <c r="U126" s="31" t="e">
        <f t="shared" si="708"/>
        <v>#REF!</v>
      </c>
      <c r="V126" s="31" t="e">
        <f t="shared" si="708"/>
        <v>#REF!</v>
      </c>
      <c r="W126" s="31" t="e">
        <f t="shared" si="708"/>
        <v>#REF!</v>
      </c>
      <c r="X126" s="31" t="e">
        <f t="shared" si="708"/>
        <v>#REF!</v>
      </c>
      <c r="Y126" s="31" t="e">
        <f t="shared" si="708"/>
        <v>#REF!</v>
      </c>
    </row>
    <row r="128" spans="1:244" x14ac:dyDescent="0.3">
      <c r="A128" s="6" t="s">
        <v>817</v>
      </c>
    </row>
    <row r="129" spans="1:248" x14ac:dyDescent="0.3">
      <c r="A129" s="6" t="s">
        <v>818</v>
      </c>
      <c r="B129" s="28" t="e">
        <f>+#REF!</f>
        <v>#REF!</v>
      </c>
      <c r="C129" s="28"/>
      <c r="D129" s="28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</row>
    <row r="133" spans="1:248" x14ac:dyDescent="0.3">
      <c r="A133" s="6" t="s">
        <v>819</v>
      </c>
      <c r="E133">
        <f>+YEAR(E134)</f>
        <v>2024</v>
      </c>
      <c r="F133">
        <f t="shared" ref="F133:BQ133" si="709">+YEAR(F134)</f>
        <v>2024</v>
      </c>
      <c r="G133">
        <f t="shared" si="709"/>
        <v>2024</v>
      </c>
      <c r="H133">
        <f t="shared" si="709"/>
        <v>2024</v>
      </c>
      <c r="I133">
        <f t="shared" si="709"/>
        <v>2024</v>
      </c>
      <c r="J133">
        <f t="shared" si="709"/>
        <v>2025</v>
      </c>
      <c r="K133">
        <f t="shared" si="709"/>
        <v>2025</v>
      </c>
      <c r="L133">
        <f t="shared" si="709"/>
        <v>2025</v>
      </c>
      <c r="M133">
        <f t="shared" si="709"/>
        <v>2025</v>
      </c>
      <c r="N133">
        <f t="shared" si="709"/>
        <v>2025</v>
      </c>
      <c r="O133">
        <f t="shared" si="709"/>
        <v>2025</v>
      </c>
      <c r="P133">
        <f t="shared" si="709"/>
        <v>2025</v>
      </c>
      <c r="Q133">
        <f t="shared" si="709"/>
        <v>2025</v>
      </c>
      <c r="R133">
        <f t="shared" si="709"/>
        <v>2025</v>
      </c>
      <c r="S133">
        <f t="shared" si="709"/>
        <v>2025</v>
      </c>
      <c r="T133">
        <f t="shared" si="709"/>
        <v>2025</v>
      </c>
      <c r="U133">
        <f t="shared" si="709"/>
        <v>2025</v>
      </c>
      <c r="V133">
        <f t="shared" si="709"/>
        <v>2026</v>
      </c>
      <c r="W133">
        <f t="shared" si="709"/>
        <v>2026</v>
      </c>
      <c r="X133">
        <f t="shared" si="709"/>
        <v>2026</v>
      </c>
      <c r="Y133">
        <f t="shared" si="709"/>
        <v>2026</v>
      </c>
      <c r="Z133">
        <f t="shared" si="709"/>
        <v>2026</v>
      </c>
      <c r="AA133">
        <f t="shared" si="709"/>
        <v>2026</v>
      </c>
      <c r="AB133">
        <f t="shared" si="709"/>
        <v>2026</v>
      </c>
      <c r="AC133">
        <f t="shared" si="709"/>
        <v>2026</v>
      </c>
      <c r="AD133">
        <f t="shared" si="709"/>
        <v>2026</v>
      </c>
      <c r="AE133">
        <f t="shared" si="709"/>
        <v>2026</v>
      </c>
      <c r="AF133">
        <f t="shared" si="709"/>
        <v>2026</v>
      </c>
      <c r="AG133">
        <f t="shared" si="709"/>
        <v>2026</v>
      </c>
      <c r="AH133">
        <f t="shared" si="709"/>
        <v>2027</v>
      </c>
      <c r="AI133">
        <f t="shared" si="709"/>
        <v>2027</v>
      </c>
      <c r="AJ133">
        <f t="shared" si="709"/>
        <v>2027</v>
      </c>
      <c r="AK133">
        <f t="shared" si="709"/>
        <v>2027</v>
      </c>
      <c r="AL133">
        <f t="shared" si="709"/>
        <v>2027</v>
      </c>
      <c r="AM133">
        <f t="shared" si="709"/>
        <v>2027</v>
      </c>
      <c r="AN133">
        <f t="shared" si="709"/>
        <v>2027</v>
      </c>
      <c r="AO133">
        <f t="shared" si="709"/>
        <v>2027</v>
      </c>
      <c r="AP133">
        <f t="shared" si="709"/>
        <v>2027</v>
      </c>
      <c r="AQ133">
        <f t="shared" si="709"/>
        <v>2027</v>
      </c>
      <c r="AR133">
        <f t="shared" si="709"/>
        <v>2027</v>
      </c>
      <c r="AS133">
        <f t="shared" si="709"/>
        <v>2027</v>
      </c>
      <c r="AT133">
        <f t="shared" si="709"/>
        <v>2028</v>
      </c>
      <c r="AU133">
        <f t="shared" si="709"/>
        <v>2028</v>
      </c>
      <c r="AV133">
        <f t="shared" si="709"/>
        <v>2028</v>
      </c>
      <c r="AW133">
        <f t="shared" si="709"/>
        <v>2028</v>
      </c>
      <c r="AX133">
        <f t="shared" si="709"/>
        <v>2028</v>
      </c>
      <c r="AY133">
        <f t="shared" si="709"/>
        <v>2028</v>
      </c>
      <c r="AZ133">
        <f t="shared" si="709"/>
        <v>2028</v>
      </c>
      <c r="BA133">
        <f t="shared" si="709"/>
        <v>2028</v>
      </c>
      <c r="BB133">
        <f t="shared" si="709"/>
        <v>2028</v>
      </c>
      <c r="BC133">
        <f t="shared" si="709"/>
        <v>2028</v>
      </c>
      <c r="BD133">
        <f t="shared" si="709"/>
        <v>2028</v>
      </c>
      <c r="BE133">
        <f t="shared" si="709"/>
        <v>2028</v>
      </c>
      <c r="BF133">
        <f t="shared" si="709"/>
        <v>2029</v>
      </c>
      <c r="BG133">
        <f t="shared" si="709"/>
        <v>2029</v>
      </c>
      <c r="BH133">
        <f t="shared" si="709"/>
        <v>2029</v>
      </c>
      <c r="BI133">
        <f t="shared" si="709"/>
        <v>2029</v>
      </c>
      <c r="BJ133">
        <f t="shared" si="709"/>
        <v>2029</v>
      </c>
      <c r="BK133">
        <f t="shared" si="709"/>
        <v>2029</v>
      </c>
      <c r="BL133">
        <f t="shared" si="709"/>
        <v>2029</v>
      </c>
      <c r="BM133">
        <f t="shared" si="709"/>
        <v>2029</v>
      </c>
      <c r="BN133">
        <f t="shared" si="709"/>
        <v>2029</v>
      </c>
      <c r="BO133">
        <f t="shared" si="709"/>
        <v>2029</v>
      </c>
      <c r="BP133">
        <f t="shared" si="709"/>
        <v>2029</v>
      </c>
      <c r="BQ133">
        <f t="shared" si="709"/>
        <v>2029</v>
      </c>
      <c r="BR133">
        <f t="shared" ref="BR133:EC133" si="710">+YEAR(BR134)</f>
        <v>2030</v>
      </c>
      <c r="BS133">
        <f t="shared" si="710"/>
        <v>2030</v>
      </c>
      <c r="BT133">
        <f t="shared" si="710"/>
        <v>2030</v>
      </c>
      <c r="BU133">
        <f t="shared" si="710"/>
        <v>2030</v>
      </c>
      <c r="BV133">
        <f t="shared" si="710"/>
        <v>2030</v>
      </c>
      <c r="BW133">
        <f t="shared" si="710"/>
        <v>2030</v>
      </c>
      <c r="BX133">
        <f t="shared" si="710"/>
        <v>2030</v>
      </c>
      <c r="BY133">
        <f t="shared" si="710"/>
        <v>2030</v>
      </c>
      <c r="BZ133">
        <f t="shared" si="710"/>
        <v>2030</v>
      </c>
      <c r="CA133">
        <f t="shared" si="710"/>
        <v>2030</v>
      </c>
      <c r="CB133">
        <f t="shared" si="710"/>
        <v>2030</v>
      </c>
      <c r="CC133">
        <f t="shared" si="710"/>
        <v>2030</v>
      </c>
      <c r="CD133">
        <f t="shared" si="710"/>
        <v>2031</v>
      </c>
      <c r="CE133">
        <f t="shared" si="710"/>
        <v>2031</v>
      </c>
      <c r="CF133">
        <f t="shared" si="710"/>
        <v>2031</v>
      </c>
      <c r="CG133">
        <f t="shared" si="710"/>
        <v>2031</v>
      </c>
      <c r="CH133">
        <f t="shared" si="710"/>
        <v>2031</v>
      </c>
      <c r="CI133">
        <f t="shared" si="710"/>
        <v>2031</v>
      </c>
      <c r="CJ133">
        <f t="shared" si="710"/>
        <v>2031</v>
      </c>
      <c r="CK133">
        <f t="shared" si="710"/>
        <v>2031</v>
      </c>
      <c r="CL133">
        <f t="shared" si="710"/>
        <v>2031</v>
      </c>
      <c r="CM133">
        <f t="shared" si="710"/>
        <v>2031</v>
      </c>
      <c r="CN133">
        <f t="shared" si="710"/>
        <v>2031</v>
      </c>
      <c r="CO133">
        <f t="shared" si="710"/>
        <v>2031</v>
      </c>
      <c r="CP133">
        <f t="shared" si="710"/>
        <v>2032</v>
      </c>
      <c r="CQ133">
        <f t="shared" si="710"/>
        <v>2032</v>
      </c>
      <c r="CR133">
        <f t="shared" si="710"/>
        <v>2032</v>
      </c>
      <c r="CS133">
        <f t="shared" si="710"/>
        <v>2032</v>
      </c>
      <c r="CT133">
        <f t="shared" si="710"/>
        <v>2032</v>
      </c>
      <c r="CU133">
        <f t="shared" si="710"/>
        <v>2032</v>
      </c>
      <c r="CV133">
        <f t="shared" si="710"/>
        <v>2032</v>
      </c>
      <c r="CW133">
        <f t="shared" si="710"/>
        <v>2032</v>
      </c>
      <c r="CX133">
        <f t="shared" si="710"/>
        <v>2032</v>
      </c>
      <c r="CY133">
        <f t="shared" si="710"/>
        <v>2032</v>
      </c>
      <c r="CZ133">
        <f t="shared" si="710"/>
        <v>2032</v>
      </c>
      <c r="DA133">
        <f t="shared" si="710"/>
        <v>2032</v>
      </c>
      <c r="DB133">
        <f t="shared" si="710"/>
        <v>2033</v>
      </c>
      <c r="DC133">
        <f t="shared" si="710"/>
        <v>2033</v>
      </c>
      <c r="DD133">
        <f t="shared" si="710"/>
        <v>2033</v>
      </c>
      <c r="DE133">
        <f t="shared" si="710"/>
        <v>2033</v>
      </c>
      <c r="DF133">
        <f t="shared" si="710"/>
        <v>2033</v>
      </c>
      <c r="DG133">
        <f t="shared" si="710"/>
        <v>2033</v>
      </c>
      <c r="DH133">
        <f t="shared" si="710"/>
        <v>2033</v>
      </c>
      <c r="DI133">
        <f t="shared" si="710"/>
        <v>2033</v>
      </c>
      <c r="DJ133">
        <f t="shared" si="710"/>
        <v>2033</v>
      </c>
      <c r="DK133">
        <f t="shared" si="710"/>
        <v>2033</v>
      </c>
      <c r="DL133">
        <f t="shared" si="710"/>
        <v>2033</v>
      </c>
      <c r="DM133">
        <f t="shared" si="710"/>
        <v>2033</v>
      </c>
      <c r="DN133">
        <f t="shared" si="710"/>
        <v>2034</v>
      </c>
      <c r="DO133">
        <f t="shared" si="710"/>
        <v>2034</v>
      </c>
      <c r="DP133">
        <f t="shared" si="710"/>
        <v>2034</v>
      </c>
      <c r="DQ133">
        <f t="shared" si="710"/>
        <v>2034</v>
      </c>
      <c r="DR133">
        <f t="shared" si="710"/>
        <v>2034</v>
      </c>
      <c r="DS133">
        <f t="shared" si="710"/>
        <v>2034</v>
      </c>
      <c r="DT133">
        <f t="shared" si="710"/>
        <v>2034</v>
      </c>
      <c r="DU133">
        <f t="shared" si="710"/>
        <v>2034</v>
      </c>
      <c r="DV133">
        <f t="shared" si="710"/>
        <v>2034</v>
      </c>
      <c r="DW133">
        <f t="shared" si="710"/>
        <v>2034</v>
      </c>
      <c r="DX133">
        <f t="shared" si="710"/>
        <v>2034</v>
      </c>
      <c r="DY133">
        <f t="shared" si="710"/>
        <v>2034</v>
      </c>
      <c r="DZ133">
        <f t="shared" si="710"/>
        <v>2035</v>
      </c>
      <c r="EA133">
        <f t="shared" si="710"/>
        <v>2035</v>
      </c>
      <c r="EB133">
        <f t="shared" si="710"/>
        <v>2035</v>
      </c>
      <c r="EC133">
        <f t="shared" si="710"/>
        <v>2035</v>
      </c>
      <c r="ED133">
        <f t="shared" ref="ED133:GO133" si="711">+YEAR(ED134)</f>
        <v>2035</v>
      </c>
      <c r="EE133">
        <f t="shared" si="711"/>
        <v>2035</v>
      </c>
      <c r="EF133">
        <f t="shared" si="711"/>
        <v>2035</v>
      </c>
      <c r="EG133">
        <f t="shared" si="711"/>
        <v>2035</v>
      </c>
      <c r="EH133">
        <f t="shared" si="711"/>
        <v>2035</v>
      </c>
      <c r="EI133">
        <f t="shared" si="711"/>
        <v>2035</v>
      </c>
      <c r="EJ133">
        <f t="shared" si="711"/>
        <v>2035</v>
      </c>
      <c r="EK133">
        <f t="shared" si="711"/>
        <v>2035</v>
      </c>
      <c r="EL133">
        <f t="shared" si="711"/>
        <v>2036</v>
      </c>
      <c r="EM133">
        <f t="shared" si="711"/>
        <v>2036</v>
      </c>
      <c r="EN133">
        <f t="shared" si="711"/>
        <v>2036</v>
      </c>
      <c r="EO133">
        <f t="shared" si="711"/>
        <v>2036</v>
      </c>
      <c r="EP133">
        <f t="shared" si="711"/>
        <v>2036</v>
      </c>
      <c r="EQ133">
        <f t="shared" si="711"/>
        <v>2036</v>
      </c>
      <c r="ER133">
        <f t="shared" si="711"/>
        <v>2036</v>
      </c>
      <c r="ES133">
        <f t="shared" si="711"/>
        <v>2036</v>
      </c>
      <c r="ET133">
        <f t="shared" si="711"/>
        <v>2036</v>
      </c>
      <c r="EU133">
        <f t="shared" si="711"/>
        <v>2036</v>
      </c>
      <c r="EV133">
        <f t="shared" si="711"/>
        <v>2036</v>
      </c>
      <c r="EW133">
        <f t="shared" si="711"/>
        <v>2036</v>
      </c>
      <c r="EX133">
        <f t="shared" si="711"/>
        <v>2037</v>
      </c>
      <c r="EY133">
        <f t="shared" si="711"/>
        <v>2037</v>
      </c>
      <c r="EZ133">
        <f t="shared" si="711"/>
        <v>2037</v>
      </c>
      <c r="FA133">
        <f t="shared" si="711"/>
        <v>2037</v>
      </c>
      <c r="FB133">
        <f t="shared" si="711"/>
        <v>2037</v>
      </c>
      <c r="FC133">
        <f t="shared" si="711"/>
        <v>2037</v>
      </c>
      <c r="FD133">
        <f t="shared" si="711"/>
        <v>2037</v>
      </c>
      <c r="FE133">
        <f t="shared" si="711"/>
        <v>2037</v>
      </c>
      <c r="FF133">
        <f t="shared" si="711"/>
        <v>2037</v>
      </c>
      <c r="FG133">
        <f t="shared" si="711"/>
        <v>2037</v>
      </c>
      <c r="FH133">
        <f t="shared" si="711"/>
        <v>2037</v>
      </c>
      <c r="FI133">
        <f t="shared" si="711"/>
        <v>2037</v>
      </c>
      <c r="FJ133">
        <f t="shared" si="711"/>
        <v>2038</v>
      </c>
      <c r="FK133">
        <f t="shared" si="711"/>
        <v>2038</v>
      </c>
      <c r="FL133">
        <f t="shared" si="711"/>
        <v>2038</v>
      </c>
      <c r="FM133">
        <f t="shared" si="711"/>
        <v>2038</v>
      </c>
      <c r="FN133">
        <f t="shared" si="711"/>
        <v>2038</v>
      </c>
      <c r="FO133">
        <f t="shared" si="711"/>
        <v>2038</v>
      </c>
      <c r="FP133">
        <f t="shared" si="711"/>
        <v>2038</v>
      </c>
      <c r="FQ133">
        <f t="shared" si="711"/>
        <v>2038</v>
      </c>
      <c r="FR133">
        <f t="shared" si="711"/>
        <v>2038</v>
      </c>
      <c r="FS133">
        <f t="shared" si="711"/>
        <v>2038</v>
      </c>
      <c r="FT133">
        <f t="shared" si="711"/>
        <v>2038</v>
      </c>
      <c r="FU133">
        <f t="shared" si="711"/>
        <v>2038</v>
      </c>
      <c r="FV133">
        <f t="shared" si="711"/>
        <v>2039</v>
      </c>
      <c r="FW133">
        <f t="shared" si="711"/>
        <v>2039</v>
      </c>
      <c r="FX133">
        <f t="shared" si="711"/>
        <v>2039</v>
      </c>
      <c r="FY133">
        <f t="shared" si="711"/>
        <v>2039</v>
      </c>
      <c r="FZ133">
        <f t="shared" si="711"/>
        <v>2039</v>
      </c>
      <c r="GA133">
        <f t="shared" si="711"/>
        <v>2039</v>
      </c>
      <c r="GB133">
        <f t="shared" si="711"/>
        <v>2039</v>
      </c>
      <c r="GC133">
        <f t="shared" si="711"/>
        <v>2039</v>
      </c>
      <c r="GD133">
        <f t="shared" si="711"/>
        <v>2039</v>
      </c>
      <c r="GE133">
        <f t="shared" si="711"/>
        <v>2039</v>
      </c>
      <c r="GF133">
        <f t="shared" si="711"/>
        <v>2039</v>
      </c>
      <c r="GG133">
        <f t="shared" si="711"/>
        <v>2039</v>
      </c>
      <c r="GH133">
        <f t="shared" si="711"/>
        <v>2040</v>
      </c>
      <c r="GI133">
        <f t="shared" si="711"/>
        <v>2040</v>
      </c>
      <c r="GJ133">
        <f t="shared" si="711"/>
        <v>2040</v>
      </c>
      <c r="GK133">
        <f t="shared" si="711"/>
        <v>2040</v>
      </c>
      <c r="GL133">
        <f t="shared" si="711"/>
        <v>2040</v>
      </c>
      <c r="GM133">
        <f t="shared" si="711"/>
        <v>2040</v>
      </c>
      <c r="GN133">
        <f t="shared" si="711"/>
        <v>2040</v>
      </c>
      <c r="GO133">
        <f t="shared" si="711"/>
        <v>2040</v>
      </c>
      <c r="GP133">
        <f t="shared" ref="GP133:IJ133" si="712">+YEAR(GP134)</f>
        <v>2040</v>
      </c>
      <c r="GQ133">
        <f t="shared" si="712"/>
        <v>2040</v>
      </c>
      <c r="GR133">
        <f t="shared" si="712"/>
        <v>2040</v>
      </c>
      <c r="GS133">
        <f t="shared" si="712"/>
        <v>2040</v>
      </c>
      <c r="GT133">
        <f t="shared" si="712"/>
        <v>2041</v>
      </c>
      <c r="GU133">
        <f t="shared" si="712"/>
        <v>2041</v>
      </c>
      <c r="GV133">
        <f t="shared" si="712"/>
        <v>2041</v>
      </c>
      <c r="GW133">
        <f t="shared" si="712"/>
        <v>2041</v>
      </c>
      <c r="GX133">
        <f t="shared" si="712"/>
        <v>2041</v>
      </c>
      <c r="GY133">
        <f t="shared" si="712"/>
        <v>2041</v>
      </c>
      <c r="GZ133">
        <f t="shared" si="712"/>
        <v>2041</v>
      </c>
      <c r="HA133">
        <f t="shared" si="712"/>
        <v>2041</v>
      </c>
      <c r="HB133">
        <f t="shared" si="712"/>
        <v>2041</v>
      </c>
      <c r="HC133">
        <f t="shared" si="712"/>
        <v>2041</v>
      </c>
      <c r="HD133">
        <f t="shared" si="712"/>
        <v>2041</v>
      </c>
      <c r="HE133">
        <f t="shared" si="712"/>
        <v>2041</v>
      </c>
      <c r="HF133">
        <f t="shared" si="712"/>
        <v>2042</v>
      </c>
      <c r="HG133">
        <f t="shared" si="712"/>
        <v>2042</v>
      </c>
      <c r="HH133">
        <f t="shared" si="712"/>
        <v>2042</v>
      </c>
      <c r="HI133">
        <f t="shared" si="712"/>
        <v>2042</v>
      </c>
      <c r="HJ133">
        <f t="shared" si="712"/>
        <v>2042</v>
      </c>
      <c r="HK133">
        <f t="shared" si="712"/>
        <v>2042</v>
      </c>
      <c r="HL133">
        <f t="shared" si="712"/>
        <v>2042</v>
      </c>
      <c r="HM133">
        <f t="shared" si="712"/>
        <v>2042</v>
      </c>
      <c r="HN133">
        <f t="shared" si="712"/>
        <v>2042</v>
      </c>
      <c r="HO133">
        <f t="shared" si="712"/>
        <v>2042</v>
      </c>
      <c r="HP133">
        <f t="shared" si="712"/>
        <v>2042</v>
      </c>
      <c r="HQ133">
        <f t="shared" si="712"/>
        <v>2042</v>
      </c>
      <c r="HR133">
        <f t="shared" si="712"/>
        <v>2043</v>
      </c>
      <c r="HS133">
        <f t="shared" si="712"/>
        <v>2043</v>
      </c>
      <c r="HT133">
        <f t="shared" si="712"/>
        <v>2043</v>
      </c>
      <c r="HU133">
        <f t="shared" si="712"/>
        <v>2043</v>
      </c>
      <c r="HV133">
        <f t="shared" si="712"/>
        <v>2043</v>
      </c>
      <c r="HW133">
        <f t="shared" si="712"/>
        <v>2043</v>
      </c>
      <c r="HX133">
        <f t="shared" si="712"/>
        <v>2043</v>
      </c>
      <c r="HY133">
        <f t="shared" si="712"/>
        <v>2043</v>
      </c>
      <c r="HZ133">
        <f t="shared" si="712"/>
        <v>2043</v>
      </c>
      <c r="IA133">
        <f t="shared" si="712"/>
        <v>2043</v>
      </c>
      <c r="IB133">
        <f t="shared" si="712"/>
        <v>2043</v>
      </c>
      <c r="IC133">
        <f t="shared" si="712"/>
        <v>2043</v>
      </c>
      <c r="ID133">
        <f t="shared" si="712"/>
        <v>2044</v>
      </c>
      <c r="IE133">
        <f t="shared" si="712"/>
        <v>2044</v>
      </c>
      <c r="IF133">
        <f t="shared" si="712"/>
        <v>2044</v>
      </c>
      <c r="IG133">
        <f t="shared" si="712"/>
        <v>2044</v>
      </c>
      <c r="IH133">
        <f t="shared" si="712"/>
        <v>2044</v>
      </c>
      <c r="II133">
        <f t="shared" si="712"/>
        <v>2044</v>
      </c>
      <c r="IJ133">
        <f t="shared" si="712"/>
        <v>2044</v>
      </c>
    </row>
    <row r="134" spans="1:248" x14ac:dyDescent="0.3">
      <c r="A134" s="6" t="s">
        <v>820</v>
      </c>
      <c r="E134" s="14">
        <v>45505</v>
      </c>
      <c r="F134" s="14">
        <v>45536</v>
      </c>
      <c r="G134" s="14">
        <v>45566</v>
      </c>
      <c r="H134" s="14">
        <v>45597</v>
      </c>
      <c r="I134" s="14">
        <v>45627</v>
      </c>
      <c r="J134" s="14">
        <v>45658</v>
      </c>
      <c r="K134" s="14">
        <v>45689</v>
      </c>
      <c r="L134" s="14">
        <v>45717</v>
      </c>
      <c r="M134" s="14">
        <v>45748</v>
      </c>
      <c r="N134" s="14">
        <v>45778</v>
      </c>
      <c r="O134" s="14">
        <v>45809</v>
      </c>
      <c r="P134" s="14">
        <v>45839</v>
      </c>
      <c r="Q134" s="14">
        <v>45870</v>
      </c>
      <c r="R134" s="14">
        <v>45901</v>
      </c>
      <c r="S134" s="14">
        <v>45931</v>
      </c>
      <c r="T134" s="14">
        <v>45962</v>
      </c>
      <c r="U134" s="14">
        <v>45992</v>
      </c>
      <c r="V134" s="14">
        <v>46023</v>
      </c>
      <c r="W134" s="14">
        <v>46054</v>
      </c>
      <c r="X134" s="14">
        <v>46082</v>
      </c>
      <c r="Y134" s="14">
        <v>46113</v>
      </c>
      <c r="Z134" s="14">
        <v>46143</v>
      </c>
      <c r="AA134" s="14">
        <v>46174</v>
      </c>
      <c r="AB134" s="14">
        <v>46204</v>
      </c>
      <c r="AC134" s="14">
        <v>46235</v>
      </c>
      <c r="AD134" s="14">
        <v>46266</v>
      </c>
      <c r="AE134" s="14">
        <v>46296</v>
      </c>
      <c r="AF134" s="14">
        <v>46327</v>
      </c>
      <c r="AG134" s="14">
        <v>46357</v>
      </c>
      <c r="AH134" s="14">
        <v>46388</v>
      </c>
      <c r="AI134" s="14">
        <v>46419</v>
      </c>
      <c r="AJ134" s="14">
        <v>46447</v>
      </c>
      <c r="AK134" s="14">
        <v>46478</v>
      </c>
      <c r="AL134" s="14">
        <v>46508</v>
      </c>
      <c r="AM134" s="14">
        <v>46539</v>
      </c>
      <c r="AN134" s="14">
        <v>46569</v>
      </c>
      <c r="AO134" s="14">
        <v>46600</v>
      </c>
      <c r="AP134" s="14">
        <v>46631</v>
      </c>
      <c r="AQ134" s="14">
        <v>46661</v>
      </c>
      <c r="AR134" s="14">
        <v>46692</v>
      </c>
      <c r="AS134" s="14">
        <v>46722</v>
      </c>
      <c r="AT134" s="14">
        <v>46753</v>
      </c>
      <c r="AU134" s="14">
        <v>46784</v>
      </c>
      <c r="AV134" s="14">
        <v>46813</v>
      </c>
      <c r="AW134" s="14">
        <v>46844</v>
      </c>
      <c r="AX134" s="14">
        <v>46874</v>
      </c>
      <c r="AY134" s="14">
        <v>46905</v>
      </c>
      <c r="AZ134" s="14">
        <v>46935</v>
      </c>
      <c r="BA134" s="14">
        <v>46966</v>
      </c>
      <c r="BB134" s="14">
        <v>46997</v>
      </c>
      <c r="BC134" s="14">
        <v>47027</v>
      </c>
      <c r="BD134" s="14">
        <v>47058</v>
      </c>
      <c r="BE134" s="14">
        <v>47088</v>
      </c>
      <c r="BF134" s="14">
        <v>47119</v>
      </c>
      <c r="BG134" s="14">
        <v>47150</v>
      </c>
      <c r="BH134" s="14">
        <v>47178</v>
      </c>
      <c r="BI134" s="14">
        <v>47209</v>
      </c>
      <c r="BJ134" s="14">
        <v>47239</v>
      </c>
      <c r="BK134" s="14">
        <v>47270</v>
      </c>
      <c r="BL134" s="14">
        <v>47300</v>
      </c>
      <c r="BM134" s="14">
        <v>47331</v>
      </c>
      <c r="BN134" s="14">
        <v>47362</v>
      </c>
      <c r="BO134" s="14">
        <v>47392</v>
      </c>
      <c r="BP134" s="14">
        <v>47423</v>
      </c>
      <c r="BQ134" s="14">
        <v>47453</v>
      </c>
      <c r="BR134" s="14">
        <v>47484</v>
      </c>
      <c r="BS134" s="14">
        <v>47515</v>
      </c>
      <c r="BT134" s="14">
        <v>47543</v>
      </c>
      <c r="BU134" s="14">
        <v>47574</v>
      </c>
      <c r="BV134" s="14">
        <v>47604</v>
      </c>
      <c r="BW134" s="14">
        <v>47635</v>
      </c>
      <c r="BX134" s="14">
        <v>47665</v>
      </c>
      <c r="BY134" s="14">
        <v>47696</v>
      </c>
      <c r="BZ134" s="14">
        <v>47727</v>
      </c>
      <c r="CA134" s="14">
        <v>47757</v>
      </c>
      <c r="CB134" s="14">
        <v>47788</v>
      </c>
      <c r="CC134" s="14">
        <v>47818</v>
      </c>
      <c r="CD134" s="14">
        <v>47849</v>
      </c>
      <c r="CE134" s="14">
        <v>47880</v>
      </c>
      <c r="CF134" s="14">
        <v>47908</v>
      </c>
      <c r="CG134" s="14">
        <v>47939</v>
      </c>
      <c r="CH134" s="14">
        <v>47969</v>
      </c>
      <c r="CI134" s="14">
        <v>48000</v>
      </c>
      <c r="CJ134" s="14">
        <v>48030</v>
      </c>
      <c r="CK134" s="14">
        <v>48061</v>
      </c>
      <c r="CL134" s="14">
        <v>48092</v>
      </c>
      <c r="CM134" s="14">
        <v>48122</v>
      </c>
      <c r="CN134" s="14">
        <v>48153</v>
      </c>
      <c r="CO134" s="14">
        <v>48183</v>
      </c>
      <c r="CP134" s="14">
        <v>48214</v>
      </c>
      <c r="CQ134" s="14">
        <v>48245</v>
      </c>
      <c r="CR134" s="14">
        <v>48274</v>
      </c>
      <c r="CS134" s="14">
        <v>48305</v>
      </c>
      <c r="CT134" s="14">
        <v>48335</v>
      </c>
      <c r="CU134" s="14">
        <v>48366</v>
      </c>
      <c r="CV134" s="14">
        <v>48396</v>
      </c>
      <c r="CW134" s="14">
        <v>48427</v>
      </c>
      <c r="CX134" s="14">
        <v>48458</v>
      </c>
      <c r="CY134" s="14">
        <v>48488</v>
      </c>
      <c r="CZ134" s="14">
        <v>48519</v>
      </c>
      <c r="DA134" s="14">
        <v>48549</v>
      </c>
      <c r="DB134" s="14">
        <v>48580</v>
      </c>
      <c r="DC134" s="14">
        <v>48611</v>
      </c>
      <c r="DD134" s="14">
        <v>48639</v>
      </c>
      <c r="DE134" s="14">
        <v>48670</v>
      </c>
      <c r="DF134" s="14">
        <v>48700</v>
      </c>
      <c r="DG134" s="14">
        <v>48731</v>
      </c>
      <c r="DH134" s="14">
        <v>48761</v>
      </c>
      <c r="DI134" s="14">
        <v>48792</v>
      </c>
      <c r="DJ134" s="14">
        <v>48823</v>
      </c>
      <c r="DK134" s="14">
        <v>48853</v>
      </c>
      <c r="DL134" s="14">
        <v>48884</v>
      </c>
      <c r="DM134" s="14">
        <v>48914</v>
      </c>
      <c r="DN134" s="14">
        <v>48945</v>
      </c>
      <c r="DO134" s="14">
        <v>48976</v>
      </c>
      <c r="DP134" s="14">
        <v>49004</v>
      </c>
      <c r="DQ134" s="14">
        <v>49035</v>
      </c>
      <c r="DR134" s="14">
        <v>49065</v>
      </c>
      <c r="DS134" s="14">
        <v>49096</v>
      </c>
      <c r="DT134" s="14">
        <v>49126</v>
      </c>
      <c r="DU134" s="14">
        <v>49157</v>
      </c>
      <c r="DV134" s="14">
        <v>49188</v>
      </c>
      <c r="DW134" s="14">
        <v>49218</v>
      </c>
      <c r="DX134" s="14">
        <v>49249</v>
      </c>
      <c r="DY134" s="14">
        <v>49279</v>
      </c>
      <c r="DZ134" s="14">
        <v>49310</v>
      </c>
      <c r="EA134" s="14">
        <v>49341</v>
      </c>
      <c r="EB134" s="14">
        <v>49369</v>
      </c>
      <c r="EC134" s="14">
        <v>49400</v>
      </c>
      <c r="ED134" s="14">
        <v>49430</v>
      </c>
      <c r="EE134" s="14">
        <v>49461</v>
      </c>
      <c r="EF134" s="14">
        <v>49491</v>
      </c>
      <c r="EG134" s="14">
        <v>49522</v>
      </c>
      <c r="EH134" s="14">
        <v>49553</v>
      </c>
      <c r="EI134" s="14">
        <v>49583</v>
      </c>
      <c r="EJ134" s="14">
        <v>49614</v>
      </c>
      <c r="EK134" s="14">
        <v>49644</v>
      </c>
      <c r="EL134" s="14">
        <v>49675</v>
      </c>
      <c r="EM134" s="14">
        <v>49706</v>
      </c>
      <c r="EN134" s="14">
        <v>49735</v>
      </c>
      <c r="EO134" s="14">
        <v>49766</v>
      </c>
      <c r="EP134" s="14">
        <v>49796</v>
      </c>
      <c r="EQ134" s="14">
        <v>49827</v>
      </c>
      <c r="ER134" s="14">
        <v>49857</v>
      </c>
      <c r="ES134" s="14">
        <v>49888</v>
      </c>
      <c r="ET134" s="14">
        <v>49919</v>
      </c>
      <c r="EU134" s="14">
        <v>49949</v>
      </c>
      <c r="EV134" s="14">
        <v>49980</v>
      </c>
      <c r="EW134" s="14">
        <v>50010</v>
      </c>
      <c r="EX134" s="14">
        <v>50041</v>
      </c>
      <c r="EY134" s="14">
        <v>50072</v>
      </c>
      <c r="EZ134" s="14">
        <v>50100</v>
      </c>
      <c r="FA134" s="14">
        <v>50131</v>
      </c>
      <c r="FB134" s="14">
        <v>50161</v>
      </c>
      <c r="FC134" s="14">
        <v>50192</v>
      </c>
      <c r="FD134" s="14">
        <v>50222</v>
      </c>
      <c r="FE134" s="14">
        <v>50253</v>
      </c>
      <c r="FF134" s="14">
        <v>50284</v>
      </c>
      <c r="FG134" s="14">
        <v>50314</v>
      </c>
      <c r="FH134" s="14">
        <v>50345</v>
      </c>
      <c r="FI134" s="14">
        <v>50375</v>
      </c>
      <c r="FJ134" s="14">
        <v>50406</v>
      </c>
      <c r="FK134" s="14">
        <v>50437</v>
      </c>
      <c r="FL134" s="14">
        <v>50465</v>
      </c>
      <c r="FM134" s="14">
        <v>50496</v>
      </c>
      <c r="FN134" s="14">
        <v>50526</v>
      </c>
      <c r="FO134" s="14">
        <v>50557</v>
      </c>
      <c r="FP134" s="14">
        <v>50587</v>
      </c>
      <c r="FQ134" s="14">
        <v>50618</v>
      </c>
      <c r="FR134" s="14">
        <v>50649</v>
      </c>
      <c r="FS134" s="14">
        <v>50679</v>
      </c>
      <c r="FT134" s="14">
        <v>50710</v>
      </c>
      <c r="FU134" s="14">
        <v>50740</v>
      </c>
      <c r="FV134" s="14">
        <v>50771</v>
      </c>
      <c r="FW134" s="14">
        <v>50802</v>
      </c>
      <c r="FX134" s="14">
        <v>50830</v>
      </c>
      <c r="FY134" s="14">
        <v>50861</v>
      </c>
      <c r="FZ134" s="14">
        <v>50891</v>
      </c>
      <c r="GA134" s="14">
        <v>50922</v>
      </c>
      <c r="GB134" s="14">
        <v>50952</v>
      </c>
      <c r="GC134" s="14">
        <v>50983</v>
      </c>
      <c r="GD134" s="14">
        <v>51014</v>
      </c>
      <c r="GE134" s="14">
        <v>51044</v>
      </c>
      <c r="GF134" s="14">
        <v>51075</v>
      </c>
      <c r="GG134" s="14">
        <v>51105</v>
      </c>
      <c r="GH134" s="14">
        <v>51136</v>
      </c>
      <c r="GI134" s="14">
        <v>51167</v>
      </c>
      <c r="GJ134" s="14">
        <v>51196</v>
      </c>
      <c r="GK134" s="14">
        <v>51227</v>
      </c>
      <c r="GL134" s="14">
        <v>51257</v>
      </c>
      <c r="GM134" s="14">
        <v>51288</v>
      </c>
      <c r="GN134" s="14">
        <v>51318</v>
      </c>
      <c r="GO134" s="14">
        <v>51349</v>
      </c>
      <c r="GP134" s="14">
        <v>51380</v>
      </c>
      <c r="GQ134" s="14">
        <v>51410</v>
      </c>
      <c r="GR134" s="14">
        <v>51441</v>
      </c>
      <c r="GS134" s="14">
        <v>51471</v>
      </c>
      <c r="GT134" s="14">
        <v>51502</v>
      </c>
      <c r="GU134" s="14">
        <v>51533</v>
      </c>
      <c r="GV134" s="14">
        <v>51561</v>
      </c>
      <c r="GW134" s="14">
        <v>51592</v>
      </c>
      <c r="GX134" s="14">
        <v>51622</v>
      </c>
      <c r="GY134" s="14">
        <v>51653</v>
      </c>
      <c r="GZ134" s="14">
        <v>51683</v>
      </c>
      <c r="HA134" s="14">
        <v>51714</v>
      </c>
      <c r="HB134" s="14">
        <v>51745</v>
      </c>
      <c r="HC134" s="14">
        <v>51775</v>
      </c>
      <c r="HD134" s="14">
        <v>51806</v>
      </c>
      <c r="HE134" s="14">
        <v>51836</v>
      </c>
      <c r="HF134" s="14">
        <v>51867</v>
      </c>
      <c r="HG134" s="14">
        <v>51898</v>
      </c>
      <c r="HH134" s="14">
        <v>51926</v>
      </c>
      <c r="HI134" s="14">
        <v>51957</v>
      </c>
      <c r="HJ134" s="14">
        <v>51987</v>
      </c>
      <c r="HK134" s="14">
        <v>52018</v>
      </c>
      <c r="HL134" s="14">
        <v>52048</v>
      </c>
      <c r="HM134" s="14">
        <v>52079</v>
      </c>
      <c r="HN134" s="14">
        <v>52110</v>
      </c>
      <c r="HO134" s="14">
        <v>52140</v>
      </c>
      <c r="HP134" s="14">
        <v>52171</v>
      </c>
      <c r="HQ134" s="14">
        <v>52201</v>
      </c>
      <c r="HR134" s="14">
        <v>52232</v>
      </c>
      <c r="HS134" s="14">
        <v>52263</v>
      </c>
      <c r="HT134" s="14">
        <v>52291</v>
      </c>
      <c r="HU134" s="14">
        <v>52322</v>
      </c>
      <c r="HV134" s="14">
        <v>52352</v>
      </c>
      <c r="HW134" s="14">
        <v>52383</v>
      </c>
      <c r="HX134" s="14">
        <v>52413</v>
      </c>
      <c r="HY134" s="14">
        <v>52444</v>
      </c>
      <c r="HZ134" s="14">
        <v>52475</v>
      </c>
      <c r="IA134" s="14">
        <v>52505</v>
      </c>
      <c r="IB134" s="14">
        <v>52536</v>
      </c>
      <c r="IC134" s="14">
        <v>52566</v>
      </c>
      <c r="ID134" s="14">
        <v>52597</v>
      </c>
      <c r="IE134" s="14">
        <v>52628</v>
      </c>
      <c r="IF134" s="14">
        <v>52657</v>
      </c>
      <c r="IG134" s="14">
        <v>52688</v>
      </c>
      <c r="IH134" s="14">
        <v>52718</v>
      </c>
      <c r="II134" s="14">
        <v>52749</v>
      </c>
      <c r="IJ134" s="14">
        <v>52779</v>
      </c>
      <c r="IK134" s="14"/>
      <c r="IL134" s="14"/>
      <c r="IM134" s="14"/>
      <c r="IN134" s="14"/>
    </row>
    <row r="135" spans="1:248" x14ac:dyDescent="0.3">
      <c r="A135" t="s">
        <v>810</v>
      </c>
      <c r="E135" s="41" t="e">
        <f>+#REF!</f>
        <v>#REF!</v>
      </c>
      <c r="F135" s="41" t="e">
        <f>+E135</f>
        <v>#REF!</v>
      </c>
      <c r="G135" s="41" t="e">
        <f>+F135</f>
        <v>#REF!</v>
      </c>
      <c r="H135" s="41" t="e">
        <f t="shared" ref="H135:AN135" si="713">+G135</f>
        <v>#REF!</v>
      </c>
      <c r="I135" s="41" t="e">
        <f t="shared" si="713"/>
        <v>#REF!</v>
      </c>
      <c r="J135" s="41" t="e">
        <f t="shared" si="713"/>
        <v>#REF!</v>
      </c>
      <c r="K135" s="41" t="e">
        <f t="shared" si="713"/>
        <v>#REF!</v>
      </c>
      <c r="L135" s="41" t="e">
        <f t="shared" si="713"/>
        <v>#REF!</v>
      </c>
      <c r="M135" s="41" t="e">
        <f t="shared" si="713"/>
        <v>#REF!</v>
      </c>
      <c r="N135" s="41" t="e">
        <f t="shared" si="713"/>
        <v>#REF!</v>
      </c>
      <c r="O135" s="41" t="e">
        <f t="shared" si="713"/>
        <v>#REF!</v>
      </c>
      <c r="P135" s="41" t="e">
        <f t="shared" si="713"/>
        <v>#REF!</v>
      </c>
      <c r="Q135" s="41" t="e">
        <f t="shared" si="713"/>
        <v>#REF!</v>
      </c>
      <c r="R135" s="41" t="e">
        <f t="shared" si="713"/>
        <v>#REF!</v>
      </c>
      <c r="S135" s="41" t="e">
        <f t="shared" si="713"/>
        <v>#REF!</v>
      </c>
      <c r="T135" s="41" t="e">
        <f t="shared" si="713"/>
        <v>#REF!</v>
      </c>
      <c r="U135" s="41" t="e">
        <f t="shared" si="713"/>
        <v>#REF!</v>
      </c>
      <c r="V135" s="41" t="e">
        <f t="shared" si="713"/>
        <v>#REF!</v>
      </c>
      <c r="W135" s="41" t="e">
        <f t="shared" si="713"/>
        <v>#REF!</v>
      </c>
      <c r="X135" s="41" t="e">
        <f t="shared" si="713"/>
        <v>#REF!</v>
      </c>
      <c r="Y135" s="41" t="e">
        <f t="shared" si="713"/>
        <v>#REF!</v>
      </c>
      <c r="Z135" s="41" t="e">
        <f t="shared" si="713"/>
        <v>#REF!</v>
      </c>
      <c r="AA135" s="41" t="e">
        <f t="shared" si="713"/>
        <v>#REF!</v>
      </c>
      <c r="AB135" s="41" t="e">
        <f t="shared" si="713"/>
        <v>#REF!</v>
      </c>
      <c r="AC135" s="41" t="e">
        <f t="shared" si="713"/>
        <v>#REF!</v>
      </c>
      <c r="AD135" s="41" t="e">
        <f t="shared" si="713"/>
        <v>#REF!</v>
      </c>
      <c r="AE135" s="41" t="e">
        <f t="shared" si="713"/>
        <v>#REF!</v>
      </c>
      <c r="AF135" s="41" t="e">
        <f t="shared" si="713"/>
        <v>#REF!</v>
      </c>
      <c r="AG135" s="41" t="e">
        <f t="shared" si="713"/>
        <v>#REF!</v>
      </c>
      <c r="AH135" s="41" t="e">
        <f t="shared" si="713"/>
        <v>#REF!</v>
      </c>
      <c r="AI135" s="41" t="e">
        <f t="shared" si="713"/>
        <v>#REF!</v>
      </c>
      <c r="AJ135" s="41" t="e">
        <f t="shared" si="713"/>
        <v>#REF!</v>
      </c>
      <c r="AK135" s="41" t="e">
        <f t="shared" si="713"/>
        <v>#REF!</v>
      </c>
      <c r="AL135" s="41" t="e">
        <f t="shared" si="713"/>
        <v>#REF!</v>
      </c>
      <c r="AM135" s="41" t="e">
        <f t="shared" si="713"/>
        <v>#REF!</v>
      </c>
      <c r="AN135" s="41" t="e">
        <f t="shared" si="713"/>
        <v>#REF!</v>
      </c>
      <c r="AO135" s="41" t="e">
        <f>+AN135</f>
        <v>#REF!</v>
      </c>
      <c r="AP135" s="41" t="e">
        <f t="shared" ref="AP135:AY135" si="714">+AO135</f>
        <v>#REF!</v>
      </c>
      <c r="AQ135" s="41" t="e">
        <f t="shared" si="714"/>
        <v>#REF!</v>
      </c>
      <c r="AR135" s="41" t="e">
        <f t="shared" si="714"/>
        <v>#REF!</v>
      </c>
      <c r="AS135" s="41" t="e">
        <f t="shared" si="714"/>
        <v>#REF!</v>
      </c>
      <c r="AT135" s="41" t="e">
        <f t="shared" si="714"/>
        <v>#REF!</v>
      </c>
      <c r="AU135" s="41" t="e">
        <f t="shared" si="714"/>
        <v>#REF!</v>
      </c>
      <c r="AV135" s="41" t="e">
        <f t="shared" si="714"/>
        <v>#REF!</v>
      </c>
      <c r="AW135" s="41" t="e">
        <f t="shared" si="714"/>
        <v>#REF!</v>
      </c>
      <c r="AX135" s="41" t="e">
        <f t="shared" si="714"/>
        <v>#REF!</v>
      </c>
      <c r="AY135" s="41" t="e">
        <f t="shared" si="714"/>
        <v>#REF!</v>
      </c>
      <c r="AZ135" s="41" t="e">
        <f>+AY135</f>
        <v>#REF!</v>
      </c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</row>
    <row r="136" spans="1:248" x14ac:dyDescent="0.3">
      <c r="A136" t="s">
        <v>643</v>
      </c>
      <c r="E136" s="33">
        <f t="shared" ref="E136:AJ136" si="715">+E56</f>
        <v>0</v>
      </c>
      <c r="F136" s="33">
        <f t="shared" si="715"/>
        <v>0</v>
      </c>
      <c r="G136" s="33">
        <f t="shared" si="715"/>
        <v>0</v>
      </c>
      <c r="H136" s="33" t="e">
        <f t="shared" si="715"/>
        <v>#REF!</v>
      </c>
      <c r="I136" s="33">
        <f t="shared" si="715"/>
        <v>0</v>
      </c>
      <c r="J136" s="33">
        <f t="shared" si="715"/>
        <v>0</v>
      </c>
      <c r="K136" s="33" t="e">
        <f t="shared" si="715"/>
        <v>#REF!</v>
      </c>
      <c r="L136" s="33">
        <f t="shared" si="715"/>
        <v>0</v>
      </c>
      <c r="M136" s="33">
        <f t="shared" si="715"/>
        <v>0</v>
      </c>
      <c r="N136" s="33" t="e">
        <f t="shared" si="715"/>
        <v>#REF!</v>
      </c>
      <c r="O136" s="33">
        <f t="shared" si="715"/>
        <v>0</v>
      </c>
      <c r="P136" s="33">
        <f t="shared" si="715"/>
        <v>0</v>
      </c>
      <c r="Q136" s="33" t="e">
        <f t="shared" si="715"/>
        <v>#REF!</v>
      </c>
      <c r="R136" s="33">
        <f t="shared" si="715"/>
        <v>0</v>
      </c>
      <c r="S136" s="33">
        <f t="shared" si="715"/>
        <v>0</v>
      </c>
      <c r="T136" s="33" t="e">
        <f t="shared" si="715"/>
        <v>#REF!</v>
      </c>
      <c r="U136" s="33">
        <f t="shared" si="715"/>
        <v>0</v>
      </c>
      <c r="V136" s="33">
        <f t="shared" si="715"/>
        <v>0</v>
      </c>
      <c r="W136" s="33" t="e">
        <f t="shared" si="715"/>
        <v>#REF!</v>
      </c>
      <c r="X136" s="33">
        <f t="shared" si="715"/>
        <v>0</v>
      </c>
      <c r="Y136" s="33">
        <f t="shared" si="715"/>
        <v>0</v>
      </c>
      <c r="Z136" s="33" t="e">
        <f t="shared" si="715"/>
        <v>#REF!</v>
      </c>
      <c r="AA136" s="33">
        <f t="shared" si="715"/>
        <v>0</v>
      </c>
      <c r="AB136" s="33">
        <f t="shared" si="715"/>
        <v>0</v>
      </c>
      <c r="AC136" s="33" t="e">
        <f t="shared" si="715"/>
        <v>#REF!</v>
      </c>
      <c r="AD136" s="33">
        <f t="shared" si="715"/>
        <v>0</v>
      </c>
      <c r="AE136" s="33">
        <f t="shared" si="715"/>
        <v>0</v>
      </c>
      <c r="AF136" s="33" t="e">
        <f t="shared" si="715"/>
        <v>#REF!</v>
      </c>
      <c r="AG136" s="33">
        <f t="shared" si="715"/>
        <v>0</v>
      </c>
      <c r="AH136" s="33">
        <f t="shared" si="715"/>
        <v>0</v>
      </c>
      <c r="AI136" s="33" t="e">
        <f t="shared" si="715"/>
        <v>#REF!</v>
      </c>
      <c r="AJ136" s="33">
        <f t="shared" si="715"/>
        <v>0</v>
      </c>
      <c r="AK136" s="33">
        <f t="shared" ref="AK136:BP136" si="716">+AK56</f>
        <v>0</v>
      </c>
      <c r="AL136" s="33" t="e">
        <f t="shared" si="716"/>
        <v>#REF!</v>
      </c>
      <c r="AM136" s="33">
        <f t="shared" si="716"/>
        <v>0</v>
      </c>
      <c r="AN136" s="33">
        <f t="shared" si="716"/>
        <v>0</v>
      </c>
      <c r="AO136" s="33" t="e">
        <f t="shared" si="716"/>
        <v>#REF!</v>
      </c>
      <c r="AP136" s="33">
        <f t="shared" si="716"/>
        <v>0</v>
      </c>
      <c r="AQ136" s="33">
        <f t="shared" si="716"/>
        <v>0</v>
      </c>
      <c r="AR136" s="33" t="e">
        <f t="shared" si="716"/>
        <v>#REF!</v>
      </c>
      <c r="AS136" s="33">
        <f t="shared" si="716"/>
        <v>0</v>
      </c>
      <c r="AT136" s="33">
        <f t="shared" si="716"/>
        <v>0</v>
      </c>
      <c r="AU136" s="33" t="e">
        <f t="shared" si="716"/>
        <v>#REF!</v>
      </c>
      <c r="AV136" s="33">
        <f t="shared" si="716"/>
        <v>0</v>
      </c>
      <c r="AW136" s="33">
        <f t="shared" si="716"/>
        <v>0</v>
      </c>
      <c r="AX136" s="33" t="e">
        <f t="shared" si="716"/>
        <v>#REF!</v>
      </c>
      <c r="AY136" s="33">
        <f t="shared" si="716"/>
        <v>0</v>
      </c>
      <c r="AZ136" s="33">
        <f t="shared" si="716"/>
        <v>0</v>
      </c>
      <c r="BA136" s="33" t="e">
        <f t="shared" si="716"/>
        <v>#REF!</v>
      </c>
      <c r="BB136" s="33">
        <f t="shared" si="716"/>
        <v>0</v>
      </c>
      <c r="BC136" s="33">
        <f t="shared" si="716"/>
        <v>0</v>
      </c>
      <c r="BD136" s="33" t="e">
        <f t="shared" si="716"/>
        <v>#REF!</v>
      </c>
      <c r="BE136" s="33">
        <f t="shared" si="716"/>
        <v>0</v>
      </c>
      <c r="BF136" s="33">
        <f t="shared" si="716"/>
        <v>0</v>
      </c>
      <c r="BG136" s="33" t="e">
        <f t="shared" si="716"/>
        <v>#REF!</v>
      </c>
      <c r="BH136" s="33">
        <f t="shared" si="716"/>
        <v>0</v>
      </c>
      <c r="BI136" s="33">
        <f t="shared" si="716"/>
        <v>0</v>
      </c>
      <c r="BJ136" s="33" t="e">
        <f t="shared" si="716"/>
        <v>#REF!</v>
      </c>
      <c r="BK136" s="33">
        <f t="shared" si="716"/>
        <v>0</v>
      </c>
      <c r="BL136" s="33">
        <f t="shared" si="716"/>
        <v>0</v>
      </c>
      <c r="BM136" s="33" t="e">
        <f t="shared" si="716"/>
        <v>#REF!</v>
      </c>
      <c r="BN136" s="33">
        <f t="shared" si="716"/>
        <v>0</v>
      </c>
      <c r="BO136" s="33">
        <f t="shared" si="716"/>
        <v>0</v>
      </c>
      <c r="BP136" s="33" t="e">
        <f t="shared" si="716"/>
        <v>#REF!</v>
      </c>
      <c r="BQ136" s="33">
        <f t="shared" ref="BQ136:CV136" si="717">+BQ56</f>
        <v>0</v>
      </c>
      <c r="BR136" s="33">
        <f t="shared" si="717"/>
        <v>0</v>
      </c>
      <c r="BS136" s="33" t="e">
        <f t="shared" si="717"/>
        <v>#REF!</v>
      </c>
      <c r="BT136" s="33">
        <f t="shared" si="717"/>
        <v>0</v>
      </c>
      <c r="BU136" s="33">
        <f t="shared" si="717"/>
        <v>0</v>
      </c>
      <c r="BV136" s="33" t="e">
        <f t="shared" si="717"/>
        <v>#REF!</v>
      </c>
      <c r="BW136" s="33">
        <f t="shared" si="717"/>
        <v>0</v>
      </c>
      <c r="BX136" s="33">
        <f t="shared" si="717"/>
        <v>0</v>
      </c>
      <c r="BY136" s="33" t="e">
        <f t="shared" si="717"/>
        <v>#REF!</v>
      </c>
      <c r="BZ136" s="33">
        <f t="shared" si="717"/>
        <v>0</v>
      </c>
      <c r="CA136" s="33">
        <f t="shared" si="717"/>
        <v>0</v>
      </c>
      <c r="CB136" s="33" t="e">
        <f t="shared" si="717"/>
        <v>#REF!</v>
      </c>
      <c r="CC136" s="33">
        <f t="shared" si="717"/>
        <v>0</v>
      </c>
      <c r="CD136" s="33">
        <f t="shared" si="717"/>
        <v>0</v>
      </c>
      <c r="CE136" s="33" t="e">
        <f t="shared" si="717"/>
        <v>#REF!</v>
      </c>
      <c r="CF136" s="33">
        <f t="shared" si="717"/>
        <v>0</v>
      </c>
      <c r="CG136" s="33">
        <f t="shared" si="717"/>
        <v>0</v>
      </c>
      <c r="CH136" s="33" t="e">
        <f t="shared" si="717"/>
        <v>#REF!</v>
      </c>
      <c r="CI136" s="33">
        <f t="shared" si="717"/>
        <v>0</v>
      </c>
      <c r="CJ136" s="33">
        <f t="shared" si="717"/>
        <v>0</v>
      </c>
      <c r="CK136" s="33" t="e">
        <f t="shared" si="717"/>
        <v>#REF!</v>
      </c>
      <c r="CL136" s="33">
        <f t="shared" si="717"/>
        <v>0</v>
      </c>
      <c r="CM136" s="33">
        <f t="shared" si="717"/>
        <v>0</v>
      </c>
      <c r="CN136" s="33" t="e">
        <f t="shared" si="717"/>
        <v>#REF!</v>
      </c>
      <c r="CO136" s="33">
        <f t="shared" si="717"/>
        <v>0</v>
      </c>
      <c r="CP136" s="33">
        <f t="shared" si="717"/>
        <v>0</v>
      </c>
      <c r="CQ136" s="33" t="e">
        <f t="shared" si="717"/>
        <v>#REF!</v>
      </c>
      <c r="CR136" s="33">
        <f t="shared" si="717"/>
        <v>0</v>
      </c>
      <c r="CS136" s="33">
        <f t="shared" si="717"/>
        <v>0</v>
      </c>
      <c r="CT136" s="33" t="e">
        <f t="shared" si="717"/>
        <v>#REF!</v>
      </c>
      <c r="CU136" s="33">
        <f t="shared" si="717"/>
        <v>0</v>
      </c>
      <c r="CV136" s="33">
        <f t="shared" si="717"/>
        <v>0</v>
      </c>
      <c r="CW136" s="33" t="e">
        <f t="shared" ref="CW136:DT136" si="718">+CW56</f>
        <v>#REF!</v>
      </c>
      <c r="CX136" s="33">
        <f t="shared" si="718"/>
        <v>0</v>
      </c>
      <c r="CY136" s="33">
        <f t="shared" si="718"/>
        <v>0</v>
      </c>
      <c r="CZ136" s="33" t="e">
        <f t="shared" si="718"/>
        <v>#REF!</v>
      </c>
      <c r="DA136" s="33">
        <f t="shared" si="718"/>
        <v>0</v>
      </c>
      <c r="DB136" s="33">
        <f t="shared" si="718"/>
        <v>0</v>
      </c>
      <c r="DC136" s="33" t="e">
        <f t="shared" si="718"/>
        <v>#REF!</v>
      </c>
      <c r="DD136" s="33">
        <f t="shared" si="718"/>
        <v>0</v>
      </c>
      <c r="DE136" s="33">
        <f t="shared" si="718"/>
        <v>0</v>
      </c>
      <c r="DF136" s="33" t="e">
        <f t="shared" si="718"/>
        <v>#REF!</v>
      </c>
      <c r="DG136" s="33">
        <f t="shared" si="718"/>
        <v>0</v>
      </c>
      <c r="DH136" s="33">
        <f t="shared" si="718"/>
        <v>0</v>
      </c>
      <c r="DI136" s="33" t="e">
        <f t="shared" si="718"/>
        <v>#REF!</v>
      </c>
      <c r="DJ136" s="33">
        <f t="shared" si="718"/>
        <v>0</v>
      </c>
      <c r="DK136" s="33">
        <f t="shared" si="718"/>
        <v>0</v>
      </c>
      <c r="DL136" s="33" t="e">
        <f t="shared" si="718"/>
        <v>#REF!</v>
      </c>
      <c r="DM136" s="33">
        <f t="shared" si="718"/>
        <v>0</v>
      </c>
      <c r="DN136" s="33">
        <f t="shared" si="718"/>
        <v>0</v>
      </c>
      <c r="DO136" s="33" t="e">
        <f t="shared" si="718"/>
        <v>#REF!</v>
      </c>
      <c r="DP136" s="33">
        <f t="shared" si="718"/>
        <v>0</v>
      </c>
      <c r="DQ136" s="33">
        <f t="shared" si="718"/>
        <v>0</v>
      </c>
      <c r="DR136" s="33" t="e">
        <f t="shared" si="718"/>
        <v>#REF!</v>
      </c>
      <c r="DS136" s="33">
        <f t="shared" si="718"/>
        <v>0</v>
      </c>
      <c r="DT136" s="33">
        <f t="shared" si="718"/>
        <v>0</v>
      </c>
      <c r="DU136" s="33" t="e">
        <f t="shared" ref="DU136:EI136" si="719">+DU56</f>
        <v>#REF!</v>
      </c>
      <c r="DV136" s="33">
        <f t="shared" si="719"/>
        <v>0</v>
      </c>
      <c r="DW136" s="33">
        <f t="shared" si="719"/>
        <v>0</v>
      </c>
      <c r="DX136" s="33" t="e">
        <f t="shared" si="719"/>
        <v>#REF!</v>
      </c>
      <c r="DY136" s="33">
        <f t="shared" si="719"/>
        <v>0</v>
      </c>
      <c r="DZ136" s="33">
        <f t="shared" si="719"/>
        <v>0</v>
      </c>
      <c r="EA136" s="33" t="e">
        <f t="shared" si="719"/>
        <v>#REF!</v>
      </c>
      <c r="EB136" s="33">
        <f t="shared" si="719"/>
        <v>0</v>
      </c>
      <c r="EC136" s="33">
        <f t="shared" si="719"/>
        <v>0</v>
      </c>
      <c r="ED136" s="33" t="e">
        <f t="shared" si="719"/>
        <v>#REF!</v>
      </c>
      <c r="EE136" s="33">
        <f t="shared" si="719"/>
        <v>0</v>
      </c>
      <c r="EF136" s="33">
        <f t="shared" si="719"/>
        <v>0</v>
      </c>
      <c r="EG136" s="33" t="e">
        <f t="shared" si="719"/>
        <v>#REF!</v>
      </c>
      <c r="EH136" s="33">
        <f t="shared" si="719"/>
        <v>0</v>
      </c>
      <c r="EI136" s="33">
        <f t="shared" si="719"/>
        <v>0</v>
      </c>
      <c r="EJ136" s="33" t="e">
        <f t="shared" ref="EJ136:FH136" si="720">+EJ56</f>
        <v>#REF!</v>
      </c>
      <c r="EK136" s="33">
        <f t="shared" si="720"/>
        <v>0</v>
      </c>
      <c r="EL136" s="33">
        <f t="shared" si="720"/>
        <v>0</v>
      </c>
      <c r="EM136" s="33" t="e">
        <f t="shared" si="720"/>
        <v>#REF!</v>
      </c>
      <c r="EN136" s="33">
        <f t="shared" si="720"/>
        <v>0</v>
      </c>
      <c r="EO136" s="33">
        <f t="shared" si="720"/>
        <v>0</v>
      </c>
      <c r="EP136" s="33" t="e">
        <f t="shared" si="720"/>
        <v>#REF!</v>
      </c>
      <c r="EQ136" s="33">
        <f t="shared" si="720"/>
        <v>0</v>
      </c>
      <c r="ER136" s="33">
        <f t="shared" si="720"/>
        <v>0</v>
      </c>
      <c r="ES136" s="33" t="e">
        <f t="shared" si="720"/>
        <v>#REF!</v>
      </c>
      <c r="ET136" s="33">
        <f t="shared" si="720"/>
        <v>0</v>
      </c>
      <c r="EU136" s="33">
        <f t="shared" si="720"/>
        <v>0</v>
      </c>
      <c r="EV136" s="33" t="e">
        <f t="shared" si="720"/>
        <v>#REF!</v>
      </c>
      <c r="EW136" s="33">
        <f t="shared" si="720"/>
        <v>0</v>
      </c>
      <c r="EX136" s="33">
        <f t="shared" si="720"/>
        <v>0</v>
      </c>
      <c r="EY136" s="33" t="e">
        <f t="shared" si="720"/>
        <v>#REF!</v>
      </c>
      <c r="EZ136" s="33">
        <f t="shared" si="720"/>
        <v>0</v>
      </c>
      <c r="FA136" s="33">
        <f t="shared" si="720"/>
        <v>0</v>
      </c>
      <c r="FB136" s="33" t="e">
        <f t="shared" si="720"/>
        <v>#REF!</v>
      </c>
      <c r="FC136" s="33">
        <f t="shared" si="720"/>
        <v>0</v>
      </c>
      <c r="FD136" s="33">
        <f t="shared" si="720"/>
        <v>0</v>
      </c>
      <c r="FE136" s="33" t="e">
        <f t="shared" si="720"/>
        <v>#REF!</v>
      </c>
      <c r="FF136" s="33">
        <f t="shared" si="720"/>
        <v>0</v>
      </c>
      <c r="FG136" s="33">
        <f t="shared" si="720"/>
        <v>0</v>
      </c>
      <c r="FH136" s="33" t="e">
        <f t="shared" si="720"/>
        <v>#REF!</v>
      </c>
      <c r="FI136" s="33">
        <f>+FI56</f>
        <v>0</v>
      </c>
      <c r="FJ136" s="33">
        <f t="shared" ref="FJ136:GK136" si="721">+FJ56</f>
        <v>0</v>
      </c>
      <c r="FK136" s="33" t="e">
        <f t="shared" si="721"/>
        <v>#REF!</v>
      </c>
      <c r="FL136" s="33">
        <f t="shared" si="721"/>
        <v>0</v>
      </c>
      <c r="FM136" s="33">
        <f t="shared" si="721"/>
        <v>0</v>
      </c>
      <c r="FN136" s="33" t="e">
        <f t="shared" si="721"/>
        <v>#REF!</v>
      </c>
      <c r="FO136" s="33">
        <f t="shared" si="721"/>
        <v>0</v>
      </c>
      <c r="FP136" s="33">
        <f t="shared" si="721"/>
        <v>0</v>
      </c>
      <c r="FQ136" s="33" t="e">
        <f t="shared" si="721"/>
        <v>#REF!</v>
      </c>
      <c r="FR136" s="33">
        <f t="shared" si="721"/>
        <v>0</v>
      </c>
      <c r="FS136" s="33">
        <f t="shared" si="721"/>
        <v>0</v>
      </c>
      <c r="FT136" s="33" t="e">
        <f t="shared" si="721"/>
        <v>#REF!</v>
      </c>
      <c r="FU136" s="33">
        <f t="shared" si="721"/>
        <v>0</v>
      </c>
      <c r="FV136" s="33">
        <f t="shared" si="721"/>
        <v>0</v>
      </c>
      <c r="FW136" s="33" t="e">
        <f t="shared" si="721"/>
        <v>#REF!</v>
      </c>
      <c r="FX136" s="33">
        <f t="shared" si="721"/>
        <v>0</v>
      </c>
      <c r="FY136" s="33">
        <f t="shared" si="721"/>
        <v>0</v>
      </c>
      <c r="FZ136" s="33" t="e">
        <f t="shared" si="721"/>
        <v>#REF!</v>
      </c>
      <c r="GA136" s="33">
        <f t="shared" si="721"/>
        <v>0</v>
      </c>
      <c r="GB136" s="33">
        <f t="shared" si="721"/>
        <v>0</v>
      </c>
      <c r="GC136" s="33" t="e">
        <f t="shared" si="721"/>
        <v>#REF!</v>
      </c>
      <c r="GD136" s="33">
        <f t="shared" si="721"/>
        <v>0</v>
      </c>
      <c r="GE136" s="33">
        <f t="shared" si="721"/>
        <v>0</v>
      </c>
      <c r="GF136" s="33" t="e">
        <f t="shared" si="721"/>
        <v>#REF!</v>
      </c>
      <c r="GG136" s="33">
        <f t="shared" si="721"/>
        <v>0</v>
      </c>
      <c r="GH136" s="33">
        <f t="shared" si="721"/>
        <v>0</v>
      </c>
      <c r="GI136" s="33" t="e">
        <f t="shared" si="721"/>
        <v>#REF!</v>
      </c>
      <c r="GJ136" s="33">
        <f t="shared" si="721"/>
        <v>0</v>
      </c>
      <c r="GK136" s="33">
        <f t="shared" si="721"/>
        <v>0</v>
      </c>
      <c r="GL136" s="33" t="e">
        <f>+GL56</f>
        <v>#REF!</v>
      </c>
      <c r="GM136" s="33">
        <f t="shared" ref="GM136:HB136" si="722">+GM56</f>
        <v>0</v>
      </c>
      <c r="GN136" s="33">
        <f t="shared" si="722"/>
        <v>0</v>
      </c>
      <c r="GO136" s="33" t="e">
        <f t="shared" si="722"/>
        <v>#REF!</v>
      </c>
      <c r="GP136" s="33">
        <f t="shared" si="722"/>
        <v>0</v>
      </c>
      <c r="GQ136" s="33">
        <f t="shared" si="722"/>
        <v>0</v>
      </c>
      <c r="GR136" s="33" t="e">
        <f t="shared" si="722"/>
        <v>#REF!</v>
      </c>
      <c r="GS136" s="33">
        <f t="shared" si="722"/>
        <v>0</v>
      </c>
      <c r="GT136" s="33">
        <f t="shared" si="722"/>
        <v>0</v>
      </c>
      <c r="GU136" s="33" t="e">
        <f t="shared" si="722"/>
        <v>#REF!</v>
      </c>
      <c r="GV136" s="33">
        <f t="shared" si="722"/>
        <v>0</v>
      </c>
      <c r="GW136" s="33">
        <f t="shared" si="722"/>
        <v>0</v>
      </c>
      <c r="GX136" s="33" t="e">
        <f t="shared" si="722"/>
        <v>#REF!</v>
      </c>
      <c r="GY136" s="33">
        <f t="shared" si="722"/>
        <v>0</v>
      </c>
      <c r="GZ136" s="33">
        <f t="shared" si="722"/>
        <v>0</v>
      </c>
      <c r="HA136" s="33" t="e">
        <f t="shared" si="722"/>
        <v>#REF!</v>
      </c>
      <c r="HB136" s="33">
        <f t="shared" si="722"/>
        <v>0</v>
      </c>
      <c r="HC136" s="33">
        <f>+HC56</f>
        <v>0</v>
      </c>
      <c r="HD136" s="33" t="e">
        <f t="shared" ref="HD136:HN136" si="723">+HD56</f>
        <v>#REF!</v>
      </c>
      <c r="HE136" s="33">
        <f t="shared" si="723"/>
        <v>0</v>
      </c>
      <c r="HF136" s="33">
        <f t="shared" si="723"/>
        <v>0</v>
      </c>
      <c r="HG136" s="33" t="e">
        <f t="shared" si="723"/>
        <v>#REF!</v>
      </c>
      <c r="HH136" s="33">
        <f t="shared" si="723"/>
        <v>0</v>
      </c>
      <c r="HI136" s="33">
        <f t="shared" si="723"/>
        <v>0</v>
      </c>
      <c r="HJ136" s="33" t="e">
        <f t="shared" si="723"/>
        <v>#REF!</v>
      </c>
      <c r="HK136" s="33">
        <f t="shared" si="723"/>
        <v>0</v>
      </c>
      <c r="HL136" s="33">
        <f t="shared" si="723"/>
        <v>0</v>
      </c>
      <c r="HM136" s="33" t="e">
        <f t="shared" si="723"/>
        <v>#REF!</v>
      </c>
      <c r="HN136" s="33">
        <f t="shared" si="723"/>
        <v>0</v>
      </c>
      <c r="HO136" s="33">
        <f>+HO56</f>
        <v>0</v>
      </c>
      <c r="HP136" s="33" t="e">
        <f t="shared" ref="HP136:HW136" si="724">+HP56</f>
        <v>#REF!</v>
      </c>
      <c r="HQ136" s="33">
        <f t="shared" si="724"/>
        <v>0</v>
      </c>
      <c r="HR136" s="33">
        <f t="shared" si="724"/>
        <v>0</v>
      </c>
      <c r="HS136" s="33" t="e">
        <f t="shared" si="724"/>
        <v>#REF!</v>
      </c>
      <c r="HT136" s="33">
        <f t="shared" si="724"/>
        <v>0</v>
      </c>
      <c r="HU136" s="33">
        <f t="shared" si="724"/>
        <v>0</v>
      </c>
      <c r="HV136" s="33" t="e">
        <f t="shared" si="724"/>
        <v>#REF!</v>
      </c>
      <c r="HW136" s="33">
        <f t="shared" si="724"/>
        <v>0</v>
      </c>
      <c r="HX136" s="33">
        <f>+HX56</f>
        <v>0</v>
      </c>
      <c r="HY136" s="33" t="e">
        <f t="shared" ref="HY136:HZ136" si="725">+HY56</f>
        <v>#REF!</v>
      </c>
      <c r="HZ136" s="33">
        <f t="shared" si="725"/>
        <v>0</v>
      </c>
      <c r="IA136" s="33">
        <f>+IA56</f>
        <v>0</v>
      </c>
      <c r="IB136" s="33" t="e">
        <f t="shared" ref="IB136" si="726">+IB56</f>
        <v>#REF!</v>
      </c>
      <c r="IC136" s="33">
        <f>+IC56</f>
        <v>0</v>
      </c>
      <c r="ID136" s="33">
        <f t="shared" ref="ID136" si="727">+ID56</f>
        <v>0</v>
      </c>
      <c r="IE136" s="33" t="e">
        <f>+IE56</f>
        <v>#REF!</v>
      </c>
      <c r="IF136" s="33">
        <f t="shared" ref="IF136:IJ136" si="728">+IF56</f>
        <v>0</v>
      </c>
      <c r="IG136" s="33">
        <f t="shared" si="728"/>
        <v>0</v>
      </c>
      <c r="IH136" s="33" t="e">
        <f t="shared" si="728"/>
        <v>#REF!</v>
      </c>
      <c r="II136" s="33">
        <f t="shared" si="728"/>
        <v>0</v>
      </c>
      <c r="IJ136" s="33">
        <f t="shared" si="728"/>
        <v>0</v>
      </c>
      <c r="IK136" s="33"/>
      <c r="IL136" s="33"/>
      <c r="IM136" s="33"/>
      <c r="IN136" s="33"/>
    </row>
    <row r="137" spans="1:248" x14ac:dyDescent="0.3">
      <c r="A137" t="s">
        <v>777</v>
      </c>
      <c r="E137" s="33">
        <f t="shared" ref="E137:AJ137" si="729">+E57</f>
        <v>0</v>
      </c>
      <c r="F137" s="33">
        <f t="shared" si="729"/>
        <v>0</v>
      </c>
      <c r="G137" s="33">
        <f t="shared" si="729"/>
        <v>0</v>
      </c>
      <c r="H137" s="33">
        <f t="shared" si="729"/>
        <v>0</v>
      </c>
      <c r="I137" s="33">
        <f t="shared" si="729"/>
        <v>0</v>
      </c>
      <c r="J137" s="33">
        <f t="shared" si="729"/>
        <v>0</v>
      </c>
      <c r="K137" s="33">
        <f t="shared" si="729"/>
        <v>0</v>
      </c>
      <c r="L137" s="33">
        <f t="shared" si="729"/>
        <v>0</v>
      </c>
      <c r="M137" s="33">
        <f t="shared" si="729"/>
        <v>0</v>
      </c>
      <c r="N137" s="33">
        <f t="shared" si="729"/>
        <v>0</v>
      </c>
      <c r="O137" s="33">
        <f t="shared" si="729"/>
        <v>0</v>
      </c>
      <c r="P137" s="33">
        <f t="shared" si="729"/>
        <v>0</v>
      </c>
      <c r="Q137" s="33">
        <f t="shared" si="729"/>
        <v>0</v>
      </c>
      <c r="R137" s="33">
        <f t="shared" si="729"/>
        <v>0</v>
      </c>
      <c r="S137" s="33">
        <f t="shared" si="729"/>
        <v>0</v>
      </c>
      <c r="T137" s="33">
        <f t="shared" si="729"/>
        <v>0</v>
      </c>
      <c r="U137" s="33">
        <f t="shared" si="729"/>
        <v>0</v>
      </c>
      <c r="V137" s="33">
        <f t="shared" si="729"/>
        <v>0</v>
      </c>
      <c r="W137" s="33">
        <f t="shared" si="729"/>
        <v>0</v>
      </c>
      <c r="X137" s="33">
        <f t="shared" si="729"/>
        <v>0</v>
      </c>
      <c r="Y137" s="33">
        <f t="shared" si="729"/>
        <v>0</v>
      </c>
      <c r="Z137" s="33">
        <f t="shared" si="729"/>
        <v>0</v>
      </c>
      <c r="AA137" s="33">
        <f t="shared" si="729"/>
        <v>0</v>
      </c>
      <c r="AB137" s="33">
        <f t="shared" si="729"/>
        <v>0</v>
      </c>
      <c r="AC137" s="33">
        <f t="shared" si="729"/>
        <v>0</v>
      </c>
      <c r="AD137" s="33">
        <f t="shared" si="729"/>
        <v>0</v>
      </c>
      <c r="AE137" s="33">
        <f t="shared" si="729"/>
        <v>0</v>
      </c>
      <c r="AF137" s="33">
        <f t="shared" si="729"/>
        <v>0</v>
      </c>
      <c r="AG137" s="33">
        <f t="shared" si="729"/>
        <v>0</v>
      </c>
      <c r="AH137" s="33">
        <f t="shared" si="729"/>
        <v>0</v>
      </c>
      <c r="AI137" s="33">
        <f t="shared" si="729"/>
        <v>0</v>
      </c>
      <c r="AJ137" s="33">
        <f t="shared" si="729"/>
        <v>0</v>
      </c>
      <c r="AK137" s="33">
        <f t="shared" ref="AK137:BP137" si="730">+AK57</f>
        <v>0</v>
      </c>
      <c r="AL137" s="33">
        <f t="shared" si="730"/>
        <v>0</v>
      </c>
      <c r="AM137" s="33">
        <f t="shared" si="730"/>
        <v>0</v>
      </c>
      <c r="AN137" s="33">
        <f t="shared" si="730"/>
        <v>0</v>
      </c>
      <c r="AO137" s="33">
        <f t="shared" si="730"/>
        <v>0</v>
      </c>
      <c r="AP137" s="33">
        <f t="shared" si="730"/>
        <v>0</v>
      </c>
      <c r="AQ137" s="33">
        <f t="shared" si="730"/>
        <v>0</v>
      </c>
      <c r="AR137" s="33">
        <f t="shared" si="730"/>
        <v>0</v>
      </c>
      <c r="AS137" s="33">
        <f t="shared" si="730"/>
        <v>0</v>
      </c>
      <c r="AT137" s="33">
        <f t="shared" si="730"/>
        <v>0</v>
      </c>
      <c r="AU137" s="33">
        <f t="shared" si="730"/>
        <v>0</v>
      </c>
      <c r="AV137" s="33">
        <f t="shared" si="730"/>
        <v>0</v>
      </c>
      <c r="AW137" s="33">
        <f t="shared" si="730"/>
        <v>0</v>
      </c>
      <c r="AX137" s="33">
        <f t="shared" si="730"/>
        <v>0</v>
      </c>
      <c r="AY137" s="33">
        <f t="shared" si="730"/>
        <v>0</v>
      </c>
      <c r="AZ137" s="33">
        <f t="shared" si="730"/>
        <v>0</v>
      </c>
      <c r="BA137" s="33" t="e">
        <f t="shared" si="730"/>
        <v>#REF!</v>
      </c>
      <c r="BB137" s="33" t="e">
        <f t="shared" si="730"/>
        <v>#REF!</v>
      </c>
      <c r="BC137" s="33" t="e">
        <f t="shared" si="730"/>
        <v>#REF!</v>
      </c>
      <c r="BD137" s="33" t="e">
        <f t="shared" si="730"/>
        <v>#REF!</v>
      </c>
      <c r="BE137" s="33" t="e">
        <f t="shared" si="730"/>
        <v>#REF!</v>
      </c>
      <c r="BF137" s="33" t="e">
        <f t="shared" si="730"/>
        <v>#REF!</v>
      </c>
      <c r="BG137" s="33" t="e">
        <f t="shared" si="730"/>
        <v>#REF!</v>
      </c>
      <c r="BH137" s="33" t="e">
        <f t="shared" si="730"/>
        <v>#REF!</v>
      </c>
      <c r="BI137" s="33" t="e">
        <f t="shared" si="730"/>
        <v>#REF!</v>
      </c>
      <c r="BJ137" s="33" t="e">
        <f t="shared" si="730"/>
        <v>#REF!</v>
      </c>
      <c r="BK137" s="33" t="e">
        <f t="shared" si="730"/>
        <v>#REF!</v>
      </c>
      <c r="BL137" s="33" t="e">
        <f t="shared" si="730"/>
        <v>#REF!</v>
      </c>
      <c r="BM137" s="33" t="e">
        <f t="shared" si="730"/>
        <v>#REF!</v>
      </c>
      <c r="BN137" s="33" t="e">
        <f t="shared" si="730"/>
        <v>#REF!</v>
      </c>
      <c r="BO137" s="33" t="e">
        <f t="shared" si="730"/>
        <v>#REF!</v>
      </c>
      <c r="BP137" s="33" t="e">
        <f t="shared" si="730"/>
        <v>#REF!</v>
      </c>
      <c r="BQ137" s="33" t="e">
        <f t="shared" ref="BQ137:CV137" si="731">+BQ57</f>
        <v>#REF!</v>
      </c>
      <c r="BR137" s="33" t="e">
        <f t="shared" si="731"/>
        <v>#REF!</v>
      </c>
      <c r="BS137" s="33" t="e">
        <f t="shared" si="731"/>
        <v>#REF!</v>
      </c>
      <c r="BT137" s="33" t="e">
        <f t="shared" si="731"/>
        <v>#REF!</v>
      </c>
      <c r="BU137" s="33" t="e">
        <f t="shared" si="731"/>
        <v>#REF!</v>
      </c>
      <c r="BV137" s="33" t="e">
        <f t="shared" si="731"/>
        <v>#REF!</v>
      </c>
      <c r="BW137" s="33" t="e">
        <f t="shared" si="731"/>
        <v>#REF!</v>
      </c>
      <c r="BX137" s="33" t="e">
        <f t="shared" si="731"/>
        <v>#REF!</v>
      </c>
      <c r="BY137" s="33" t="e">
        <f t="shared" si="731"/>
        <v>#REF!</v>
      </c>
      <c r="BZ137" s="33" t="e">
        <f t="shared" si="731"/>
        <v>#REF!</v>
      </c>
      <c r="CA137" s="33" t="e">
        <f t="shared" si="731"/>
        <v>#REF!</v>
      </c>
      <c r="CB137" s="33" t="e">
        <f t="shared" si="731"/>
        <v>#REF!</v>
      </c>
      <c r="CC137" s="33" t="e">
        <f t="shared" si="731"/>
        <v>#REF!</v>
      </c>
      <c r="CD137" s="33" t="e">
        <f t="shared" si="731"/>
        <v>#REF!</v>
      </c>
      <c r="CE137" s="33" t="e">
        <f t="shared" si="731"/>
        <v>#REF!</v>
      </c>
      <c r="CF137" s="33" t="e">
        <f t="shared" si="731"/>
        <v>#REF!</v>
      </c>
      <c r="CG137" s="33" t="e">
        <f t="shared" si="731"/>
        <v>#REF!</v>
      </c>
      <c r="CH137" s="33" t="e">
        <f t="shared" si="731"/>
        <v>#REF!</v>
      </c>
      <c r="CI137" s="33" t="e">
        <f t="shared" si="731"/>
        <v>#REF!</v>
      </c>
      <c r="CJ137" s="33" t="e">
        <f t="shared" si="731"/>
        <v>#REF!</v>
      </c>
      <c r="CK137" s="33" t="e">
        <f t="shared" si="731"/>
        <v>#REF!</v>
      </c>
      <c r="CL137" s="33" t="e">
        <f t="shared" si="731"/>
        <v>#REF!</v>
      </c>
      <c r="CM137" s="33" t="e">
        <f t="shared" si="731"/>
        <v>#REF!</v>
      </c>
      <c r="CN137" s="33" t="e">
        <f t="shared" si="731"/>
        <v>#REF!</v>
      </c>
      <c r="CO137" s="33" t="e">
        <f t="shared" si="731"/>
        <v>#REF!</v>
      </c>
      <c r="CP137" s="33" t="e">
        <f t="shared" si="731"/>
        <v>#REF!</v>
      </c>
      <c r="CQ137" s="33" t="e">
        <f t="shared" si="731"/>
        <v>#REF!</v>
      </c>
      <c r="CR137" s="33" t="e">
        <f t="shared" si="731"/>
        <v>#REF!</v>
      </c>
      <c r="CS137" s="33" t="e">
        <f t="shared" si="731"/>
        <v>#REF!</v>
      </c>
      <c r="CT137" s="33" t="e">
        <f t="shared" si="731"/>
        <v>#REF!</v>
      </c>
      <c r="CU137" s="33" t="e">
        <f t="shared" si="731"/>
        <v>#REF!</v>
      </c>
      <c r="CV137" s="33" t="e">
        <f t="shared" si="731"/>
        <v>#REF!</v>
      </c>
      <c r="CW137" s="33" t="e">
        <f t="shared" ref="CW137:DT137" si="732">+CW57</f>
        <v>#REF!</v>
      </c>
      <c r="CX137" s="33" t="e">
        <f t="shared" si="732"/>
        <v>#REF!</v>
      </c>
      <c r="CY137" s="33" t="e">
        <f t="shared" si="732"/>
        <v>#REF!</v>
      </c>
      <c r="CZ137" s="33" t="e">
        <f t="shared" si="732"/>
        <v>#REF!</v>
      </c>
      <c r="DA137" s="33" t="e">
        <f t="shared" si="732"/>
        <v>#REF!</v>
      </c>
      <c r="DB137" s="33" t="e">
        <f t="shared" si="732"/>
        <v>#REF!</v>
      </c>
      <c r="DC137" s="33" t="e">
        <f t="shared" si="732"/>
        <v>#REF!</v>
      </c>
      <c r="DD137" s="33" t="e">
        <f t="shared" si="732"/>
        <v>#REF!</v>
      </c>
      <c r="DE137" s="33" t="e">
        <f t="shared" si="732"/>
        <v>#REF!</v>
      </c>
      <c r="DF137" s="33" t="e">
        <f t="shared" si="732"/>
        <v>#REF!</v>
      </c>
      <c r="DG137" s="33" t="e">
        <f t="shared" si="732"/>
        <v>#REF!</v>
      </c>
      <c r="DH137" s="33" t="e">
        <f t="shared" si="732"/>
        <v>#REF!</v>
      </c>
      <c r="DI137" s="33" t="e">
        <f t="shared" si="732"/>
        <v>#REF!</v>
      </c>
      <c r="DJ137" s="33" t="e">
        <f t="shared" si="732"/>
        <v>#REF!</v>
      </c>
      <c r="DK137" s="33" t="e">
        <f t="shared" si="732"/>
        <v>#REF!</v>
      </c>
      <c r="DL137" s="33" t="e">
        <f t="shared" si="732"/>
        <v>#REF!</v>
      </c>
      <c r="DM137" s="33" t="e">
        <f t="shared" si="732"/>
        <v>#REF!</v>
      </c>
      <c r="DN137" s="33" t="e">
        <f t="shared" si="732"/>
        <v>#REF!</v>
      </c>
      <c r="DO137" s="33" t="e">
        <f t="shared" si="732"/>
        <v>#REF!</v>
      </c>
      <c r="DP137" s="33" t="e">
        <f t="shared" si="732"/>
        <v>#REF!</v>
      </c>
      <c r="DQ137" s="33" t="e">
        <f t="shared" si="732"/>
        <v>#REF!</v>
      </c>
      <c r="DR137" s="33" t="e">
        <f t="shared" si="732"/>
        <v>#REF!</v>
      </c>
      <c r="DS137" s="33" t="e">
        <f t="shared" si="732"/>
        <v>#REF!</v>
      </c>
      <c r="DT137" s="33" t="e">
        <f t="shared" si="732"/>
        <v>#REF!</v>
      </c>
      <c r="DU137" s="33" t="e">
        <f t="shared" ref="DU137:EI137" si="733">+DU57</f>
        <v>#REF!</v>
      </c>
      <c r="DV137" s="33" t="e">
        <f t="shared" si="733"/>
        <v>#REF!</v>
      </c>
      <c r="DW137" s="33" t="e">
        <f t="shared" si="733"/>
        <v>#REF!</v>
      </c>
      <c r="DX137" s="33" t="e">
        <f t="shared" si="733"/>
        <v>#REF!</v>
      </c>
      <c r="DY137" s="33" t="e">
        <f t="shared" si="733"/>
        <v>#REF!</v>
      </c>
      <c r="DZ137" s="33" t="e">
        <f t="shared" si="733"/>
        <v>#REF!</v>
      </c>
      <c r="EA137" s="33" t="e">
        <f t="shared" si="733"/>
        <v>#REF!</v>
      </c>
      <c r="EB137" s="33" t="e">
        <f t="shared" si="733"/>
        <v>#REF!</v>
      </c>
      <c r="EC137" s="33" t="e">
        <f t="shared" si="733"/>
        <v>#REF!</v>
      </c>
      <c r="ED137" s="33" t="e">
        <f t="shared" si="733"/>
        <v>#REF!</v>
      </c>
      <c r="EE137" s="33" t="e">
        <f t="shared" si="733"/>
        <v>#REF!</v>
      </c>
      <c r="EF137" s="33" t="e">
        <f t="shared" si="733"/>
        <v>#REF!</v>
      </c>
      <c r="EG137" s="33" t="e">
        <f t="shared" si="733"/>
        <v>#REF!</v>
      </c>
      <c r="EH137" s="33" t="e">
        <f t="shared" si="733"/>
        <v>#REF!</v>
      </c>
      <c r="EI137" s="33" t="e">
        <f t="shared" si="733"/>
        <v>#REF!</v>
      </c>
      <c r="EJ137" s="33" t="e">
        <f t="shared" ref="EJ137:FH137" si="734">+EJ57</f>
        <v>#REF!</v>
      </c>
      <c r="EK137" s="33" t="e">
        <f t="shared" si="734"/>
        <v>#REF!</v>
      </c>
      <c r="EL137" s="33" t="e">
        <f t="shared" si="734"/>
        <v>#REF!</v>
      </c>
      <c r="EM137" s="33" t="e">
        <f t="shared" si="734"/>
        <v>#REF!</v>
      </c>
      <c r="EN137" s="33" t="e">
        <f t="shared" si="734"/>
        <v>#REF!</v>
      </c>
      <c r="EO137" s="33" t="e">
        <f t="shared" si="734"/>
        <v>#REF!</v>
      </c>
      <c r="EP137" s="33" t="e">
        <f t="shared" si="734"/>
        <v>#REF!</v>
      </c>
      <c r="EQ137" s="33" t="e">
        <f t="shared" si="734"/>
        <v>#REF!</v>
      </c>
      <c r="ER137" s="33" t="e">
        <f t="shared" si="734"/>
        <v>#REF!</v>
      </c>
      <c r="ES137" s="33" t="e">
        <f t="shared" si="734"/>
        <v>#REF!</v>
      </c>
      <c r="ET137" s="33" t="e">
        <f t="shared" si="734"/>
        <v>#REF!</v>
      </c>
      <c r="EU137" s="33" t="e">
        <f t="shared" si="734"/>
        <v>#REF!</v>
      </c>
      <c r="EV137" s="33" t="e">
        <f t="shared" si="734"/>
        <v>#REF!</v>
      </c>
      <c r="EW137" s="33" t="e">
        <f t="shared" si="734"/>
        <v>#REF!</v>
      </c>
      <c r="EX137" s="33" t="e">
        <f t="shared" si="734"/>
        <v>#REF!</v>
      </c>
      <c r="EY137" s="33" t="e">
        <f t="shared" si="734"/>
        <v>#REF!</v>
      </c>
      <c r="EZ137" s="33" t="e">
        <f t="shared" si="734"/>
        <v>#REF!</v>
      </c>
      <c r="FA137" s="33" t="e">
        <f t="shared" si="734"/>
        <v>#REF!</v>
      </c>
      <c r="FB137" s="33" t="e">
        <f t="shared" si="734"/>
        <v>#REF!</v>
      </c>
      <c r="FC137" s="33" t="e">
        <f t="shared" si="734"/>
        <v>#REF!</v>
      </c>
      <c r="FD137" s="33" t="e">
        <f t="shared" si="734"/>
        <v>#REF!</v>
      </c>
      <c r="FE137" s="33" t="e">
        <f t="shared" si="734"/>
        <v>#REF!</v>
      </c>
      <c r="FF137" s="33" t="e">
        <f t="shared" si="734"/>
        <v>#REF!</v>
      </c>
      <c r="FG137" s="33" t="e">
        <f t="shared" si="734"/>
        <v>#REF!</v>
      </c>
      <c r="FH137" s="33" t="e">
        <f t="shared" si="734"/>
        <v>#REF!</v>
      </c>
      <c r="FI137" s="33" t="e">
        <f>+FI57</f>
        <v>#REF!</v>
      </c>
      <c r="FJ137" s="33" t="e">
        <f t="shared" ref="FJ137:GK137" si="735">+FJ57</f>
        <v>#REF!</v>
      </c>
      <c r="FK137" s="33" t="e">
        <f t="shared" si="735"/>
        <v>#REF!</v>
      </c>
      <c r="FL137" s="33" t="e">
        <f t="shared" si="735"/>
        <v>#REF!</v>
      </c>
      <c r="FM137" s="33" t="e">
        <f t="shared" si="735"/>
        <v>#REF!</v>
      </c>
      <c r="FN137" s="33" t="e">
        <f t="shared" si="735"/>
        <v>#REF!</v>
      </c>
      <c r="FO137" s="33" t="e">
        <f t="shared" si="735"/>
        <v>#REF!</v>
      </c>
      <c r="FP137" s="33" t="e">
        <f t="shared" si="735"/>
        <v>#REF!</v>
      </c>
      <c r="FQ137" s="33">
        <f t="shared" si="735"/>
        <v>0</v>
      </c>
      <c r="FR137" s="33">
        <f t="shared" si="735"/>
        <v>0</v>
      </c>
      <c r="FS137" s="33">
        <f t="shared" si="735"/>
        <v>0</v>
      </c>
      <c r="FT137" s="33">
        <f t="shared" si="735"/>
        <v>0</v>
      </c>
      <c r="FU137" s="33">
        <f t="shared" si="735"/>
        <v>0</v>
      </c>
      <c r="FV137" s="33">
        <f t="shared" si="735"/>
        <v>0</v>
      </c>
      <c r="FW137" s="33">
        <f t="shared" si="735"/>
        <v>0</v>
      </c>
      <c r="FX137" s="33">
        <f t="shared" si="735"/>
        <v>0</v>
      </c>
      <c r="FY137" s="33">
        <f t="shared" si="735"/>
        <v>0</v>
      </c>
      <c r="FZ137" s="33">
        <f t="shared" si="735"/>
        <v>0</v>
      </c>
      <c r="GA137" s="33">
        <f t="shared" si="735"/>
        <v>0</v>
      </c>
      <c r="GB137" s="33">
        <f t="shared" si="735"/>
        <v>0</v>
      </c>
      <c r="GC137" s="33">
        <f t="shared" si="735"/>
        <v>0</v>
      </c>
      <c r="GD137" s="33">
        <f t="shared" si="735"/>
        <v>0</v>
      </c>
      <c r="GE137" s="33">
        <f t="shared" si="735"/>
        <v>0</v>
      </c>
      <c r="GF137" s="33">
        <f t="shared" si="735"/>
        <v>0</v>
      </c>
      <c r="GG137" s="33">
        <f t="shared" si="735"/>
        <v>0</v>
      </c>
      <c r="GH137" s="33">
        <f t="shared" si="735"/>
        <v>0</v>
      </c>
      <c r="GI137" s="33">
        <f t="shared" si="735"/>
        <v>0</v>
      </c>
      <c r="GJ137" s="33">
        <f t="shared" si="735"/>
        <v>0</v>
      </c>
      <c r="GK137" s="33">
        <f t="shared" si="735"/>
        <v>0</v>
      </c>
      <c r="GL137" s="33">
        <f>+GL57</f>
        <v>0</v>
      </c>
      <c r="GM137" s="33">
        <f t="shared" ref="GM137:HB137" si="736">+GM57</f>
        <v>0</v>
      </c>
      <c r="GN137" s="33">
        <f t="shared" si="736"/>
        <v>0</v>
      </c>
      <c r="GO137" s="33">
        <f t="shared" si="736"/>
        <v>0</v>
      </c>
      <c r="GP137" s="33">
        <f t="shared" si="736"/>
        <v>0</v>
      </c>
      <c r="GQ137" s="33">
        <f t="shared" si="736"/>
        <v>0</v>
      </c>
      <c r="GR137" s="33">
        <f t="shared" si="736"/>
        <v>0</v>
      </c>
      <c r="GS137" s="33">
        <f t="shared" si="736"/>
        <v>0</v>
      </c>
      <c r="GT137" s="33">
        <f t="shared" si="736"/>
        <v>0</v>
      </c>
      <c r="GU137" s="33">
        <f t="shared" si="736"/>
        <v>0</v>
      </c>
      <c r="GV137" s="33">
        <f t="shared" si="736"/>
        <v>0</v>
      </c>
      <c r="GW137" s="33">
        <f t="shared" si="736"/>
        <v>0</v>
      </c>
      <c r="GX137" s="33">
        <f t="shared" si="736"/>
        <v>0</v>
      </c>
      <c r="GY137" s="33">
        <f t="shared" si="736"/>
        <v>0</v>
      </c>
      <c r="GZ137" s="33">
        <f t="shared" si="736"/>
        <v>0</v>
      </c>
      <c r="HA137" s="33">
        <f t="shared" si="736"/>
        <v>0</v>
      </c>
      <c r="HB137" s="33">
        <f t="shared" si="736"/>
        <v>0</v>
      </c>
      <c r="HC137" s="33">
        <f>+HC57</f>
        <v>0</v>
      </c>
      <c r="HD137" s="33">
        <f t="shared" ref="HD137:HN137" si="737">+HD57</f>
        <v>0</v>
      </c>
      <c r="HE137" s="33">
        <f t="shared" si="737"/>
        <v>0</v>
      </c>
      <c r="HF137" s="33">
        <f t="shared" si="737"/>
        <v>0</v>
      </c>
      <c r="HG137" s="33">
        <f t="shared" si="737"/>
        <v>0</v>
      </c>
      <c r="HH137" s="33">
        <f t="shared" si="737"/>
        <v>0</v>
      </c>
      <c r="HI137" s="33">
        <f t="shared" si="737"/>
        <v>0</v>
      </c>
      <c r="HJ137" s="33">
        <f t="shared" si="737"/>
        <v>0</v>
      </c>
      <c r="HK137" s="33">
        <f t="shared" si="737"/>
        <v>0</v>
      </c>
      <c r="HL137" s="33">
        <f t="shared" si="737"/>
        <v>0</v>
      </c>
      <c r="HM137" s="33">
        <f t="shared" si="737"/>
        <v>0</v>
      </c>
      <c r="HN137" s="33">
        <f t="shared" si="737"/>
        <v>0</v>
      </c>
      <c r="HO137" s="33">
        <f>+HO57</f>
        <v>0</v>
      </c>
      <c r="HP137" s="33">
        <f t="shared" ref="HP137:HW137" si="738">+HP57</f>
        <v>0</v>
      </c>
      <c r="HQ137" s="33">
        <f t="shared" si="738"/>
        <v>0</v>
      </c>
      <c r="HR137" s="33">
        <f t="shared" si="738"/>
        <v>0</v>
      </c>
      <c r="HS137" s="33">
        <f t="shared" si="738"/>
        <v>0</v>
      </c>
      <c r="HT137" s="33">
        <f t="shared" si="738"/>
        <v>0</v>
      </c>
      <c r="HU137" s="33">
        <f t="shared" si="738"/>
        <v>0</v>
      </c>
      <c r="HV137" s="33">
        <f t="shared" si="738"/>
        <v>0</v>
      </c>
      <c r="HW137" s="33">
        <f t="shared" si="738"/>
        <v>0</v>
      </c>
      <c r="HX137" s="33">
        <f>+HX57</f>
        <v>0</v>
      </c>
      <c r="HY137" s="33">
        <f t="shared" ref="HY137:HZ137" si="739">+HY57</f>
        <v>0</v>
      </c>
      <c r="HZ137" s="33">
        <f t="shared" si="739"/>
        <v>0</v>
      </c>
      <c r="IA137" s="33">
        <f>+IA57</f>
        <v>0</v>
      </c>
      <c r="IB137" s="33">
        <f t="shared" ref="IB137" si="740">+IB57</f>
        <v>0</v>
      </c>
      <c r="IC137" s="33">
        <f>+IC57</f>
        <v>0</v>
      </c>
      <c r="ID137" s="33">
        <f t="shared" ref="ID137" si="741">+ID57</f>
        <v>0</v>
      </c>
      <c r="IE137" s="33">
        <f>+IE57</f>
        <v>0</v>
      </c>
      <c r="IF137" s="33">
        <f t="shared" ref="IF137:IJ137" si="742">+IF57</f>
        <v>0</v>
      </c>
      <c r="IG137" s="33">
        <f t="shared" si="742"/>
        <v>0</v>
      </c>
      <c r="IH137" s="33">
        <f t="shared" si="742"/>
        <v>0</v>
      </c>
      <c r="II137" s="33">
        <f t="shared" si="742"/>
        <v>0</v>
      </c>
      <c r="IJ137" s="33">
        <f t="shared" si="742"/>
        <v>0</v>
      </c>
      <c r="IK137" s="33"/>
      <c r="IL137" s="33"/>
      <c r="IM137" s="33"/>
      <c r="IN137" s="33"/>
    </row>
    <row r="138" spans="1:248" x14ac:dyDescent="0.3">
      <c r="A138" t="s">
        <v>644</v>
      </c>
      <c r="E138" s="33" t="e">
        <f t="shared" ref="E138:AJ138" si="743">+E58</f>
        <v>#REF!</v>
      </c>
      <c r="F138" s="33" t="e">
        <f t="shared" si="743"/>
        <v>#REF!</v>
      </c>
      <c r="G138" s="33" t="e">
        <f t="shared" si="743"/>
        <v>#REF!</v>
      </c>
      <c r="H138" s="33" t="e">
        <f t="shared" si="743"/>
        <v>#REF!</v>
      </c>
      <c r="I138" s="33" t="e">
        <f t="shared" si="743"/>
        <v>#REF!</v>
      </c>
      <c r="J138" s="33" t="e">
        <f t="shared" si="743"/>
        <v>#REF!</v>
      </c>
      <c r="K138" s="33" t="e">
        <f t="shared" si="743"/>
        <v>#REF!</v>
      </c>
      <c r="L138" s="33" t="e">
        <f t="shared" si="743"/>
        <v>#REF!</v>
      </c>
      <c r="M138" s="33" t="e">
        <f t="shared" si="743"/>
        <v>#REF!</v>
      </c>
      <c r="N138" s="33" t="e">
        <f t="shared" si="743"/>
        <v>#REF!</v>
      </c>
      <c r="O138" s="33" t="e">
        <f t="shared" si="743"/>
        <v>#REF!</v>
      </c>
      <c r="P138" s="33" t="e">
        <f t="shared" si="743"/>
        <v>#REF!</v>
      </c>
      <c r="Q138" s="33" t="e">
        <f t="shared" si="743"/>
        <v>#REF!</v>
      </c>
      <c r="R138" s="33" t="e">
        <f t="shared" si="743"/>
        <v>#REF!</v>
      </c>
      <c r="S138" s="33" t="e">
        <f t="shared" si="743"/>
        <v>#REF!</v>
      </c>
      <c r="T138" s="33" t="e">
        <f t="shared" si="743"/>
        <v>#REF!</v>
      </c>
      <c r="U138" s="33" t="e">
        <f t="shared" si="743"/>
        <v>#REF!</v>
      </c>
      <c r="V138" s="33" t="e">
        <f t="shared" si="743"/>
        <v>#REF!</v>
      </c>
      <c r="W138" s="33" t="e">
        <f t="shared" si="743"/>
        <v>#REF!</v>
      </c>
      <c r="X138" s="33" t="e">
        <f t="shared" si="743"/>
        <v>#REF!</v>
      </c>
      <c r="Y138" s="33" t="e">
        <f t="shared" si="743"/>
        <v>#REF!</v>
      </c>
      <c r="Z138" s="33" t="e">
        <f t="shared" si="743"/>
        <v>#REF!</v>
      </c>
      <c r="AA138" s="33" t="e">
        <f t="shared" si="743"/>
        <v>#REF!</v>
      </c>
      <c r="AB138" s="33" t="e">
        <f t="shared" si="743"/>
        <v>#REF!</v>
      </c>
      <c r="AC138" s="33" t="e">
        <f t="shared" si="743"/>
        <v>#REF!</v>
      </c>
      <c r="AD138" s="33" t="e">
        <f t="shared" si="743"/>
        <v>#REF!</v>
      </c>
      <c r="AE138" s="33" t="e">
        <f t="shared" si="743"/>
        <v>#REF!</v>
      </c>
      <c r="AF138" s="33" t="e">
        <f t="shared" si="743"/>
        <v>#REF!</v>
      </c>
      <c r="AG138" s="33" t="e">
        <f t="shared" si="743"/>
        <v>#REF!</v>
      </c>
      <c r="AH138" s="33" t="e">
        <f t="shared" si="743"/>
        <v>#REF!</v>
      </c>
      <c r="AI138" s="33" t="e">
        <f t="shared" si="743"/>
        <v>#REF!</v>
      </c>
      <c r="AJ138" s="33" t="e">
        <f t="shared" si="743"/>
        <v>#REF!</v>
      </c>
      <c r="AK138" s="33" t="e">
        <f t="shared" ref="AK138:BP138" si="744">+AK58</f>
        <v>#REF!</v>
      </c>
      <c r="AL138" s="33" t="e">
        <f t="shared" si="744"/>
        <v>#REF!</v>
      </c>
      <c r="AM138" s="33" t="e">
        <f t="shared" si="744"/>
        <v>#REF!</v>
      </c>
      <c r="AN138" s="33" t="e">
        <f t="shared" si="744"/>
        <v>#REF!</v>
      </c>
      <c r="AO138" s="33" t="e">
        <f t="shared" si="744"/>
        <v>#REF!</v>
      </c>
      <c r="AP138" s="33" t="e">
        <f t="shared" si="744"/>
        <v>#REF!</v>
      </c>
      <c r="AQ138" s="33" t="e">
        <f t="shared" si="744"/>
        <v>#REF!</v>
      </c>
      <c r="AR138" s="33" t="e">
        <f t="shared" si="744"/>
        <v>#REF!</v>
      </c>
      <c r="AS138" s="33" t="e">
        <f t="shared" si="744"/>
        <v>#REF!</v>
      </c>
      <c r="AT138" s="33" t="e">
        <f t="shared" si="744"/>
        <v>#REF!</v>
      </c>
      <c r="AU138" s="33" t="e">
        <f t="shared" si="744"/>
        <v>#REF!</v>
      </c>
      <c r="AV138" s="33" t="e">
        <f t="shared" si="744"/>
        <v>#REF!</v>
      </c>
      <c r="AW138" s="33" t="e">
        <f t="shared" si="744"/>
        <v>#REF!</v>
      </c>
      <c r="AX138" s="33" t="e">
        <f t="shared" si="744"/>
        <v>#REF!</v>
      </c>
      <c r="AY138" s="33" t="e">
        <f t="shared" si="744"/>
        <v>#REF!</v>
      </c>
      <c r="AZ138" s="33" t="e">
        <f t="shared" si="744"/>
        <v>#REF!</v>
      </c>
      <c r="BA138" s="33" t="e">
        <f t="shared" si="744"/>
        <v>#REF!</v>
      </c>
      <c r="BB138" s="33" t="e">
        <f t="shared" si="744"/>
        <v>#REF!</v>
      </c>
      <c r="BC138" s="33" t="e">
        <f t="shared" si="744"/>
        <v>#REF!</v>
      </c>
      <c r="BD138" s="33" t="e">
        <f t="shared" si="744"/>
        <v>#REF!</v>
      </c>
      <c r="BE138" s="33" t="e">
        <f t="shared" si="744"/>
        <v>#REF!</v>
      </c>
      <c r="BF138" s="33" t="e">
        <f t="shared" si="744"/>
        <v>#REF!</v>
      </c>
      <c r="BG138" s="33" t="e">
        <f t="shared" si="744"/>
        <v>#REF!</v>
      </c>
      <c r="BH138" s="33" t="e">
        <f t="shared" si="744"/>
        <v>#REF!</v>
      </c>
      <c r="BI138" s="33" t="e">
        <f t="shared" si="744"/>
        <v>#REF!</v>
      </c>
      <c r="BJ138" s="33" t="e">
        <f t="shared" si="744"/>
        <v>#REF!</v>
      </c>
      <c r="BK138" s="33" t="e">
        <f t="shared" si="744"/>
        <v>#REF!</v>
      </c>
      <c r="BL138" s="33" t="e">
        <f t="shared" si="744"/>
        <v>#REF!</v>
      </c>
      <c r="BM138" s="33" t="e">
        <f t="shared" si="744"/>
        <v>#REF!</v>
      </c>
      <c r="BN138" s="33" t="e">
        <f t="shared" si="744"/>
        <v>#REF!</v>
      </c>
      <c r="BO138" s="33" t="e">
        <f t="shared" si="744"/>
        <v>#REF!</v>
      </c>
      <c r="BP138" s="33" t="e">
        <f t="shared" si="744"/>
        <v>#REF!</v>
      </c>
      <c r="BQ138" s="33" t="e">
        <f t="shared" ref="BQ138:CV138" si="745">+BQ58</f>
        <v>#REF!</v>
      </c>
      <c r="BR138" s="33" t="e">
        <f t="shared" si="745"/>
        <v>#REF!</v>
      </c>
      <c r="BS138" s="33" t="e">
        <f t="shared" si="745"/>
        <v>#REF!</v>
      </c>
      <c r="BT138" s="33" t="e">
        <f t="shared" si="745"/>
        <v>#REF!</v>
      </c>
      <c r="BU138" s="33" t="e">
        <f t="shared" si="745"/>
        <v>#REF!</v>
      </c>
      <c r="BV138" s="33" t="e">
        <f t="shared" si="745"/>
        <v>#REF!</v>
      </c>
      <c r="BW138" s="33" t="e">
        <f t="shared" si="745"/>
        <v>#REF!</v>
      </c>
      <c r="BX138" s="33" t="e">
        <f t="shared" si="745"/>
        <v>#REF!</v>
      </c>
      <c r="BY138" s="33" t="e">
        <f t="shared" si="745"/>
        <v>#REF!</v>
      </c>
      <c r="BZ138" s="33" t="e">
        <f t="shared" si="745"/>
        <v>#REF!</v>
      </c>
      <c r="CA138" s="33" t="e">
        <f t="shared" si="745"/>
        <v>#REF!</v>
      </c>
      <c r="CB138" s="33" t="e">
        <f t="shared" si="745"/>
        <v>#REF!</v>
      </c>
      <c r="CC138" s="33" t="e">
        <f t="shared" si="745"/>
        <v>#REF!</v>
      </c>
      <c r="CD138" s="33" t="e">
        <f t="shared" si="745"/>
        <v>#REF!</v>
      </c>
      <c r="CE138" s="33" t="e">
        <f t="shared" si="745"/>
        <v>#REF!</v>
      </c>
      <c r="CF138" s="33" t="e">
        <f t="shared" si="745"/>
        <v>#REF!</v>
      </c>
      <c r="CG138" s="33" t="e">
        <f t="shared" si="745"/>
        <v>#REF!</v>
      </c>
      <c r="CH138" s="33" t="e">
        <f t="shared" si="745"/>
        <v>#REF!</v>
      </c>
      <c r="CI138" s="33" t="e">
        <f t="shared" si="745"/>
        <v>#REF!</v>
      </c>
      <c r="CJ138" s="33" t="e">
        <f t="shared" si="745"/>
        <v>#REF!</v>
      </c>
      <c r="CK138" s="33" t="e">
        <f t="shared" si="745"/>
        <v>#REF!</v>
      </c>
      <c r="CL138" s="33" t="e">
        <f t="shared" si="745"/>
        <v>#REF!</v>
      </c>
      <c r="CM138" s="33" t="e">
        <f t="shared" si="745"/>
        <v>#REF!</v>
      </c>
      <c r="CN138" s="33" t="e">
        <f t="shared" si="745"/>
        <v>#REF!</v>
      </c>
      <c r="CO138" s="33" t="e">
        <f t="shared" si="745"/>
        <v>#REF!</v>
      </c>
      <c r="CP138" s="33" t="e">
        <f t="shared" si="745"/>
        <v>#REF!</v>
      </c>
      <c r="CQ138" s="33" t="e">
        <f t="shared" si="745"/>
        <v>#REF!</v>
      </c>
      <c r="CR138" s="33" t="e">
        <f t="shared" si="745"/>
        <v>#REF!</v>
      </c>
      <c r="CS138" s="33" t="e">
        <f t="shared" si="745"/>
        <v>#REF!</v>
      </c>
      <c r="CT138" s="33" t="e">
        <f t="shared" si="745"/>
        <v>#REF!</v>
      </c>
      <c r="CU138" s="33" t="e">
        <f t="shared" si="745"/>
        <v>#REF!</v>
      </c>
      <c r="CV138" s="33" t="e">
        <f t="shared" si="745"/>
        <v>#REF!</v>
      </c>
      <c r="CW138" s="33" t="e">
        <f t="shared" ref="CW138:DT138" si="746">+CW58</f>
        <v>#REF!</v>
      </c>
      <c r="CX138" s="33" t="e">
        <f t="shared" si="746"/>
        <v>#REF!</v>
      </c>
      <c r="CY138" s="33" t="e">
        <f t="shared" si="746"/>
        <v>#REF!</v>
      </c>
      <c r="CZ138" s="33" t="e">
        <f t="shared" si="746"/>
        <v>#REF!</v>
      </c>
      <c r="DA138" s="33" t="e">
        <f t="shared" si="746"/>
        <v>#REF!</v>
      </c>
      <c r="DB138" s="33" t="e">
        <f t="shared" si="746"/>
        <v>#REF!</v>
      </c>
      <c r="DC138" s="33" t="e">
        <f t="shared" si="746"/>
        <v>#REF!</v>
      </c>
      <c r="DD138" s="33" t="e">
        <f t="shared" si="746"/>
        <v>#REF!</v>
      </c>
      <c r="DE138" s="33" t="e">
        <f t="shared" si="746"/>
        <v>#REF!</v>
      </c>
      <c r="DF138" s="33" t="e">
        <f t="shared" si="746"/>
        <v>#REF!</v>
      </c>
      <c r="DG138" s="33" t="e">
        <f t="shared" si="746"/>
        <v>#REF!</v>
      </c>
      <c r="DH138" s="33" t="e">
        <f t="shared" si="746"/>
        <v>#REF!</v>
      </c>
      <c r="DI138" s="33" t="e">
        <f t="shared" si="746"/>
        <v>#REF!</v>
      </c>
      <c r="DJ138" s="33" t="e">
        <f t="shared" si="746"/>
        <v>#REF!</v>
      </c>
      <c r="DK138" s="33" t="e">
        <f t="shared" si="746"/>
        <v>#REF!</v>
      </c>
      <c r="DL138" s="33" t="e">
        <f t="shared" si="746"/>
        <v>#REF!</v>
      </c>
      <c r="DM138" s="33" t="e">
        <f t="shared" si="746"/>
        <v>#REF!</v>
      </c>
      <c r="DN138" s="33" t="e">
        <f t="shared" si="746"/>
        <v>#REF!</v>
      </c>
      <c r="DO138" s="33" t="e">
        <f t="shared" si="746"/>
        <v>#REF!</v>
      </c>
      <c r="DP138" s="33" t="e">
        <f t="shared" si="746"/>
        <v>#REF!</v>
      </c>
      <c r="DQ138" s="33" t="e">
        <f t="shared" si="746"/>
        <v>#REF!</v>
      </c>
      <c r="DR138" s="33" t="e">
        <f t="shared" si="746"/>
        <v>#REF!</v>
      </c>
      <c r="DS138" s="33" t="e">
        <f t="shared" si="746"/>
        <v>#REF!</v>
      </c>
      <c r="DT138" s="33" t="e">
        <f t="shared" si="746"/>
        <v>#REF!</v>
      </c>
      <c r="DU138" s="33" t="e">
        <f t="shared" ref="DU138:EI138" si="747">+DU58</f>
        <v>#REF!</v>
      </c>
      <c r="DV138" s="33" t="e">
        <f t="shared" si="747"/>
        <v>#REF!</v>
      </c>
      <c r="DW138" s="33" t="e">
        <f t="shared" si="747"/>
        <v>#REF!</v>
      </c>
      <c r="DX138" s="33" t="e">
        <f t="shared" si="747"/>
        <v>#REF!</v>
      </c>
      <c r="DY138" s="33" t="e">
        <f t="shared" si="747"/>
        <v>#REF!</v>
      </c>
      <c r="DZ138" s="33" t="e">
        <f t="shared" si="747"/>
        <v>#REF!</v>
      </c>
      <c r="EA138" s="33" t="e">
        <f t="shared" si="747"/>
        <v>#REF!</v>
      </c>
      <c r="EB138" s="33" t="e">
        <f t="shared" si="747"/>
        <v>#REF!</v>
      </c>
      <c r="EC138" s="33" t="e">
        <f t="shared" si="747"/>
        <v>#REF!</v>
      </c>
      <c r="ED138" s="33" t="e">
        <f t="shared" si="747"/>
        <v>#REF!</v>
      </c>
      <c r="EE138" s="33" t="e">
        <f t="shared" si="747"/>
        <v>#REF!</v>
      </c>
      <c r="EF138" s="33" t="e">
        <f t="shared" si="747"/>
        <v>#REF!</v>
      </c>
      <c r="EG138" s="33" t="e">
        <f t="shared" si="747"/>
        <v>#REF!</v>
      </c>
      <c r="EH138" s="33" t="e">
        <f t="shared" si="747"/>
        <v>#REF!</v>
      </c>
      <c r="EI138" s="33" t="e">
        <f t="shared" si="747"/>
        <v>#REF!</v>
      </c>
      <c r="EJ138" s="33" t="e">
        <f t="shared" ref="EJ138:FH138" si="748">+EJ58</f>
        <v>#REF!</v>
      </c>
      <c r="EK138" s="33" t="e">
        <f t="shared" si="748"/>
        <v>#REF!</v>
      </c>
      <c r="EL138" s="33" t="e">
        <f t="shared" si="748"/>
        <v>#REF!</v>
      </c>
      <c r="EM138" s="33" t="e">
        <f t="shared" si="748"/>
        <v>#REF!</v>
      </c>
      <c r="EN138" s="33" t="e">
        <f t="shared" si="748"/>
        <v>#REF!</v>
      </c>
      <c r="EO138" s="33" t="e">
        <f t="shared" si="748"/>
        <v>#REF!</v>
      </c>
      <c r="EP138" s="33" t="e">
        <f t="shared" si="748"/>
        <v>#REF!</v>
      </c>
      <c r="EQ138" s="33" t="e">
        <f t="shared" si="748"/>
        <v>#REF!</v>
      </c>
      <c r="ER138" s="33" t="e">
        <f t="shared" si="748"/>
        <v>#REF!</v>
      </c>
      <c r="ES138" s="33" t="e">
        <f t="shared" si="748"/>
        <v>#REF!</v>
      </c>
      <c r="ET138" s="33" t="e">
        <f t="shared" si="748"/>
        <v>#REF!</v>
      </c>
      <c r="EU138" s="33" t="e">
        <f t="shared" si="748"/>
        <v>#REF!</v>
      </c>
      <c r="EV138" s="33" t="e">
        <f t="shared" si="748"/>
        <v>#REF!</v>
      </c>
      <c r="EW138" s="33" t="e">
        <f t="shared" si="748"/>
        <v>#REF!</v>
      </c>
      <c r="EX138" s="33" t="e">
        <f t="shared" si="748"/>
        <v>#REF!</v>
      </c>
      <c r="EY138" s="33" t="e">
        <f t="shared" si="748"/>
        <v>#REF!</v>
      </c>
      <c r="EZ138" s="33" t="e">
        <f t="shared" si="748"/>
        <v>#REF!</v>
      </c>
      <c r="FA138" s="33" t="e">
        <f t="shared" si="748"/>
        <v>#REF!</v>
      </c>
      <c r="FB138" s="33" t="e">
        <f t="shared" si="748"/>
        <v>#REF!</v>
      </c>
      <c r="FC138" s="33" t="e">
        <f t="shared" si="748"/>
        <v>#REF!</v>
      </c>
      <c r="FD138" s="33" t="e">
        <f t="shared" si="748"/>
        <v>#REF!</v>
      </c>
      <c r="FE138" s="33" t="e">
        <f t="shared" si="748"/>
        <v>#REF!</v>
      </c>
      <c r="FF138" s="33" t="e">
        <f t="shared" si="748"/>
        <v>#REF!</v>
      </c>
      <c r="FG138" s="33" t="e">
        <f t="shared" si="748"/>
        <v>#REF!</v>
      </c>
      <c r="FH138" s="33" t="e">
        <f t="shared" si="748"/>
        <v>#REF!</v>
      </c>
      <c r="FI138" s="33" t="e">
        <f>+FI58</f>
        <v>#REF!</v>
      </c>
      <c r="FJ138" s="33" t="e">
        <f t="shared" ref="FJ138:GK138" si="749">+FJ58</f>
        <v>#REF!</v>
      </c>
      <c r="FK138" s="33" t="e">
        <f t="shared" si="749"/>
        <v>#REF!</v>
      </c>
      <c r="FL138" s="33" t="e">
        <f t="shared" si="749"/>
        <v>#REF!</v>
      </c>
      <c r="FM138" s="33" t="e">
        <f t="shared" si="749"/>
        <v>#REF!</v>
      </c>
      <c r="FN138" s="33" t="e">
        <f t="shared" si="749"/>
        <v>#REF!</v>
      </c>
      <c r="FO138" s="33" t="e">
        <f t="shared" si="749"/>
        <v>#REF!</v>
      </c>
      <c r="FP138" s="33" t="e">
        <f t="shared" si="749"/>
        <v>#REF!</v>
      </c>
      <c r="FQ138" s="33" t="e">
        <f t="shared" si="749"/>
        <v>#REF!</v>
      </c>
      <c r="FR138" s="33" t="e">
        <f t="shared" si="749"/>
        <v>#REF!</v>
      </c>
      <c r="FS138" s="33" t="e">
        <f t="shared" si="749"/>
        <v>#REF!</v>
      </c>
      <c r="FT138" s="33" t="e">
        <f t="shared" si="749"/>
        <v>#REF!</v>
      </c>
      <c r="FU138" s="33" t="e">
        <f t="shared" si="749"/>
        <v>#REF!</v>
      </c>
      <c r="FV138" s="33" t="e">
        <f t="shared" si="749"/>
        <v>#REF!</v>
      </c>
      <c r="FW138" s="33" t="e">
        <f t="shared" si="749"/>
        <v>#REF!</v>
      </c>
      <c r="FX138" s="33" t="e">
        <f t="shared" si="749"/>
        <v>#REF!</v>
      </c>
      <c r="FY138" s="33" t="e">
        <f t="shared" si="749"/>
        <v>#REF!</v>
      </c>
      <c r="FZ138" s="33" t="e">
        <f t="shared" si="749"/>
        <v>#REF!</v>
      </c>
      <c r="GA138" s="33" t="e">
        <f t="shared" si="749"/>
        <v>#REF!</v>
      </c>
      <c r="GB138" s="33" t="e">
        <f t="shared" si="749"/>
        <v>#REF!</v>
      </c>
      <c r="GC138" s="33" t="e">
        <f t="shared" si="749"/>
        <v>#REF!</v>
      </c>
      <c r="GD138" s="33" t="e">
        <f t="shared" si="749"/>
        <v>#REF!</v>
      </c>
      <c r="GE138" s="33" t="e">
        <f t="shared" si="749"/>
        <v>#REF!</v>
      </c>
      <c r="GF138" s="33" t="e">
        <f t="shared" si="749"/>
        <v>#REF!</v>
      </c>
      <c r="GG138" s="33" t="e">
        <f t="shared" si="749"/>
        <v>#REF!</v>
      </c>
      <c r="GH138" s="33" t="e">
        <f t="shared" si="749"/>
        <v>#REF!</v>
      </c>
      <c r="GI138" s="33" t="e">
        <f t="shared" si="749"/>
        <v>#REF!</v>
      </c>
      <c r="GJ138" s="33" t="e">
        <f t="shared" si="749"/>
        <v>#REF!</v>
      </c>
      <c r="GK138" s="33" t="e">
        <f t="shared" si="749"/>
        <v>#REF!</v>
      </c>
      <c r="GL138" s="33" t="e">
        <f>+GL58</f>
        <v>#REF!</v>
      </c>
      <c r="GM138" s="33" t="e">
        <f t="shared" ref="GM138:HB138" si="750">+GM58</f>
        <v>#REF!</v>
      </c>
      <c r="GN138" s="33" t="e">
        <f t="shared" si="750"/>
        <v>#REF!</v>
      </c>
      <c r="GO138" s="33" t="e">
        <f t="shared" si="750"/>
        <v>#REF!</v>
      </c>
      <c r="GP138" s="33" t="e">
        <f t="shared" si="750"/>
        <v>#REF!</v>
      </c>
      <c r="GQ138" s="33" t="e">
        <f t="shared" si="750"/>
        <v>#REF!</v>
      </c>
      <c r="GR138" s="33" t="e">
        <f t="shared" si="750"/>
        <v>#REF!</v>
      </c>
      <c r="GS138" s="33" t="e">
        <f t="shared" si="750"/>
        <v>#REF!</v>
      </c>
      <c r="GT138" s="33" t="e">
        <f t="shared" si="750"/>
        <v>#REF!</v>
      </c>
      <c r="GU138" s="33" t="e">
        <f t="shared" si="750"/>
        <v>#REF!</v>
      </c>
      <c r="GV138" s="33" t="e">
        <f t="shared" si="750"/>
        <v>#REF!</v>
      </c>
      <c r="GW138" s="33" t="e">
        <f t="shared" si="750"/>
        <v>#REF!</v>
      </c>
      <c r="GX138" s="33" t="e">
        <f t="shared" si="750"/>
        <v>#REF!</v>
      </c>
      <c r="GY138" s="33" t="e">
        <f t="shared" si="750"/>
        <v>#REF!</v>
      </c>
      <c r="GZ138" s="33" t="e">
        <f t="shared" si="750"/>
        <v>#REF!</v>
      </c>
      <c r="HA138" s="33" t="e">
        <f t="shared" si="750"/>
        <v>#REF!</v>
      </c>
      <c r="HB138" s="33" t="e">
        <f t="shared" si="750"/>
        <v>#REF!</v>
      </c>
      <c r="HC138" s="33" t="e">
        <f>+HC58</f>
        <v>#REF!</v>
      </c>
      <c r="HD138" s="33" t="e">
        <f t="shared" ref="HD138:HN138" si="751">+HD58</f>
        <v>#REF!</v>
      </c>
      <c r="HE138" s="33" t="e">
        <f t="shared" si="751"/>
        <v>#REF!</v>
      </c>
      <c r="HF138" s="33" t="e">
        <f t="shared" si="751"/>
        <v>#REF!</v>
      </c>
      <c r="HG138" s="33" t="e">
        <f t="shared" si="751"/>
        <v>#REF!</v>
      </c>
      <c r="HH138" s="33" t="e">
        <f t="shared" si="751"/>
        <v>#REF!</v>
      </c>
      <c r="HI138" s="33" t="e">
        <f t="shared" si="751"/>
        <v>#REF!</v>
      </c>
      <c r="HJ138" s="33" t="e">
        <f t="shared" si="751"/>
        <v>#REF!</v>
      </c>
      <c r="HK138" s="33" t="e">
        <f t="shared" si="751"/>
        <v>#REF!</v>
      </c>
      <c r="HL138" s="33" t="e">
        <f t="shared" si="751"/>
        <v>#REF!</v>
      </c>
      <c r="HM138" s="33" t="e">
        <f t="shared" si="751"/>
        <v>#REF!</v>
      </c>
      <c r="HN138" s="33" t="e">
        <f t="shared" si="751"/>
        <v>#REF!</v>
      </c>
      <c r="HO138" s="33" t="e">
        <f>+HO58</f>
        <v>#REF!</v>
      </c>
      <c r="HP138" s="33" t="e">
        <f t="shared" ref="HP138:HW138" si="752">+HP58</f>
        <v>#REF!</v>
      </c>
      <c r="HQ138" s="33" t="e">
        <f t="shared" si="752"/>
        <v>#REF!</v>
      </c>
      <c r="HR138" s="33" t="e">
        <f t="shared" si="752"/>
        <v>#REF!</v>
      </c>
      <c r="HS138" s="33" t="e">
        <f t="shared" si="752"/>
        <v>#REF!</v>
      </c>
      <c r="HT138" s="33" t="e">
        <f t="shared" si="752"/>
        <v>#REF!</v>
      </c>
      <c r="HU138" s="33" t="e">
        <f t="shared" si="752"/>
        <v>#REF!</v>
      </c>
      <c r="HV138" s="33" t="e">
        <f t="shared" si="752"/>
        <v>#REF!</v>
      </c>
      <c r="HW138" s="33" t="e">
        <f t="shared" si="752"/>
        <v>#REF!</v>
      </c>
      <c r="HX138" s="33" t="e">
        <f>+HX58</f>
        <v>#REF!</v>
      </c>
      <c r="HY138" s="33" t="e">
        <f t="shared" ref="HY138:HZ138" si="753">+HY58</f>
        <v>#REF!</v>
      </c>
      <c r="HZ138" s="33" t="e">
        <f t="shared" si="753"/>
        <v>#REF!</v>
      </c>
      <c r="IA138" s="33" t="e">
        <f>+IA58</f>
        <v>#REF!</v>
      </c>
      <c r="IB138" s="33" t="e">
        <f t="shared" ref="IB138" si="754">+IB58</f>
        <v>#REF!</v>
      </c>
      <c r="IC138" s="33" t="e">
        <f>+IC58</f>
        <v>#REF!</v>
      </c>
      <c r="ID138" s="33" t="e">
        <f t="shared" ref="ID138" si="755">+ID58</f>
        <v>#REF!</v>
      </c>
      <c r="IE138" s="33" t="e">
        <f>+IE58</f>
        <v>#REF!</v>
      </c>
      <c r="IF138" s="33" t="e">
        <f t="shared" ref="IF138:IJ138" si="756">+IF58</f>
        <v>#REF!</v>
      </c>
      <c r="IG138" s="33" t="e">
        <f t="shared" si="756"/>
        <v>#REF!</v>
      </c>
      <c r="IH138" s="33" t="e">
        <f t="shared" si="756"/>
        <v>#REF!</v>
      </c>
      <c r="II138" s="33" t="e">
        <f t="shared" si="756"/>
        <v>#REF!</v>
      </c>
      <c r="IJ138" s="33" t="e">
        <f t="shared" si="756"/>
        <v>#REF!</v>
      </c>
      <c r="IK138" s="33"/>
      <c r="IL138" s="33"/>
      <c r="IM138" s="33"/>
      <c r="IN138" s="33"/>
    </row>
    <row r="139" spans="1:248" x14ac:dyDescent="0.3">
      <c r="A139" t="s">
        <v>11</v>
      </c>
      <c r="E139" s="41" t="e">
        <f>+SUM(E135:E138)</f>
        <v>#REF!</v>
      </c>
      <c r="F139" s="41" t="e">
        <f t="shared" ref="F139:BQ139" si="757">+SUM(F135:F138)</f>
        <v>#REF!</v>
      </c>
      <c r="G139" s="41" t="e">
        <f t="shared" si="757"/>
        <v>#REF!</v>
      </c>
      <c r="H139" s="41" t="e">
        <f t="shared" si="757"/>
        <v>#REF!</v>
      </c>
      <c r="I139" s="41" t="e">
        <f t="shared" si="757"/>
        <v>#REF!</v>
      </c>
      <c r="J139" s="41" t="e">
        <f t="shared" si="757"/>
        <v>#REF!</v>
      </c>
      <c r="K139" s="41" t="e">
        <f t="shared" si="757"/>
        <v>#REF!</v>
      </c>
      <c r="L139" s="41" t="e">
        <f t="shared" si="757"/>
        <v>#REF!</v>
      </c>
      <c r="M139" s="41" t="e">
        <f t="shared" si="757"/>
        <v>#REF!</v>
      </c>
      <c r="N139" s="41" t="e">
        <f t="shared" si="757"/>
        <v>#REF!</v>
      </c>
      <c r="O139" s="41" t="e">
        <f t="shared" si="757"/>
        <v>#REF!</v>
      </c>
      <c r="P139" s="41" t="e">
        <f t="shared" si="757"/>
        <v>#REF!</v>
      </c>
      <c r="Q139" s="41" t="e">
        <f t="shared" si="757"/>
        <v>#REF!</v>
      </c>
      <c r="R139" s="41" t="e">
        <f t="shared" si="757"/>
        <v>#REF!</v>
      </c>
      <c r="S139" s="41" t="e">
        <f t="shared" si="757"/>
        <v>#REF!</v>
      </c>
      <c r="T139" s="41" t="e">
        <f t="shared" si="757"/>
        <v>#REF!</v>
      </c>
      <c r="U139" s="41" t="e">
        <f t="shared" si="757"/>
        <v>#REF!</v>
      </c>
      <c r="V139" s="41" t="e">
        <f t="shared" si="757"/>
        <v>#REF!</v>
      </c>
      <c r="W139" s="41" t="e">
        <f t="shared" si="757"/>
        <v>#REF!</v>
      </c>
      <c r="X139" s="41" t="e">
        <f t="shared" si="757"/>
        <v>#REF!</v>
      </c>
      <c r="Y139" s="41" t="e">
        <f t="shared" si="757"/>
        <v>#REF!</v>
      </c>
      <c r="Z139" s="41" t="e">
        <f t="shared" si="757"/>
        <v>#REF!</v>
      </c>
      <c r="AA139" s="41" t="e">
        <f t="shared" si="757"/>
        <v>#REF!</v>
      </c>
      <c r="AB139" s="41" t="e">
        <f t="shared" si="757"/>
        <v>#REF!</v>
      </c>
      <c r="AC139" s="41" t="e">
        <f t="shared" si="757"/>
        <v>#REF!</v>
      </c>
      <c r="AD139" s="41" t="e">
        <f t="shared" si="757"/>
        <v>#REF!</v>
      </c>
      <c r="AE139" s="41" t="e">
        <f t="shared" si="757"/>
        <v>#REF!</v>
      </c>
      <c r="AF139" s="41" t="e">
        <f t="shared" si="757"/>
        <v>#REF!</v>
      </c>
      <c r="AG139" s="41" t="e">
        <f t="shared" si="757"/>
        <v>#REF!</v>
      </c>
      <c r="AH139" s="41" t="e">
        <f t="shared" si="757"/>
        <v>#REF!</v>
      </c>
      <c r="AI139" s="41" t="e">
        <f t="shared" si="757"/>
        <v>#REF!</v>
      </c>
      <c r="AJ139" s="41" t="e">
        <f t="shared" si="757"/>
        <v>#REF!</v>
      </c>
      <c r="AK139" s="41" t="e">
        <f t="shared" si="757"/>
        <v>#REF!</v>
      </c>
      <c r="AL139" s="41" t="e">
        <f t="shared" si="757"/>
        <v>#REF!</v>
      </c>
      <c r="AM139" s="41" t="e">
        <f t="shared" si="757"/>
        <v>#REF!</v>
      </c>
      <c r="AN139" s="41" t="e">
        <f t="shared" si="757"/>
        <v>#REF!</v>
      </c>
      <c r="AO139" s="41" t="e">
        <f t="shared" si="757"/>
        <v>#REF!</v>
      </c>
      <c r="AP139" s="41" t="e">
        <f t="shared" si="757"/>
        <v>#REF!</v>
      </c>
      <c r="AQ139" s="41" t="e">
        <f t="shared" si="757"/>
        <v>#REF!</v>
      </c>
      <c r="AR139" s="41" t="e">
        <f t="shared" si="757"/>
        <v>#REF!</v>
      </c>
      <c r="AS139" s="41" t="e">
        <f t="shared" si="757"/>
        <v>#REF!</v>
      </c>
      <c r="AT139" s="41" t="e">
        <f t="shared" si="757"/>
        <v>#REF!</v>
      </c>
      <c r="AU139" s="41" t="e">
        <f t="shared" si="757"/>
        <v>#REF!</v>
      </c>
      <c r="AV139" s="41" t="e">
        <f t="shared" si="757"/>
        <v>#REF!</v>
      </c>
      <c r="AW139" s="41" t="e">
        <f t="shared" si="757"/>
        <v>#REF!</v>
      </c>
      <c r="AX139" s="41" t="e">
        <f t="shared" si="757"/>
        <v>#REF!</v>
      </c>
      <c r="AY139" s="41" t="e">
        <f t="shared" si="757"/>
        <v>#REF!</v>
      </c>
      <c r="AZ139" s="41" t="e">
        <f t="shared" si="757"/>
        <v>#REF!</v>
      </c>
      <c r="BA139" s="41" t="e">
        <f t="shared" si="757"/>
        <v>#REF!</v>
      </c>
      <c r="BB139" s="41" t="e">
        <f t="shared" si="757"/>
        <v>#REF!</v>
      </c>
      <c r="BC139" s="41" t="e">
        <f t="shared" si="757"/>
        <v>#REF!</v>
      </c>
      <c r="BD139" s="41" t="e">
        <f t="shared" si="757"/>
        <v>#REF!</v>
      </c>
      <c r="BE139" s="41" t="e">
        <f t="shared" si="757"/>
        <v>#REF!</v>
      </c>
      <c r="BF139" s="41" t="e">
        <f t="shared" si="757"/>
        <v>#REF!</v>
      </c>
      <c r="BG139" s="41" t="e">
        <f t="shared" si="757"/>
        <v>#REF!</v>
      </c>
      <c r="BH139" s="41" t="e">
        <f t="shared" si="757"/>
        <v>#REF!</v>
      </c>
      <c r="BI139" s="41" t="e">
        <f t="shared" si="757"/>
        <v>#REF!</v>
      </c>
      <c r="BJ139" s="41" t="e">
        <f t="shared" si="757"/>
        <v>#REF!</v>
      </c>
      <c r="BK139" s="41" t="e">
        <f t="shared" si="757"/>
        <v>#REF!</v>
      </c>
      <c r="BL139" s="41" t="e">
        <f t="shared" si="757"/>
        <v>#REF!</v>
      </c>
      <c r="BM139" s="41" t="e">
        <f t="shared" si="757"/>
        <v>#REF!</v>
      </c>
      <c r="BN139" s="41" t="e">
        <f t="shared" si="757"/>
        <v>#REF!</v>
      </c>
      <c r="BO139" s="41" t="e">
        <f t="shared" si="757"/>
        <v>#REF!</v>
      </c>
      <c r="BP139" s="41" t="e">
        <f t="shared" si="757"/>
        <v>#REF!</v>
      </c>
      <c r="BQ139" s="41" t="e">
        <f t="shared" si="757"/>
        <v>#REF!</v>
      </c>
      <c r="BR139" s="41" t="e">
        <f t="shared" ref="BR139:DT139" si="758">+SUM(BR135:BR138)</f>
        <v>#REF!</v>
      </c>
      <c r="BS139" s="41" t="e">
        <f t="shared" si="758"/>
        <v>#REF!</v>
      </c>
      <c r="BT139" s="41" t="e">
        <f t="shared" si="758"/>
        <v>#REF!</v>
      </c>
      <c r="BU139" s="41" t="e">
        <f t="shared" si="758"/>
        <v>#REF!</v>
      </c>
      <c r="BV139" s="41" t="e">
        <f t="shared" si="758"/>
        <v>#REF!</v>
      </c>
      <c r="BW139" s="41" t="e">
        <f t="shared" si="758"/>
        <v>#REF!</v>
      </c>
      <c r="BX139" s="41" t="e">
        <f t="shared" si="758"/>
        <v>#REF!</v>
      </c>
      <c r="BY139" s="41" t="e">
        <f t="shared" si="758"/>
        <v>#REF!</v>
      </c>
      <c r="BZ139" s="41" t="e">
        <f t="shared" si="758"/>
        <v>#REF!</v>
      </c>
      <c r="CA139" s="41" t="e">
        <f t="shared" si="758"/>
        <v>#REF!</v>
      </c>
      <c r="CB139" s="41" t="e">
        <f t="shared" si="758"/>
        <v>#REF!</v>
      </c>
      <c r="CC139" s="41" t="e">
        <f t="shared" si="758"/>
        <v>#REF!</v>
      </c>
      <c r="CD139" s="41" t="e">
        <f t="shared" si="758"/>
        <v>#REF!</v>
      </c>
      <c r="CE139" s="41" t="e">
        <f t="shared" si="758"/>
        <v>#REF!</v>
      </c>
      <c r="CF139" s="41" t="e">
        <f t="shared" si="758"/>
        <v>#REF!</v>
      </c>
      <c r="CG139" s="41" t="e">
        <f t="shared" si="758"/>
        <v>#REF!</v>
      </c>
      <c r="CH139" s="41" t="e">
        <f t="shared" si="758"/>
        <v>#REF!</v>
      </c>
      <c r="CI139" s="41" t="e">
        <f t="shared" si="758"/>
        <v>#REF!</v>
      </c>
      <c r="CJ139" s="41" t="e">
        <f t="shared" si="758"/>
        <v>#REF!</v>
      </c>
      <c r="CK139" s="41" t="e">
        <f t="shared" si="758"/>
        <v>#REF!</v>
      </c>
      <c r="CL139" s="41" t="e">
        <f t="shared" si="758"/>
        <v>#REF!</v>
      </c>
      <c r="CM139" s="41" t="e">
        <f t="shared" si="758"/>
        <v>#REF!</v>
      </c>
      <c r="CN139" s="41" t="e">
        <f t="shared" si="758"/>
        <v>#REF!</v>
      </c>
      <c r="CO139" s="41" t="e">
        <f t="shared" si="758"/>
        <v>#REF!</v>
      </c>
      <c r="CP139" s="41" t="e">
        <f t="shared" si="758"/>
        <v>#REF!</v>
      </c>
      <c r="CQ139" s="41" t="e">
        <f t="shared" si="758"/>
        <v>#REF!</v>
      </c>
      <c r="CR139" s="41" t="e">
        <f t="shared" si="758"/>
        <v>#REF!</v>
      </c>
      <c r="CS139" s="41" t="e">
        <f t="shared" si="758"/>
        <v>#REF!</v>
      </c>
      <c r="CT139" s="41" t="e">
        <f t="shared" si="758"/>
        <v>#REF!</v>
      </c>
      <c r="CU139" s="41" t="e">
        <f t="shared" si="758"/>
        <v>#REF!</v>
      </c>
      <c r="CV139" s="41" t="e">
        <f t="shared" si="758"/>
        <v>#REF!</v>
      </c>
      <c r="CW139" s="41" t="e">
        <f t="shared" si="758"/>
        <v>#REF!</v>
      </c>
      <c r="CX139" s="41" t="e">
        <f t="shared" si="758"/>
        <v>#REF!</v>
      </c>
      <c r="CY139" s="41" t="e">
        <f t="shared" si="758"/>
        <v>#REF!</v>
      </c>
      <c r="CZ139" s="41" t="e">
        <f t="shared" si="758"/>
        <v>#REF!</v>
      </c>
      <c r="DA139" s="41" t="e">
        <f t="shared" si="758"/>
        <v>#REF!</v>
      </c>
      <c r="DB139" s="41" t="e">
        <f t="shared" si="758"/>
        <v>#REF!</v>
      </c>
      <c r="DC139" s="41" t="e">
        <f t="shared" si="758"/>
        <v>#REF!</v>
      </c>
      <c r="DD139" s="41" t="e">
        <f t="shared" si="758"/>
        <v>#REF!</v>
      </c>
      <c r="DE139" s="41" t="e">
        <f t="shared" si="758"/>
        <v>#REF!</v>
      </c>
      <c r="DF139" s="41" t="e">
        <f t="shared" si="758"/>
        <v>#REF!</v>
      </c>
      <c r="DG139" s="41" t="e">
        <f t="shared" si="758"/>
        <v>#REF!</v>
      </c>
      <c r="DH139" s="41" t="e">
        <f t="shared" si="758"/>
        <v>#REF!</v>
      </c>
      <c r="DI139" s="41" t="e">
        <f t="shared" si="758"/>
        <v>#REF!</v>
      </c>
      <c r="DJ139" s="41" t="e">
        <f t="shared" si="758"/>
        <v>#REF!</v>
      </c>
      <c r="DK139" s="41" t="e">
        <f t="shared" si="758"/>
        <v>#REF!</v>
      </c>
      <c r="DL139" s="41" t="e">
        <f t="shared" si="758"/>
        <v>#REF!</v>
      </c>
      <c r="DM139" s="41" t="e">
        <f t="shared" si="758"/>
        <v>#REF!</v>
      </c>
      <c r="DN139" s="41" t="e">
        <f t="shared" si="758"/>
        <v>#REF!</v>
      </c>
      <c r="DO139" s="41" t="e">
        <f t="shared" si="758"/>
        <v>#REF!</v>
      </c>
      <c r="DP139" s="41" t="e">
        <f t="shared" si="758"/>
        <v>#REF!</v>
      </c>
      <c r="DQ139" s="41" t="e">
        <f t="shared" si="758"/>
        <v>#REF!</v>
      </c>
      <c r="DR139" s="41" t="e">
        <f t="shared" si="758"/>
        <v>#REF!</v>
      </c>
      <c r="DS139" s="41" t="e">
        <f t="shared" si="758"/>
        <v>#REF!</v>
      </c>
      <c r="DT139" s="41" t="e">
        <f t="shared" si="758"/>
        <v>#REF!</v>
      </c>
      <c r="DU139" s="41" t="e">
        <f t="shared" ref="DU139:EI139" si="759">+SUM(DU135:DU138)</f>
        <v>#REF!</v>
      </c>
      <c r="DV139" s="41" t="e">
        <f t="shared" si="759"/>
        <v>#REF!</v>
      </c>
      <c r="DW139" s="41" t="e">
        <f t="shared" si="759"/>
        <v>#REF!</v>
      </c>
      <c r="DX139" s="41" t="e">
        <f t="shared" si="759"/>
        <v>#REF!</v>
      </c>
      <c r="DY139" s="41" t="e">
        <f t="shared" si="759"/>
        <v>#REF!</v>
      </c>
      <c r="DZ139" s="41" t="e">
        <f t="shared" si="759"/>
        <v>#REF!</v>
      </c>
      <c r="EA139" s="41" t="e">
        <f t="shared" si="759"/>
        <v>#REF!</v>
      </c>
      <c r="EB139" s="41" t="e">
        <f t="shared" si="759"/>
        <v>#REF!</v>
      </c>
      <c r="EC139" s="41" t="e">
        <f t="shared" si="759"/>
        <v>#REF!</v>
      </c>
      <c r="ED139" s="41" t="e">
        <f t="shared" si="759"/>
        <v>#REF!</v>
      </c>
      <c r="EE139" s="41" t="e">
        <f t="shared" si="759"/>
        <v>#REF!</v>
      </c>
      <c r="EF139" s="41" t="e">
        <f t="shared" si="759"/>
        <v>#REF!</v>
      </c>
      <c r="EG139" s="41" t="e">
        <f t="shared" si="759"/>
        <v>#REF!</v>
      </c>
      <c r="EH139" s="41" t="e">
        <f t="shared" si="759"/>
        <v>#REF!</v>
      </c>
      <c r="EI139" s="41" t="e">
        <f t="shared" si="759"/>
        <v>#REF!</v>
      </c>
      <c r="EJ139" s="41" t="e">
        <f t="shared" ref="EJ139:FX139" si="760">+SUM(EJ135:EJ138)</f>
        <v>#REF!</v>
      </c>
      <c r="EK139" s="41" t="e">
        <f t="shared" si="760"/>
        <v>#REF!</v>
      </c>
      <c r="EL139" s="41" t="e">
        <f t="shared" si="760"/>
        <v>#REF!</v>
      </c>
      <c r="EM139" s="41" t="e">
        <f t="shared" si="760"/>
        <v>#REF!</v>
      </c>
      <c r="EN139" s="41" t="e">
        <f t="shared" si="760"/>
        <v>#REF!</v>
      </c>
      <c r="EO139" s="41" t="e">
        <f t="shared" si="760"/>
        <v>#REF!</v>
      </c>
      <c r="EP139" s="41" t="e">
        <f t="shared" si="760"/>
        <v>#REF!</v>
      </c>
      <c r="EQ139" s="41" t="e">
        <f t="shared" si="760"/>
        <v>#REF!</v>
      </c>
      <c r="ER139" s="41" t="e">
        <f t="shared" si="760"/>
        <v>#REF!</v>
      </c>
      <c r="ES139" s="41" t="e">
        <f t="shared" si="760"/>
        <v>#REF!</v>
      </c>
      <c r="ET139" s="41" t="e">
        <f t="shared" si="760"/>
        <v>#REF!</v>
      </c>
      <c r="EU139" s="41" t="e">
        <f t="shared" si="760"/>
        <v>#REF!</v>
      </c>
      <c r="EV139" s="41" t="e">
        <f t="shared" si="760"/>
        <v>#REF!</v>
      </c>
      <c r="EW139" s="41" t="e">
        <f t="shared" si="760"/>
        <v>#REF!</v>
      </c>
      <c r="EX139" s="41" t="e">
        <f t="shared" si="760"/>
        <v>#REF!</v>
      </c>
      <c r="EY139" s="41" t="e">
        <f t="shared" si="760"/>
        <v>#REF!</v>
      </c>
      <c r="EZ139" s="41" t="e">
        <f t="shared" si="760"/>
        <v>#REF!</v>
      </c>
      <c r="FA139" s="41" t="e">
        <f t="shared" si="760"/>
        <v>#REF!</v>
      </c>
      <c r="FB139" s="41" t="e">
        <f t="shared" si="760"/>
        <v>#REF!</v>
      </c>
      <c r="FC139" s="41" t="e">
        <f t="shared" si="760"/>
        <v>#REF!</v>
      </c>
      <c r="FD139" s="41" t="e">
        <f t="shared" si="760"/>
        <v>#REF!</v>
      </c>
      <c r="FE139" s="41" t="e">
        <f t="shared" si="760"/>
        <v>#REF!</v>
      </c>
      <c r="FF139" s="41" t="e">
        <f t="shared" si="760"/>
        <v>#REF!</v>
      </c>
      <c r="FG139" s="41" t="e">
        <f t="shared" si="760"/>
        <v>#REF!</v>
      </c>
      <c r="FH139" s="41" t="e">
        <f t="shared" si="760"/>
        <v>#REF!</v>
      </c>
      <c r="FI139" s="41" t="e">
        <f t="shared" si="760"/>
        <v>#REF!</v>
      </c>
      <c r="FJ139" s="41" t="e">
        <f t="shared" si="760"/>
        <v>#REF!</v>
      </c>
      <c r="FK139" s="41" t="e">
        <f t="shared" si="760"/>
        <v>#REF!</v>
      </c>
      <c r="FL139" s="41" t="e">
        <f t="shared" si="760"/>
        <v>#REF!</v>
      </c>
      <c r="FM139" s="41" t="e">
        <f t="shared" si="760"/>
        <v>#REF!</v>
      </c>
      <c r="FN139" s="41" t="e">
        <f t="shared" si="760"/>
        <v>#REF!</v>
      </c>
      <c r="FO139" s="41" t="e">
        <f t="shared" si="760"/>
        <v>#REF!</v>
      </c>
      <c r="FP139" s="41" t="e">
        <f t="shared" si="760"/>
        <v>#REF!</v>
      </c>
      <c r="FQ139" s="41" t="e">
        <f t="shared" si="760"/>
        <v>#REF!</v>
      </c>
      <c r="FR139" s="41" t="e">
        <f t="shared" si="760"/>
        <v>#REF!</v>
      </c>
      <c r="FS139" s="41" t="e">
        <f t="shared" si="760"/>
        <v>#REF!</v>
      </c>
      <c r="FT139" s="41" t="e">
        <f t="shared" si="760"/>
        <v>#REF!</v>
      </c>
      <c r="FU139" s="41" t="e">
        <f t="shared" si="760"/>
        <v>#REF!</v>
      </c>
      <c r="FV139" s="41" t="e">
        <f t="shared" si="760"/>
        <v>#REF!</v>
      </c>
      <c r="FW139" s="41" t="e">
        <f t="shared" si="760"/>
        <v>#REF!</v>
      </c>
      <c r="FX139" s="41" t="e">
        <f t="shared" si="760"/>
        <v>#REF!</v>
      </c>
      <c r="FY139" s="41" t="e">
        <f t="shared" ref="FY139:IJ139" si="761">+SUM(FY135:FY138)</f>
        <v>#REF!</v>
      </c>
      <c r="FZ139" s="41" t="e">
        <f t="shared" si="761"/>
        <v>#REF!</v>
      </c>
      <c r="GA139" s="41" t="e">
        <f t="shared" si="761"/>
        <v>#REF!</v>
      </c>
      <c r="GB139" s="41" t="e">
        <f t="shared" si="761"/>
        <v>#REF!</v>
      </c>
      <c r="GC139" s="41" t="e">
        <f t="shared" si="761"/>
        <v>#REF!</v>
      </c>
      <c r="GD139" s="41" t="e">
        <f t="shared" si="761"/>
        <v>#REF!</v>
      </c>
      <c r="GE139" s="41" t="e">
        <f t="shared" si="761"/>
        <v>#REF!</v>
      </c>
      <c r="GF139" s="41" t="e">
        <f t="shared" si="761"/>
        <v>#REF!</v>
      </c>
      <c r="GG139" s="41" t="e">
        <f t="shared" si="761"/>
        <v>#REF!</v>
      </c>
      <c r="GH139" s="41" t="e">
        <f t="shared" si="761"/>
        <v>#REF!</v>
      </c>
      <c r="GI139" s="41" t="e">
        <f t="shared" si="761"/>
        <v>#REF!</v>
      </c>
      <c r="GJ139" s="41" t="e">
        <f t="shared" si="761"/>
        <v>#REF!</v>
      </c>
      <c r="GK139" s="41" t="e">
        <f t="shared" si="761"/>
        <v>#REF!</v>
      </c>
      <c r="GL139" s="41" t="e">
        <f t="shared" si="761"/>
        <v>#REF!</v>
      </c>
      <c r="GM139" s="41" t="e">
        <f t="shared" si="761"/>
        <v>#REF!</v>
      </c>
      <c r="GN139" s="41" t="e">
        <f t="shared" si="761"/>
        <v>#REF!</v>
      </c>
      <c r="GO139" s="41" t="e">
        <f t="shared" si="761"/>
        <v>#REF!</v>
      </c>
      <c r="GP139" s="41" t="e">
        <f t="shared" si="761"/>
        <v>#REF!</v>
      </c>
      <c r="GQ139" s="41" t="e">
        <f t="shared" si="761"/>
        <v>#REF!</v>
      </c>
      <c r="GR139" s="41" t="e">
        <f t="shared" si="761"/>
        <v>#REF!</v>
      </c>
      <c r="GS139" s="41" t="e">
        <f t="shared" si="761"/>
        <v>#REF!</v>
      </c>
      <c r="GT139" s="41" t="e">
        <f t="shared" si="761"/>
        <v>#REF!</v>
      </c>
      <c r="GU139" s="41" t="e">
        <f t="shared" si="761"/>
        <v>#REF!</v>
      </c>
      <c r="GV139" s="41" t="e">
        <f t="shared" si="761"/>
        <v>#REF!</v>
      </c>
      <c r="GW139" s="41" t="e">
        <f t="shared" si="761"/>
        <v>#REF!</v>
      </c>
      <c r="GX139" s="41" t="e">
        <f t="shared" si="761"/>
        <v>#REF!</v>
      </c>
      <c r="GY139" s="41" t="e">
        <f t="shared" si="761"/>
        <v>#REF!</v>
      </c>
      <c r="GZ139" s="41" t="e">
        <f t="shared" si="761"/>
        <v>#REF!</v>
      </c>
      <c r="HA139" s="41" t="e">
        <f t="shared" si="761"/>
        <v>#REF!</v>
      </c>
      <c r="HB139" s="41" t="e">
        <f t="shared" si="761"/>
        <v>#REF!</v>
      </c>
      <c r="HC139" s="41" t="e">
        <f t="shared" si="761"/>
        <v>#REF!</v>
      </c>
      <c r="HD139" s="41" t="e">
        <f t="shared" si="761"/>
        <v>#REF!</v>
      </c>
      <c r="HE139" s="41" t="e">
        <f t="shared" si="761"/>
        <v>#REF!</v>
      </c>
      <c r="HF139" s="41" t="e">
        <f t="shared" si="761"/>
        <v>#REF!</v>
      </c>
      <c r="HG139" s="41" t="e">
        <f t="shared" si="761"/>
        <v>#REF!</v>
      </c>
      <c r="HH139" s="41" t="e">
        <f t="shared" si="761"/>
        <v>#REF!</v>
      </c>
      <c r="HI139" s="41" t="e">
        <f t="shared" si="761"/>
        <v>#REF!</v>
      </c>
      <c r="HJ139" s="41" t="e">
        <f t="shared" si="761"/>
        <v>#REF!</v>
      </c>
      <c r="HK139" s="41" t="e">
        <f t="shared" si="761"/>
        <v>#REF!</v>
      </c>
      <c r="HL139" s="41" t="e">
        <f t="shared" si="761"/>
        <v>#REF!</v>
      </c>
      <c r="HM139" s="41" t="e">
        <f t="shared" si="761"/>
        <v>#REF!</v>
      </c>
      <c r="HN139" s="41" t="e">
        <f t="shared" si="761"/>
        <v>#REF!</v>
      </c>
      <c r="HO139" s="41" t="e">
        <f t="shared" si="761"/>
        <v>#REF!</v>
      </c>
      <c r="HP139" s="41" t="e">
        <f t="shared" si="761"/>
        <v>#REF!</v>
      </c>
      <c r="HQ139" s="41" t="e">
        <f t="shared" si="761"/>
        <v>#REF!</v>
      </c>
      <c r="HR139" s="41" t="e">
        <f t="shared" si="761"/>
        <v>#REF!</v>
      </c>
      <c r="HS139" s="41" t="e">
        <f t="shared" si="761"/>
        <v>#REF!</v>
      </c>
      <c r="HT139" s="41" t="e">
        <f t="shared" si="761"/>
        <v>#REF!</v>
      </c>
      <c r="HU139" s="41" t="e">
        <f t="shared" si="761"/>
        <v>#REF!</v>
      </c>
      <c r="HV139" s="41" t="e">
        <f t="shared" si="761"/>
        <v>#REF!</v>
      </c>
      <c r="HW139" s="41" t="e">
        <f t="shared" si="761"/>
        <v>#REF!</v>
      </c>
      <c r="HX139" s="41" t="e">
        <f t="shared" si="761"/>
        <v>#REF!</v>
      </c>
      <c r="HY139" s="41" t="e">
        <f t="shared" si="761"/>
        <v>#REF!</v>
      </c>
      <c r="HZ139" s="41" t="e">
        <f t="shared" si="761"/>
        <v>#REF!</v>
      </c>
      <c r="IA139" s="41" t="e">
        <f t="shared" si="761"/>
        <v>#REF!</v>
      </c>
      <c r="IB139" s="41" t="e">
        <f t="shared" si="761"/>
        <v>#REF!</v>
      </c>
      <c r="IC139" s="41" t="e">
        <f t="shared" si="761"/>
        <v>#REF!</v>
      </c>
      <c r="ID139" s="41" t="e">
        <f t="shared" si="761"/>
        <v>#REF!</v>
      </c>
      <c r="IE139" s="41" t="e">
        <f t="shared" si="761"/>
        <v>#REF!</v>
      </c>
      <c r="IF139" s="41" t="e">
        <f t="shared" si="761"/>
        <v>#REF!</v>
      </c>
      <c r="IG139" s="41" t="e">
        <f t="shared" si="761"/>
        <v>#REF!</v>
      </c>
      <c r="IH139" s="41" t="e">
        <f>+SUM(IH135:IH138)</f>
        <v>#REF!</v>
      </c>
      <c r="II139" s="41" t="e">
        <f t="shared" si="761"/>
        <v>#REF!</v>
      </c>
      <c r="IJ139" s="41" t="e">
        <f t="shared" si="761"/>
        <v>#REF!</v>
      </c>
      <c r="IK139" s="41"/>
      <c r="IL139" s="41"/>
      <c r="IM139" s="41"/>
      <c r="IN139" s="41"/>
    </row>
    <row r="141" spans="1:248" x14ac:dyDescent="0.3">
      <c r="A141" t="s">
        <v>642</v>
      </c>
      <c r="E141" s="41" t="e">
        <f>+#REF!</f>
        <v>#REF!</v>
      </c>
      <c r="F141" s="41" t="e">
        <f>+E141</f>
        <v>#REF!</v>
      </c>
      <c r="G141" s="41" t="e">
        <f t="shared" ref="G141:AN141" si="762">+F141</f>
        <v>#REF!</v>
      </c>
      <c r="H141" s="41" t="e">
        <f t="shared" si="762"/>
        <v>#REF!</v>
      </c>
      <c r="I141" s="41" t="e">
        <f t="shared" si="762"/>
        <v>#REF!</v>
      </c>
      <c r="J141" s="41" t="e">
        <f t="shared" si="762"/>
        <v>#REF!</v>
      </c>
      <c r="K141" s="41" t="e">
        <f t="shared" si="762"/>
        <v>#REF!</v>
      </c>
      <c r="L141" s="41" t="e">
        <f t="shared" si="762"/>
        <v>#REF!</v>
      </c>
      <c r="M141" s="41" t="e">
        <f t="shared" si="762"/>
        <v>#REF!</v>
      </c>
      <c r="N141" s="41" t="e">
        <f t="shared" si="762"/>
        <v>#REF!</v>
      </c>
      <c r="O141" s="41" t="e">
        <f t="shared" si="762"/>
        <v>#REF!</v>
      </c>
      <c r="P141" s="41" t="e">
        <f t="shared" si="762"/>
        <v>#REF!</v>
      </c>
      <c r="Q141" s="41" t="e">
        <f t="shared" si="762"/>
        <v>#REF!</v>
      </c>
      <c r="R141" s="41" t="e">
        <f t="shared" si="762"/>
        <v>#REF!</v>
      </c>
      <c r="S141" s="41" t="e">
        <f t="shared" si="762"/>
        <v>#REF!</v>
      </c>
      <c r="T141" s="41" t="e">
        <f t="shared" si="762"/>
        <v>#REF!</v>
      </c>
      <c r="U141" s="41" t="e">
        <f t="shared" si="762"/>
        <v>#REF!</v>
      </c>
      <c r="V141" s="41" t="e">
        <f t="shared" si="762"/>
        <v>#REF!</v>
      </c>
      <c r="W141" s="41" t="e">
        <f t="shared" si="762"/>
        <v>#REF!</v>
      </c>
      <c r="X141" s="41" t="e">
        <f t="shared" si="762"/>
        <v>#REF!</v>
      </c>
      <c r="Y141" s="41" t="e">
        <f t="shared" si="762"/>
        <v>#REF!</v>
      </c>
      <c r="Z141" s="41" t="e">
        <f t="shared" si="762"/>
        <v>#REF!</v>
      </c>
      <c r="AA141" s="41" t="e">
        <f t="shared" si="762"/>
        <v>#REF!</v>
      </c>
      <c r="AB141" s="41" t="e">
        <f t="shared" si="762"/>
        <v>#REF!</v>
      </c>
      <c r="AC141" s="41" t="e">
        <f t="shared" si="762"/>
        <v>#REF!</v>
      </c>
      <c r="AD141" s="41" t="e">
        <f t="shared" si="762"/>
        <v>#REF!</v>
      </c>
      <c r="AE141" s="41" t="e">
        <f t="shared" si="762"/>
        <v>#REF!</v>
      </c>
      <c r="AF141" s="41" t="e">
        <f t="shared" si="762"/>
        <v>#REF!</v>
      </c>
      <c r="AG141" s="41" t="e">
        <f t="shared" si="762"/>
        <v>#REF!</v>
      </c>
      <c r="AH141" s="41" t="e">
        <f t="shared" si="762"/>
        <v>#REF!</v>
      </c>
      <c r="AI141" s="41" t="e">
        <f t="shared" si="762"/>
        <v>#REF!</v>
      </c>
      <c r="AJ141" s="41" t="e">
        <f t="shared" si="762"/>
        <v>#REF!</v>
      </c>
      <c r="AK141" s="41" t="e">
        <f t="shared" si="762"/>
        <v>#REF!</v>
      </c>
      <c r="AL141" s="41" t="e">
        <f t="shared" si="762"/>
        <v>#REF!</v>
      </c>
      <c r="AM141" s="41" t="e">
        <f t="shared" si="762"/>
        <v>#REF!</v>
      </c>
      <c r="AN141" s="41" t="e">
        <f t="shared" si="762"/>
        <v>#REF!</v>
      </c>
      <c r="AO141" s="41" t="e">
        <f>+AN141</f>
        <v>#REF!</v>
      </c>
      <c r="AP141" s="41" t="e">
        <f t="shared" ref="AP141:AZ141" si="763">+AO141</f>
        <v>#REF!</v>
      </c>
      <c r="AQ141" s="41" t="e">
        <f t="shared" si="763"/>
        <v>#REF!</v>
      </c>
      <c r="AR141" s="41" t="e">
        <f t="shared" si="763"/>
        <v>#REF!</v>
      </c>
      <c r="AS141" s="41" t="e">
        <f t="shared" si="763"/>
        <v>#REF!</v>
      </c>
      <c r="AT141" s="41" t="e">
        <f t="shared" si="763"/>
        <v>#REF!</v>
      </c>
      <c r="AU141" s="41" t="e">
        <f t="shared" si="763"/>
        <v>#REF!</v>
      </c>
      <c r="AV141" s="41" t="e">
        <f t="shared" si="763"/>
        <v>#REF!</v>
      </c>
      <c r="AW141" s="41" t="e">
        <f t="shared" si="763"/>
        <v>#REF!</v>
      </c>
      <c r="AX141" s="41" t="e">
        <f t="shared" si="763"/>
        <v>#REF!</v>
      </c>
      <c r="AY141" s="41" t="e">
        <f t="shared" si="763"/>
        <v>#REF!</v>
      </c>
      <c r="AZ141" s="41" t="e">
        <f t="shared" si="763"/>
        <v>#REF!</v>
      </c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</row>
    <row r="144" spans="1:248" x14ac:dyDescent="0.3">
      <c r="E144">
        <v>2024</v>
      </c>
      <c r="F144">
        <v>2025</v>
      </c>
      <c r="G144">
        <v>2026</v>
      </c>
      <c r="H144">
        <v>2027</v>
      </c>
      <c r="I144">
        <v>2028</v>
      </c>
      <c r="J144">
        <v>2029</v>
      </c>
      <c r="K144">
        <v>2030</v>
      </c>
      <c r="L144">
        <v>2031</v>
      </c>
      <c r="M144">
        <v>2032</v>
      </c>
      <c r="N144">
        <v>2033</v>
      </c>
      <c r="O144">
        <v>2034</v>
      </c>
      <c r="P144">
        <v>2035</v>
      </c>
      <c r="Q144">
        <v>2036</v>
      </c>
      <c r="R144">
        <v>2037</v>
      </c>
      <c r="S144">
        <v>2038</v>
      </c>
      <c r="T144">
        <v>2039</v>
      </c>
      <c r="U144">
        <v>2040</v>
      </c>
      <c r="V144">
        <v>2041</v>
      </c>
      <c r="W144">
        <v>2042</v>
      </c>
      <c r="X144">
        <v>2043</v>
      </c>
      <c r="Y144">
        <v>2044</v>
      </c>
    </row>
    <row r="145" spans="1:250" x14ac:dyDescent="0.3">
      <c r="B145" t="s">
        <v>813</v>
      </c>
      <c r="E145" s="10" t="e">
        <f t="shared" ref="E145:Y145" si="764">+SUMIFS(139:139,133:133,E144)</f>
        <v>#REF!</v>
      </c>
      <c r="F145" s="10" t="e">
        <f t="shared" si="764"/>
        <v>#REF!</v>
      </c>
      <c r="G145" s="10" t="e">
        <f t="shared" si="764"/>
        <v>#REF!</v>
      </c>
      <c r="H145" s="10" t="e">
        <f t="shared" si="764"/>
        <v>#REF!</v>
      </c>
      <c r="I145" s="10" t="e">
        <f t="shared" si="764"/>
        <v>#REF!</v>
      </c>
      <c r="J145" s="10" t="e">
        <f t="shared" si="764"/>
        <v>#REF!</v>
      </c>
      <c r="K145" s="10" t="e">
        <f t="shared" si="764"/>
        <v>#REF!</v>
      </c>
      <c r="L145" s="10" t="e">
        <f t="shared" si="764"/>
        <v>#REF!</v>
      </c>
      <c r="M145" s="10" t="e">
        <f t="shared" si="764"/>
        <v>#REF!</v>
      </c>
      <c r="N145" s="10" t="e">
        <f t="shared" si="764"/>
        <v>#REF!</v>
      </c>
      <c r="O145" s="10" t="e">
        <f t="shared" si="764"/>
        <v>#REF!</v>
      </c>
      <c r="P145" s="10" t="e">
        <f t="shared" si="764"/>
        <v>#REF!</v>
      </c>
      <c r="Q145" s="10" t="e">
        <f t="shared" si="764"/>
        <v>#REF!</v>
      </c>
      <c r="R145" s="10" t="e">
        <f t="shared" si="764"/>
        <v>#REF!</v>
      </c>
      <c r="S145" s="10" t="e">
        <f t="shared" si="764"/>
        <v>#REF!</v>
      </c>
      <c r="T145" s="10" t="e">
        <f t="shared" si="764"/>
        <v>#REF!</v>
      </c>
      <c r="U145" s="10" t="e">
        <f t="shared" si="764"/>
        <v>#REF!</v>
      </c>
      <c r="V145" s="10" t="e">
        <f t="shared" si="764"/>
        <v>#REF!</v>
      </c>
      <c r="W145" s="10" t="e">
        <f t="shared" si="764"/>
        <v>#REF!</v>
      </c>
      <c r="X145" s="10" t="e">
        <f t="shared" si="764"/>
        <v>#REF!</v>
      </c>
      <c r="Y145" s="10" t="e">
        <f t="shared" si="764"/>
        <v>#REF!</v>
      </c>
      <c r="Z145" s="10"/>
      <c r="AA145" s="10"/>
      <c r="AB145" s="10"/>
      <c r="AC145" s="10"/>
      <c r="AD145" s="10"/>
    </row>
    <row r="146" spans="1:250" x14ac:dyDescent="0.3">
      <c r="B146" t="s">
        <v>810</v>
      </c>
      <c r="E146" s="10" t="e">
        <f t="shared" ref="E146:Y146" si="765">+SUMIFS(135:135,133:133,E144)</f>
        <v>#REF!</v>
      </c>
      <c r="F146" s="10" t="e">
        <f t="shared" si="765"/>
        <v>#REF!</v>
      </c>
      <c r="G146" s="10" t="e">
        <f t="shared" si="765"/>
        <v>#REF!</v>
      </c>
      <c r="H146" s="10" t="e">
        <f t="shared" si="765"/>
        <v>#REF!</v>
      </c>
      <c r="I146" s="10" t="e">
        <f t="shared" si="765"/>
        <v>#REF!</v>
      </c>
      <c r="J146" s="10">
        <f t="shared" si="765"/>
        <v>0</v>
      </c>
      <c r="K146" s="10">
        <f t="shared" si="765"/>
        <v>0</v>
      </c>
      <c r="L146" s="10">
        <f t="shared" si="765"/>
        <v>0</v>
      </c>
      <c r="M146" s="10">
        <f t="shared" si="765"/>
        <v>0</v>
      </c>
      <c r="N146" s="10">
        <f t="shared" si="765"/>
        <v>0</v>
      </c>
      <c r="O146" s="10">
        <f t="shared" si="765"/>
        <v>0</v>
      </c>
      <c r="P146" s="10">
        <f t="shared" si="765"/>
        <v>0</v>
      </c>
      <c r="Q146" s="10">
        <f t="shared" si="765"/>
        <v>0</v>
      </c>
      <c r="R146" s="10">
        <f t="shared" si="765"/>
        <v>0</v>
      </c>
      <c r="S146" s="10">
        <f t="shared" si="765"/>
        <v>0</v>
      </c>
      <c r="T146" s="10">
        <f t="shared" si="765"/>
        <v>0</v>
      </c>
      <c r="U146" s="10">
        <f t="shared" si="765"/>
        <v>0</v>
      </c>
      <c r="V146" s="10">
        <f t="shared" si="765"/>
        <v>0</v>
      </c>
      <c r="W146" s="10">
        <f t="shared" si="765"/>
        <v>0</v>
      </c>
      <c r="X146" s="10">
        <f t="shared" si="765"/>
        <v>0</v>
      </c>
      <c r="Y146" s="10">
        <f t="shared" si="765"/>
        <v>0</v>
      </c>
      <c r="Z146" s="10"/>
      <c r="AA146" s="10"/>
      <c r="AB146" s="10"/>
      <c r="AC146" s="10"/>
      <c r="AD146" s="10"/>
    </row>
    <row r="147" spans="1:250" x14ac:dyDescent="0.3">
      <c r="B147" t="s">
        <v>643</v>
      </c>
      <c r="E147" s="10" t="e">
        <f t="shared" ref="E147:Y147" si="766">+SUMIFS(136:136,133:133,E144)</f>
        <v>#REF!</v>
      </c>
      <c r="F147" s="10" t="e">
        <f t="shared" si="766"/>
        <v>#REF!</v>
      </c>
      <c r="G147" s="10" t="e">
        <f t="shared" si="766"/>
        <v>#REF!</v>
      </c>
      <c r="H147" s="10" t="e">
        <f t="shared" si="766"/>
        <v>#REF!</v>
      </c>
      <c r="I147" s="10" t="e">
        <f t="shared" si="766"/>
        <v>#REF!</v>
      </c>
      <c r="J147" s="10" t="e">
        <f t="shared" si="766"/>
        <v>#REF!</v>
      </c>
      <c r="K147" s="10" t="e">
        <f t="shared" si="766"/>
        <v>#REF!</v>
      </c>
      <c r="L147" s="10" t="e">
        <f t="shared" si="766"/>
        <v>#REF!</v>
      </c>
      <c r="M147" s="10" t="e">
        <f t="shared" si="766"/>
        <v>#REF!</v>
      </c>
      <c r="N147" s="10" t="e">
        <f t="shared" si="766"/>
        <v>#REF!</v>
      </c>
      <c r="O147" s="10" t="e">
        <f t="shared" si="766"/>
        <v>#REF!</v>
      </c>
      <c r="P147" s="10" t="e">
        <f t="shared" si="766"/>
        <v>#REF!</v>
      </c>
      <c r="Q147" s="10" t="e">
        <f t="shared" si="766"/>
        <v>#REF!</v>
      </c>
      <c r="R147" s="10" t="e">
        <f t="shared" si="766"/>
        <v>#REF!</v>
      </c>
      <c r="S147" s="10" t="e">
        <f t="shared" si="766"/>
        <v>#REF!</v>
      </c>
      <c r="T147" s="10" t="e">
        <f t="shared" si="766"/>
        <v>#REF!</v>
      </c>
      <c r="U147" s="10" t="e">
        <f t="shared" si="766"/>
        <v>#REF!</v>
      </c>
      <c r="V147" s="10" t="e">
        <f t="shared" si="766"/>
        <v>#REF!</v>
      </c>
      <c r="W147" s="10" t="e">
        <f t="shared" si="766"/>
        <v>#REF!</v>
      </c>
      <c r="X147" s="10" t="e">
        <f t="shared" si="766"/>
        <v>#REF!</v>
      </c>
      <c r="Y147" s="10" t="e">
        <f t="shared" si="766"/>
        <v>#REF!</v>
      </c>
      <c r="Z147" s="10"/>
      <c r="AA147" s="10"/>
      <c r="AB147" s="10"/>
      <c r="AC147" s="10"/>
      <c r="AD147" s="10"/>
    </row>
    <row r="148" spans="1:250" x14ac:dyDescent="0.3">
      <c r="B148" t="s">
        <v>777</v>
      </c>
      <c r="E148" s="10">
        <f t="shared" ref="E148:Y148" si="767">+SUMIFS(137:137,133:133,E144)</f>
        <v>0</v>
      </c>
      <c r="F148" s="10">
        <f t="shared" si="767"/>
        <v>0</v>
      </c>
      <c r="G148" s="10">
        <f t="shared" si="767"/>
        <v>0</v>
      </c>
      <c r="H148" s="10">
        <f t="shared" si="767"/>
        <v>0</v>
      </c>
      <c r="I148" s="10" t="e">
        <f t="shared" si="767"/>
        <v>#REF!</v>
      </c>
      <c r="J148" s="10" t="e">
        <f t="shared" si="767"/>
        <v>#REF!</v>
      </c>
      <c r="K148" s="10" t="e">
        <f t="shared" si="767"/>
        <v>#REF!</v>
      </c>
      <c r="L148" s="10" t="e">
        <f t="shared" si="767"/>
        <v>#REF!</v>
      </c>
      <c r="M148" s="10" t="e">
        <f t="shared" si="767"/>
        <v>#REF!</v>
      </c>
      <c r="N148" s="10" t="e">
        <f t="shared" si="767"/>
        <v>#REF!</v>
      </c>
      <c r="O148" s="10" t="e">
        <f t="shared" si="767"/>
        <v>#REF!</v>
      </c>
      <c r="P148" s="10" t="e">
        <f t="shared" si="767"/>
        <v>#REF!</v>
      </c>
      <c r="Q148" s="10" t="e">
        <f t="shared" si="767"/>
        <v>#REF!</v>
      </c>
      <c r="R148" s="10" t="e">
        <f t="shared" si="767"/>
        <v>#REF!</v>
      </c>
      <c r="S148" s="10" t="e">
        <f t="shared" si="767"/>
        <v>#REF!</v>
      </c>
      <c r="T148" s="10">
        <f t="shared" si="767"/>
        <v>0</v>
      </c>
      <c r="U148" s="10">
        <f t="shared" si="767"/>
        <v>0</v>
      </c>
      <c r="V148" s="10">
        <f t="shared" si="767"/>
        <v>0</v>
      </c>
      <c r="W148" s="10">
        <f t="shared" si="767"/>
        <v>0</v>
      </c>
      <c r="X148" s="10">
        <f t="shared" si="767"/>
        <v>0</v>
      </c>
      <c r="Y148" s="10">
        <f t="shared" si="767"/>
        <v>0</v>
      </c>
      <c r="Z148" s="10"/>
      <c r="AA148" s="10"/>
      <c r="AB148" s="10"/>
      <c r="AC148" s="10"/>
      <c r="AD148" s="10"/>
    </row>
    <row r="149" spans="1:250" x14ac:dyDescent="0.3">
      <c r="B149" t="s">
        <v>644</v>
      </c>
      <c r="E149" s="10" t="e">
        <f t="shared" ref="E149:Y149" si="768">+SUMIFS(138:138,133:133,E144)</f>
        <v>#REF!</v>
      </c>
      <c r="F149" s="10" t="e">
        <f t="shared" si="768"/>
        <v>#REF!</v>
      </c>
      <c r="G149" s="10" t="e">
        <f t="shared" si="768"/>
        <v>#REF!</v>
      </c>
      <c r="H149" s="10" t="e">
        <f t="shared" si="768"/>
        <v>#REF!</v>
      </c>
      <c r="I149" s="10" t="e">
        <f t="shared" si="768"/>
        <v>#REF!</v>
      </c>
      <c r="J149" s="10" t="e">
        <f t="shared" si="768"/>
        <v>#REF!</v>
      </c>
      <c r="K149" s="10" t="e">
        <f t="shared" si="768"/>
        <v>#REF!</v>
      </c>
      <c r="L149" s="10" t="e">
        <f t="shared" si="768"/>
        <v>#REF!</v>
      </c>
      <c r="M149" s="10" t="e">
        <f t="shared" si="768"/>
        <v>#REF!</v>
      </c>
      <c r="N149" s="10" t="e">
        <f t="shared" si="768"/>
        <v>#REF!</v>
      </c>
      <c r="O149" s="10" t="e">
        <f t="shared" si="768"/>
        <v>#REF!</v>
      </c>
      <c r="P149" s="10" t="e">
        <f t="shared" si="768"/>
        <v>#REF!</v>
      </c>
      <c r="Q149" s="10" t="e">
        <f t="shared" si="768"/>
        <v>#REF!</v>
      </c>
      <c r="R149" s="10" t="e">
        <f t="shared" si="768"/>
        <v>#REF!</v>
      </c>
      <c r="S149" s="10" t="e">
        <f t="shared" si="768"/>
        <v>#REF!</v>
      </c>
      <c r="T149" s="10" t="e">
        <f t="shared" si="768"/>
        <v>#REF!</v>
      </c>
      <c r="U149" s="10" t="e">
        <f t="shared" si="768"/>
        <v>#REF!</v>
      </c>
      <c r="V149" s="10" t="e">
        <f t="shared" si="768"/>
        <v>#REF!</v>
      </c>
      <c r="W149" s="10" t="e">
        <f t="shared" si="768"/>
        <v>#REF!</v>
      </c>
      <c r="X149" s="10" t="e">
        <f t="shared" si="768"/>
        <v>#REF!</v>
      </c>
      <c r="Y149" s="10" t="e">
        <f t="shared" si="768"/>
        <v>#REF!</v>
      </c>
      <c r="Z149" s="10"/>
      <c r="AA149" s="10"/>
      <c r="AB149" s="10"/>
      <c r="AC149" s="10"/>
      <c r="AD149" s="10"/>
    </row>
    <row r="150" spans="1:250" x14ac:dyDescent="0.3">
      <c r="B150" t="s">
        <v>642</v>
      </c>
      <c r="E150" s="10" t="e">
        <f t="shared" ref="E150:Y150" si="769">+SUMIFS(141:141,133:133,E144)</f>
        <v>#REF!</v>
      </c>
      <c r="F150" s="10" t="e">
        <f t="shared" si="769"/>
        <v>#REF!</v>
      </c>
      <c r="G150" s="10" t="e">
        <f t="shared" si="769"/>
        <v>#REF!</v>
      </c>
      <c r="H150" s="10" t="e">
        <f t="shared" si="769"/>
        <v>#REF!</v>
      </c>
      <c r="I150" s="10" t="e">
        <f t="shared" si="769"/>
        <v>#REF!</v>
      </c>
      <c r="J150" s="10">
        <f t="shared" si="769"/>
        <v>0</v>
      </c>
      <c r="K150" s="10">
        <f t="shared" si="769"/>
        <v>0</v>
      </c>
      <c r="L150" s="10">
        <f t="shared" si="769"/>
        <v>0</v>
      </c>
      <c r="M150" s="10">
        <f t="shared" si="769"/>
        <v>0</v>
      </c>
      <c r="N150" s="10">
        <f t="shared" si="769"/>
        <v>0</v>
      </c>
      <c r="O150" s="10">
        <f t="shared" si="769"/>
        <v>0</v>
      </c>
      <c r="P150" s="10">
        <f t="shared" si="769"/>
        <v>0</v>
      </c>
      <c r="Q150" s="10">
        <f t="shared" si="769"/>
        <v>0</v>
      </c>
      <c r="R150" s="10">
        <f t="shared" si="769"/>
        <v>0</v>
      </c>
      <c r="S150" s="10">
        <f t="shared" si="769"/>
        <v>0</v>
      </c>
      <c r="T150" s="10">
        <f t="shared" si="769"/>
        <v>0</v>
      </c>
      <c r="U150" s="10">
        <f t="shared" si="769"/>
        <v>0</v>
      </c>
      <c r="V150" s="10">
        <f t="shared" si="769"/>
        <v>0</v>
      </c>
      <c r="W150" s="10">
        <f t="shared" si="769"/>
        <v>0</v>
      </c>
      <c r="X150" s="10">
        <f t="shared" si="769"/>
        <v>0</v>
      </c>
      <c r="Y150" s="10">
        <f t="shared" si="769"/>
        <v>0</v>
      </c>
      <c r="Z150" s="10"/>
      <c r="AA150" s="10"/>
      <c r="AB150" s="10"/>
      <c r="AC150" s="10"/>
      <c r="AD150" s="10"/>
    </row>
    <row r="151" spans="1:250" x14ac:dyDescent="0.3">
      <c r="E151" s="31" t="e">
        <f>+E145+E150</f>
        <v>#REF!</v>
      </c>
      <c r="F151" s="31" t="e">
        <f t="shared" ref="F151:P151" si="770">+F145+F150</f>
        <v>#REF!</v>
      </c>
      <c r="G151" s="31" t="e">
        <f t="shared" si="770"/>
        <v>#REF!</v>
      </c>
      <c r="H151" s="31" t="e">
        <f t="shared" si="770"/>
        <v>#REF!</v>
      </c>
      <c r="I151" s="31" t="e">
        <f t="shared" si="770"/>
        <v>#REF!</v>
      </c>
      <c r="J151" s="31" t="e">
        <f t="shared" si="770"/>
        <v>#REF!</v>
      </c>
      <c r="K151" s="31" t="e">
        <f t="shared" si="770"/>
        <v>#REF!</v>
      </c>
      <c r="L151" s="31" t="e">
        <f t="shared" si="770"/>
        <v>#REF!</v>
      </c>
      <c r="M151" s="31" t="e">
        <f t="shared" si="770"/>
        <v>#REF!</v>
      </c>
      <c r="N151" s="31" t="e">
        <f t="shared" si="770"/>
        <v>#REF!</v>
      </c>
      <c r="O151" s="31" t="e">
        <f t="shared" si="770"/>
        <v>#REF!</v>
      </c>
      <c r="P151" s="31" t="e">
        <f t="shared" si="770"/>
        <v>#REF!</v>
      </c>
      <c r="Q151" s="31" t="e">
        <f t="shared" ref="Q151:Y151" si="771">+Q145+Q150</f>
        <v>#REF!</v>
      </c>
      <c r="R151" s="31" t="e">
        <f t="shared" si="771"/>
        <v>#REF!</v>
      </c>
      <c r="S151" s="31" t="e">
        <f t="shared" si="771"/>
        <v>#REF!</v>
      </c>
      <c r="T151" s="31" t="e">
        <f t="shared" si="771"/>
        <v>#REF!</v>
      </c>
      <c r="U151" s="31" t="e">
        <f t="shared" si="771"/>
        <v>#REF!</v>
      </c>
      <c r="V151" s="31" t="e">
        <f t="shared" si="771"/>
        <v>#REF!</v>
      </c>
      <c r="W151" s="31" t="e">
        <f t="shared" si="771"/>
        <v>#REF!</v>
      </c>
      <c r="X151" s="31" t="e">
        <f t="shared" si="771"/>
        <v>#REF!</v>
      </c>
      <c r="Y151" s="31" t="e">
        <f t="shared" si="771"/>
        <v>#REF!</v>
      </c>
      <c r="Z151" s="31"/>
      <c r="AA151" s="31"/>
      <c r="AB151" s="31"/>
      <c r="AC151" s="31"/>
      <c r="AD151" s="31"/>
    </row>
    <row r="153" spans="1:250" x14ac:dyDescent="0.3">
      <c r="E153">
        <f>+YEAR(E154)</f>
        <v>2024</v>
      </c>
      <c r="F153">
        <f t="shared" ref="F153" si="772">+YEAR(F154)</f>
        <v>2024</v>
      </c>
      <c r="G153">
        <f t="shared" ref="G153" si="773">+YEAR(G154)</f>
        <v>2024</v>
      </c>
      <c r="H153">
        <f t="shared" ref="H153" si="774">+YEAR(H154)</f>
        <v>2024</v>
      </c>
      <c r="I153">
        <f t="shared" ref="I153" si="775">+YEAR(I154)</f>
        <v>2024</v>
      </c>
      <c r="J153">
        <f t="shared" ref="J153" si="776">+YEAR(J154)</f>
        <v>2025</v>
      </c>
      <c r="K153">
        <f t="shared" ref="K153" si="777">+YEAR(K154)</f>
        <v>2025</v>
      </c>
      <c r="L153">
        <f t="shared" ref="L153" si="778">+YEAR(L154)</f>
        <v>2025</v>
      </c>
      <c r="M153">
        <f t="shared" ref="M153" si="779">+YEAR(M154)</f>
        <v>2025</v>
      </c>
      <c r="N153">
        <f t="shared" ref="N153" si="780">+YEAR(N154)</f>
        <v>2025</v>
      </c>
      <c r="O153">
        <f t="shared" ref="O153" si="781">+YEAR(O154)</f>
        <v>2025</v>
      </c>
      <c r="P153">
        <f t="shared" ref="P153" si="782">+YEAR(P154)</f>
        <v>2025</v>
      </c>
      <c r="Q153">
        <f t="shared" ref="Q153" si="783">+YEAR(Q154)</f>
        <v>2025</v>
      </c>
      <c r="R153">
        <f t="shared" ref="R153" si="784">+YEAR(R154)</f>
        <v>2025</v>
      </c>
      <c r="S153">
        <f t="shared" ref="S153" si="785">+YEAR(S154)</f>
        <v>2025</v>
      </c>
      <c r="T153">
        <f t="shared" ref="T153" si="786">+YEAR(T154)</f>
        <v>2025</v>
      </c>
      <c r="U153">
        <f t="shared" ref="U153" si="787">+YEAR(U154)</f>
        <v>2025</v>
      </c>
      <c r="V153">
        <f t="shared" ref="V153" si="788">+YEAR(V154)</f>
        <v>2026</v>
      </c>
      <c r="W153">
        <f t="shared" ref="W153" si="789">+YEAR(W154)</f>
        <v>2026</v>
      </c>
      <c r="X153">
        <f t="shared" ref="X153" si="790">+YEAR(X154)</f>
        <v>2026</v>
      </c>
      <c r="Y153">
        <f t="shared" ref="Y153" si="791">+YEAR(Y154)</f>
        <v>2026</v>
      </c>
      <c r="Z153">
        <f t="shared" ref="Z153" si="792">+YEAR(Z154)</f>
        <v>2026</v>
      </c>
      <c r="AA153">
        <f t="shared" ref="AA153" si="793">+YEAR(AA154)</f>
        <v>2026</v>
      </c>
      <c r="AB153">
        <f t="shared" ref="AB153" si="794">+YEAR(AB154)</f>
        <v>2026</v>
      </c>
      <c r="AC153">
        <f t="shared" ref="AC153" si="795">+YEAR(AC154)</f>
        <v>2026</v>
      </c>
      <c r="AD153">
        <f t="shared" ref="AD153" si="796">+YEAR(AD154)</f>
        <v>2026</v>
      </c>
      <c r="AE153">
        <f t="shared" ref="AE153" si="797">+YEAR(AE154)</f>
        <v>2026</v>
      </c>
      <c r="AF153">
        <f t="shared" ref="AF153" si="798">+YEAR(AF154)</f>
        <v>2026</v>
      </c>
      <c r="AG153">
        <f t="shared" ref="AG153" si="799">+YEAR(AG154)</f>
        <v>2026</v>
      </c>
      <c r="AH153">
        <f t="shared" ref="AH153" si="800">+YEAR(AH154)</f>
        <v>2027</v>
      </c>
      <c r="AI153">
        <f t="shared" ref="AI153" si="801">+YEAR(AI154)</f>
        <v>2027</v>
      </c>
      <c r="AJ153">
        <f t="shared" ref="AJ153" si="802">+YEAR(AJ154)</f>
        <v>2027</v>
      </c>
      <c r="AK153">
        <f t="shared" ref="AK153" si="803">+YEAR(AK154)</f>
        <v>2027</v>
      </c>
      <c r="AL153">
        <f t="shared" ref="AL153" si="804">+YEAR(AL154)</f>
        <v>2027</v>
      </c>
      <c r="AM153">
        <f t="shared" ref="AM153" si="805">+YEAR(AM154)</f>
        <v>2027</v>
      </c>
      <c r="AN153">
        <f t="shared" ref="AN153" si="806">+YEAR(AN154)</f>
        <v>2027</v>
      </c>
      <c r="AO153">
        <f t="shared" ref="AO153" si="807">+YEAR(AO154)</f>
        <v>2027</v>
      </c>
      <c r="AP153">
        <f t="shared" ref="AP153" si="808">+YEAR(AP154)</f>
        <v>2027</v>
      </c>
      <c r="AQ153">
        <f t="shared" ref="AQ153" si="809">+YEAR(AQ154)</f>
        <v>2027</v>
      </c>
      <c r="AR153">
        <f t="shared" ref="AR153" si="810">+YEAR(AR154)</f>
        <v>2027</v>
      </c>
      <c r="AS153">
        <f t="shared" ref="AS153" si="811">+YEAR(AS154)</f>
        <v>2027</v>
      </c>
      <c r="AT153">
        <f t="shared" ref="AT153" si="812">+YEAR(AT154)</f>
        <v>2028</v>
      </c>
      <c r="AU153">
        <f t="shared" ref="AU153" si="813">+YEAR(AU154)</f>
        <v>2028</v>
      </c>
      <c r="AV153">
        <f t="shared" ref="AV153" si="814">+YEAR(AV154)</f>
        <v>2028</v>
      </c>
      <c r="AW153">
        <f t="shared" ref="AW153" si="815">+YEAR(AW154)</f>
        <v>2028</v>
      </c>
      <c r="AX153">
        <f t="shared" ref="AX153" si="816">+YEAR(AX154)</f>
        <v>2028</v>
      </c>
      <c r="AY153">
        <f t="shared" ref="AY153" si="817">+YEAR(AY154)</f>
        <v>2028</v>
      </c>
      <c r="AZ153">
        <f t="shared" ref="AZ153" si="818">+YEAR(AZ154)</f>
        <v>2028</v>
      </c>
      <c r="BA153">
        <f t="shared" ref="BA153" si="819">+YEAR(BA154)</f>
        <v>2028</v>
      </c>
      <c r="BB153">
        <f t="shared" ref="BB153" si="820">+YEAR(BB154)</f>
        <v>2028</v>
      </c>
      <c r="BC153">
        <f t="shared" ref="BC153" si="821">+YEAR(BC154)</f>
        <v>2028</v>
      </c>
      <c r="BD153">
        <f t="shared" ref="BD153" si="822">+YEAR(BD154)</f>
        <v>2028</v>
      </c>
      <c r="BE153">
        <f t="shared" ref="BE153" si="823">+YEAR(BE154)</f>
        <v>2028</v>
      </c>
      <c r="BF153">
        <f t="shared" ref="BF153" si="824">+YEAR(BF154)</f>
        <v>2029</v>
      </c>
      <c r="BG153">
        <f t="shared" ref="BG153" si="825">+YEAR(BG154)</f>
        <v>2029</v>
      </c>
      <c r="BH153">
        <f t="shared" ref="BH153" si="826">+YEAR(BH154)</f>
        <v>2029</v>
      </c>
      <c r="BI153">
        <f t="shared" ref="BI153" si="827">+YEAR(BI154)</f>
        <v>2029</v>
      </c>
      <c r="BJ153">
        <f t="shared" ref="BJ153" si="828">+YEAR(BJ154)</f>
        <v>2029</v>
      </c>
      <c r="BK153">
        <f t="shared" ref="BK153" si="829">+YEAR(BK154)</f>
        <v>2029</v>
      </c>
      <c r="BL153">
        <f t="shared" ref="BL153" si="830">+YEAR(BL154)</f>
        <v>2029</v>
      </c>
      <c r="BM153">
        <f t="shared" ref="BM153" si="831">+YEAR(BM154)</f>
        <v>2029</v>
      </c>
      <c r="BN153">
        <f t="shared" ref="BN153" si="832">+YEAR(BN154)</f>
        <v>2029</v>
      </c>
      <c r="BO153">
        <f t="shared" ref="BO153" si="833">+YEAR(BO154)</f>
        <v>2029</v>
      </c>
      <c r="BP153">
        <f t="shared" ref="BP153" si="834">+YEAR(BP154)</f>
        <v>2029</v>
      </c>
      <c r="BQ153">
        <f t="shared" ref="BQ153" si="835">+YEAR(BQ154)</f>
        <v>2029</v>
      </c>
      <c r="BR153">
        <f t="shared" ref="BR153" si="836">+YEAR(BR154)</f>
        <v>2030</v>
      </c>
      <c r="BS153">
        <f t="shared" ref="BS153" si="837">+YEAR(BS154)</f>
        <v>2030</v>
      </c>
      <c r="BT153">
        <f t="shared" ref="BT153" si="838">+YEAR(BT154)</f>
        <v>2030</v>
      </c>
      <c r="BU153">
        <f t="shared" ref="BU153" si="839">+YEAR(BU154)</f>
        <v>2030</v>
      </c>
      <c r="BV153">
        <f t="shared" ref="BV153" si="840">+YEAR(BV154)</f>
        <v>2030</v>
      </c>
      <c r="BW153">
        <f t="shared" ref="BW153" si="841">+YEAR(BW154)</f>
        <v>2030</v>
      </c>
      <c r="BX153">
        <f t="shared" ref="BX153" si="842">+YEAR(BX154)</f>
        <v>2030</v>
      </c>
      <c r="BY153">
        <f t="shared" ref="BY153" si="843">+YEAR(BY154)</f>
        <v>2030</v>
      </c>
      <c r="BZ153">
        <f t="shared" ref="BZ153" si="844">+YEAR(BZ154)</f>
        <v>2030</v>
      </c>
      <c r="CA153">
        <f t="shared" ref="CA153" si="845">+YEAR(CA154)</f>
        <v>2030</v>
      </c>
      <c r="CB153">
        <f t="shared" ref="CB153" si="846">+YEAR(CB154)</f>
        <v>2030</v>
      </c>
      <c r="CC153">
        <f t="shared" ref="CC153" si="847">+YEAR(CC154)</f>
        <v>2030</v>
      </c>
      <c r="CD153">
        <f t="shared" ref="CD153" si="848">+YEAR(CD154)</f>
        <v>2031</v>
      </c>
      <c r="CE153">
        <f t="shared" ref="CE153" si="849">+YEAR(CE154)</f>
        <v>2031</v>
      </c>
      <c r="CF153">
        <f t="shared" ref="CF153" si="850">+YEAR(CF154)</f>
        <v>2031</v>
      </c>
      <c r="CG153">
        <f t="shared" ref="CG153" si="851">+YEAR(CG154)</f>
        <v>2031</v>
      </c>
      <c r="CH153">
        <f t="shared" ref="CH153" si="852">+YEAR(CH154)</f>
        <v>2031</v>
      </c>
      <c r="CI153">
        <f t="shared" ref="CI153" si="853">+YEAR(CI154)</f>
        <v>2031</v>
      </c>
      <c r="CJ153">
        <f t="shared" ref="CJ153" si="854">+YEAR(CJ154)</f>
        <v>2031</v>
      </c>
      <c r="CK153">
        <f t="shared" ref="CK153" si="855">+YEAR(CK154)</f>
        <v>2031</v>
      </c>
      <c r="CL153">
        <f t="shared" ref="CL153" si="856">+YEAR(CL154)</f>
        <v>2031</v>
      </c>
      <c r="CM153">
        <f t="shared" ref="CM153" si="857">+YEAR(CM154)</f>
        <v>2031</v>
      </c>
      <c r="CN153">
        <f t="shared" ref="CN153" si="858">+YEAR(CN154)</f>
        <v>2031</v>
      </c>
      <c r="CO153">
        <f t="shared" ref="CO153" si="859">+YEAR(CO154)</f>
        <v>2031</v>
      </c>
      <c r="CP153">
        <f t="shared" ref="CP153" si="860">+YEAR(CP154)</f>
        <v>2032</v>
      </c>
      <c r="CQ153">
        <f t="shared" ref="CQ153" si="861">+YEAR(CQ154)</f>
        <v>2032</v>
      </c>
      <c r="CR153">
        <f t="shared" ref="CR153" si="862">+YEAR(CR154)</f>
        <v>2032</v>
      </c>
      <c r="CS153">
        <f t="shared" ref="CS153" si="863">+YEAR(CS154)</f>
        <v>2032</v>
      </c>
      <c r="CT153">
        <f t="shared" ref="CT153" si="864">+YEAR(CT154)</f>
        <v>2032</v>
      </c>
      <c r="CU153">
        <f t="shared" ref="CU153" si="865">+YEAR(CU154)</f>
        <v>2032</v>
      </c>
      <c r="CV153">
        <f t="shared" ref="CV153" si="866">+YEAR(CV154)</f>
        <v>2032</v>
      </c>
      <c r="CW153">
        <f t="shared" ref="CW153" si="867">+YEAR(CW154)</f>
        <v>2032</v>
      </c>
      <c r="CX153">
        <f t="shared" ref="CX153" si="868">+YEAR(CX154)</f>
        <v>2032</v>
      </c>
      <c r="CY153">
        <f t="shared" ref="CY153" si="869">+YEAR(CY154)</f>
        <v>2032</v>
      </c>
      <c r="CZ153">
        <f t="shared" ref="CZ153" si="870">+YEAR(CZ154)</f>
        <v>2032</v>
      </c>
      <c r="DA153">
        <f t="shared" ref="DA153" si="871">+YEAR(DA154)</f>
        <v>2032</v>
      </c>
      <c r="DB153">
        <f t="shared" ref="DB153" si="872">+YEAR(DB154)</f>
        <v>2033</v>
      </c>
      <c r="DC153">
        <f t="shared" ref="DC153" si="873">+YEAR(DC154)</f>
        <v>2033</v>
      </c>
      <c r="DD153">
        <f t="shared" ref="DD153" si="874">+YEAR(DD154)</f>
        <v>2033</v>
      </c>
      <c r="DE153">
        <f t="shared" ref="DE153" si="875">+YEAR(DE154)</f>
        <v>2033</v>
      </c>
      <c r="DF153">
        <f t="shared" ref="DF153" si="876">+YEAR(DF154)</f>
        <v>2033</v>
      </c>
      <c r="DG153">
        <f t="shared" ref="DG153" si="877">+YEAR(DG154)</f>
        <v>2033</v>
      </c>
      <c r="DH153">
        <f t="shared" ref="DH153" si="878">+YEAR(DH154)</f>
        <v>2033</v>
      </c>
      <c r="DI153">
        <f t="shared" ref="DI153" si="879">+YEAR(DI154)</f>
        <v>2033</v>
      </c>
      <c r="DJ153">
        <f t="shared" ref="DJ153" si="880">+YEAR(DJ154)</f>
        <v>2033</v>
      </c>
      <c r="DK153">
        <f t="shared" ref="DK153" si="881">+YEAR(DK154)</f>
        <v>2033</v>
      </c>
      <c r="DL153">
        <f t="shared" ref="DL153" si="882">+YEAR(DL154)</f>
        <v>2033</v>
      </c>
      <c r="DM153">
        <f t="shared" ref="DM153" si="883">+YEAR(DM154)</f>
        <v>2033</v>
      </c>
      <c r="DN153">
        <f t="shared" ref="DN153" si="884">+YEAR(DN154)</f>
        <v>2034</v>
      </c>
      <c r="DO153">
        <f t="shared" ref="DO153" si="885">+YEAR(DO154)</f>
        <v>2034</v>
      </c>
      <c r="DP153">
        <f t="shared" ref="DP153" si="886">+YEAR(DP154)</f>
        <v>2034</v>
      </c>
      <c r="DQ153">
        <f t="shared" ref="DQ153" si="887">+YEAR(DQ154)</f>
        <v>2034</v>
      </c>
      <c r="DR153">
        <f t="shared" ref="DR153" si="888">+YEAR(DR154)</f>
        <v>2034</v>
      </c>
      <c r="DS153">
        <f t="shared" ref="DS153" si="889">+YEAR(DS154)</f>
        <v>2034</v>
      </c>
      <c r="DT153">
        <f t="shared" ref="DT153:GE153" si="890">+YEAR(DT154)</f>
        <v>2034</v>
      </c>
      <c r="DU153">
        <f t="shared" si="890"/>
        <v>2034</v>
      </c>
      <c r="DV153">
        <f t="shared" si="890"/>
        <v>2034</v>
      </c>
      <c r="DW153">
        <f t="shared" si="890"/>
        <v>2034</v>
      </c>
      <c r="DX153">
        <f t="shared" si="890"/>
        <v>2034</v>
      </c>
      <c r="DY153">
        <f t="shared" si="890"/>
        <v>2034</v>
      </c>
      <c r="DZ153">
        <f t="shared" si="890"/>
        <v>2035</v>
      </c>
      <c r="EA153">
        <f t="shared" si="890"/>
        <v>2035</v>
      </c>
      <c r="EB153">
        <f t="shared" si="890"/>
        <v>2035</v>
      </c>
      <c r="EC153">
        <f t="shared" si="890"/>
        <v>2035</v>
      </c>
      <c r="ED153">
        <f t="shared" si="890"/>
        <v>2035</v>
      </c>
      <c r="EE153">
        <f t="shared" si="890"/>
        <v>2035</v>
      </c>
      <c r="EF153">
        <f t="shared" si="890"/>
        <v>2035</v>
      </c>
      <c r="EG153">
        <f t="shared" si="890"/>
        <v>2035</v>
      </c>
      <c r="EH153">
        <f t="shared" si="890"/>
        <v>2035</v>
      </c>
      <c r="EI153">
        <f t="shared" si="890"/>
        <v>2035</v>
      </c>
      <c r="EJ153">
        <f t="shared" si="890"/>
        <v>2035</v>
      </c>
      <c r="EK153">
        <f t="shared" si="890"/>
        <v>2035</v>
      </c>
      <c r="EL153">
        <f t="shared" si="890"/>
        <v>2036</v>
      </c>
      <c r="EM153">
        <f t="shared" si="890"/>
        <v>2036</v>
      </c>
      <c r="EN153">
        <f t="shared" si="890"/>
        <v>2036</v>
      </c>
      <c r="EO153">
        <f t="shared" si="890"/>
        <v>2036</v>
      </c>
      <c r="EP153">
        <f t="shared" si="890"/>
        <v>2036</v>
      </c>
      <c r="EQ153">
        <f t="shared" si="890"/>
        <v>2036</v>
      </c>
      <c r="ER153">
        <f t="shared" si="890"/>
        <v>2036</v>
      </c>
      <c r="ES153">
        <f t="shared" si="890"/>
        <v>2036</v>
      </c>
      <c r="ET153">
        <f t="shared" si="890"/>
        <v>2036</v>
      </c>
      <c r="EU153">
        <f t="shared" si="890"/>
        <v>2036</v>
      </c>
      <c r="EV153">
        <f t="shared" si="890"/>
        <v>2036</v>
      </c>
      <c r="EW153">
        <f t="shared" si="890"/>
        <v>2036</v>
      </c>
      <c r="EX153">
        <f t="shared" si="890"/>
        <v>2037</v>
      </c>
      <c r="EY153">
        <f t="shared" si="890"/>
        <v>2037</v>
      </c>
      <c r="EZ153">
        <f t="shared" si="890"/>
        <v>2037</v>
      </c>
      <c r="FA153">
        <f t="shared" si="890"/>
        <v>2037</v>
      </c>
      <c r="FB153">
        <f t="shared" si="890"/>
        <v>2037</v>
      </c>
      <c r="FC153">
        <f t="shared" si="890"/>
        <v>2037</v>
      </c>
      <c r="FD153">
        <f t="shared" si="890"/>
        <v>2037</v>
      </c>
      <c r="FE153">
        <f t="shared" si="890"/>
        <v>2037</v>
      </c>
      <c r="FF153">
        <f t="shared" si="890"/>
        <v>2037</v>
      </c>
      <c r="FG153">
        <f t="shared" si="890"/>
        <v>2037</v>
      </c>
      <c r="FH153">
        <f t="shared" si="890"/>
        <v>2037</v>
      </c>
      <c r="FI153">
        <f t="shared" si="890"/>
        <v>2037</v>
      </c>
      <c r="FJ153">
        <f t="shared" si="890"/>
        <v>2038</v>
      </c>
      <c r="FK153">
        <f t="shared" si="890"/>
        <v>2038</v>
      </c>
      <c r="FL153">
        <f t="shared" si="890"/>
        <v>2038</v>
      </c>
      <c r="FM153">
        <f t="shared" si="890"/>
        <v>2038</v>
      </c>
      <c r="FN153">
        <f t="shared" si="890"/>
        <v>2038</v>
      </c>
      <c r="FO153">
        <f t="shared" si="890"/>
        <v>2038</v>
      </c>
      <c r="FP153">
        <f t="shared" si="890"/>
        <v>2038</v>
      </c>
      <c r="FQ153">
        <f t="shared" si="890"/>
        <v>2038</v>
      </c>
      <c r="FR153">
        <f t="shared" si="890"/>
        <v>2038</v>
      </c>
      <c r="FS153">
        <f t="shared" si="890"/>
        <v>2038</v>
      </c>
      <c r="FT153">
        <f t="shared" si="890"/>
        <v>2038</v>
      </c>
      <c r="FU153">
        <f t="shared" si="890"/>
        <v>2038</v>
      </c>
      <c r="FV153">
        <f t="shared" si="890"/>
        <v>2039</v>
      </c>
      <c r="FW153">
        <f t="shared" si="890"/>
        <v>2039</v>
      </c>
      <c r="FX153">
        <f t="shared" si="890"/>
        <v>2039</v>
      </c>
      <c r="FY153">
        <f t="shared" si="890"/>
        <v>2039</v>
      </c>
      <c r="FZ153">
        <f t="shared" si="890"/>
        <v>2039</v>
      </c>
      <c r="GA153">
        <f t="shared" si="890"/>
        <v>2039</v>
      </c>
      <c r="GB153">
        <f t="shared" si="890"/>
        <v>2039</v>
      </c>
      <c r="GC153">
        <f t="shared" si="890"/>
        <v>2039</v>
      </c>
      <c r="GD153">
        <f t="shared" si="890"/>
        <v>2039</v>
      </c>
      <c r="GE153">
        <f t="shared" si="890"/>
        <v>2039</v>
      </c>
      <c r="GF153">
        <f t="shared" ref="GF153:IO153" si="891">+YEAR(GF154)</f>
        <v>2039</v>
      </c>
      <c r="GG153">
        <f t="shared" si="891"/>
        <v>2039</v>
      </c>
      <c r="GH153">
        <f t="shared" si="891"/>
        <v>2040</v>
      </c>
      <c r="GI153">
        <f t="shared" si="891"/>
        <v>2040</v>
      </c>
      <c r="GJ153">
        <f t="shared" si="891"/>
        <v>2040</v>
      </c>
      <c r="GK153">
        <f t="shared" si="891"/>
        <v>2040</v>
      </c>
      <c r="GL153">
        <f t="shared" si="891"/>
        <v>2040</v>
      </c>
      <c r="GM153">
        <f t="shared" si="891"/>
        <v>2040</v>
      </c>
      <c r="GN153">
        <f t="shared" si="891"/>
        <v>2040</v>
      </c>
      <c r="GO153">
        <f t="shared" si="891"/>
        <v>2040</v>
      </c>
      <c r="GP153">
        <f t="shared" si="891"/>
        <v>2040</v>
      </c>
      <c r="GQ153">
        <f t="shared" si="891"/>
        <v>2040</v>
      </c>
      <c r="GR153">
        <f t="shared" si="891"/>
        <v>2040</v>
      </c>
      <c r="GS153">
        <f t="shared" si="891"/>
        <v>2040</v>
      </c>
      <c r="GT153">
        <f t="shared" si="891"/>
        <v>2041</v>
      </c>
      <c r="GU153">
        <f t="shared" si="891"/>
        <v>2041</v>
      </c>
      <c r="GV153">
        <f t="shared" si="891"/>
        <v>2041</v>
      </c>
      <c r="GW153">
        <f t="shared" si="891"/>
        <v>2041</v>
      </c>
      <c r="GX153">
        <f t="shared" si="891"/>
        <v>2041</v>
      </c>
      <c r="GY153">
        <f t="shared" si="891"/>
        <v>2041</v>
      </c>
      <c r="GZ153">
        <f t="shared" si="891"/>
        <v>2041</v>
      </c>
      <c r="HA153">
        <f t="shared" si="891"/>
        <v>2041</v>
      </c>
      <c r="HB153">
        <f t="shared" si="891"/>
        <v>2041</v>
      </c>
      <c r="HC153">
        <f t="shared" si="891"/>
        <v>2041</v>
      </c>
      <c r="HD153">
        <f t="shared" si="891"/>
        <v>2041</v>
      </c>
      <c r="HE153">
        <f t="shared" si="891"/>
        <v>2041</v>
      </c>
      <c r="HF153">
        <f t="shared" si="891"/>
        <v>2042</v>
      </c>
      <c r="HG153">
        <f t="shared" si="891"/>
        <v>2042</v>
      </c>
      <c r="HH153">
        <f t="shared" si="891"/>
        <v>2042</v>
      </c>
      <c r="HI153">
        <f t="shared" si="891"/>
        <v>2042</v>
      </c>
      <c r="HJ153">
        <f t="shared" si="891"/>
        <v>2042</v>
      </c>
      <c r="HK153">
        <f t="shared" si="891"/>
        <v>2042</v>
      </c>
      <c r="HL153">
        <f t="shared" si="891"/>
        <v>2042</v>
      </c>
      <c r="HM153">
        <f t="shared" si="891"/>
        <v>2042</v>
      </c>
      <c r="HN153">
        <f t="shared" si="891"/>
        <v>2042</v>
      </c>
      <c r="HO153">
        <f t="shared" si="891"/>
        <v>2042</v>
      </c>
      <c r="HP153">
        <f t="shared" si="891"/>
        <v>2042</v>
      </c>
      <c r="HQ153">
        <f t="shared" si="891"/>
        <v>2042</v>
      </c>
      <c r="HR153">
        <f t="shared" si="891"/>
        <v>2043</v>
      </c>
      <c r="HS153">
        <f t="shared" si="891"/>
        <v>2043</v>
      </c>
      <c r="HT153">
        <f t="shared" si="891"/>
        <v>2043</v>
      </c>
      <c r="HU153">
        <f t="shared" si="891"/>
        <v>2043</v>
      </c>
      <c r="HV153">
        <f t="shared" si="891"/>
        <v>2043</v>
      </c>
      <c r="HW153">
        <f t="shared" si="891"/>
        <v>2043</v>
      </c>
      <c r="HX153">
        <f t="shared" si="891"/>
        <v>2043</v>
      </c>
      <c r="HY153">
        <f t="shared" si="891"/>
        <v>2043</v>
      </c>
      <c r="HZ153">
        <f t="shared" si="891"/>
        <v>2043</v>
      </c>
      <c r="IA153">
        <f t="shared" si="891"/>
        <v>2043</v>
      </c>
      <c r="IB153">
        <f t="shared" si="891"/>
        <v>2043</v>
      </c>
      <c r="IC153">
        <f t="shared" si="891"/>
        <v>2043</v>
      </c>
      <c r="ID153">
        <f t="shared" si="891"/>
        <v>2044</v>
      </c>
      <c r="IE153">
        <f t="shared" si="891"/>
        <v>2044</v>
      </c>
      <c r="IF153">
        <f t="shared" si="891"/>
        <v>2044</v>
      </c>
      <c r="IG153">
        <f t="shared" si="891"/>
        <v>2044</v>
      </c>
      <c r="IH153">
        <f t="shared" si="891"/>
        <v>2044</v>
      </c>
      <c r="II153">
        <f t="shared" si="891"/>
        <v>2044</v>
      </c>
      <c r="IJ153">
        <f t="shared" si="891"/>
        <v>2044</v>
      </c>
      <c r="IK153">
        <f t="shared" si="891"/>
        <v>2044</v>
      </c>
      <c r="IL153">
        <f t="shared" si="891"/>
        <v>2044</v>
      </c>
      <c r="IM153">
        <f t="shared" si="891"/>
        <v>2044</v>
      </c>
      <c r="IN153">
        <f t="shared" si="891"/>
        <v>2044</v>
      </c>
      <c r="IO153">
        <f t="shared" si="891"/>
        <v>2044</v>
      </c>
    </row>
    <row r="154" spans="1:250" x14ac:dyDescent="0.3">
      <c r="A154" s="6" t="s">
        <v>821</v>
      </c>
      <c r="E154" s="14">
        <v>45505</v>
      </c>
      <c r="F154" s="14">
        <v>45536</v>
      </c>
      <c r="G154" s="14">
        <v>45566</v>
      </c>
      <c r="H154" s="14">
        <v>45597</v>
      </c>
      <c r="I154" s="14">
        <v>45627</v>
      </c>
      <c r="J154" s="14">
        <v>45658</v>
      </c>
      <c r="K154" s="14">
        <v>45689</v>
      </c>
      <c r="L154" s="14">
        <v>45717</v>
      </c>
      <c r="M154" s="14">
        <v>45748</v>
      </c>
      <c r="N154" s="14">
        <v>45778</v>
      </c>
      <c r="O154" s="14">
        <v>45809</v>
      </c>
      <c r="P154" s="14">
        <v>45839</v>
      </c>
      <c r="Q154" s="14">
        <v>45870</v>
      </c>
      <c r="R154" s="14">
        <v>45901</v>
      </c>
      <c r="S154" s="14">
        <v>45931</v>
      </c>
      <c r="T154" s="14">
        <v>45962</v>
      </c>
      <c r="U154" s="14">
        <v>45992</v>
      </c>
      <c r="V154" s="14">
        <v>46023</v>
      </c>
      <c r="W154" s="14">
        <v>46054</v>
      </c>
      <c r="X154" s="14">
        <v>46082</v>
      </c>
      <c r="Y154" s="14">
        <v>46113</v>
      </c>
      <c r="Z154" s="14">
        <v>46143</v>
      </c>
      <c r="AA154" s="14">
        <v>46174</v>
      </c>
      <c r="AB154" s="14">
        <v>46204</v>
      </c>
      <c r="AC154" s="14">
        <v>46235</v>
      </c>
      <c r="AD154" s="14">
        <v>46266</v>
      </c>
      <c r="AE154" s="14">
        <v>46296</v>
      </c>
      <c r="AF154" s="14">
        <v>46327</v>
      </c>
      <c r="AG154" s="14">
        <v>46357</v>
      </c>
      <c r="AH154" s="14">
        <v>46388</v>
      </c>
      <c r="AI154" s="14">
        <v>46419</v>
      </c>
      <c r="AJ154" s="14">
        <v>46447</v>
      </c>
      <c r="AK154" s="14">
        <v>46478</v>
      </c>
      <c r="AL154" s="14">
        <v>46508</v>
      </c>
      <c r="AM154" s="14">
        <v>46539</v>
      </c>
      <c r="AN154" s="14">
        <v>46569</v>
      </c>
      <c r="AO154" s="14">
        <v>46600</v>
      </c>
      <c r="AP154" s="14">
        <v>46631</v>
      </c>
      <c r="AQ154" s="14">
        <v>46661</v>
      </c>
      <c r="AR154" s="14">
        <v>46692</v>
      </c>
      <c r="AS154" s="14">
        <v>46722</v>
      </c>
      <c r="AT154" s="14">
        <v>46753</v>
      </c>
      <c r="AU154" s="14">
        <v>46784</v>
      </c>
      <c r="AV154" s="14">
        <v>46813</v>
      </c>
      <c r="AW154" s="14">
        <v>46844</v>
      </c>
      <c r="AX154" s="14">
        <v>46874</v>
      </c>
      <c r="AY154" s="14">
        <v>46905</v>
      </c>
      <c r="AZ154" s="14">
        <v>46935</v>
      </c>
      <c r="BA154" s="14">
        <v>46966</v>
      </c>
      <c r="BB154" s="14">
        <v>46997</v>
      </c>
      <c r="BC154" s="14">
        <v>47027</v>
      </c>
      <c r="BD154" s="14">
        <v>47058</v>
      </c>
      <c r="BE154" s="14">
        <v>47088</v>
      </c>
      <c r="BF154" s="14">
        <v>47119</v>
      </c>
      <c r="BG154" s="14">
        <v>47150</v>
      </c>
      <c r="BH154" s="14">
        <v>47178</v>
      </c>
      <c r="BI154" s="14">
        <v>47209</v>
      </c>
      <c r="BJ154" s="14">
        <v>47239</v>
      </c>
      <c r="BK154" s="14">
        <v>47270</v>
      </c>
      <c r="BL154" s="14">
        <v>47300</v>
      </c>
      <c r="BM154" s="14">
        <v>47331</v>
      </c>
      <c r="BN154" s="14">
        <v>47362</v>
      </c>
      <c r="BO154" s="14">
        <v>47392</v>
      </c>
      <c r="BP154" s="14">
        <v>47423</v>
      </c>
      <c r="BQ154" s="14">
        <v>47453</v>
      </c>
      <c r="BR154" s="14">
        <v>47484</v>
      </c>
      <c r="BS154" s="14">
        <v>47515</v>
      </c>
      <c r="BT154" s="14">
        <v>47543</v>
      </c>
      <c r="BU154" s="14">
        <v>47574</v>
      </c>
      <c r="BV154" s="14">
        <v>47604</v>
      </c>
      <c r="BW154" s="14">
        <v>47635</v>
      </c>
      <c r="BX154" s="14">
        <v>47665</v>
      </c>
      <c r="BY154" s="14">
        <v>47696</v>
      </c>
      <c r="BZ154" s="14">
        <v>47727</v>
      </c>
      <c r="CA154" s="14">
        <v>47757</v>
      </c>
      <c r="CB154" s="14">
        <v>47788</v>
      </c>
      <c r="CC154" s="14">
        <v>47818</v>
      </c>
      <c r="CD154" s="14">
        <v>47849</v>
      </c>
      <c r="CE154" s="14">
        <v>47880</v>
      </c>
      <c r="CF154" s="14">
        <v>47908</v>
      </c>
      <c r="CG154" s="14">
        <v>47939</v>
      </c>
      <c r="CH154" s="14">
        <v>47969</v>
      </c>
      <c r="CI154" s="14">
        <v>48000</v>
      </c>
      <c r="CJ154" s="14">
        <v>48030</v>
      </c>
      <c r="CK154" s="14">
        <v>48061</v>
      </c>
      <c r="CL154" s="14">
        <v>48092</v>
      </c>
      <c r="CM154" s="14">
        <v>48122</v>
      </c>
      <c r="CN154" s="14">
        <v>48153</v>
      </c>
      <c r="CO154" s="14">
        <v>48183</v>
      </c>
      <c r="CP154" s="14">
        <v>48214</v>
      </c>
      <c r="CQ154" s="14">
        <v>48245</v>
      </c>
      <c r="CR154" s="14">
        <v>48274</v>
      </c>
      <c r="CS154" s="14">
        <v>48305</v>
      </c>
      <c r="CT154" s="14">
        <v>48335</v>
      </c>
      <c r="CU154" s="14">
        <v>48366</v>
      </c>
      <c r="CV154" s="14">
        <v>48396</v>
      </c>
      <c r="CW154" s="14">
        <v>48427</v>
      </c>
      <c r="CX154" s="14">
        <v>48458</v>
      </c>
      <c r="CY154" s="14">
        <v>48488</v>
      </c>
      <c r="CZ154" s="14">
        <v>48519</v>
      </c>
      <c r="DA154" s="14">
        <v>48549</v>
      </c>
      <c r="DB154" s="14">
        <v>48580</v>
      </c>
      <c r="DC154" s="14">
        <v>48611</v>
      </c>
      <c r="DD154" s="14">
        <v>48639</v>
      </c>
      <c r="DE154" s="14">
        <v>48670</v>
      </c>
      <c r="DF154" s="14">
        <v>48700</v>
      </c>
      <c r="DG154" s="14">
        <v>48731</v>
      </c>
      <c r="DH154" s="14">
        <v>48761</v>
      </c>
      <c r="DI154" s="14">
        <v>48792</v>
      </c>
      <c r="DJ154" s="14">
        <v>48823</v>
      </c>
      <c r="DK154" s="14">
        <v>48853</v>
      </c>
      <c r="DL154" s="14">
        <v>48884</v>
      </c>
      <c r="DM154" s="14">
        <v>48914</v>
      </c>
      <c r="DN154" s="14">
        <v>48945</v>
      </c>
      <c r="DO154" s="14">
        <v>48976</v>
      </c>
      <c r="DP154" s="14">
        <v>49004</v>
      </c>
      <c r="DQ154" s="14">
        <v>49035</v>
      </c>
      <c r="DR154" s="14">
        <v>49065</v>
      </c>
      <c r="DS154" s="14">
        <v>49096</v>
      </c>
      <c r="DT154" s="14">
        <v>49126</v>
      </c>
      <c r="DU154" s="14">
        <v>49157</v>
      </c>
      <c r="DV154" s="14">
        <v>49188</v>
      </c>
      <c r="DW154" s="14">
        <v>49218</v>
      </c>
      <c r="DX154" s="14">
        <v>49249</v>
      </c>
      <c r="DY154" s="14">
        <v>49279</v>
      </c>
      <c r="DZ154" s="14">
        <v>49310</v>
      </c>
      <c r="EA154" s="14">
        <v>49341</v>
      </c>
      <c r="EB154" s="14">
        <v>49369</v>
      </c>
      <c r="EC154" s="14">
        <v>49400</v>
      </c>
      <c r="ED154" s="14">
        <v>49430</v>
      </c>
      <c r="EE154" s="14">
        <v>49461</v>
      </c>
      <c r="EF154" s="14">
        <v>49491</v>
      </c>
      <c r="EG154" s="14">
        <v>49522</v>
      </c>
      <c r="EH154" s="14">
        <v>49553</v>
      </c>
      <c r="EI154" s="14">
        <v>49583</v>
      </c>
      <c r="EJ154" s="14">
        <v>49614</v>
      </c>
      <c r="EK154" s="14">
        <v>49644</v>
      </c>
      <c r="EL154" s="14">
        <v>49675</v>
      </c>
      <c r="EM154" s="14">
        <v>49706</v>
      </c>
      <c r="EN154" s="14">
        <v>49735</v>
      </c>
      <c r="EO154" s="14">
        <v>49766</v>
      </c>
      <c r="EP154" s="14">
        <v>49796</v>
      </c>
      <c r="EQ154" s="14">
        <v>49827</v>
      </c>
      <c r="ER154" s="14">
        <v>49857</v>
      </c>
      <c r="ES154" s="14">
        <v>49888</v>
      </c>
      <c r="ET154" s="14">
        <v>49919</v>
      </c>
      <c r="EU154" s="14">
        <v>49949</v>
      </c>
      <c r="EV154" s="14">
        <v>49980</v>
      </c>
      <c r="EW154" s="14">
        <v>50010</v>
      </c>
      <c r="EX154" s="14">
        <v>50041</v>
      </c>
      <c r="EY154" s="14">
        <v>50072</v>
      </c>
      <c r="EZ154" s="14">
        <v>50100</v>
      </c>
      <c r="FA154" s="14">
        <v>50131</v>
      </c>
      <c r="FB154" s="14">
        <v>50161</v>
      </c>
      <c r="FC154" s="14">
        <v>50192</v>
      </c>
      <c r="FD154" s="14">
        <v>50222</v>
      </c>
      <c r="FE154" s="14">
        <v>50253</v>
      </c>
      <c r="FF154" s="14">
        <v>50284</v>
      </c>
      <c r="FG154" s="14">
        <v>50314</v>
      </c>
      <c r="FH154" s="14">
        <v>50345</v>
      </c>
      <c r="FI154" s="14">
        <v>50375</v>
      </c>
      <c r="FJ154" s="14">
        <v>50406</v>
      </c>
      <c r="FK154" s="14">
        <v>50437</v>
      </c>
      <c r="FL154" s="14">
        <v>50465</v>
      </c>
      <c r="FM154" s="14">
        <v>50496</v>
      </c>
      <c r="FN154" s="14">
        <v>50526</v>
      </c>
      <c r="FO154" s="14">
        <v>50557</v>
      </c>
      <c r="FP154" s="14">
        <v>50587</v>
      </c>
      <c r="FQ154" s="14">
        <v>50618</v>
      </c>
      <c r="FR154" s="14">
        <v>50649</v>
      </c>
      <c r="FS154" s="14">
        <v>50679</v>
      </c>
      <c r="FT154" s="14">
        <v>50710</v>
      </c>
      <c r="FU154" s="14">
        <v>50740</v>
      </c>
      <c r="FV154" s="14">
        <v>50771</v>
      </c>
      <c r="FW154" s="14">
        <v>50802</v>
      </c>
      <c r="FX154" s="14">
        <v>50830</v>
      </c>
      <c r="FY154" s="14">
        <v>50861</v>
      </c>
      <c r="FZ154" s="14">
        <v>50891</v>
      </c>
      <c r="GA154" s="14">
        <v>50922</v>
      </c>
      <c r="GB154" s="14">
        <v>50952</v>
      </c>
      <c r="GC154" s="14">
        <v>50983</v>
      </c>
      <c r="GD154" s="14">
        <v>51014</v>
      </c>
      <c r="GE154" s="14">
        <v>51044</v>
      </c>
      <c r="GF154" s="14">
        <v>51075</v>
      </c>
      <c r="GG154" s="14">
        <v>51105</v>
      </c>
      <c r="GH154" s="14">
        <v>51136</v>
      </c>
      <c r="GI154" s="14">
        <v>51167</v>
      </c>
      <c r="GJ154" s="14">
        <v>51196</v>
      </c>
      <c r="GK154" s="14">
        <v>51227</v>
      </c>
      <c r="GL154" s="14">
        <v>51257</v>
      </c>
      <c r="GM154" s="14">
        <v>51288</v>
      </c>
      <c r="GN154" s="14">
        <v>51318</v>
      </c>
      <c r="GO154" s="14">
        <v>51349</v>
      </c>
      <c r="GP154" s="14">
        <v>51380</v>
      </c>
      <c r="GQ154" s="14">
        <v>51410</v>
      </c>
      <c r="GR154" s="14">
        <v>51441</v>
      </c>
      <c r="GS154" s="14">
        <v>51471</v>
      </c>
      <c r="GT154" s="14">
        <v>51502</v>
      </c>
      <c r="GU154" s="14">
        <v>51533</v>
      </c>
      <c r="GV154" s="14">
        <v>51561</v>
      </c>
      <c r="GW154" s="14">
        <v>51592</v>
      </c>
      <c r="GX154" s="14">
        <v>51622</v>
      </c>
      <c r="GY154" s="14">
        <v>51653</v>
      </c>
      <c r="GZ154" s="14">
        <v>51683</v>
      </c>
      <c r="HA154" s="14">
        <v>51714</v>
      </c>
      <c r="HB154" s="14">
        <v>51745</v>
      </c>
      <c r="HC154" s="14">
        <v>51775</v>
      </c>
      <c r="HD154" s="14">
        <v>51806</v>
      </c>
      <c r="HE154" s="14">
        <v>51836</v>
      </c>
      <c r="HF154" s="14">
        <v>51867</v>
      </c>
      <c r="HG154" s="14">
        <v>51898</v>
      </c>
      <c r="HH154" s="14">
        <v>51926</v>
      </c>
      <c r="HI154" s="14">
        <v>51957</v>
      </c>
      <c r="HJ154" s="14">
        <v>51987</v>
      </c>
      <c r="HK154" s="14">
        <v>52018</v>
      </c>
      <c r="HL154" s="14">
        <v>52048</v>
      </c>
      <c r="HM154" s="14">
        <v>52079</v>
      </c>
      <c r="HN154" s="14">
        <v>52110</v>
      </c>
      <c r="HO154" s="14">
        <v>52140</v>
      </c>
      <c r="HP154" s="14">
        <v>52171</v>
      </c>
      <c r="HQ154" s="14">
        <v>52201</v>
      </c>
      <c r="HR154" s="14">
        <v>52232</v>
      </c>
      <c r="HS154" s="14">
        <v>52263</v>
      </c>
      <c r="HT154" s="14">
        <v>52291</v>
      </c>
      <c r="HU154" s="14">
        <v>52322</v>
      </c>
      <c r="HV154" s="14">
        <v>52352</v>
      </c>
      <c r="HW154" s="14">
        <v>52383</v>
      </c>
      <c r="HX154" s="14">
        <v>52413</v>
      </c>
      <c r="HY154" s="14">
        <v>52444</v>
      </c>
      <c r="HZ154" s="14">
        <v>52475</v>
      </c>
      <c r="IA154" s="14">
        <v>52505</v>
      </c>
      <c r="IB154" s="14">
        <v>52536</v>
      </c>
      <c r="IC154" s="14">
        <v>52566</v>
      </c>
      <c r="ID154" s="14">
        <v>52597</v>
      </c>
      <c r="IE154" s="14">
        <v>52628</v>
      </c>
      <c r="IF154" s="14">
        <v>52657</v>
      </c>
      <c r="IG154" s="14">
        <v>52688</v>
      </c>
      <c r="IH154" s="14">
        <v>52718</v>
      </c>
      <c r="II154" s="14">
        <v>52749</v>
      </c>
      <c r="IJ154" s="14">
        <v>52779</v>
      </c>
      <c r="IK154" s="14">
        <v>52810</v>
      </c>
      <c r="IL154" s="14">
        <v>52841</v>
      </c>
      <c r="IM154" s="14">
        <v>52871</v>
      </c>
      <c r="IN154" s="14">
        <v>52902</v>
      </c>
      <c r="IO154" s="14">
        <v>52932</v>
      </c>
      <c r="IP154" s="14"/>
    </row>
    <row r="155" spans="1:250" x14ac:dyDescent="0.3">
      <c r="A155" t="s">
        <v>822</v>
      </c>
      <c r="E155" s="30">
        <v>100000</v>
      </c>
      <c r="F155" s="30">
        <v>100000</v>
      </c>
      <c r="G155" s="30">
        <v>100000</v>
      </c>
      <c r="H155" s="30">
        <v>100000</v>
      </c>
      <c r="I155" s="30">
        <v>100000</v>
      </c>
      <c r="J155" s="30">
        <f>+I155*1.1</f>
        <v>110000.00000000001</v>
      </c>
      <c r="K155" s="30">
        <f>+J155</f>
        <v>110000.00000000001</v>
      </c>
      <c r="L155" s="30">
        <f t="shared" ref="L155:U155" si="892">+K155</f>
        <v>110000.00000000001</v>
      </c>
      <c r="M155" s="30">
        <f t="shared" si="892"/>
        <v>110000.00000000001</v>
      </c>
      <c r="N155" s="30">
        <f t="shared" si="892"/>
        <v>110000.00000000001</v>
      </c>
      <c r="O155" s="30">
        <f t="shared" si="892"/>
        <v>110000.00000000001</v>
      </c>
      <c r="P155" s="30">
        <f t="shared" si="892"/>
        <v>110000.00000000001</v>
      </c>
      <c r="Q155" s="30">
        <f t="shared" si="892"/>
        <v>110000.00000000001</v>
      </c>
      <c r="R155" s="30">
        <f t="shared" si="892"/>
        <v>110000.00000000001</v>
      </c>
      <c r="S155" s="30">
        <f t="shared" si="892"/>
        <v>110000.00000000001</v>
      </c>
      <c r="T155" s="30">
        <f t="shared" si="892"/>
        <v>110000.00000000001</v>
      </c>
      <c r="U155" s="30">
        <f t="shared" si="892"/>
        <v>110000.00000000001</v>
      </c>
      <c r="V155" s="30">
        <f>+U155*1.1</f>
        <v>121000.00000000003</v>
      </c>
      <c r="W155" s="30">
        <f>+V155</f>
        <v>121000.00000000003</v>
      </c>
      <c r="X155" s="30">
        <f t="shared" ref="X155:AG155" si="893">+W155</f>
        <v>121000.00000000003</v>
      </c>
      <c r="Y155" s="30">
        <f t="shared" si="893"/>
        <v>121000.00000000003</v>
      </c>
      <c r="Z155" s="30">
        <f t="shared" si="893"/>
        <v>121000.00000000003</v>
      </c>
      <c r="AA155" s="30">
        <f t="shared" si="893"/>
        <v>121000.00000000003</v>
      </c>
      <c r="AB155" s="30">
        <f t="shared" si="893"/>
        <v>121000.00000000003</v>
      </c>
      <c r="AC155" s="30">
        <f t="shared" si="893"/>
        <v>121000.00000000003</v>
      </c>
      <c r="AD155" s="30">
        <f t="shared" si="893"/>
        <v>121000.00000000003</v>
      </c>
      <c r="AE155" s="30">
        <f t="shared" si="893"/>
        <v>121000.00000000003</v>
      </c>
      <c r="AF155" s="30">
        <f t="shared" si="893"/>
        <v>121000.00000000003</v>
      </c>
      <c r="AG155" s="30">
        <f t="shared" si="893"/>
        <v>121000.00000000003</v>
      </c>
      <c r="AH155" s="30">
        <f>+AG155*1.1</f>
        <v>133100.00000000003</v>
      </c>
      <c r="AI155" s="30">
        <f>+AH155</f>
        <v>133100.00000000003</v>
      </c>
      <c r="AJ155" s="30">
        <f t="shared" ref="AJ155:AS155" si="894">+AI155</f>
        <v>133100.00000000003</v>
      </c>
      <c r="AK155" s="30">
        <f t="shared" si="894"/>
        <v>133100.00000000003</v>
      </c>
      <c r="AL155" s="30">
        <f t="shared" si="894"/>
        <v>133100.00000000003</v>
      </c>
      <c r="AM155" s="30">
        <f t="shared" si="894"/>
        <v>133100.00000000003</v>
      </c>
      <c r="AN155" s="30">
        <f t="shared" si="894"/>
        <v>133100.00000000003</v>
      </c>
      <c r="AO155" s="30">
        <f t="shared" si="894"/>
        <v>133100.00000000003</v>
      </c>
      <c r="AP155" s="30">
        <f t="shared" si="894"/>
        <v>133100.00000000003</v>
      </c>
      <c r="AQ155" s="30">
        <f t="shared" si="894"/>
        <v>133100.00000000003</v>
      </c>
      <c r="AR155" s="30">
        <f t="shared" si="894"/>
        <v>133100.00000000003</v>
      </c>
      <c r="AS155" s="30">
        <f t="shared" si="894"/>
        <v>133100.00000000003</v>
      </c>
      <c r="AT155" s="30">
        <f>+AS155*1.1</f>
        <v>146410.00000000006</v>
      </c>
      <c r="AU155" s="30">
        <f>+AT155</f>
        <v>146410.00000000006</v>
      </c>
      <c r="AV155" s="30">
        <f t="shared" ref="AV155:BE155" si="895">+AU155</f>
        <v>146410.00000000006</v>
      </c>
      <c r="AW155" s="30">
        <f t="shared" si="895"/>
        <v>146410.00000000006</v>
      </c>
      <c r="AX155" s="30">
        <f t="shared" si="895"/>
        <v>146410.00000000006</v>
      </c>
      <c r="AY155" s="30">
        <f t="shared" si="895"/>
        <v>146410.00000000006</v>
      </c>
      <c r="AZ155" s="30">
        <f t="shared" si="895"/>
        <v>146410.00000000006</v>
      </c>
      <c r="BA155" s="30">
        <f t="shared" si="895"/>
        <v>146410.00000000006</v>
      </c>
      <c r="BB155" s="30">
        <f t="shared" si="895"/>
        <v>146410.00000000006</v>
      </c>
      <c r="BC155" s="30">
        <f t="shared" si="895"/>
        <v>146410.00000000006</v>
      </c>
      <c r="BD155" s="30">
        <f t="shared" si="895"/>
        <v>146410.00000000006</v>
      </c>
      <c r="BE155" s="30">
        <f t="shared" si="895"/>
        <v>146410.00000000006</v>
      </c>
      <c r="BF155" s="30">
        <f>+BE155*1.1</f>
        <v>161051.00000000009</v>
      </c>
      <c r="BG155" s="30">
        <f>+BF155</f>
        <v>161051.00000000009</v>
      </c>
      <c r="BH155" s="30">
        <f t="shared" ref="BH155:BQ155" si="896">+BG155</f>
        <v>161051.00000000009</v>
      </c>
      <c r="BI155" s="30">
        <f t="shared" si="896"/>
        <v>161051.00000000009</v>
      </c>
      <c r="BJ155" s="30">
        <f t="shared" si="896"/>
        <v>161051.00000000009</v>
      </c>
      <c r="BK155" s="30">
        <f t="shared" si="896"/>
        <v>161051.00000000009</v>
      </c>
      <c r="BL155" s="30">
        <f t="shared" si="896"/>
        <v>161051.00000000009</v>
      </c>
      <c r="BM155" s="30">
        <f t="shared" si="896"/>
        <v>161051.00000000009</v>
      </c>
      <c r="BN155" s="30">
        <f t="shared" si="896"/>
        <v>161051.00000000009</v>
      </c>
      <c r="BO155" s="30">
        <f t="shared" si="896"/>
        <v>161051.00000000009</v>
      </c>
      <c r="BP155" s="30">
        <f t="shared" si="896"/>
        <v>161051.00000000009</v>
      </c>
      <c r="BQ155" s="30">
        <f t="shared" si="896"/>
        <v>161051.00000000009</v>
      </c>
      <c r="BR155" s="30">
        <f>+BQ155*1.1</f>
        <v>177156.10000000012</v>
      </c>
      <c r="BS155" s="30">
        <f>+BR155</f>
        <v>177156.10000000012</v>
      </c>
      <c r="BT155" s="30">
        <f t="shared" ref="BT155:CC155" si="897">+BS155</f>
        <v>177156.10000000012</v>
      </c>
      <c r="BU155" s="30">
        <f t="shared" si="897"/>
        <v>177156.10000000012</v>
      </c>
      <c r="BV155" s="30">
        <f t="shared" si="897"/>
        <v>177156.10000000012</v>
      </c>
      <c r="BW155" s="30">
        <f t="shared" si="897"/>
        <v>177156.10000000012</v>
      </c>
      <c r="BX155" s="30">
        <f t="shared" si="897"/>
        <v>177156.10000000012</v>
      </c>
      <c r="BY155" s="30">
        <f t="shared" si="897"/>
        <v>177156.10000000012</v>
      </c>
      <c r="BZ155" s="30">
        <f t="shared" si="897"/>
        <v>177156.10000000012</v>
      </c>
      <c r="CA155" s="30">
        <f t="shared" si="897"/>
        <v>177156.10000000012</v>
      </c>
      <c r="CB155" s="30">
        <f t="shared" si="897"/>
        <v>177156.10000000012</v>
      </c>
      <c r="CC155" s="30">
        <f t="shared" si="897"/>
        <v>177156.10000000012</v>
      </c>
      <c r="CD155" s="30">
        <f>+CC155*1.1</f>
        <v>194871.71000000014</v>
      </c>
      <c r="CE155" s="30">
        <f>+CD155</f>
        <v>194871.71000000014</v>
      </c>
      <c r="CF155" s="30">
        <f t="shared" ref="CF155:CN155" si="898">+CE155</f>
        <v>194871.71000000014</v>
      </c>
      <c r="CG155" s="30">
        <f t="shared" si="898"/>
        <v>194871.71000000014</v>
      </c>
      <c r="CH155" s="30">
        <f t="shared" si="898"/>
        <v>194871.71000000014</v>
      </c>
      <c r="CI155" s="30">
        <f t="shared" si="898"/>
        <v>194871.71000000014</v>
      </c>
      <c r="CJ155" s="30">
        <f t="shared" si="898"/>
        <v>194871.71000000014</v>
      </c>
      <c r="CK155" s="30">
        <f t="shared" si="898"/>
        <v>194871.71000000014</v>
      </c>
      <c r="CL155" s="30">
        <f t="shared" si="898"/>
        <v>194871.71000000014</v>
      </c>
      <c r="CM155" s="30">
        <f t="shared" si="898"/>
        <v>194871.71000000014</v>
      </c>
      <c r="CN155" s="30">
        <f t="shared" si="898"/>
        <v>194871.71000000014</v>
      </c>
      <c r="CO155" s="30">
        <f>+CN155</f>
        <v>194871.71000000014</v>
      </c>
      <c r="CP155" s="30">
        <f>+CO155*1.1</f>
        <v>214358.88100000017</v>
      </c>
      <c r="CQ155" s="30">
        <f>+CP155</f>
        <v>214358.88100000017</v>
      </c>
      <c r="CR155" s="30">
        <f t="shared" ref="CR155:DA155" si="899">+CQ155</f>
        <v>214358.88100000017</v>
      </c>
      <c r="CS155" s="30">
        <f t="shared" si="899"/>
        <v>214358.88100000017</v>
      </c>
      <c r="CT155" s="30">
        <f t="shared" si="899"/>
        <v>214358.88100000017</v>
      </c>
      <c r="CU155" s="30">
        <f t="shared" si="899"/>
        <v>214358.88100000017</v>
      </c>
      <c r="CV155" s="30">
        <f t="shared" si="899"/>
        <v>214358.88100000017</v>
      </c>
      <c r="CW155" s="30">
        <f t="shared" si="899"/>
        <v>214358.88100000017</v>
      </c>
      <c r="CX155" s="30">
        <f t="shared" si="899"/>
        <v>214358.88100000017</v>
      </c>
      <c r="CY155" s="30">
        <f t="shared" si="899"/>
        <v>214358.88100000017</v>
      </c>
      <c r="CZ155" s="30">
        <f t="shared" si="899"/>
        <v>214358.88100000017</v>
      </c>
      <c r="DA155" s="30">
        <f t="shared" si="899"/>
        <v>214358.88100000017</v>
      </c>
      <c r="DB155" s="30">
        <f>+DA155*1.1</f>
        <v>235794.76910000021</v>
      </c>
      <c r="DC155" s="30">
        <f>+DB155</f>
        <v>235794.76910000021</v>
      </c>
      <c r="DD155" s="30">
        <f t="shared" ref="DD155:DK155" si="900">+DC155</f>
        <v>235794.76910000021</v>
      </c>
      <c r="DE155" s="30">
        <f t="shared" si="900"/>
        <v>235794.76910000021</v>
      </c>
      <c r="DF155" s="30">
        <f t="shared" si="900"/>
        <v>235794.76910000021</v>
      </c>
      <c r="DG155" s="30">
        <f t="shared" si="900"/>
        <v>235794.76910000021</v>
      </c>
      <c r="DH155" s="30">
        <f t="shared" si="900"/>
        <v>235794.76910000021</v>
      </c>
      <c r="DI155" s="30">
        <f t="shared" si="900"/>
        <v>235794.76910000021</v>
      </c>
      <c r="DJ155" s="30">
        <f t="shared" si="900"/>
        <v>235794.76910000021</v>
      </c>
      <c r="DK155" s="30">
        <f t="shared" si="900"/>
        <v>235794.76910000021</v>
      </c>
      <c r="DL155" s="30">
        <f>+DK155</f>
        <v>235794.76910000021</v>
      </c>
      <c r="DM155" s="30">
        <f t="shared" ref="DM155" si="901">+DL155</f>
        <v>235794.76910000021</v>
      </c>
      <c r="DN155" s="30">
        <f>+DM155*1.1</f>
        <v>259374.24601000026</v>
      </c>
      <c r="DO155" s="30">
        <f>+DN155</f>
        <v>259374.24601000026</v>
      </c>
      <c r="DP155" s="30">
        <f t="shared" ref="DP155:DR155" si="902">+DO155</f>
        <v>259374.24601000026</v>
      </c>
      <c r="DQ155" s="30">
        <f t="shared" si="902"/>
        <v>259374.24601000026</v>
      </c>
      <c r="DR155" s="30">
        <f t="shared" si="902"/>
        <v>259374.24601000026</v>
      </c>
      <c r="DS155" s="30">
        <f>+DR155</f>
        <v>259374.24601000026</v>
      </c>
      <c r="DT155" s="30">
        <f t="shared" ref="DT155" si="903">+DS155</f>
        <v>259374.24601000026</v>
      </c>
      <c r="DU155" s="30">
        <f>+DT155</f>
        <v>259374.24601000026</v>
      </c>
      <c r="DV155" s="30">
        <f>+DU155</f>
        <v>259374.24601000026</v>
      </c>
      <c r="DW155" s="30">
        <f t="shared" ref="DW155:DW156" si="904">+DV155</f>
        <v>259374.24601000026</v>
      </c>
      <c r="DX155" s="30">
        <f t="shared" ref="DX155:DX156" si="905">+DW155</f>
        <v>259374.24601000026</v>
      </c>
      <c r="DY155" s="30">
        <f t="shared" ref="DY155:DY156" si="906">+DX155</f>
        <v>259374.24601000026</v>
      </c>
      <c r="DZ155" s="30">
        <f>+DY155*1.1</f>
        <v>285311.67061100033</v>
      </c>
      <c r="EA155" s="30">
        <f t="shared" ref="EA155" si="907">+DZ155*1.1</f>
        <v>313842.8376721004</v>
      </c>
      <c r="EB155" s="30">
        <f t="shared" ref="EB155" si="908">+EA155</f>
        <v>313842.8376721004</v>
      </c>
      <c r="EC155" s="30">
        <f t="shared" ref="EC155:EC156" si="909">+EB155</f>
        <v>313842.8376721004</v>
      </c>
      <c r="ED155" s="30">
        <f t="shared" ref="ED155:ED156" si="910">+EC155</f>
        <v>313842.8376721004</v>
      </c>
      <c r="EE155" s="30">
        <f t="shared" ref="EE155:EF156" si="911">+ED155</f>
        <v>313842.8376721004</v>
      </c>
      <c r="EF155" s="30">
        <f t="shared" si="911"/>
        <v>313842.8376721004</v>
      </c>
      <c r="EG155" s="30">
        <f t="shared" ref="EG155:EG156" si="912">+EF155</f>
        <v>313842.8376721004</v>
      </c>
      <c r="EH155" s="30">
        <f>+EG155</f>
        <v>313842.8376721004</v>
      </c>
      <c r="EI155" s="30">
        <f t="shared" ref="EI155" si="913">+EH155</f>
        <v>313842.8376721004</v>
      </c>
      <c r="EJ155" s="30">
        <f t="shared" ref="EJ155:EJ156" si="914">+EI155</f>
        <v>313842.8376721004</v>
      </c>
      <c r="EK155" s="30">
        <f t="shared" ref="EK155:EK156" si="915">+EJ155</f>
        <v>313842.8376721004</v>
      </c>
      <c r="EL155" s="30">
        <f>+EK155*1.1</f>
        <v>345227.12143931049</v>
      </c>
      <c r="EM155" s="30">
        <f t="shared" ref="EM155" si="916">+EL155</f>
        <v>345227.12143931049</v>
      </c>
      <c r="EN155" s="30">
        <f>+EM155</f>
        <v>345227.12143931049</v>
      </c>
      <c r="EO155" s="30">
        <f t="shared" ref="EO155" si="917">+EN155</f>
        <v>345227.12143931049</v>
      </c>
      <c r="EP155" s="30">
        <f t="shared" ref="EP155:EP156" si="918">+EO155</f>
        <v>345227.12143931049</v>
      </c>
      <c r="EQ155" s="30">
        <f t="shared" ref="EQ155:EQ156" si="919">+EP155</f>
        <v>345227.12143931049</v>
      </c>
      <c r="ER155" s="30">
        <f t="shared" ref="ER155:ES156" si="920">+EQ155</f>
        <v>345227.12143931049</v>
      </c>
      <c r="ES155" s="30">
        <f t="shared" si="920"/>
        <v>345227.12143931049</v>
      </c>
      <c r="ET155" s="30">
        <f t="shared" ref="ET155:ET156" si="921">+ES155</f>
        <v>345227.12143931049</v>
      </c>
      <c r="EU155" s="30">
        <f>+ET155</f>
        <v>345227.12143931049</v>
      </c>
      <c r="EV155" s="30">
        <f t="shared" ref="EV155" si="922">+EU155</f>
        <v>345227.12143931049</v>
      </c>
      <c r="EW155" s="30">
        <f t="shared" ref="EW155:EW156" si="923">+EV155</f>
        <v>345227.12143931049</v>
      </c>
      <c r="EX155" s="30">
        <f>+EW155*1.1</f>
        <v>379749.83358324156</v>
      </c>
      <c r="EY155" s="30">
        <f>+EX155</f>
        <v>379749.83358324156</v>
      </c>
      <c r="EZ155" s="30">
        <f>+EY155</f>
        <v>379749.83358324156</v>
      </c>
      <c r="FA155" s="30">
        <f t="shared" ref="FA155:FA156" si="924">+EZ155</f>
        <v>379749.83358324156</v>
      </c>
      <c r="FB155" s="30">
        <f t="shared" ref="FB155:FB156" si="925">+FA155</f>
        <v>379749.83358324156</v>
      </c>
      <c r="FC155" s="30">
        <f t="shared" ref="FC155:FC156" si="926">+FB155</f>
        <v>379749.83358324156</v>
      </c>
      <c r="FD155" s="30">
        <f>+FC155</f>
        <v>379749.83358324156</v>
      </c>
      <c r="FE155" s="30">
        <f t="shared" ref="FE155:FE156" si="927">+FD155</f>
        <v>379749.83358324156</v>
      </c>
      <c r="FF155" s="30">
        <f>+FE155</f>
        <v>379749.83358324156</v>
      </c>
      <c r="FG155" s="30">
        <f>+FF155</f>
        <v>379749.83358324156</v>
      </c>
      <c r="FH155" s="30">
        <f t="shared" ref="FH155:FH156" si="928">+FG155</f>
        <v>379749.83358324156</v>
      </c>
      <c r="FI155" s="30">
        <f t="shared" ref="FI155:FI156" si="929">+FH155</f>
        <v>379749.83358324156</v>
      </c>
      <c r="FJ155" s="30">
        <f>+FI155*1.1</f>
        <v>417724.81694156578</v>
      </c>
      <c r="FK155" s="30">
        <f>+FJ155</f>
        <v>417724.81694156578</v>
      </c>
      <c r="FL155" s="30">
        <f>+FK155</f>
        <v>417724.81694156578</v>
      </c>
      <c r="FM155" s="30">
        <f t="shared" ref="FM155" si="930">+FL155</f>
        <v>417724.81694156578</v>
      </c>
      <c r="FN155" s="30">
        <f t="shared" ref="FN155:FN156" si="931">+FM155</f>
        <v>417724.81694156578</v>
      </c>
      <c r="FO155" s="30">
        <f t="shared" ref="FO155:FO156" si="932">+FN155</f>
        <v>417724.81694156578</v>
      </c>
      <c r="FP155" s="30">
        <f t="shared" ref="FP155:FP156" si="933">+FO155</f>
        <v>417724.81694156578</v>
      </c>
      <c r="FQ155" s="30">
        <f t="shared" ref="FQ155:FQ156" si="934">+FP155</f>
        <v>417724.81694156578</v>
      </c>
      <c r="FR155" s="30">
        <f t="shared" ref="FR155:FR156" si="935">+FQ155</f>
        <v>417724.81694156578</v>
      </c>
      <c r="FS155" s="30">
        <f>+FR155</f>
        <v>417724.81694156578</v>
      </c>
      <c r="FT155" s="30">
        <f>+FS155</f>
        <v>417724.81694156578</v>
      </c>
      <c r="FU155" s="30">
        <f t="shared" ref="FU155:FU156" si="936">+FT155</f>
        <v>417724.81694156578</v>
      </c>
      <c r="FV155" s="30">
        <f>+FU155*1.1</f>
        <v>459497.29863572237</v>
      </c>
      <c r="FW155" s="30">
        <f t="shared" ref="FW155:FW156" si="937">+FV155</f>
        <v>459497.29863572237</v>
      </c>
      <c r="FX155" s="30">
        <f>+FW155</f>
        <v>459497.29863572237</v>
      </c>
      <c r="FY155" s="30">
        <f t="shared" ref="FY155:FY156" si="938">+FX155</f>
        <v>459497.29863572237</v>
      </c>
      <c r="FZ155" s="30">
        <f>+FY155</f>
        <v>459497.29863572237</v>
      </c>
      <c r="GA155" s="30">
        <f>+FZ155</f>
        <v>459497.29863572237</v>
      </c>
      <c r="GB155" s="30">
        <f t="shared" ref="GB155:GB156" si="939">+GA155</f>
        <v>459497.29863572237</v>
      </c>
      <c r="GC155" s="30">
        <f t="shared" ref="GC155:GC156" si="940">+GB155</f>
        <v>459497.29863572237</v>
      </c>
      <c r="GD155" s="30">
        <f t="shared" ref="GD155:GD156" si="941">+GC155</f>
        <v>459497.29863572237</v>
      </c>
      <c r="GE155" s="30">
        <f>+GD155</f>
        <v>459497.29863572237</v>
      </c>
      <c r="GF155" s="30">
        <f>+GE155</f>
        <v>459497.29863572237</v>
      </c>
      <c r="GG155" s="30">
        <f t="shared" ref="GG155" si="942">+GF155</f>
        <v>459497.29863572237</v>
      </c>
      <c r="GH155" s="30">
        <f>+GG155*1.1</f>
        <v>505447.02849929465</v>
      </c>
      <c r="GI155" s="30">
        <f t="shared" ref="GI155:GI156" si="943">+GH155</f>
        <v>505447.02849929465</v>
      </c>
      <c r="GJ155" s="30">
        <f t="shared" ref="GJ155:GJ156" si="944">+GI155</f>
        <v>505447.02849929465</v>
      </c>
      <c r="GK155" s="30">
        <f t="shared" ref="GK155:GK156" si="945">+GJ155</f>
        <v>505447.02849929465</v>
      </c>
      <c r="GL155" s="30">
        <f t="shared" ref="GL155:GL156" si="946">+GK155</f>
        <v>505447.02849929465</v>
      </c>
      <c r="GM155" s="30">
        <f>+GL155</f>
        <v>505447.02849929465</v>
      </c>
      <c r="GN155" s="30">
        <f t="shared" ref="GN155" si="947">+GM155</f>
        <v>505447.02849929465</v>
      </c>
      <c r="GO155" s="30">
        <f t="shared" ref="GO155:GO156" si="948">+GN155</f>
        <v>505447.02849929465</v>
      </c>
      <c r="GP155" s="30">
        <f t="shared" ref="GP155:GP156" si="949">+GO155</f>
        <v>505447.02849929465</v>
      </c>
      <c r="GQ155" s="30">
        <f t="shared" ref="GQ155:GR156" si="950">+GP155</f>
        <v>505447.02849929465</v>
      </c>
      <c r="GR155" s="30">
        <f t="shared" si="950"/>
        <v>505447.02849929465</v>
      </c>
      <c r="GS155" s="30">
        <f>+GR155</f>
        <v>505447.02849929465</v>
      </c>
      <c r="GT155" s="30">
        <f>+GS155*1.1</f>
        <v>555991.73134922411</v>
      </c>
      <c r="GU155" s="30">
        <f t="shared" ref="GU155:GU156" si="951">+GT155</f>
        <v>555991.73134922411</v>
      </c>
      <c r="GV155" s="30">
        <f t="shared" ref="GV155:GV156" si="952">+GU155</f>
        <v>555991.73134922411</v>
      </c>
      <c r="GW155" s="30">
        <f t="shared" ref="GW155:GW156" si="953">+GV155</f>
        <v>555991.73134922411</v>
      </c>
      <c r="GX155" s="30">
        <f t="shared" ref="GX155:GX156" si="954">+GW155</f>
        <v>555991.73134922411</v>
      </c>
      <c r="GY155" s="30">
        <f t="shared" ref="GY155:GY156" si="955">+GX155</f>
        <v>555991.73134922411</v>
      </c>
      <c r="GZ155" s="30">
        <f>+GY155</f>
        <v>555991.73134922411</v>
      </c>
      <c r="HA155" s="30">
        <f>+GZ155</f>
        <v>555991.73134922411</v>
      </c>
      <c r="HB155" s="30">
        <f>+HA155</f>
        <v>555991.73134922411</v>
      </c>
      <c r="HC155" s="30">
        <f t="shared" ref="HC155:HC156" si="956">+HB155</f>
        <v>555991.73134922411</v>
      </c>
      <c r="HD155" s="30">
        <f t="shared" ref="HD155:HD156" si="957">+HC155</f>
        <v>555991.73134922411</v>
      </c>
      <c r="HE155" s="30">
        <f t="shared" ref="HE155:HE156" si="958">+HD155</f>
        <v>555991.73134922411</v>
      </c>
      <c r="HF155" s="30">
        <f>+HE155*1.1</f>
        <v>611590.90448414662</v>
      </c>
      <c r="HG155" s="30">
        <f t="shared" ref="HG155:HG156" si="959">+HF155</f>
        <v>611590.90448414662</v>
      </c>
      <c r="HH155" s="30">
        <f>+HG155</f>
        <v>611590.90448414662</v>
      </c>
      <c r="HI155" s="30">
        <f>+HH155</f>
        <v>611590.90448414662</v>
      </c>
      <c r="HJ155" s="30">
        <f>+HI155</f>
        <v>611590.90448414662</v>
      </c>
      <c r="HK155" s="30">
        <f t="shared" ref="HK155:HK156" si="960">+HJ155</f>
        <v>611590.90448414662</v>
      </c>
      <c r="HL155" s="30">
        <f t="shared" ref="HL155:HL156" si="961">+HK155</f>
        <v>611590.90448414662</v>
      </c>
      <c r="HM155" s="30">
        <f t="shared" ref="HM155:HM156" si="962">+HL155</f>
        <v>611590.90448414662</v>
      </c>
      <c r="HN155" s="30">
        <f>+HM155</f>
        <v>611590.90448414662</v>
      </c>
      <c r="HO155" s="30">
        <f t="shared" ref="HO155:HO156" si="963">+HN155</f>
        <v>611590.90448414662</v>
      </c>
      <c r="HP155" s="30">
        <f>+HO155</f>
        <v>611590.90448414662</v>
      </c>
      <c r="HQ155" s="30">
        <f>+HP155</f>
        <v>611590.90448414662</v>
      </c>
      <c r="HR155" s="30">
        <f>+HQ155*1.1</f>
        <v>672749.9949325613</v>
      </c>
      <c r="HS155" s="30">
        <f t="shared" ref="HS155:HS156" si="964">+HR155</f>
        <v>672749.9949325613</v>
      </c>
      <c r="HT155" s="30">
        <f t="shared" ref="HT155:HT156" si="965">+HS155</f>
        <v>672749.9949325613</v>
      </c>
      <c r="HU155" s="30">
        <f t="shared" ref="HU155:HU156" si="966">+HT155</f>
        <v>672749.9949325613</v>
      </c>
      <c r="HV155" s="30">
        <f>+HU155</f>
        <v>672749.9949325613</v>
      </c>
      <c r="HW155" s="30">
        <f t="shared" ref="HW155:HW156" si="967">+HV155</f>
        <v>672749.9949325613</v>
      </c>
      <c r="HX155" s="30">
        <f>+HW155</f>
        <v>672749.9949325613</v>
      </c>
      <c r="HY155" s="30">
        <f>+HX155</f>
        <v>672749.9949325613</v>
      </c>
      <c r="HZ155" s="30">
        <f>+HY155</f>
        <v>672749.9949325613</v>
      </c>
      <c r="IA155" s="30">
        <f t="shared" ref="IA155:IA156" si="968">+HZ155</f>
        <v>672749.9949325613</v>
      </c>
      <c r="IB155" s="30">
        <f t="shared" ref="IB155:IB156" si="969">+IA155</f>
        <v>672749.9949325613</v>
      </c>
      <c r="IC155" s="30">
        <f t="shared" ref="IC155:IC156" si="970">+IB155</f>
        <v>672749.9949325613</v>
      </c>
      <c r="ID155" s="30">
        <f>+IC155*1.1</f>
        <v>740024.99442581751</v>
      </c>
      <c r="IE155" s="30">
        <f t="shared" ref="IE155:IE156" si="971">+ID155</f>
        <v>740024.99442581751</v>
      </c>
      <c r="IF155" s="30">
        <f>+IE155</f>
        <v>740024.99442581751</v>
      </c>
      <c r="IG155" s="30">
        <f>+IF155</f>
        <v>740024.99442581751</v>
      </c>
      <c r="IH155" s="30">
        <f t="shared" ref="IH155:IH156" si="972">+IG155</f>
        <v>740024.99442581751</v>
      </c>
      <c r="II155" s="30">
        <f>+IH155</f>
        <v>740024.99442581751</v>
      </c>
      <c r="IJ155" s="30">
        <f>+II155</f>
        <v>740024.99442581751</v>
      </c>
      <c r="IK155" s="30">
        <f t="shared" ref="IK155:IK156" si="973">+IJ155</f>
        <v>740024.99442581751</v>
      </c>
      <c r="IL155" s="30">
        <f t="shared" ref="IL155:IL156" si="974">+IK155</f>
        <v>740024.99442581751</v>
      </c>
      <c r="IM155" s="30">
        <f>+IL155</f>
        <v>740024.99442581751</v>
      </c>
      <c r="IN155" s="30">
        <f>+IM155</f>
        <v>740024.99442581751</v>
      </c>
      <c r="IO155" s="30">
        <f>+IN155</f>
        <v>740024.99442581751</v>
      </c>
      <c r="IP155" s="30"/>
    </row>
    <row r="156" spans="1:250" x14ac:dyDescent="0.3">
      <c r="A156" t="s">
        <v>823</v>
      </c>
      <c r="E156" s="30">
        <v>2000</v>
      </c>
      <c r="F156" s="30">
        <v>2000</v>
      </c>
      <c r="G156" s="30">
        <v>2000</v>
      </c>
      <c r="H156" s="30">
        <v>2000</v>
      </c>
      <c r="I156" s="30">
        <v>2000</v>
      </c>
      <c r="J156" s="30">
        <f>2000*1.1</f>
        <v>2200</v>
      </c>
      <c r="K156" s="30">
        <f>+J156</f>
        <v>2200</v>
      </c>
      <c r="L156" s="30">
        <f t="shared" ref="L156:U156" si="975">+K156</f>
        <v>2200</v>
      </c>
      <c r="M156" s="30">
        <f t="shared" si="975"/>
        <v>2200</v>
      </c>
      <c r="N156" s="30">
        <f t="shared" si="975"/>
        <v>2200</v>
      </c>
      <c r="O156" s="30">
        <f t="shared" si="975"/>
        <v>2200</v>
      </c>
      <c r="P156" s="30">
        <f t="shared" si="975"/>
        <v>2200</v>
      </c>
      <c r="Q156" s="30">
        <f t="shared" si="975"/>
        <v>2200</v>
      </c>
      <c r="R156" s="30">
        <f t="shared" si="975"/>
        <v>2200</v>
      </c>
      <c r="S156" s="30">
        <f t="shared" si="975"/>
        <v>2200</v>
      </c>
      <c r="T156" s="30">
        <f t="shared" si="975"/>
        <v>2200</v>
      </c>
      <c r="U156" s="30">
        <f t="shared" si="975"/>
        <v>2200</v>
      </c>
      <c r="V156" s="30">
        <f>+U156*1.1</f>
        <v>2420</v>
      </c>
      <c r="W156" s="30">
        <f>+V156</f>
        <v>2420</v>
      </c>
      <c r="X156" s="30">
        <f t="shared" ref="X156:AG156" si="976">+W156</f>
        <v>2420</v>
      </c>
      <c r="Y156" s="30">
        <f t="shared" si="976"/>
        <v>2420</v>
      </c>
      <c r="Z156" s="30">
        <f t="shared" si="976"/>
        <v>2420</v>
      </c>
      <c r="AA156" s="30">
        <f t="shared" si="976"/>
        <v>2420</v>
      </c>
      <c r="AB156" s="30">
        <f t="shared" si="976"/>
        <v>2420</v>
      </c>
      <c r="AC156" s="30">
        <f t="shared" si="976"/>
        <v>2420</v>
      </c>
      <c r="AD156" s="30">
        <f t="shared" si="976"/>
        <v>2420</v>
      </c>
      <c r="AE156" s="30">
        <f t="shared" si="976"/>
        <v>2420</v>
      </c>
      <c r="AF156" s="30">
        <f t="shared" si="976"/>
        <v>2420</v>
      </c>
      <c r="AG156" s="30">
        <f t="shared" si="976"/>
        <v>2420</v>
      </c>
      <c r="AH156" s="30">
        <f>AG156*1.1</f>
        <v>2662</v>
      </c>
      <c r="AI156" s="30">
        <f>+AH156</f>
        <v>2662</v>
      </c>
      <c r="AJ156" s="30">
        <f t="shared" ref="AJ156:AS156" si="977">+AI156</f>
        <v>2662</v>
      </c>
      <c r="AK156" s="30">
        <f t="shared" si="977"/>
        <v>2662</v>
      </c>
      <c r="AL156" s="30">
        <f t="shared" si="977"/>
        <v>2662</v>
      </c>
      <c r="AM156" s="30">
        <f t="shared" si="977"/>
        <v>2662</v>
      </c>
      <c r="AN156" s="30">
        <f t="shared" si="977"/>
        <v>2662</v>
      </c>
      <c r="AO156" s="30">
        <f t="shared" si="977"/>
        <v>2662</v>
      </c>
      <c r="AP156" s="30">
        <f t="shared" si="977"/>
        <v>2662</v>
      </c>
      <c r="AQ156" s="30">
        <f t="shared" si="977"/>
        <v>2662</v>
      </c>
      <c r="AR156" s="30">
        <f t="shared" si="977"/>
        <v>2662</v>
      </c>
      <c r="AS156" s="30">
        <f t="shared" si="977"/>
        <v>2662</v>
      </c>
      <c r="AT156" s="30">
        <f>AS156*1.1</f>
        <v>2928.2000000000003</v>
      </c>
      <c r="AU156" s="30">
        <f>+AT156</f>
        <v>2928.2000000000003</v>
      </c>
      <c r="AV156" s="30">
        <f t="shared" ref="AV156:BE156" si="978">+AU156</f>
        <v>2928.2000000000003</v>
      </c>
      <c r="AW156" s="30">
        <f t="shared" si="978"/>
        <v>2928.2000000000003</v>
      </c>
      <c r="AX156" s="30">
        <f t="shared" si="978"/>
        <v>2928.2000000000003</v>
      </c>
      <c r="AY156" s="30">
        <f t="shared" si="978"/>
        <v>2928.2000000000003</v>
      </c>
      <c r="AZ156" s="30">
        <f t="shared" si="978"/>
        <v>2928.2000000000003</v>
      </c>
      <c r="BA156" s="30">
        <f t="shared" si="978"/>
        <v>2928.2000000000003</v>
      </c>
      <c r="BB156" s="30">
        <f t="shared" si="978"/>
        <v>2928.2000000000003</v>
      </c>
      <c r="BC156" s="30">
        <f t="shared" si="978"/>
        <v>2928.2000000000003</v>
      </c>
      <c r="BD156" s="30">
        <f t="shared" si="978"/>
        <v>2928.2000000000003</v>
      </c>
      <c r="BE156" s="30">
        <f t="shared" si="978"/>
        <v>2928.2000000000003</v>
      </c>
      <c r="BF156" s="30">
        <f>+BE156*1.1</f>
        <v>3221.0200000000004</v>
      </c>
      <c r="BG156" s="30">
        <f>+BF156</f>
        <v>3221.0200000000004</v>
      </c>
      <c r="BH156" s="30">
        <f t="shared" ref="BH156:BQ156" si="979">+BG156</f>
        <v>3221.0200000000004</v>
      </c>
      <c r="BI156" s="30">
        <f t="shared" si="979"/>
        <v>3221.0200000000004</v>
      </c>
      <c r="BJ156" s="30">
        <f t="shared" si="979"/>
        <v>3221.0200000000004</v>
      </c>
      <c r="BK156" s="30">
        <f t="shared" si="979"/>
        <v>3221.0200000000004</v>
      </c>
      <c r="BL156" s="30">
        <f t="shared" si="979"/>
        <v>3221.0200000000004</v>
      </c>
      <c r="BM156" s="30">
        <f t="shared" si="979"/>
        <v>3221.0200000000004</v>
      </c>
      <c r="BN156" s="30">
        <f t="shared" si="979"/>
        <v>3221.0200000000004</v>
      </c>
      <c r="BO156" s="30">
        <f t="shared" si="979"/>
        <v>3221.0200000000004</v>
      </c>
      <c r="BP156" s="30">
        <f t="shared" si="979"/>
        <v>3221.0200000000004</v>
      </c>
      <c r="BQ156" s="30">
        <f t="shared" si="979"/>
        <v>3221.0200000000004</v>
      </c>
      <c r="BR156" s="30">
        <f>+BQ156*1.1</f>
        <v>3543.1220000000008</v>
      </c>
      <c r="BS156" s="30">
        <f>+BR156</f>
        <v>3543.1220000000008</v>
      </c>
      <c r="BT156" s="30">
        <f t="shared" ref="BT156:CC156" si="980">+BS156</f>
        <v>3543.1220000000008</v>
      </c>
      <c r="BU156" s="30">
        <f t="shared" si="980"/>
        <v>3543.1220000000008</v>
      </c>
      <c r="BV156" s="30">
        <f t="shared" si="980"/>
        <v>3543.1220000000008</v>
      </c>
      <c r="BW156" s="30">
        <f t="shared" si="980"/>
        <v>3543.1220000000008</v>
      </c>
      <c r="BX156" s="30">
        <f t="shared" si="980"/>
        <v>3543.1220000000008</v>
      </c>
      <c r="BY156" s="30">
        <f t="shared" si="980"/>
        <v>3543.1220000000008</v>
      </c>
      <c r="BZ156" s="30">
        <f t="shared" si="980"/>
        <v>3543.1220000000008</v>
      </c>
      <c r="CA156" s="30">
        <f t="shared" si="980"/>
        <v>3543.1220000000008</v>
      </c>
      <c r="CB156" s="30">
        <f t="shared" si="980"/>
        <v>3543.1220000000008</v>
      </c>
      <c r="CC156" s="30">
        <f t="shared" si="980"/>
        <v>3543.1220000000008</v>
      </c>
      <c r="CD156" s="30">
        <f>+CC156*1.1</f>
        <v>3897.4342000000011</v>
      </c>
      <c r="CE156" s="30">
        <f>+CD156</f>
        <v>3897.4342000000011</v>
      </c>
      <c r="CF156" s="30">
        <f t="shared" ref="CF156:CN156" si="981">+CE156</f>
        <v>3897.4342000000011</v>
      </c>
      <c r="CG156" s="30">
        <f t="shared" si="981"/>
        <v>3897.4342000000011</v>
      </c>
      <c r="CH156" s="30">
        <f t="shared" si="981"/>
        <v>3897.4342000000011</v>
      </c>
      <c r="CI156" s="30">
        <f t="shared" si="981"/>
        <v>3897.4342000000011</v>
      </c>
      <c r="CJ156" s="30">
        <f t="shared" si="981"/>
        <v>3897.4342000000011</v>
      </c>
      <c r="CK156" s="30">
        <f t="shared" si="981"/>
        <v>3897.4342000000011</v>
      </c>
      <c r="CL156" s="30">
        <f t="shared" si="981"/>
        <v>3897.4342000000011</v>
      </c>
      <c r="CM156" s="30">
        <f t="shared" si="981"/>
        <v>3897.4342000000011</v>
      </c>
      <c r="CN156" s="30">
        <f t="shared" si="981"/>
        <v>3897.4342000000011</v>
      </c>
      <c r="CO156" s="30">
        <f>+CN156</f>
        <v>3897.4342000000011</v>
      </c>
      <c r="CP156" s="30">
        <f>+CO156*1.1</f>
        <v>4287.1776200000013</v>
      </c>
      <c r="CQ156" s="30">
        <f>+CP156</f>
        <v>4287.1776200000013</v>
      </c>
      <c r="CR156" s="30">
        <f t="shared" ref="CR156:DA156" si="982">+CQ156</f>
        <v>4287.1776200000013</v>
      </c>
      <c r="CS156" s="30">
        <f t="shared" si="982"/>
        <v>4287.1776200000013</v>
      </c>
      <c r="CT156" s="30">
        <f t="shared" si="982"/>
        <v>4287.1776200000013</v>
      </c>
      <c r="CU156" s="30">
        <f t="shared" si="982"/>
        <v>4287.1776200000013</v>
      </c>
      <c r="CV156" s="30">
        <f t="shared" si="982"/>
        <v>4287.1776200000013</v>
      </c>
      <c r="CW156" s="30">
        <f t="shared" si="982"/>
        <v>4287.1776200000013</v>
      </c>
      <c r="CX156" s="30">
        <f t="shared" si="982"/>
        <v>4287.1776200000013</v>
      </c>
      <c r="CY156" s="30">
        <f t="shared" si="982"/>
        <v>4287.1776200000013</v>
      </c>
      <c r="CZ156" s="30">
        <f t="shared" si="982"/>
        <v>4287.1776200000013</v>
      </c>
      <c r="DA156" s="30">
        <f t="shared" si="982"/>
        <v>4287.1776200000013</v>
      </c>
      <c r="DB156" s="30">
        <f>+DA156*1.1</f>
        <v>4715.8953820000015</v>
      </c>
      <c r="DC156" s="30">
        <f>+DB156</f>
        <v>4715.8953820000015</v>
      </c>
      <c r="DD156" s="30">
        <f t="shared" ref="DD156:DK156" si="983">+DC156</f>
        <v>4715.8953820000015</v>
      </c>
      <c r="DE156" s="30">
        <f t="shared" si="983"/>
        <v>4715.8953820000015</v>
      </c>
      <c r="DF156" s="30">
        <f t="shared" si="983"/>
        <v>4715.8953820000015</v>
      </c>
      <c r="DG156" s="30">
        <f t="shared" si="983"/>
        <v>4715.8953820000015</v>
      </c>
      <c r="DH156" s="30">
        <f t="shared" si="983"/>
        <v>4715.8953820000015</v>
      </c>
      <c r="DI156" s="30">
        <f t="shared" si="983"/>
        <v>4715.8953820000015</v>
      </c>
      <c r="DJ156" s="30">
        <f t="shared" si="983"/>
        <v>4715.8953820000015</v>
      </c>
      <c r="DK156" s="30">
        <f t="shared" si="983"/>
        <v>4715.8953820000015</v>
      </c>
      <c r="DL156" s="30">
        <f>+DK156</f>
        <v>4715.8953820000015</v>
      </c>
      <c r="DM156" s="30">
        <f t="shared" ref="DM156" si="984">+DL156</f>
        <v>4715.8953820000015</v>
      </c>
      <c r="DN156" s="30">
        <f>+DM156*1.1</f>
        <v>5187.4849202000023</v>
      </c>
      <c r="DO156" s="30">
        <f>+DN156</f>
        <v>5187.4849202000023</v>
      </c>
      <c r="DP156" s="30">
        <f t="shared" ref="DP156:DR156" si="985">+DO156</f>
        <v>5187.4849202000023</v>
      </c>
      <c r="DQ156" s="30">
        <f t="shared" si="985"/>
        <v>5187.4849202000023</v>
      </c>
      <c r="DR156" s="30">
        <f t="shared" si="985"/>
        <v>5187.4849202000023</v>
      </c>
      <c r="DS156" s="30">
        <f>+DR156</f>
        <v>5187.4849202000023</v>
      </c>
      <c r="DT156" s="30">
        <f t="shared" ref="DT156" si="986">+DS156</f>
        <v>5187.4849202000023</v>
      </c>
      <c r="DU156" s="30">
        <f>+DT156*1.1</f>
        <v>5706.2334122200027</v>
      </c>
      <c r="DV156" s="30">
        <f>+DU156</f>
        <v>5706.2334122200027</v>
      </c>
      <c r="DW156" s="30">
        <f t="shared" si="904"/>
        <v>5706.2334122200027</v>
      </c>
      <c r="DX156" s="30">
        <f t="shared" si="905"/>
        <v>5706.2334122200027</v>
      </c>
      <c r="DY156" s="30">
        <f t="shared" si="906"/>
        <v>5706.2334122200027</v>
      </c>
      <c r="DZ156" s="30">
        <f>+DY156</f>
        <v>5706.2334122200027</v>
      </c>
      <c r="EA156" s="30">
        <f t="shared" ref="EA156" si="987">+DZ156*1.1</f>
        <v>6276.8567534420035</v>
      </c>
      <c r="EB156" s="30">
        <f t="shared" ref="EB156" si="988">+EA156</f>
        <v>6276.8567534420035</v>
      </c>
      <c r="EC156" s="30">
        <f t="shared" si="909"/>
        <v>6276.8567534420035</v>
      </c>
      <c r="ED156" s="30">
        <f t="shared" si="910"/>
        <v>6276.8567534420035</v>
      </c>
      <c r="EE156" s="30">
        <f t="shared" si="911"/>
        <v>6276.8567534420035</v>
      </c>
      <c r="EF156" s="30">
        <f t="shared" si="911"/>
        <v>6276.8567534420035</v>
      </c>
      <c r="EG156" s="30">
        <f t="shared" si="912"/>
        <v>6276.8567534420035</v>
      </c>
      <c r="EH156" s="30">
        <f t="shared" ref="EH156" si="989">+EG156*1.1</f>
        <v>6904.5424287862043</v>
      </c>
      <c r="EI156" s="30">
        <f t="shared" ref="EI156" si="990">+EH156</f>
        <v>6904.5424287862043</v>
      </c>
      <c r="EJ156" s="30">
        <f t="shared" si="914"/>
        <v>6904.5424287862043</v>
      </c>
      <c r="EK156" s="30">
        <f t="shared" si="915"/>
        <v>6904.5424287862043</v>
      </c>
      <c r="EL156" s="30">
        <f t="shared" ref="EL156" si="991">+EK156</f>
        <v>6904.5424287862043</v>
      </c>
      <c r="EM156" s="30">
        <f t="shared" ref="EM156" si="992">+EL156</f>
        <v>6904.5424287862043</v>
      </c>
      <c r="EN156" s="30">
        <f t="shared" ref="EN156" si="993">+EM156*1.1</f>
        <v>7594.996671664825</v>
      </c>
      <c r="EO156" s="30">
        <f t="shared" ref="EO156" si="994">+EN156</f>
        <v>7594.996671664825</v>
      </c>
      <c r="EP156" s="30">
        <f t="shared" si="918"/>
        <v>7594.996671664825</v>
      </c>
      <c r="EQ156" s="30">
        <f t="shared" si="919"/>
        <v>7594.996671664825</v>
      </c>
      <c r="ER156" s="30">
        <f t="shared" si="920"/>
        <v>7594.996671664825</v>
      </c>
      <c r="ES156" s="30">
        <f t="shared" si="920"/>
        <v>7594.996671664825</v>
      </c>
      <c r="ET156" s="30">
        <f t="shared" si="921"/>
        <v>7594.996671664825</v>
      </c>
      <c r="EU156" s="30">
        <f t="shared" ref="EU156" si="995">+ET156*1.1</f>
        <v>8354.4963388313081</v>
      </c>
      <c r="EV156" s="30">
        <f t="shared" ref="EV156" si="996">+EU156</f>
        <v>8354.4963388313081</v>
      </c>
      <c r="EW156" s="30">
        <f t="shared" si="923"/>
        <v>8354.4963388313081</v>
      </c>
      <c r="EX156" s="30">
        <f t="shared" ref="EX156" si="997">+EW156</f>
        <v>8354.4963388313081</v>
      </c>
      <c r="EY156" s="30">
        <f>+EX156*1.1</f>
        <v>9189.9459727144404</v>
      </c>
      <c r="EZ156" s="30">
        <f>+EY156</f>
        <v>9189.9459727144404</v>
      </c>
      <c r="FA156" s="30">
        <f t="shared" si="924"/>
        <v>9189.9459727144404</v>
      </c>
      <c r="FB156" s="30">
        <f t="shared" si="925"/>
        <v>9189.9459727144404</v>
      </c>
      <c r="FC156" s="30">
        <f t="shared" si="926"/>
        <v>9189.9459727144404</v>
      </c>
      <c r="FD156" s="30">
        <f>+FC156</f>
        <v>9189.9459727144404</v>
      </c>
      <c r="FE156" s="30">
        <f t="shared" si="927"/>
        <v>9189.9459727144404</v>
      </c>
      <c r="FF156" s="30">
        <f>+FE156*1.1</f>
        <v>10108.940569985885</v>
      </c>
      <c r="FG156" s="30">
        <f>+FF156</f>
        <v>10108.940569985885</v>
      </c>
      <c r="FH156" s="30">
        <f t="shared" si="928"/>
        <v>10108.940569985885</v>
      </c>
      <c r="FI156" s="30">
        <f t="shared" si="929"/>
        <v>10108.940569985885</v>
      </c>
      <c r="FJ156" s="30">
        <f t="shared" ref="FJ156" si="998">+FI156</f>
        <v>10108.940569985885</v>
      </c>
      <c r="FK156" s="30">
        <f>+FJ156</f>
        <v>10108.940569985885</v>
      </c>
      <c r="FL156" s="30">
        <f t="shared" ref="FL156" si="999">+FK156*1.1</f>
        <v>11119.834626984475</v>
      </c>
      <c r="FM156" s="30">
        <f t="shared" ref="FM156" si="1000">+FL156</f>
        <v>11119.834626984475</v>
      </c>
      <c r="FN156" s="30">
        <f t="shared" si="931"/>
        <v>11119.834626984475</v>
      </c>
      <c r="FO156" s="30">
        <f t="shared" si="932"/>
        <v>11119.834626984475</v>
      </c>
      <c r="FP156" s="30">
        <f t="shared" si="933"/>
        <v>11119.834626984475</v>
      </c>
      <c r="FQ156" s="30">
        <f t="shared" si="934"/>
        <v>11119.834626984475</v>
      </c>
      <c r="FR156" s="30">
        <f t="shared" si="935"/>
        <v>11119.834626984475</v>
      </c>
      <c r="FS156" s="30">
        <f>+FR156*1.1</f>
        <v>12231.818089682924</v>
      </c>
      <c r="FT156" s="30">
        <f>+FS156</f>
        <v>12231.818089682924</v>
      </c>
      <c r="FU156" s="30">
        <f t="shared" si="936"/>
        <v>12231.818089682924</v>
      </c>
      <c r="FV156" s="30">
        <f t="shared" ref="FV156" si="1001">+FU156</f>
        <v>12231.818089682924</v>
      </c>
      <c r="FW156" s="30">
        <f t="shared" si="937"/>
        <v>12231.818089682924</v>
      </c>
      <c r="FX156" s="30">
        <f>+FW156</f>
        <v>12231.818089682924</v>
      </c>
      <c r="FY156" s="30">
        <f t="shared" si="938"/>
        <v>12231.818089682924</v>
      </c>
      <c r="FZ156" s="30">
        <f>+FY156*1.1</f>
        <v>13454.999898651216</v>
      </c>
      <c r="GA156" s="30">
        <f>+FZ156</f>
        <v>13454.999898651216</v>
      </c>
      <c r="GB156" s="30">
        <f t="shared" si="939"/>
        <v>13454.999898651216</v>
      </c>
      <c r="GC156" s="30">
        <f t="shared" si="940"/>
        <v>13454.999898651216</v>
      </c>
      <c r="GD156" s="30">
        <f t="shared" si="941"/>
        <v>13454.999898651216</v>
      </c>
      <c r="GE156" s="30">
        <f>+GD156</f>
        <v>13454.999898651216</v>
      </c>
      <c r="GF156" s="30">
        <f t="shared" ref="GF156" si="1002">+GE156*1.1</f>
        <v>14800.499888516339</v>
      </c>
      <c r="GG156" s="30">
        <f t="shared" ref="GG156" si="1003">+GF156</f>
        <v>14800.499888516339</v>
      </c>
      <c r="GH156" s="30">
        <f t="shared" ref="GH156" si="1004">+GG156</f>
        <v>14800.499888516339</v>
      </c>
      <c r="GI156" s="30">
        <f t="shared" si="943"/>
        <v>14800.499888516339</v>
      </c>
      <c r="GJ156" s="30">
        <f t="shared" si="944"/>
        <v>14800.499888516339</v>
      </c>
      <c r="GK156" s="30">
        <f t="shared" si="945"/>
        <v>14800.499888516339</v>
      </c>
      <c r="GL156" s="30">
        <f t="shared" si="946"/>
        <v>14800.499888516339</v>
      </c>
      <c r="GM156" s="30">
        <f t="shared" ref="GM156" si="1005">+GL156*1.1</f>
        <v>16280.549877367974</v>
      </c>
      <c r="GN156" s="30">
        <f t="shared" ref="GN156" si="1006">+GM156</f>
        <v>16280.549877367974</v>
      </c>
      <c r="GO156" s="30">
        <f t="shared" si="948"/>
        <v>16280.549877367974</v>
      </c>
      <c r="GP156" s="30">
        <f t="shared" si="949"/>
        <v>16280.549877367974</v>
      </c>
      <c r="GQ156" s="30">
        <f t="shared" si="950"/>
        <v>16280.549877367974</v>
      </c>
      <c r="GR156" s="30">
        <f t="shared" si="950"/>
        <v>16280.549877367974</v>
      </c>
      <c r="GS156" s="30">
        <f t="shared" ref="GS156" si="1007">+GR156*1.1</f>
        <v>17908.604865104771</v>
      </c>
      <c r="GT156" s="30">
        <f t="shared" ref="GT156" si="1008">+GS156</f>
        <v>17908.604865104771</v>
      </c>
      <c r="GU156" s="30">
        <f t="shared" si="951"/>
        <v>17908.604865104771</v>
      </c>
      <c r="GV156" s="30">
        <f t="shared" si="952"/>
        <v>17908.604865104771</v>
      </c>
      <c r="GW156" s="30">
        <f t="shared" si="953"/>
        <v>17908.604865104771</v>
      </c>
      <c r="GX156" s="30">
        <f t="shared" si="954"/>
        <v>17908.604865104771</v>
      </c>
      <c r="GY156" s="30">
        <f t="shared" si="955"/>
        <v>17908.604865104771</v>
      </c>
      <c r="GZ156" s="30">
        <f t="shared" ref="GZ156" si="1009">+GY156*1.1</f>
        <v>19699.46535161525</v>
      </c>
      <c r="HA156" s="30">
        <f>+GZ156*1.1</f>
        <v>21669.411886776776</v>
      </c>
      <c r="HB156" s="30">
        <f>+HA156</f>
        <v>21669.411886776776</v>
      </c>
      <c r="HC156" s="30">
        <f t="shared" si="956"/>
        <v>21669.411886776776</v>
      </c>
      <c r="HD156" s="30">
        <f t="shared" si="957"/>
        <v>21669.411886776776</v>
      </c>
      <c r="HE156" s="30">
        <f t="shared" si="958"/>
        <v>21669.411886776776</v>
      </c>
      <c r="HF156" s="30">
        <f>+HE156</f>
        <v>21669.411886776776</v>
      </c>
      <c r="HG156" s="30">
        <f t="shared" si="959"/>
        <v>21669.411886776776</v>
      </c>
      <c r="HH156" s="30">
        <f>+HG156*1.1</f>
        <v>23836.353075454455</v>
      </c>
      <c r="HI156" s="30">
        <f>+HH156*1.1</f>
        <v>26219.988382999902</v>
      </c>
      <c r="HJ156" s="30">
        <f>+HI156</f>
        <v>26219.988382999902</v>
      </c>
      <c r="HK156" s="30">
        <f t="shared" si="960"/>
        <v>26219.988382999902</v>
      </c>
      <c r="HL156" s="30">
        <f t="shared" si="961"/>
        <v>26219.988382999902</v>
      </c>
      <c r="HM156" s="30">
        <f t="shared" si="962"/>
        <v>26219.988382999902</v>
      </c>
      <c r="HN156" s="30">
        <f>+HM156</f>
        <v>26219.988382999902</v>
      </c>
      <c r="HO156" s="30">
        <f t="shared" si="963"/>
        <v>26219.988382999902</v>
      </c>
      <c r="HP156" s="30">
        <f>+HO156*1.1</f>
        <v>28841.987221299893</v>
      </c>
      <c r="HQ156" s="30">
        <f>+HP156*1.1</f>
        <v>31726.185943429886</v>
      </c>
      <c r="HR156" s="30">
        <f>+HQ156</f>
        <v>31726.185943429886</v>
      </c>
      <c r="HS156" s="30">
        <f t="shared" si="964"/>
        <v>31726.185943429886</v>
      </c>
      <c r="HT156" s="30">
        <f t="shared" si="965"/>
        <v>31726.185943429886</v>
      </c>
      <c r="HU156" s="30">
        <f t="shared" si="966"/>
        <v>31726.185943429886</v>
      </c>
      <c r="HV156" s="30">
        <f>+HU156</f>
        <v>31726.185943429886</v>
      </c>
      <c r="HW156" s="30">
        <f t="shared" si="967"/>
        <v>31726.185943429886</v>
      </c>
      <c r="HX156" s="30">
        <f>+HW156*1.1</f>
        <v>34898.804537772878</v>
      </c>
      <c r="HY156" s="30">
        <f>+HX156*1.1</f>
        <v>38388.684991550166</v>
      </c>
      <c r="HZ156" s="30">
        <f>+HY156</f>
        <v>38388.684991550166</v>
      </c>
      <c r="IA156" s="30">
        <f t="shared" si="968"/>
        <v>38388.684991550166</v>
      </c>
      <c r="IB156" s="30">
        <f t="shared" si="969"/>
        <v>38388.684991550166</v>
      </c>
      <c r="IC156" s="30">
        <f t="shared" si="970"/>
        <v>38388.684991550166</v>
      </c>
      <c r="ID156" s="30">
        <f>+IC156</f>
        <v>38388.684991550166</v>
      </c>
      <c r="IE156" s="30">
        <f t="shared" si="971"/>
        <v>38388.684991550166</v>
      </c>
      <c r="IF156" s="30">
        <f>+IE156*1.1</f>
        <v>42227.553490705184</v>
      </c>
      <c r="IG156" s="30">
        <f>+IF156</f>
        <v>42227.553490705184</v>
      </c>
      <c r="IH156" s="30">
        <f t="shared" si="972"/>
        <v>42227.553490705184</v>
      </c>
      <c r="II156" s="30">
        <f>+IH156*1.1</f>
        <v>46450.308839775709</v>
      </c>
      <c r="IJ156" s="30">
        <f>+II156</f>
        <v>46450.308839775709</v>
      </c>
      <c r="IK156" s="30">
        <f t="shared" si="973"/>
        <v>46450.308839775709</v>
      </c>
      <c r="IL156" s="30">
        <f t="shared" si="974"/>
        <v>46450.308839775709</v>
      </c>
      <c r="IM156" s="30">
        <f>+IL156*1.1</f>
        <v>51095.339723753284</v>
      </c>
      <c r="IN156" s="30">
        <f>+IM156</f>
        <v>51095.339723753284</v>
      </c>
      <c r="IO156" s="30">
        <f t="shared" ref="IO156" si="1010">+IN156</f>
        <v>51095.339723753284</v>
      </c>
      <c r="IP156" s="30"/>
    </row>
    <row r="157" spans="1:250" x14ac:dyDescent="0.3">
      <c r="A157" t="s">
        <v>11</v>
      </c>
      <c r="E157" s="33">
        <f>+SUM(E155:E156)</f>
        <v>102000</v>
      </c>
      <c r="F157" s="33">
        <f>+SUM(F155:F156)</f>
        <v>102000</v>
      </c>
      <c r="G157" s="33">
        <f t="shared" ref="G157:BQ157" si="1011">+SUM(G155:G156)</f>
        <v>102000</v>
      </c>
      <c r="H157" s="33">
        <f t="shared" si="1011"/>
        <v>102000</v>
      </c>
      <c r="I157" s="33">
        <f t="shared" si="1011"/>
        <v>102000</v>
      </c>
      <c r="J157" s="33">
        <f t="shared" si="1011"/>
        <v>112200.00000000001</v>
      </c>
      <c r="K157" s="33">
        <f t="shared" si="1011"/>
        <v>112200.00000000001</v>
      </c>
      <c r="L157" s="33">
        <f t="shared" si="1011"/>
        <v>112200.00000000001</v>
      </c>
      <c r="M157" s="33">
        <f t="shared" si="1011"/>
        <v>112200.00000000001</v>
      </c>
      <c r="N157" s="33">
        <f t="shared" si="1011"/>
        <v>112200.00000000001</v>
      </c>
      <c r="O157" s="33">
        <f t="shared" si="1011"/>
        <v>112200.00000000001</v>
      </c>
      <c r="P157" s="33">
        <f t="shared" si="1011"/>
        <v>112200.00000000001</v>
      </c>
      <c r="Q157" s="33">
        <f t="shared" si="1011"/>
        <v>112200.00000000001</v>
      </c>
      <c r="R157" s="33">
        <f t="shared" si="1011"/>
        <v>112200.00000000001</v>
      </c>
      <c r="S157" s="33">
        <f t="shared" si="1011"/>
        <v>112200.00000000001</v>
      </c>
      <c r="T157" s="33">
        <f t="shared" si="1011"/>
        <v>112200.00000000001</v>
      </c>
      <c r="U157" s="33">
        <f t="shared" si="1011"/>
        <v>112200.00000000001</v>
      </c>
      <c r="V157" s="33">
        <f t="shared" si="1011"/>
        <v>123420.00000000003</v>
      </c>
      <c r="W157" s="33">
        <f t="shared" si="1011"/>
        <v>123420.00000000003</v>
      </c>
      <c r="X157" s="33">
        <f t="shared" si="1011"/>
        <v>123420.00000000003</v>
      </c>
      <c r="Y157" s="33">
        <f t="shared" si="1011"/>
        <v>123420.00000000003</v>
      </c>
      <c r="Z157" s="33">
        <f t="shared" si="1011"/>
        <v>123420.00000000003</v>
      </c>
      <c r="AA157" s="33">
        <f t="shared" si="1011"/>
        <v>123420.00000000003</v>
      </c>
      <c r="AB157" s="33">
        <f t="shared" si="1011"/>
        <v>123420.00000000003</v>
      </c>
      <c r="AC157" s="33">
        <f t="shared" si="1011"/>
        <v>123420.00000000003</v>
      </c>
      <c r="AD157" s="33">
        <f t="shared" si="1011"/>
        <v>123420.00000000003</v>
      </c>
      <c r="AE157" s="33">
        <f t="shared" si="1011"/>
        <v>123420.00000000003</v>
      </c>
      <c r="AF157" s="33">
        <f t="shared" si="1011"/>
        <v>123420.00000000003</v>
      </c>
      <c r="AG157" s="33">
        <f t="shared" si="1011"/>
        <v>123420.00000000003</v>
      </c>
      <c r="AH157" s="33">
        <f t="shared" si="1011"/>
        <v>135762.00000000003</v>
      </c>
      <c r="AI157" s="33">
        <f t="shared" si="1011"/>
        <v>135762.00000000003</v>
      </c>
      <c r="AJ157" s="33">
        <f t="shared" si="1011"/>
        <v>135762.00000000003</v>
      </c>
      <c r="AK157" s="33">
        <f t="shared" si="1011"/>
        <v>135762.00000000003</v>
      </c>
      <c r="AL157" s="33">
        <f t="shared" si="1011"/>
        <v>135762.00000000003</v>
      </c>
      <c r="AM157" s="33">
        <f t="shared" si="1011"/>
        <v>135762.00000000003</v>
      </c>
      <c r="AN157" s="33">
        <f t="shared" si="1011"/>
        <v>135762.00000000003</v>
      </c>
      <c r="AO157" s="33">
        <f t="shared" si="1011"/>
        <v>135762.00000000003</v>
      </c>
      <c r="AP157" s="33">
        <f t="shared" si="1011"/>
        <v>135762.00000000003</v>
      </c>
      <c r="AQ157" s="33">
        <f t="shared" si="1011"/>
        <v>135762.00000000003</v>
      </c>
      <c r="AR157" s="33">
        <f t="shared" si="1011"/>
        <v>135762.00000000003</v>
      </c>
      <c r="AS157" s="33">
        <f t="shared" si="1011"/>
        <v>135762.00000000003</v>
      </c>
      <c r="AT157" s="33">
        <f t="shared" si="1011"/>
        <v>149338.20000000007</v>
      </c>
      <c r="AU157" s="33">
        <f t="shared" si="1011"/>
        <v>149338.20000000007</v>
      </c>
      <c r="AV157" s="33">
        <f t="shared" si="1011"/>
        <v>149338.20000000007</v>
      </c>
      <c r="AW157" s="33">
        <f t="shared" si="1011"/>
        <v>149338.20000000007</v>
      </c>
      <c r="AX157" s="33">
        <f t="shared" si="1011"/>
        <v>149338.20000000007</v>
      </c>
      <c r="AY157" s="33">
        <f t="shared" si="1011"/>
        <v>149338.20000000007</v>
      </c>
      <c r="AZ157" s="33">
        <f t="shared" si="1011"/>
        <v>149338.20000000007</v>
      </c>
      <c r="BA157" s="33">
        <f t="shared" si="1011"/>
        <v>149338.20000000007</v>
      </c>
      <c r="BB157" s="33">
        <f t="shared" si="1011"/>
        <v>149338.20000000007</v>
      </c>
      <c r="BC157" s="33">
        <f t="shared" si="1011"/>
        <v>149338.20000000007</v>
      </c>
      <c r="BD157" s="33">
        <f t="shared" si="1011"/>
        <v>149338.20000000007</v>
      </c>
      <c r="BE157" s="33">
        <f t="shared" si="1011"/>
        <v>149338.20000000007</v>
      </c>
      <c r="BF157" s="33">
        <f t="shared" si="1011"/>
        <v>164272.02000000008</v>
      </c>
      <c r="BG157" s="33">
        <f t="shared" si="1011"/>
        <v>164272.02000000008</v>
      </c>
      <c r="BH157" s="33">
        <f t="shared" si="1011"/>
        <v>164272.02000000008</v>
      </c>
      <c r="BI157" s="33">
        <f t="shared" si="1011"/>
        <v>164272.02000000008</v>
      </c>
      <c r="BJ157" s="33">
        <f t="shared" si="1011"/>
        <v>164272.02000000008</v>
      </c>
      <c r="BK157" s="33">
        <f t="shared" si="1011"/>
        <v>164272.02000000008</v>
      </c>
      <c r="BL157" s="33">
        <f t="shared" si="1011"/>
        <v>164272.02000000008</v>
      </c>
      <c r="BM157" s="33">
        <f t="shared" si="1011"/>
        <v>164272.02000000008</v>
      </c>
      <c r="BN157" s="33">
        <f t="shared" si="1011"/>
        <v>164272.02000000008</v>
      </c>
      <c r="BO157" s="33">
        <f t="shared" si="1011"/>
        <v>164272.02000000008</v>
      </c>
      <c r="BP157" s="33">
        <f t="shared" si="1011"/>
        <v>164272.02000000008</v>
      </c>
      <c r="BQ157" s="33">
        <f t="shared" si="1011"/>
        <v>164272.02000000008</v>
      </c>
      <c r="BR157" s="33">
        <f t="shared" ref="BR157:DT157" si="1012">+SUM(BR155:BR156)</f>
        <v>180699.22200000013</v>
      </c>
      <c r="BS157" s="33">
        <f t="shared" si="1012"/>
        <v>180699.22200000013</v>
      </c>
      <c r="BT157" s="33">
        <f t="shared" si="1012"/>
        <v>180699.22200000013</v>
      </c>
      <c r="BU157" s="33">
        <f t="shared" si="1012"/>
        <v>180699.22200000013</v>
      </c>
      <c r="BV157" s="33">
        <f t="shared" si="1012"/>
        <v>180699.22200000013</v>
      </c>
      <c r="BW157" s="33">
        <f t="shared" si="1012"/>
        <v>180699.22200000013</v>
      </c>
      <c r="BX157" s="33">
        <f t="shared" si="1012"/>
        <v>180699.22200000013</v>
      </c>
      <c r="BY157" s="33">
        <f t="shared" si="1012"/>
        <v>180699.22200000013</v>
      </c>
      <c r="BZ157" s="33">
        <f t="shared" si="1012"/>
        <v>180699.22200000013</v>
      </c>
      <c r="CA157" s="33">
        <f t="shared" si="1012"/>
        <v>180699.22200000013</v>
      </c>
      <c r="CB157" s="33">
        <f t="shared" si="1012"/>
        <v>180699.22200000013</v>
      </c>
      <c r="CC157" s="33">
        <f t="shared" si="1012"/>
        <v>180699.22200000013</v>
      </c>
      <c r="CD157" s="33">
        <f t="shared" si="1012"/>
        <v>198769.14420000013</v>
      </c>
      <c r="CE157" s="33">
        <f t="shared" si="1012"/>
        <v>198769.14420000013</v>
      </c>
      <c r="CF157" s="33">
        <f t="shared" si="1012"/>
        <v>198769.14420000013</v>
      </c>
      <c r="CG157" s="33">
        <f t="shared" si="1012"/>
        <v>198769.14420000013</v>
      </c>
      <c r="CH157" s="33">
        <f t="shared" si="1012"/>
        <v>198769.14420000013</v>
      </c>
      <c r="CI157" s="33">
        <f t="shared" si="1012"/>
        <v>198769.14420000013</v>
      </c>
      <c r="CJ157" s="33">
        <f t="shared" si="1012"/>
        <v>198769.14420000013</v>
      </c>
      <c r="CK157" s="33">
        <f t="shared" si="1012"/>
        <v>198769.14420000013</v>
      </c>
      <c r="CL157" s="33">
        <f t="shared" si="1012"/>
        <v>198769.14420000013</v>
      </c>
      <c r="CM157" s="33">
        <f t="shared" si="1012"/>
        <v>198769.14420000013</v>
      </c>
      <c r="CN157" s="33">
        <f t="shared" si="1012"/>
        <v>198769.14420000013</v>
      </c>
      <c r="CO157" s="33">
        <f t="shared" si="1012"/>
        <v>198769.14420000013</v>
      </c>
      <c r="CP157" s="33">
        <f t="shared" si="1012"/>
        <v>218646.05862000017</v>
      </c>
      <c r="CQ157" s="33">
        <f t="shared" si="1012"/>
        <v>218646.05862000017</v>
      </c>
      <c r="CR157" s="33">
        <f t="shared" si="1012"/>
        <v>218646.05862000017</v>
      </c>
      <c r="CS157" s="33">
        <f t="shared" si="1012"/>
        <v>218646.05862000017</v>
      </c>
      <c r="CT157" s="33">
        <f t="shared" si="1012"/>
        <v>218646.05862000017</v>
      </c>
      <c r="CU157" s="33">
        <f t="shared" si="1012"/>
        <v>218646.05862000017</v>
      </c>
      <c r="CV157" s="33">
        <f t="shared" si="1012"/>
        <v>218646.05862000017</v>
      </c>
      <c r="CW157" s="33">
        <f t="shared" si="1012"/>
        <v>218646.05862000017</v>
      </c>
      <c r="CX157" s="33">
        <f t="shared" si="1012"/>
        <v>218646.05862000017</v>
      </c>
      <c r="CY157" s="33">
        <f t="shared" si="1012"/>
        <v>218646.05862000017</v>
      </c>
      <c r="CZ157" s="33">
        <f t="shared" si="1012"/>
        <v>218646.05862000017</v>
      </c>
      <c r="DA157" s="33">
        <f t="shared" si="1012"/>
        <v>218646.05862000017</v>
      </c>
      <c r="DB157" s="33">
        <f t="shared" si="1012"/>
        <v>240510.6644820002</v>
      </c>
      <c r="DC157" s="33">
        <f t="shared" si="1012"/>
        <v>240510.6644820002</v>
      </c>
      <c r="DD157" s="33">
        <f t="shared" si="1012"/>
        <v>240510.6644820002</v>
      </c>
      <c r="DE157" s="33">
        <f t="shared" si="1012"/>
        <v>240510.6644820002</v>
      </c>
      <c r="DF157" s="33">
        <f t="shared" si="1012"/>
        <v>240510.6644820002</v>
      </c>
      <c r="DG157" s="33">
        <f t="shared" si="1012"/>
        <v>240510.6644820002</v>
      </c>
      <c r="DH157" s="33">
        <f t="shared" si="1012"/>
        <v>240510.6644820002</v>
      </c>
      <c r="DI157" s="33">
        <f t="shared" si="1012"/>
        <v>240510.6644820002</v>
      </c>
      <c r="DJ157" s="33">
        <f t="shared" si="1012"/>
        <v>240510.6644820002</v>
      </c>
      <c r="DK157" s="33">
        <f t="shared" si="1012"/>
        <v>240510.6644820002</v>
      </c>
      <c r="DL157" s="33">
        <f t="shared" si="1012"/>
        <v>240510.6644820002</v>
      </c>
      <c r="DM157" s="33">
        <f t="shared" si="1012"/>
        <v>240510.6644820002</v>
      </c>
      <c r="DN157" s="33">
        <f t="shared" si="1012"/>
        <v>264561.73093020025</v>
      </c>
      <c r="DO157" s="33">
        <f t="shared" si="1012"/>
        <v>264561.73093020025</v>
      </c>
      <c r="DP157" s="33">
        <f t="shared" si="1012"/>
        <v>264561.73093020025</v>
      </c>
      <c r="DQ157" s="33">
        <f t="shared" si="1012"/>
        <v>264561.73093020025</v>
      </c>
      <c r="DR157" s="33">
        <f t="shared" si="1012"/>
        <v>264561.73093020025</v>
      </c>
      <c r="DS157" s="33">
        <f t="shared" si="1012"/>
        <v>264561.73093020025</v>
      </c>
      <c r="DT157" s="33">
        <f t="shared" si="1012"/>
        <v>264561.73093020025</v>
      </c>
      <c r="DU157" s="33">
        <f t="shared" ref="DU157:EG157" si="1013">+SUM(DU155:DU156)</f>
        <v>265080.47942222026</v>
      </c>
      <c r="DV157" s="33">
        <f t="shared" si="1013"/>
        <v>265080.47942222026</v>
      </c>
      <c r="DW157" s="33">
        <f t="shared" si="1013"/>
        <v>265080.47942222026</v>
      </c>
      <c r="DX157" s="33">
        <f t="shared" si="1013"/>
        <v>265080.47942222026</v>
      </c>
      <c r="DY157" s="33">
        <f t="shared" si="1013"/>
        <v>265080.47942222026</v>
      </c>
      <c r="DZ157" s="33">
        <f t="shared" si="1013"/>
        <v>291017.90402322036</v>
      </c>
      <c r="EA157" s="33">
        <f t="shared" si="1013"/>
        <v>320119.69442554243</v>
      </c>
      <c r="EB157" s="33">
        <f t="shared" si="1013"/>
        <v>320119.69442554243</v>
      </c>
      <c r="EC157" s="33">
        <f t="shared" si="1013"/>
        <v>320119.69442554243</v>
      </c>
      <c r="ED157" s="33">
        <f t="shared" si="1013"/>
        <v>320119.69442554243</v>
      </c>
      <c r="EE157" s="33">
        <f t="shared" si="1013"/>
        <v>320119.69442554243</v>
      </c>
      <c r="EF157" s="33">
        <f t="shared" si="1013"/>
        <v>320119.69442554243</v>
      </c>
      <c r="EG157" s="33">
        <f t="shared" si="1013"/>
        <v>320119.69442554243</v>
      </c>
      <c r="EH157" s="33">
        <f t="shared" ref="EH157:GL157" si="1014">+SUM(EH155:EH156)</f>
        <v>320747.38010088663</v>
      </c>
      <c r="EI157" s="33">
        <f t="shared" si="1014"/>
        <v>320747.38010088663</v>
      </c>
      <c r="EJ157" s="33">
        <f t="shared" si="1014"/>
        <v>320747.38010088663</v>
      </c>
      <c r="EK157" s="33">
        <f t="shared" si="1014"/>
        <v>320747.38010088663</v>
      </c>
      <c r="EL157" s="33">
        <f t="shared" si="1014"/>
        <v>352131.66386809672</v>
      </c>
      <c r="EM157" s="33">
        <f t="shared" si="1014"/>
        <v>352131.66386809672</v>
      </c>
      <c r="EN157" s="33">
        <f t="shared" si="1014"/>
        <v>352822.11811097531</v>
      </c>
      <c r="EO157" s="33">
        <f t="shared" si="1014"/>
        <v>352822.11811097531</v>
      </c>
      <c r="EP157" s="33">
        <f t="shared" si="1014"/>
        <v>352822.11811097531</v>
      </c>
      <c r="EQ157" s="33">
        <f t="shared" si="1014"/>
        <v>352822.11811097531</v>
      </c>
      <c r="ER157" s="33">
        <f t="shared" si="1014"/>
        <v>352822.11811097531</v>
      </c>
      <c r="ES157" s="33">
        <f t="shared" si="1014"/>
        <v>352822.11811097531</v>
      </c>
      <c r="ET157" s="33">
        <f t="shared" si="1014"/>
        <v>352822.11811097531</v>
      </c>
      <c r="EU157" s="33">
        <f t="shared" si="1014"/>
        <v>353581.61777814181</v>
      </c>
      <c r="EV157" s="33">
        <f t="shared" si="1014"/>
        <v>353581.61777814181</v>
      </c>
      <c r="EW157" s="33">
        <f t="shared" si="1014"/>
        <v>353581.61777814181</v>
      </c>
      <c r="EX157" s="33">
        <f t="shared" si="1014"/>
        <v>388104.32992207288</v>
      </c>
      <c r="EY157" s="33">
        <f t="shared" si="1014"/>
        <v>388939.77955595602</v>
      </c>
      <c r="EZ157" s="33">
        <f t="shared" si="1014"/>
        <v>388939.77955595602</v>
      </c>
      <c r="FA157" s="33">
        <f t="shared" si="1014"/>
        <v>388939.77955595602</v>
      </c>
      <c r="FB157" s="33">
        <f t="shared" si="1014"/>
        <v>388939.77955595602</v>
      </c>
      <c r="FC157" s="33">
        <f t="shared" si="1014"/>
        <v>388939.77955595602</v>
      </c>
      <c r="FD157" s="33">
        <f t="shared" si="1014"/>
        <v>388939.77955595602</v>
      </c>
      <c r="FE157" s="33">
        <f t="shared" si="1014"/>
        <v>388939.77955595602</v>
      </c>
      <c r="FF157" s="33">
        <f t="shared" si="1014"/>
        <v>389858.77415322745</v>
      </c>
      <c r="FG157" s="33">
        <f t="shared" si="1014"/>
        <v>389858.77415322745</v>
      </c>
      <c r="FH157" s="33">
        <f t="shared" si="1014"/>
        <v>389858.77415322745</v>
      </c>
      <c r="FI157" s="33">
        <f t="shared" si="1014"/>
        <v>389858.77415322745</v>
      </c>
      <c r="FJ157" s="33">
        <f t="shared" si="1014"/>
        <v>427833.75751155167</v>
      </c>
      <c r="FK157" s="33">
        <f t="shared" si="1014"/>
        <v>427833.75751155167</v>
      </c>
      <c r="FL157" s="33">
        <f t="shared" si="1014"/>
        <v>428844.65156855027</v>
      </c>
      <c r="FM157" s="33">
        <f t="shared" si="1014"/>
        <v>428844.65156855027</v>
      </c>
      <c r="FN157" s="33">
        <f t="shared" si="1014"/>
        <v>428844.65156855027</v>
      </c>
      <c r="FO157" s="33">
        <f t="shared" si="1014"/>
        <v>428844.65156855027</v>
      </c>
      <c r="FP157" s="33">
        <f t="shared" si="1014"/>
        <v>428844.65156855027</v>
      </c>
      <c r="FQ157" s="33">
        <f t="shared" si="1014"/>
        <v>428844.65156855027</v>
      </c>
      <c r="FR157" s="33">
        <f t="shared" si="1014"/>
        <v>428844.65156855027</v>
      </c>
      <c r="FS157" s="33">
        <f t="shared" si="1014"/>
        <v>429956.63503124868</v>
      </c>
      <c r="FT157" s="33">
        <f t="shared" si="1014"/>
        <v>429956.63503124868</v>
      </c>
      <c r="FU157" s="33">
        <f t="shared" si="1014"/>
        <v>429956.63503124868</v>
      </c>
      <c r="FV157" s="33">
        <f t="shared" si="1014"/>
        <v>471729.11672540527</v>
      </c>
      <c r="FW157" s="33">
        <f t="shared" si="1014"/>
        <v>471729.11672540527</v>
      </c>
      <c r="FX157" s="33">
        <f t="shared" si="1014"/>
        <v>471729.11672540527</v>
      </c>
      <c r="FY157" s="33">
        <f t="shared" si="1014"/>
        <v>471729.11672540527</v>
      </c>
      <c r="FZ157" s="33">
        <f t="shared" si="1014"/>
        <v>472952.29853437358</v>
      </c>
      <c r="GA157" s="33">
        <f t="shared" si="1014"/>
        <v>472952.29853437358</v>
      </c>
      <c r="GB157" s="33">
        <f t="shared" si="1014"/>
        <v>472952.29853437358</v>
      </c>
      <c r="GC157" s="33">
        <f t="shared" si="1014"/>
        <v>472952.29853437358</v>
      </c>
      <c r="GD157" s="33">
        <f t="shared" si="1014"/>
        <v>472952.29853437358</v>
      </c>
      <c r="GE157" s="33">
        <f t="shared" si="1014"/>
        <v>472952.29853437358</v>
      </c>
      <c r="GF157" s="33">
        <f t="shared" si="1014"/>
        <v>474297.79852423869</v>
      </c>
      <c r="GG157" s="33">
        <f t="shared" si="1014"/>
        <v>474297.79852423869</v>
      </c>
      <c r="GH157" s="33">
        <f t="shared" si="1014"/>
        <v>520247.52838781098</v>
      </c>
      <c r="GI157" s="33">
        <f t="shared" si="1014"/>
        <v>520247.52838781098</v>
      </c>
      <c r="GJ157" s="33">
        <f t="shared" si="1014"/>
        <v>520247.52838781098</v>
      </c>
      <c r="GK157" s="33">
        <f t="shared" si="1014"/>
        <v>520247.52838781098</v>
      </c>
      <c r="GL157" s="33">
        <f t="shared" si="1014"/>
        <v>520247.52838781098</v>
      </c>
      <c r="GM157" s="33">
        <f t="shared" ref="GM157:IO157" si="1015">+SUM(GM155:GM156)</f>
        <v>521727.57837666263</v>
      </c>
      <c r="GN157" s="33">
        <f t="shared" si="1015"/>
        <v>521727.57837666263</v>
      </c>
      <c r="GO157" s="33">
        <f t="shared" si="1015"/>
        <v>521727.57837666263</v>
      </c>
      <c r="GP157" s="33">
        <f t="shared" si="1015"/>
        <v>521727.57837666263</v>
      </c>
      <c r="GQ157" s="33">
        <f t="shared" si="1015"/>
        <v>521727.57837666263</v>
      </c>
      <c r="GR157" s="33">
        <f t="shared" si="1015"/>
        <v>521727.57837666263</v>
      </c>
      <c r="GS157" s="33">
        <f t="shared" si="1015"/>
        <v>523355.63336439943</v>
      </c>
      <c r="GT157" s="33">
        <f t="shared" si="1015"/>
        <v>573900.33621432888</v>
      </c>
      <c r="GU157" s="33">
        <f t="shared" si="1015"/>
        <v>573900.33621432888</v>
      </c>
      <c r="GV157" s="33">
        <f t="shared" si="1015"/>
        <v>573900.33621432888</v>
      </c>
      <c r="GW157" s="33">
        <f t="shared" si="1015"/>
        <v>573900.33621432888</v>
      </c>
      <c r="GX157" s="33">
        <f t="shared" si="1015"/>
        <v>573900.33621432888</v>
      </c>
      <c r="GY157" s="33">
        <f t="shared" si="1015"/>
        <v>573900.33621432888</v>
      </c>
      <c r="GZ157" s="33">
        <f t="shared" si="1015"/>
        <v>575691.19670083933</v>
      </c>
      <c r="HA157" s="33">
        <f t="shared" si="1015"/>
        <v>577661.14323600091</v>
      </c>
      <c r="HB157" s="33">
        <f t="shared" si="1015"/>
        <v>577661.14323600091</v>
      </c>
      <c r="HC157" s="33">
        <f t="shared" si="1015"/>
        <v>577661.14323600091</v>
      </c>
      <c r="HD157" s="33">
        <f t="shared" si="1015"/>
        <v>577661.14323600091</v>
      </c>
      <c r="HE157" s="33">
        <f t="shared" si="1015"/>
        <v>577661.14323600091</v>
      </c>
      <c r="HF157" s="33">
        <f t="shared" si="1015"/>
        <v>633260.31637092342</v>
      </c>
      <c r="HG157" s="33">
        <f t="shared" si="1015"/>
        <v>633260.31637092342</v>
      </c>
      <c r="HH157" s="33">
        <f t="shared" si="1015"/>
        <v>635427.2575596011</v>
      </c>
      <c r="HI157" s="33">
        <f t="shared" si="1015"/>
        <v>637810.89286714653</v>
      </c>
      <c r="HJ157" s="33">
        <f t="shared" si="1015"/>
        <v>637810.89286714653</v>
      </c>
      <c r="HK157" s="33">
        <f t="shared" si="1015"/>
        <v>637810.89286714653</v>
      </c>
      <c r="HL157" s="33">
        <f t="shared" si="1015"/>
        <v>637810.89286714653</v>
      </c>
      <c r="HM157" s="33">
        <f t="shared" si="1015"/>
        <v>637810.89286714653</v>
      </c>
      <c r="HN157" s="33">
        <f t="shared" si="1015"/>
        <v>637810.89286714653</v>
      </c>
      <c r="HO157" s="33">
        <f t="shared" si="1015"/>
        <v>637810.89286714653</v>
      </c>
      <c r="HP157" s="33">
        <f t="shared" si="1015"/>
        <v>640432.89170544653</v>
      </c>
      <c r="HQ157" s="33">
        <f t="shared" si="1015"/>
        <v>643317.09042757656</v>
      </c>
      <c r="HR157" s="33">
        <f t="shared" si="1015"/>
        <v>704476.18087599124</v>
      </c>
      <c r="HS157" s="33">
        <f t="shared" si="1015"/>
        <v>704476.18087599124</v>
      </c>
      <c r="HT157" s="33">
        <f t="shared" si="1015"/>
        <v>704476.18087599124</v>
      </c>
      <c r="HU157" s="33">
        <f t="shared" si="1015"/>
        <v>704476.18087599124</v>
      </c>
      <c r="HV157" s="33">
        <f t="shared" si="1015"/>
        <v>704476.18087599124</v>
      </c>
      <c r="HW157" s="33">
        <f t="shared" si="1015"/>
        <v>704476.18087599124</v>
      </c>
      <c r="HX157" s="33">
        <f t="shared" si="1015"/>
        <v>707648.7994703342</v>
      </c>
      <c r="HY157" s="33">
        <f t="shared" si="1015"/>
        <v>711138.67992411146</v>
      </c>
      <c r="HZ157" s="33">
        <f t="shared" si="1015"/>
        <v>711138.67992411146</v>
      </c>
      <c r="IA157" s="33">
        <f t="shared" si="1015"/>
        <v>711138.67992411146</v>
      </c>
      <c r="IB157" s="33">
        <f t="shared" si="1015"/>
        <v>711138.67992411146</v>
      </c>
      <c r="IC157" s="33">
        <f t="shared" si="1015"/>
        <v>711138.67992411146</v>
      </c>
      <c r="ID157" s="33">
        <f t="shared" si="1015"/>
        <v>778413.67941736768</v>
      </c>
      <c r="IE157" s="33">
        <f t="shared" si="1015"/>
        <v>778413.67941736768</v>
      </c>
      <c r="IF157" s="33">
        <f t="shared" si="1015"/>
        <v>782252.54791652272</v>
      </c>
      <c r="IG157" s="33">
        <f t="shared" si="1015"/>
        <v>782252.54791652272</v>
      </c>
      <c r="IH157" s="33">
        <f t="shared" si="1015"/>
        <v>782252.54791652272</v>
      </c>
      <c r="II157" s="33">
        <f t="shared" si="1015"/>
        <v>786475.30326559325</v>
      </c>
      <c r="IJ157" s="33">
        <f t="shared" si="1015"/>
        <v>786475.30326559325</v>
      </c>
      <c r="IK157" s="33">
        <f t="shared" si="1015"/>
        <v>786475.30326559325</v>
      </c>
      <c r="IL157" s="33">
        <f t="shared" si="1015"/>
        <v>786475.30326559325</v>
      </c>
      <c r="IM157" s="33">
        <f t="shared" si="1015"/>
        <v>791120.33414957079</v>
      </c>
      <c r="IN157" s="33">
        <f t="shared" si="1015"/>
        <v>791120.33414957079</v>
      </c>
      <c r="IO157" s="33">
        <f t="shared" si="1015"/>
        <v>791120.33414957079</v>
      </c>
      <c r="IP157" s="33"/>
    </row>
    <row r="160" spans="1:250" x14ac:dyDescent="0.3">
      <c r="E160">
        <v>2024</v>
      </c>
      <c r="F160">
        <v>2025</v>
      </c>
      <c r="G160">
        <v>2026</v>
      </c>
      <c r="H160">
        <v>2027</v>
      </c>
      <c r="I160">
        <v>2028</v>
      </c>
      <c r="J160">
        <v>2029</v>
      </c>
      <c r="K160">
        <v>2030</v>
      </c>
      <c r="L160">
        <v>2031</v>
      </c>
      <c r="M160">
        <v>2032</v>
      </c>
      <c r="N160">
        <v>2033</v>
      </c>
      <c r="O160">
        <v>2034</v>
      </c>
      <c r="P160">
        <v>2035</v>
      </c>
      <c r="Q160">
        <v>2036</v>
      </c>
      <c r="R160">
        <v>2037</v>
      </c>
      <c r="S160">
        <v>2038</v>
      </c>
      <c r="T160">
        <v>2039</v>
      </c>
      <c r="U160">
        <v>2040</v>
      </c>
      <c r="V160">
        <v>2041</v>
      </c>
      <c r="W160">
        <v>2042</v>
      </c>
      <c r="X160">
        <v>2043</v>
      </c>
      <c r="Y160">
        <v>2044</v>
      </c>
    </row>
    <row r="161" spans="2:25" x14ac:dyDescent="0.3">
      <c r="B161" s="6" t="s">
        <v>821</v>
      </c>
      <c r="C161" s="6"/>
      <c r="D161" s="6"/>
      <c r="E161" s="30">
        <f t="shared" ref="E161:Y161" si="1016">+SUMIFS(157:157,153:153,E160)</f>
        <v>510000</v>
      </c>
      <c r="F161" s="30">
        <f t="shared" si="1016"/>
        <v>1346400.0000000002</v>
      </c>
      <c r="G161" s="30">
        <f t="shared" si="1016"/>
        <v>1481040.0000000002</v>
      </c>
      <c r="H161" s="30">
        <f t="shared" si="1016"/>
        <v>1629144.0000000002</v>
      </c>
      <c r="I161" s="30">
        <f t="shared" si="1016"/>
        <v>1792058.4000000013</v>
      </c>
      <c r="J161" s="30">
        <f t="shared" si="1016"/>
        <v>1971264.2400000005</v>
      </c>
      <c r="K161" s="30">
        <f t="shared" si="1016"/>
        <v>2168390.6640000013</v>
      </c>
      <c r="L161" s="30">
        <f t="shared" si="1016"/>
        <v>2385229.7304000016</v>
      </c>
      <c r="M161" s="30">
        <f t="shared" si="1016"/>
        <v>2623752.7034400026</v>
      </c>
      <c r="N161" s="30">
        <f t="shared" si="1016"/>
        <v>2886127.9737840029</v>
      </c>
      <c r="O161" s="30">
        <f t="shared" si="1016"/>
        <v>3177334.5136225028</v>
      </c>
      <c r="P161" s="30">
        <f t="shared" si="1016"/>
        <v>3814845.2854055646</v>
      </c>
      <c r="Q161" s="30">
        <f t="shared" si="1016"/>
        <v>4234763.007847446</v>
      </c>
      <c r="R161" s="30">
        <f t="shared" si="1016"/>
        <v>4670117.8834266737</v>
      </c>
      <c r="S161" s="30">
        <f t="shared" si="1016"/>
        <v>5147449.9810966998</v>
      </c>
      <c r="T161" s="30">
        <f t="shared" si="1016"/>
        <v>5673225.8551563416</v>
      </c>
      <c r="U161" s="30">
        <f t="shared" si="1016"/>
        <v>6254958.7455634307</v>
      </c>
      <c r="V161" s="30">
        <f t="shared" si="1016"/>
        <v>6907398.9301668182</v>
      </c>
      <c r="W161" s="30">
        <f t="shared" si="1016"/>
        <v>7650374.1225044951</v>
      </c>
      <c r="X161" s="30">
        <f t="shared" si="1016"/>
        <v>8490199.2843468413</v>
      </c>
      <c r="Y161" s="30">
        <f t="shared" si="1016"/>
        <v>9422847.2180953883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4539-CC13-4892-927F-0734EFD14974}">
  <dimension ref="A1:AY81"/>
  <sheetViews>
    <sheetView topLeftCell="B15" workbookViewId="0">
      <selection activeCell="O12" sqref="O12"/>
    </sheetView>
  </sheetViews>
  <sheetFormatPr baseColWidth="10" defaultColWidth="11.44140625" defaultRowHeight="14.4" x14ac:dyDescent="0.3"/>
  <cols>
    <col min="1" max="1" width="16.5546875" bestFit="1" customWidth="1"/>
    <col min="2" max="2" width="11.44140625" bestFit="1" customWidth="1"/>
    <col min="3" max="3" width="17.44140625" bestFit="1" customWidth="1"/>
    <col min="4" max="4" width="22.21875" bestFit="1" customWidth="1"/>
    <col min="5" max="5" width="16.5546875" bestFit="1" customWidth="1"/>
    <col min="6" max="7" width="12.5546875" bestFit="1" customWidth="1"/>
    <col min="8" max="8" width="18" bestFit="1" customWidth="1"/>
    <col min="9" max="9" width="16.5546875" bestFit="1" customWidth="1"/>
    <col min="10" max="11" width="12.5546875" bestFit="1" customWidth="1"/>
    <col min="12" max="12" width="14.5546875" bestFit="1" customWidth="1"/>
    <col min="13" max="13" width="16.5546875" bestFit="1" customWidth="1"/>
    <col min="14" max="15" width="12.5546875" bestFit="1" customWidth="1"/>
    <col min="16" max="16" width="14.5546875" bestFit="1" customWidth="1"/>
    <col min="17" max="17" width="16.5546875" bestFit="1" customWidth="1"/>
    <col min="18" max="19" width="10.44140625" bestFit="1" customWidth="1"/>
    <col min="20" max="20" width="14.5546875" bestFit="1" customWidth="1"/>
    <col min="21" max="21" width="16.5546875" bestFit="1" customWidth="1"/>
    <col min="22" max="23" width="10.44140625" bestFit="1" customWidth="1"/>
    <col min="24" max="24" width="14.5546875" bestFit="1" customWidth="1"/>
    <col min="25" max="25" width="16.5546875" bestFit="1" customWidth="1"/>
    <col min="26" max="26" width="10.44140625" customWidth="1"/>
    <col min="27" max="27" width="10.44140625" bestFit="1" customWidth="1"/>
    <col min="28" max="28" width="14.5546875" bestFit="1" customWidth="1"/>
    <col min="29" max="29" width="16.5546875" bestFit="1" customWidth="1"/>
    <col min="30" max="31" width="10.44140625" bestFit="1" customWidth="1"/>
    <col min="32" max="32" width="14.5546875" bestFit="1" customWidth="1"/>
    <col min="33" max="33" width="16.5546875" bestFit="1" customWidth="1"/>
    <col min="34" max="35" width="10.44140625" bestFit="1" customWidth="1"/>
    <col min="36" max="36" width="14.5546875" bestFit="1" customWidth="1"/>
    <col min="37" max="37" width="16.5546875" bestFit="1" customWidth="1"/>
    <col min="38" max="39" width="10.44140625" bestFit="1" customWidth="1"/>
    <col min="40" max="40" width="14.5546875" bestFit="1" customWidth="1"/>
    <col min="41" max="41" width="16.5546875" bestFit="1" customWidth="1"/>
    <col min="42" max="43" width="10.44140625" bestFit="1" customWidth="1"/>
    <col min="44" max="44" width="14.5546875" bestFit="1" customWidth="1"/>
    <col min="45" max="45" width="16.5546875" bestFit="1" customWidth="1"/>
    <col min="46" max="47" width="10.44140625" bestFit="1" customWidth="1"/>
    <col min="48" max="48" width="14.5546875" bestFit="1" customWidth="1"/>
    <col min="49" max="49" width="16.5546875" bestFit="1" customWidth="1"/>
    <col min="50" max="51" width="10.44140625" bestFit="1" customWidth="1"/>
  </cols>
  <sheetData>
    <row r="1" spans="1:8" x14ac:dyDescent="0.3">
      <c r="A1" t="s">
        <v>824</v>
      </c>
    </row>
    <row r="2" spans="1:8" x14ac:dyDescent="0.3">
      <c r="A2" t="s">
        <v>825</v>
      </c>
      <c r="C2" t="s">
        <v>826</v>
      </c>
      <c r="D2" s="12">
        <f>+AVERAGE(Producción!E8:P8)</f>
        <v>2064.853146125</v>
      </c>
      <c r="E2" t="s">
        <v>33</v>
      </c>
      <c r="F2" s="38">
        <f>+D2/D3</f>
        <v>1.1813224197139451</v>
      </c>
    </row>
    <row r="3" spans="1:8" x14ac:dyDescent="0.3">
      <c r="A3" t="s">
        <v>827</v>
      </c>
      <c r="C3" t="s">
        <v>828</v>
      </c>
      <c r="D3" s="12">
        <f>+AVERAGE(Producción!E9:P9)</f>
        <v>1747.9166666666667</v>
      </c>
      <c r="E3" t="s">
        <v>33</v>
      </c>
    </row>
    <row r="5" spans="1:8" x14ac:dyDescent="0.3">
      <c r="A5" t="s">
        <v>829</v>
      </c>
      <c r="B5" t="s">
        <v>830</v>
      </c>
      <c r="C5" t="s">
        <v>831</v>
      </c>
      <c r="D5" t="s">
        <v>832</v>
      </c>
      <c r="E5" t="s">
        <v>833</v>
      </c>
      <c r="F5" t="s">
        <v>768</v>
      </c>
      <c r="G5" t="s">
        <v>834</v>
      </c>
      <c r="H5" t="s">
        <v>835</v>
      </c>
    </row>
    <row r="6" spans="1:8" x14ac:dyDescent="0.3">
      <c r="A6">
        <v>0</v>
      </c>
      <c r="B6" s="38">
        <v>3.6858089453340702E-2</v>
      </c>
      <c r="C6" s="38">
        <v>0</v>
      </c>
      <c r="D6" s="11">
        <f>+($D$3*B6)</f>
        <v>64.4248688569851</v>
      </c>
      <c r="E6" s="11">
        <f>+$D$2*C6</f>
        <v>0</v>
      </c>
      <c r="F6" s="3">
        <f>+IF(D6&gt;E6,D6-E6,0)</f>
        <v>64.4248688569851</v>
      </c>
      <c r="G6">
        <f>+IF(D6&lt;E6,E6-D6,0)</f>
        <v>0</v>
      </c>
      <c r="H6">
        <f>+G6</f>
        <v>0</v>
      </c>
    </row>
    <row r="7" spans="1:8" x14ac:dyDescent="0.3">
      <c r="A7">
        <v>1</v>
      </c>
      <c r="B7" s="38">
        <v>2.8575372722252898E-2</v>
      </c>
      <c r="C7" s="38">
        <v>0</v>
      </c>
      <c r="D7" s="11">
        <f t="shared" ref="D7:D29" si="0">+($D$3*B7)</f>
        <v>49.94737023743788</v>
      </c>
      <c r="E7" s="11">
        <f t="shared" ref="E7:E29" si="1">+$D$2*C7</f>
        <v>0</v>
      </c>
      <c r="F7" s="3">
        <f t="shared" ref="F7:F29" si="2">+IF(D7&gt;E7,D7-E7,0)</f>
        <v>49.94737023743788</v>
      </c>
      <c r="G7">
        <f t="shared" ref="G7:G12" si="3">+IF(D7&lt;E7,E7-D7,0)</f>
        <v>0</v>
      </c>
      <c r="H7">
        <f>+H6+G7</f>
        <v>0</v>
      </c>
    </row>
    <row r="8" spans="1:8" x14ac:dyDescent="0.3">
      <c r="A8">
        <v>2</v>
      </c>
      <c r="B8" s="38">
        <v>2.5331308669243512E-2</v>
      </c>
      <c r="C8" s="38">
        <v>0</v>
      </c>
      <c r="D8" s="11">
        <f t="shared" si="0"/>
        <v>44.277016611448559</v>
      </c>
      <c r="E8" s="11">
        <f t="shared" si="1"/>
        <v>0</v>
      </c>
      <c r="F8" s="3">
        <f t="shared" si="2"/>
        <v>44.277016611448559</v>
      </c>
      <c r="G8">
        <f t="shared" si="3"/>
        <v>0</v>
      </c>
      <c r="H8">
        <f t="shared" ref="H8:H29" si="4">+H7+G8</f>
        <v>0</v>
      </c>
    </row>
    <row r="9" spans="1:8" x14ac:dyDescent="0.3">
      <c r="A9">
        <v>3</v>
      </c>
      <c r="B9" s="38">
        <v>2.4641082274986195E-2</v>
      </c>
      <c r="C9" s="38">
        <v>0</v>
      </c>
      <c r="D9" s="11">
        <f>+($D$3*B9)</f>
        <v>43.070558393152957</v>
      </c>
      <c r="E9" s="11">
        <f t="shared" si="1"/>
        <v>0</v>
      </c>
      <c r="F9" s="3">
        <f t="shared" si="2"/>
        <v>43.070558393152957</v>
      </c>
      <c r="G9">
        <f t="shared" si="3"/>
        <v>0</v>
      </c>
      <c r="H9">
        <f t="shared" si="4"/>
        <v>0</v>
      </c>
    </row>
    <row r="10" spans="1:8" x14ac:dyDescent="0.3">
      <c r="A10">
        <v>4</v>
      </c>
      <c r="B10" s="38">
        <v>2.436499171728327E-2</v>
      </c>
      <c r="C10" s="38">
        <v>0</v>
      </c>
      <c r="D10" s="11">
        <f t="shared" si="0"/>
        <v>42.587975105834715</v>
      </c>
      <c r="E10" s="11">
        <f t="shared" si="1"/>
        <v>0</v>
      </c>
      <c r="F10" s="3">
        <f t="shared" si="2"/>
        <v>42.587975105834715</v>
      </c>
      <c r="G10">
        <f t="shared" si="3"/>
        <v>0</v>
      </c>
      <c r="H10">
        <f t="shared" si="4"/>
        <v>0</v>
      </c>
    </row>
    <row r="11" spans="1:8" x14ac:dyDescent="0.3">
      <c r="A11">
        <v>5</v>
      </c>
      <c r="B11" s="38">
        <v>2.5814467145223632E-2</v>
      </c>
      <c r="C11" s="38">
        <v>1.7578820328206916E-3</v>
      </c>
      <c r="D11" s="11">
        <f t="shared" si="0"/>
        <v>45.121537364255474</v>
      </c>
      <c r="E11" s="11">
        <f t="shared" si="1"/>
        <v>3.6297682459864156</v>
      </c>
      <c r="F11" s="3">
        <f t="shared" si="2"/>
        <v>41.491769118269062</v>
      </c>
      <c r="G11">
        <f t="shared" si="3"/>
        <v>0</v>
      </c>
      <c r="H11">
        <f t="shared" si="4"/>
        <v>0</v>
      </c>
    </row>
    <row r="12" spans="1:8" x14ac:dyDescent="0.3">
      <c r="A12">
        <v>6</v>
      </c>
      <c r="B12" s="38">
        <v>3.8307564881281064E-2</v>
      </c>
      <c r="C12" s="38">
        <v>7.66820641375816E-3</v>
      </c>
      <c r="D12" s="11">
        <f t="shared" si="0"/>
        <v>66.958431115405858</v>
      </c>
      <c r="E12" s="11">
        <f t="shared" si="1"/>
        <v>15.833720138584439</v>
      </c>
      <c r="F12" s="3">
        <f t="shared" si="2"/>
        <v>51.124710976821419</v>
      </c>
      <c r="G12">
        <f t="shared" si="3"/>
        <v>0</v>
      </c>
      <c r="H12">
        <f t="shared" si="4"/>
        <v>0</v>
      </c>
    </row>
    <row r="13" spans="1:8" x14ac:dyDescent="0.3">
      <c r="A13">
        <v>7</v>
      </c>
      <c r="B13" s="38">
        <v>2.4088901159580341E-2</v>
      </c>
      <c r="C13" s="38">
        <v>2.5531143810014804E-2</v>
      </c>
      <c r="D13" s="11">
        <f>+($D$3*B13)</f>
        <v>42.105391818516473</v>
      </c>
      <c r="E13" s="11">
        <f>+$D$2*C13</f>
        <v>52.718062620278886</v>
      </c>
      <c r="F13" s="3">
        <f t="shared" si="2"/>
        <v>0</v>
      </c>
      <c r="G13" s="3">
        <f>+IF(D13&lt;E13,E13-D13,0)</f>
        <v>10.612670801762413</v>
      </c>
      <c r="H13" s="3">
        <f t="shared" si="4"/>
        <v>10.612670801762413</v>
      </c>
    </row>
    <row r="14" spans="1:8" x14ac:dyDescent="0.3">
      <c r="A14">
        <v>8</v>
      </c>
      <c r="B14" s="38">
        <v>1.1733848702374381E-2</v>
      </c>
      <c r="C14" s="38">
        <v>8.4841197270309573E-2</v>
      </c>
      <c r="D14" s="11">
        <f t="shared" si="0"/>
        <v>20.509789711025221</v>
      </c>
      <c r="E14" s="11">
        <f>+$D$2*C14</f>
        <v>175.18461310461049</v>
      </c>
      <c r="F14" s="3">
        <f t="shared" si="2"/>
        <v>0</v>
      </c>
      <c r="G14" s="3">
        <f>+IF(D14&lt;E14,E14-D14,0)</f>
        <v>154.67482339358526</v>
      </c>
      <c r="H14" s="3">
        <f t="shared" si="4"/>
        <v>165.28749419534768</v>
      </c>
    </row>
    <row r="15" spans="1:8" x14ac:dyDescent="0.3">
      <c r="A15">
        <v>9</v>
      </c>
      <c r="B15" s="38">
        <v>1.4632799558255107E-2</v>
      </c>
      <c r="C15" s="38">
        <v>8.6544914870746434E-2</v>
      </c>
      <c r="D15" s="11">
        <f t="shared" si="0"/>
        <v>25.576914227866741</v>
      </c>
      <c r="E15" s="11">
        <f t="shared" si="1"/>
        <v>178.70253975198108</v>
      </c>
      <c r="F15" s="3">
        <f t="shared" si="2"/>
        <v>0</v>
      </c>
      <c r="G15" s="3">
        <f t="shared" ref="G15:G29" si="5">+IF(D15&lt;E15,E15-D15,0)</f>
        <v>153.12562552411433</v>
      </c>
      <c r="H15" s="3">
        <f t="shared" si="4"/>
        <v>318.41311971946197</v>
      </c>
    </row>
    <row r="16" spans="1:8" x14ac:dyDescent="0.3">
      <c r="A16">
        <v>10</v>
      </c>
      <c r="B16" s="38">
        <v>9.9392600773053549E-3</v>
      </c>
      <c r="C16" s="38">
        <v>0.10217381563313545</v>
      </c>
      <c r="D16" s="11">
        <f t="shared" si="0"/>
        <v>17.372998343456654</v>
      </c>
      <c r="E16" s="11">
        <f t="shared" si="1"/>
        <v>210.97392466167543</v>
      </c>
      <c r="F16" s="3">
        <f t="shared" si="2"/>
        <v>0</v>
      </c>
      <c r="G16" s="3">
        <f t="shared" si="5"/>
        <v>193.60092631821877</v>
      </c>
      <c r="H16" s="3">
        <f t="shared" si="4"/>
        <v>512.01404603768071</v>
      </c>
    </row>
    <row r="17" spans="1:19" x14ac:dyDescent="0.3">
      <c r="A17">
        <v>11</v>
      </c>
      <c r="B17" s="38">
        <v>8.9729431253451133E-3</v>
      </c>
      <c r="C17" s="38">
        <v>0.14205853402486543</v>
      </c>
      <c r="D17" s="11">
        <f t="shared" si="0"/>
        <v>15.683956837842814</v>
      </c>
      <c r="E17" s="11">
        <f t="shared" si="1"/>
        <v>293.33001091514876</v>
      </c>
      <c r="F17" s="3">
        <f t="shared" si="2"/>
        <v>0</v>
      </c>
      <c r="G17" s="3">
        <f t="shared" si="5"/>
        <v>277.64605407730596</v>
      </c>
      <c r="H17" s="3">
        <f t="shared" si="4"/>
        <v>789.66010011498668</v>
      </c>
    </row>
    <row r="18" spans="1:19" x14ac:dyDescent="0.3">
      <c r="A18">
        <v>12</v>
      </c>
      <c r="B18" s="38">
        <v>9.7321921590281611E-3</v>
      </c>
      <c r="C18" s="38">
        <v>0.14772117922862957</v>
      </c>
      <c r="D18" s="11">
        <f t="shared" si="0"/>
        <v>17.011060877967974</v>
      </c>
      <c r="E18" s="11">
        <f t="shared" si="1"/>
        <v>305.02254167953078</v>
      </c>
      <c r="F18" s="3">
        <f t="shared" si="2"/>
        <v>0</v>
      </c>
      <c r="G18" s="3">
        <f t="shared" si="5"/>
        <v>288.01148080156281</v>
      </c>
      <c r="H18" s="3">
        <f t="shared" si="4"/>
        <v>1077.6715809165494</v>
      </c>
      <c r="I18" s="11"/>
    </row>
    <row r="19" spans="1:19" x14ac:dyDescent="0.3">
      <c r="A19">
        <v>13</v>
      </c>
      <c r="B19" s="38">
        <v>1.7738818332413031E-2</v>
      </c>
      <c r="C19" s="38">
        <v>0.12310098269052464</v>
      </c>
      <c r="D19" s="11">
        <f t="shared" si="0"/>
        <v>31.005976210196945</v>
      </c>
      <c r="E19" s="11">
        <f t="shared" si="1"/>
        <v>254.18545139960895</v>
      </c>
      <c r="F19" s="3">
        <f t="shared" si="2"/>
        <v>0</v>
      </c>
      <c r="G19" s="3">
        <f t="shared" si="5"/>
        <v>223.17947518941202</v>
      </c>
      <c r="H19" s="3">
        <f t="shared" si="4"/>
        <v>1300.8510561059613</v>
      </c>
      <c r="I19" s="3"/>
    </row>
    <row r="20" spans="1:19" x14ac:dyDescent="0.3">
      <c r="A20">
        <v>14</v>
      </c>
      <c r="B20" s="38">
        <v>7.1093318608503597E-2</v>
      </c>
      <c r="C20" s="38">
        <v>0.12310098269052464</v>
      </c>
      <c r="D20" s="11">
        <f t="shared" si="0"/>
        <v>124.26519648444692</v>
      </c>
      <c r="E20" s="11">
        <f t="shared" si="1"/>
        <v>254.18545139960895</v>
      </c>
      <c r="F20" s="3">
        <f t="shared" si="2"/>
        <v>0</v>
      </c>
      <c r="G20" s="3">
        <f t="shared" si="5"/>
        <v>129.92025491516205</v>
      </c>
      <c r="H20" s="3">
        <f t="shared" si="4"/>
        <v>1430.7713110211234</v>
      </c>
      <c r="I20" s="3"/>
    </row>
    <row r="21" spans="1:19" x14ac:dyDescent="0.3">
      <c r="A21">
        <v>15</v>
      </c>
      <c r="B21" s="38">
        <v>9.3180563224737722E-2</v>
      </c>
      <c r="C21" s="38">
        <v>9.8480786152419703E-2</v>
      </c>
      <c r="D21" s="11">
        <f t="shared" si="0"/>
        <v>162.87185946990616</v>
      </c>
      <c r="E21" s="11">
        <f t="shared" si="1"/>
        <v>203.34836111968715</v>
      </c>
      <c r="F21" s="3">
        <f t="shared" si="2"/>
        <v>0</v>
      </c>
      <c r="G21" s="3">
        <f t="shared" si="5"/>
        <v>40.476501649781</v>
      </c>
      <c r="H21" s="3">
        <f t="shared" si="4"/>
        <v>1471.2478126709045</v>
      </c>
      <c r="I21" s="3"/>
    </row>
    <row r="22" spans="1:19" x14ac:dyDescent="0.3">
      <c r="A22">
        <v>16</v>
      </c>
      <c r="B22" s="38">
        <v>8.6278299282164558E-2</v>
      </c>
      <c r="C22" s="38">
        <v>2.8313226018820664E-2</v>
      </c>
      <c r="D22" s="11">
        <f t="shared" si="0"/>
        <v>150.80727728695015</v>
      </c>
      <c r="E22" s="11">
        <f t="shared" si="1"/>
        <v>58.462653821910052</v>
      </c>
      <c r="F22" s="3">
        <f t="shared" si="2"/>
        <v>92.344623465040101</v>
      </c>
      <c r="G22" s="3">
        <f t="shared" si="5"/>
        <v>0</v>
      </c>
      <c r="H22" s="3">
        <f t="shared" si="4"/>
        <v>1471.2478126709045</v>
      </c>
      <c r="I22" s="3"/>
    </row>
    <row r="23" spans="1:19" x14ac:dyDescent="0.3">
      <c r="A23">
        <v>17</v>
      </c>
      <c r="B23" s="38">
        <v>7.937603533959138E-2</v>
      </c>
      <c r="C23" s="38">
        <v>2.3881590641961777E-2</v>
      </c>
      <c r="D23" s="11">
        <f t="shared" si="0"/>
        <v>138.74269510399409</v>
      </c>
      <c r="E23" s="11">
        <f t="shared" si="1"/>
        <v>49.311977571524132</v>
      </c>
      <c r="F23" s="3">
        <f t="shared" si="2"/>
        <v>89.43071753246997</v>
      </c>
      <c r="G23" s="3">
        <f t="shared" si="5"/>
        <v>0</v>
      </c>
      <c r="H23" s="3">
        <f t="shared" si="4"/>
        <v>1471.2478126709045</v>
      </c>
      <c r="I23" s="3"/>
    </row>
    <row r="24" spans="1:19" x14ac:dyDescent="0.3">
      <c r="A24">
        <v>18</v>
      </c>
      <c r="B24" s="38">
        <v>7.5924903368304819E-2</v>
      </c>
      <c r="C24" s="38">
        <v>4.8255585214685651E-3</v>
      </c>
      <c r="D24" s="11">
        <f t="shared" si="0"/>
        <v>132.71040401251614</v>
      </c>
      <c r="E24" s="11">
        <f t="shared" si="1"/>
        <v>9.9640696948646692</v>
      </c>
      <c r="F24" s="3">
        <f t="shared" si="2"/>
        <v>122.74633431765147</v>
      </c>
      <c r="G24" s="3">
        <f t="shared" si="5"/>
        <v>0</v>
      </c>
      <c r="H24" s="3">
        <f t="shared" si="4"/>
        <v>1471.2478126709045</v>
      </c>
      <c r="I24" s="3"/>
    </row>
    <row r="25" spans="1:19" x14ac:dyDescent="0.3">
      <c r="A25">
        <v>19</v>
      </c>
      <c r="B25" s="38">
        <v>7.5924903368304819E-2</v>
      </c>
      <c r="C25" s="38">
        <v>0</v>
      </c>
      <c r="D25" s="11">
        <f t="shared" si="0"/>
        <v>132.71040401251614</v>
      </c>
      <c r="E25" s="11">
        <f t="shared" si="1"/>
        <v>0</v>
      </c>
      <c r="F25" s="3">
        <f t="shared" si="2"/>
        <v>132.71040401251614</v>
      </c>
      <c r="G25" s="3">
        <f t="shared" si="5"/>
        <v>0</v>
      </c>
      <c r="H25" s="3">
        <f t="shared" si="4"/>
        <v>1471.2478126709045</v>
      </c>
      <c r="I25" s="3"/>
    </row>
    <row r="26" spans="1:19" x14ac:dyDescent="0.3">
      <c r="A26">
        <v>20</v>
      </c>
      <c r="B26" s="38">
        <v>8.8348978464936501E-2</v>
      </c>
      <c r="C26" s="38">
        <v>0</v>
      </c>
      <c r="D26" s="11">
        <f t="shared" si="0"/>
        <v>154.42665194183692</v>
      </c>
      <c r="E26" s="11">
        <f t="shared" si="1"/>
        <v>0</v>
      </c>
      <c r="F26" s="3">
        <f t="shared" si="2"/>
        <v>154.42665194183692</v>
      </c>
      <c r="G26" s="3">
        <f t="shared" si="5"/>
        <v>0</v>
      </c>
      <c r="H26" s="3">
        <f t="shared" si="4"/>
        <v>1471.2478126709045</v>
      </c>
      <c r="I26" s="3"/>
    </row>
    <row r="27" spans="1:19" x14ac:dyDescent="0.3">
      <c r="A27">
        <v>21</v>
      </c>
      <c r="B27" s="38">
        <v>5.383765875207068E-2</v>
      </c>
      <c r="C27" s="38">
        <v>0</v>
      </c>
      <c r="D27" s="11">
        <f t="shared" si="0"/>
        <v>94.103741027056884</v>
      </c>
      <c r="E27" s="11">
        <f t="shared" si="1"/>
        <v>0</v>
      </c>
      <c r="F27" s="3">
        <f t="shared" si="2"/>
        <v>94.103741027056884</v>
      </c>
      <c r="G27" s="3">
        <f t="shared" si="5"/>
        <v>0</v>
      </c>
      <c r="H27" s="3">
        <f t="shared" si="4"/>
        <v>1471.2478126709045</v>
      </c>
      <c r="I27" s="3"/>
    </row>
    <row r="28" spans="1:19" x14ac:dyDescent="0.3">
      <c r="A28">
        <v>22</v>
      </c>
      <c r="B28" s="38">
        <v>4.2586968525676422E-2</v>
      </c>
      <c r="C28" s="38">
        <v>0</v>
      </c>
      <c r="D28" s="11">
        <f t="shared" si="0"/>
        <v>74.438472068838578</v>
      </c>
      <c r="E28" s="11">
        <f t="shared" si="1"/>
        <v>0</v>
      </c>
      <c r="F28" s="3">
        <f t="shared" si="2"/>
        <v>74.438472068838578</v>
      </c>
      <c r="G28" s="3">
        <f t="shared" si="5"/>
        <v>0</v>
      </c>
      <c r="H28" s="3">
        <f t="shared" si="4"/>
        <v>1471.2478126709045</v>
      </c>
      <c r="I28" s="3"/>
      <c r="N28" t="s">
        <v>836</v>
      </c>
    </row>
    <row r="29" spans="1:19" x14ac:dyDescent="0.3">
      <c r="A29">
        <v>23</v>
      </c>
      <c r="B29" s="38">
        <v>3.2716731087796797E-2</v>
      </c>
      <c r="C29" s="38">
        <v>0</v>
      </c>
      <c r="D29" s="11">
        <f t="shared" si="0"/>
        <v>57.186119547211483</v>
      </c>
      <c r="E29" s="11">
        <f t="shared" si="1"/>
        <v>0</v>
      </c>
      <c r="F29" s="3">
        <f t="shared" si="2"/>
        <v>57.186119547211483</v>
      </c>
      <c r="G29" s="3">
        <f t="shared" si="5"/>
        <v>0</v>
      </c>
      <c r="H29" s="3">
        <f t="shared" si="4"/>
        <v>1471.2478126709045</v>
      </c>
      <c r="I29" s="3"/>
      <c r="J29" s="11"/>
    </row>
    <row r="30" spans="1:19" x14ac:dyDescent="0.3">
      <c r="A30" t="s">
        <v>11</v>
      </c>
      <c r="B30" s="11">
        <f t="shared" ref="B30:C30" si="6">+SUM(B6:B29)</f>
        <v>1</v>
      </c>
      <c r="C30" s="11">
        <f t="shared" si="6"/>
        <v>1.0000000000000002</v>
      </c>
      <c r="D30" s="11">
        <f>+SUM(D6:D29)</f>
        <v>1747.9166666666672</v>
      </c>
      <c r="E30" s="11">
        <f>+SUM(E6:E29)</f>
        <v>2064.853146125</v>
      </c>
      <c r="F30" s="11">
        <f>+SUM(F6:F29)</f>
        <v>1154.3113332125715</v>
      </c>
      <c r="G30" s="11">
        <f>+SUM(G6:G29)</f>
        <v>1471.2478126709045</v>
      </c>
      <c r="H30" s="11"/>
      <c r="I30" s="11"/>
      <c r="J30" s="11"/>
    </row>
    <row r="31" spans="1:19" x14ac:dyDescent="0.3">
      <c r="J31" t="s">
        <v>33</v>
      </c>
      <c r="K31" t="s">
        <v>783</v>
      </c>
      <c r="M31" t="s">
        <v>11</v>
      </c>
      <c r="P31" t="s">
        <v>837</v>
      </c>
      <c r="Q31" s="28">
        <f>+Q33*621.54</f>
        <v>159182.60939999999</v>
      </c>
    </row>
    <row r="32" spans="1:19" x14ac:dyDescent="0.3">
      <c r="E32" t="s">
        <v>838</v>
      </c>
      <c r="F32" s="11">
        <f>+G30</f>
        <v>1471.2478126709045</v>
      </c>
      <c r="G32" t="s">
        <v>33</v>
      </c>
      <c r="H32" s="38">
        <f>+F32/E30</f>
        <v>0.71251934571323727</v>
      </c>
      <c r="Q32" t="s">
        <v>839</v>
      </c>
      <c r="R32" t="s">
        <v>840</v>
      </c>
      <c r="S32" t="s">
        <v>841</v>
      </c>
    </row>
    <row r="33" spans="1:51" x14ac:dyDescent="0.3">
      <c r="E33" t="s">
        <v>842</v>
      </c>
      <c r="F33" s="11">
        <f>+F32+F34</f>
        <v>1154.3113332125715</v>
      </c>
      <c r="G33" t="s">
        <v>33</v>
      </c>
      <c r="H33" s="38">
        <f>+F33/F32</f>
        <v>0.78457981264015186</v>
      </c>
      <c r="I33" t="s">
        <v>843</v>
      </c>
      <c r="J33" s="11">
        <f>+F33</f>
        <v>1154.3113332125715</v>
      </c>
      <c r="K33" t="s">
        <v>844</v>
      </c>
      <c r="L33" s="12">
        <f>+Tarifas!S8</f>
        <v>125.95</v>
      </c>
      <c r="M33" s="30">
        <f>+J33*L33</f>
        <v>145385.5124181234</v>
      </c>
      <c r="P33" t="s">
        <v>845</v>
      </c>
      <c r="Q33">
        <v>256.11</v>
      </c>
      <c r="R33">
        <v>256.11</v>
      </c>
      <c r="S33">
        <v>256.11</v>
      </c>
    </row>
    <row r="34" spans="1:51" x14ac:dyDescent="0.3">
      <c r="E34" t="s">
        <v>846</v>
      </c>
      <c r="F34" s="11">
        <f>+IF(F30&gt;G30,0,F30-G30)</f>
        <v>-316.936479458333</v>
      </c>
      <c r="G34" t="s">
        <v>33</v>
      </c>
      <c r="H34" s="38">
        <f>+-1*F34/F32</f>
        <v>0.21542018735984814</v>
      </c>
      <c r="K34" t="s">
        <v>847</v>
      </c>
      <c r="L34" s="12">
        <f>Tarifas!U11</f>
        <v>572.95334196097235</v>
      </c>
      <c r="M34" s="30">
        <f>+F34*L34</f>
        <v>-181589.81509499694</v>
      </c>
      <c r="P34" t="s">
        <v>848</v>
      </c>
      <c r="Q34">
        <v>80.33</v>
      </c>
      <c r="R34">
        <v>160.65</v>
      </c>
      <c r="S34">
        <v>321.3</v>
      </c>
    </row>
    <row r="35" spans="1:51" x14ac:dyDescent="0.3">
      <c r="E35" t="s">
        <v>767</v>
      </c>
      <c r="F35" s="11">
        <f>+E30-G30</f>
        <v>593.60533345409544</v>
      </c>
      <c r="G35" t="s">
        <v>33</v>
      </c>
      <c r="H35" s="38">
        <f>+F35/E30</f>
        <v>0.28748065428676273</v>
      </c>
      <c r="P35" t="s">
        <v>768</v>
      </c>
      <c r="Q35">
        <f>+Q33-Q34</f>
        <v>175.78000000000003</v>
      </c>
      <c r="R35">
        <f>+R33-R36</f>
        <v>131.39000000000001</v>
      </c>
      <c r="S35">
        <v>112.68</v>
      </c>
    </row>
    <row r="36" spans="1:51" x14ac:dyDescent="0.3">
      <c r="P36" t="s">
        <v>849</v>
      </c>
      <c r="Q36">
        <f>+Q33-Q35</f>
        <v>80.329999999999984</v>
      </c>
      <c r="R36">
        <f>+R34-R37</f>
        <v>124.72</v>
      </c>
      <c r="S36">
        <f>+S34-S37</f>
        <v>143.42000000000002</v>
      </c>
    </row>
    <row r="37" spans="1:51" x14ac:dyDescent="0.3">
      <c r="D37" s="11"/>
      <c r="E37" t="s">
        <v>768</v>
      </c>
      <c r="F37" s="11">
        <f>+F30</f>
        <v>1154.3113332125715</v>
      </c>
      <c r="G37" t="s">
        <v>33</v>
      </c>
      <c r="H37" s="38">
        <f>+F37/D30</f>
        <v>0.66039265785701329</v>
      </c>
      <c r="I37" t="s">
        <v>850</v>
      </c>
      <c r="J37" s="11">
        <f>+F37-J33</f>
        <v>0</v>
      </c>
      <c r="K37" t="s">
        <v>851</v>
      </c>
      <c r="L37" s="12">
        <f>+Tarifas!S7</f>
        <v>807.28</v>
      </c>
      <c r="M37" s="30">
        <f>+J37*L37</f>
        <v>0</v>
      </c>
      <c r="P37" t="s">
        <v>852</v>
      </c>
      <c r="Q37">
        <v>0</v>
      </c>
      <c r="R37">
        <v>35.93</v>
      </c>
      <c r="S37">
        <v>177.88</v>
      </c>
    </row>
    <row r="38" spans="1:51" x14ac:dyDescent="0.3">
      <c r="E38" t="s">
        <v>767</v>
      </c>
      <c r="F38" s="11">
        <f>+D30-F37</f>
        <v>593.60533345409567</v>
      </c>
      <c r="H38" s="38">
        <f>+F38/D30</f>
        <v>0.33960734214298671</v>
      </c>
      <c r="M38" s="33">
        <f>+M37+M33+M34</f>
        <v>-36204.302676873544</v>
      </c>
      <c r="P38" t="s">
        <v>11</v>
      </c>
      <c r="Q38" s="28">
        <f>+Q35*621.54</f>
        <v>109254.30120000002</v>
      </c>
      <c r="R38" s="30">
        <f>+((R35-R37)*621.54)+(R37*55.92)</f>
        <v>61341.414000000004</v>
      </c>
    </row>
    <row r="39" spans="1:51" x14ac:dyDescent="0.3">
      <c r="F39" s="11">
        <f>+F32-F37</f>
        <v>316.936479458333</v>
      </c>
      <c r="I39" s="11"/>
      <c r="M39" s="28"/>
    </row>
    <row r="40" spans="1:51" x14ac:dyDescent="0.3">
      <c r="A40" t="s">
        <v>853</v>
      </c>
      <c r="M40" s="28"/>
      <c r="P40" t="s">
        <v>854</v>
      </c>
      <c r="Q40" s="41">
        <f>+Q31-Q38</f>
        <v>49928.30819999997</v>
      </c>
      <c r="R40" s="33">
        <f>+Q31-R38</f>
        <v>97841.195399999982</v>
      </c>
    </row>
    <row r="41" spans="1:51" x14ac:dyDescent="0.3">
      <c r="D41" s="12"/>
    </row>
    <row r="42" spans="1:51" x14ac:dyDescent="0.3">
      <c r="D42" s="12"/>
    </row>
    <row r="43" spans="1:51" x14ac:dyDescent="0.3">
      <c r="D43" s="222" t="s">
        <v>855</v>
      </c>
      <c r="E43" s="222"/>
      <c r="F43" s="222"/>
      <c r="G43" s="222"/>
      <c r="H43" s="222" t="s">
        <v>856</v>
      </c>
      <c r="I43" s="222"/>
      <c r="J43" s="222"/>
      <c r="K43" s="222"/>
      <c r="L43" s="222" t="s">
        <v>857</v>
      </c>
      <c r="M43" s="222"/>
      <c r="N43" s="222"/>
      <c r="O43" s="222"/>
      <c r="P43" s="222" t="s">
        <v>858</v>
      </c>
      <c r="Q43" s="222"/>
      <c r="R43" s="222"/>
      <c r="S43" s="222"/>
      <c r="T43" s="222" t="s">
        <v>859</v>
      </c>
      <c r="U43" s="222"/>
      <c r="V43" s="222"/>
      <c r="W43" s="222"/>
      <c r="X43" s="222" t="s">
        <v>860</v>
      </c>
      <c r="Y43" s="222"/>
      <c r="Z43" s="222"/>
      <c r="AA43" s="222"/>
      <c r="AB43" s="222" t="s">
        <v>861</v>
      </c>
      <c r="AC43" s="222"/>
      <c r="AD43" s="222"/>
      <c r="AE43" s="222"/>
      <c r="AF43" s="222" t="s">
        <v>862</v>
      </c>
      <c r="AG43" s="222"/>
      <c r="AH43" s="222"/>
      <c r="AI43" s="222"/>
      <c r="AJ43" s="222" t="s">
        <v>863</v>
      </c>
      <c r="AK43" s="222"/>
      <c r="AL43" s="222"/>
      <c r="AM43" s="222"/>
      <c r="AN43" s="222" t="s">
        <v>864</v>
      </c>
      <c r="AO43" s="222"/>
      <c r="AP43" s="222"/>
      <c r="AQ43" s="222"/>
      <c r="AR43" s="222" t="s">
        <v>865</v>
      </c>
      <c r="AS43" s="222"/>
      <c r="AT43" s="222"/>
      <c r="AU43" s="222"/>
      <c r="AV43" s="222" t="s">
        <v>866</v>
      </c>
      <c r="AW43" s="222"/>
      <c r="AX43" s="222"/>
      <c r="AY43" s="222"/>
    </row>
    <row r="44" spans="1:51" x14ac:dyDescent="0.3">
      <c r="A44" t="s">
        <v>829</v>
      </c>
      <c r="B44" t="s">
        <v>830</v>
      </c>
      <c r="C44" t="s">
        <v>831</v>
      </c>
      <c r="D44" t="s">
        <v>832</v>
      </c>
      <c r="E44" t="s">
        <v>833</v>
      </c>
      <c r="F44" t="s">
        <v>768</v>
      </c>
      <c r="G44" t="s">
        <v>834</v>
      </c>
      <c r="H44" t="s">
        <v>832</v>
      </c>
      <c r="I44" t="s">
        <v>833</v>
      </c>
      <c r="J44" t="s">
        <v>768</v>
      </c>
      <c r="K44" t="s">
        <v>834</v>
      </c>
      <c r="L44" t="s">
        <v>832</v>
      </c>
      <c r="M44" t="s">
        <v>833</v>
      </c>
      <c r="N44" t="s">
        <v>768</v>
      </c>
      <c r="O44" t="s">
        <v>834</v>
      </c>
      <c r="P44" t="s">
        <v>832</v>
      </c>
      <c r="Q44" t="s">
        <v>833</v>
      </c>
      <c r="R44" t="s">
        <v>768</v>
      </c>
      <c r="S44" t="s">
        <v>834</v>
      </c>
      <c r="T44" t="s">
        <v>832</v>
      </c>
      <c r="U44" t="s">
        <v>833</v>
      </c>
      <c r="V44" t="s">
        <v>768</v>
      </c>
      <c r="W44" t="s">
        <v>834</v>
      </c>
      <c r="X44" t="s">
        <v>832</v>
      </c>
      <c r="Y44" t="s">
        <v>833</v>
      </c>
      <c r="Z44" t="s">
        <v>768</v>
      </c>
      <c r="AA44" t="s">
        <v>834</v>
      </c>
      <c r="AB44" t="s">
        <v>832</v>
      </c>
      <c r="AC44" t="s">
        <v>833</v>
      </c>
      <c r="AD44" t="s">
        <v>768</v>
      </c>
      <c r="AE44" t="s">
        <v>834</v>
      </c>
      <c r="AF44" t="s">
        <v>832</v>
      </c>
      <c r="AG44" t="s">
        <v>833</v>
      </c>
      <c r="AH44" t="s">
        <v>768</v>
      </c>
      <c r="AI44" t="s">
        <v>834</v>
      </c>
      <c r="AJ44" t="s">
        <v>832</v>
      </c>
      <c r="AK44" t="s">
        <v>833</v>
      </c>
      <c r="AL44" t="s">
        <v>768</v>
      </c>
      <c r="AM44" t="s">
        <v>834</v>
      </c>
      <c r="AN44" t="s">
        <v>832</v>
      </c>
      <c r="AO44" t="s">
        <v>833</v>
      </c>
      <c r="AP44" t="s">
        <v>768</v>
      </c>
      <c r="AQ44" t="s">
        <v>834</v>
      </c>
      <c r="AR44" t="s">
        <v>832</v>
      </c>
      <c r="AS44" t="s">
        <v>833</v>
      </c>
      <c r="AT44" t="s">
        <v>768</v>
      </c>
      <c r="AU44" t="s">
        <v>834</v>
      </c>
      <c r="AV44" t="s">
        <v>832</v>
      </c>
      <c r="AW44" t="s">
        <v>833</v>
      </c>
      <c r="AX44" t="s">
        <v>768</v>
      </c>
      <c r="AY44" t="s">
        <v>834</v>
      </c>
    </row>
    <row r="45" spans="1:51" x14ac:dyDescent="0.3">
      <c r="A45">
        <v>0</v>
      </c>
      <c r="B45" s="153">
        <v>2.0227316509343094E-2</v>
      </c>
      <c r="C45" s="38">
        <v>0</v>
      </c>
      <c r="D45" s="11">
        <f>+($D$69*B45)</f>
        <v>27.529377769215952</v>
      </c>
      <c r="E45" s="11">
        <f>+$E$69*C45</f>
        <v>0</v>
      </c>
      <c r="F45" s="3">
        <f>+IF(D45&gt;E45,D45-E45,0)</f>
        <v>27.529377769215952</v>
      </c>
      <c r="G45">
        <f>+IF(D45&lt;E45,E45-D45,0)</f>
        <v>0</v>
      </c>
      <c r="H45" s="11">
        <f>+($H$69*B45)</f>
        <v>34.629165863995375</v>
      </c>
      <c r="I45" s="11">
        <f>+$I$69*C45</f>
        <v>0</v>
      </c>
      <c r="J45" s="3">
        <f>+IF(H45&gt;I45,H45-I45,0)</f>
        <v>34.629165863995375</v>
      </c>
      <c r="K45">
        <f>+IF(H45&lt;I45,I45-H45,0)</f>
        <v>0</v>
      </c>
      <c r="L45" s="11">
        <f>+($L$69*B45)</f>
        <v>31.655750337121944</v>
      </c>
      <c r="M45" s="11">
        <f>+$M$69*C45</f>
        <v>0</v>
      </c>
      <c r="N45" s="3">
        <f>+IF(L45&gt;M45,L45-M45,0)</f>
        <v>31.655750337121944</v>
      </c>
      <c r="O45">
        <f>+IF(L45&lt;M45,M45-L45,0)</f>
        <v>0</v>
      </c>
      <c r="P45" s="11">
        <f>+($P$69*B45)</f>
        <v>43.347139279522253</v>
      </c>
      <c r="Q45" s="11">
        <f>+$Q$69*C45</f>
        <v>0</v>
      </c>
      <c r="R45" s="3">
        <f>+IF(P45&gt;Q45,P45-Q45,0)</f>
        <v>43.347139279522253</v>
      </c>
      <c r="S45">
        <f>+IF(P45&lt;Q45,Q45-P45,0)</f>
        <v>0</v>
      </c>
      <c r="T45" s="11">
        <f>+($T$69*B45)</f>
        <v>43.104411481410132</v>
      </c>
      <c r="U45" s="11">
        <f>+$U$69*C45</f>
        <v>0</v>
      </c>
      <c r="V45" s="3">
        <f>+IF(T45&gt;U45,T45-U45,0)</f>
        <v>43.104411481410132</v>
      </c>
      <c r="W45">
        <f>+IF(T45&lt;U45,U45-T45,0)</f>
        <v>0</v>
      </c>
      <c r="X45" s="11">
        <f>+($X$69*B45)</f>
        <v>48.727605471007514</v>
      </c>
      <c r="Y45" s="11">
        <f>+$Y$69*C45</f>
        <v>0</v>
      </c>
      <c r="Z45" s="3">
        <f>+IF(X45&gt;Y45,X45-Y45,0)</f>
        <v>48.727605471007514</v>
      </c>
      <c r="AA45">
        <f>+IF(X45&lt;Y45,Y45-X45,0)</f>
        <v>0</v>
      </c>
      <c r="AB45" s="11">
        <f>+($AB$69*B45)</f>
        <v>41.728953958774802</v>
      </c>
      <c r="AC45" s="11">
        <f>+$AC$69*C45</f>
        <v>0</v>
      </c>
      <c r="AD45" s="3">
        <f>+IF(AB45&gt;AC45,AB45-AC45,0)</f>
        <v>41.728953958774802</v>
      </c>
      <c r="AE45">
        <f>+IF(AB45&lt;AC45,AC45-AB45,0)</f>
        <v>0</v>
      </c>
      <c r="AF45" s="11">
        <f>+($AF$69*B45)</f>
        <v>39.058948179541517</v>
      </c>
      <c r="AG45" s="11">
        <f>+$AG$69*C45</f>
        <v>0</v>
      </c>
      <c r="AH45" s="3">
        <f>+IF(AF45&gt;AG45,AF45-AG45,0)</f>
        <v>39.058948179541517</v>
      </c>
      <c r="AI45">
        <f>+IF(AF45&lt;AG45,AG45-AF45,0)</f>
        <v>0</v>
      </c>
      <c r="AJ45" s="11">
        <f>+($AJ$69*B45)</f>
        <v>29.107108456944712</v>
      </c>
      <c r="AK45" s="11">
        <f>+$AK$69*C45</f>
        <v>0</v>
      </c>
      <c r="AL45" s="3">
        <f>+IF(AJ45&gt;AK45,AJ45-AK45,0)</f>
        <v>29.107108456944712</v>
      </c>
      <c r="AM45">
        <f>+IF(AJ45&lt;AK45,AK45-AJ45,0)</f>
        <v>0</v>
      </c>
      <c r="AN45" s="11">
        <f>+($AN$69*B45)</f>
        <v>28.88460797534194</v>
      </c>
      <c r="AO45" s="11">
        <f>+$AO$69*C45</f>
        <v>0</v>
      </c>
      <c r="AP45" s="3">
        <f>+IF(AN45&gt;AO45,AN45-AO45,0)</f>
        <v>28.88460797534194</v>
      </c>
      <c r="AQ45">
        <f>+IF(AN45&lt;AO45,AO45-AN45,0)</f>
        <v>0</v>
      </c>
      <c r="AR45" s="11">
        <f>+($AR$69*B45)</f>
        <v>31.595068387593912</v>
      </c>
      <c r="AS45" s="11">
        <f>+$AS$69*C45</f>
        <v>0</v>
      </c>
      <c r="AT45" s="3">
        <f>+IF(AR45&gt;AS45,AR45-AS45,0)</f>
        <v>31.595068387593912</v>
      </c>
      <c r="AU45">
        <f>+IF(AR45&lt;AS45,AS45-AR45,0)</f>
        <v>0</v>
      </c>
      <c r="AV45" s="11">
        <f>+($AV$69*B45)</f>
        <v>24.899826623001349</v>
      </c>
      <c r="AW45" s="11">
        <f>+$AW$69*C45</f>
        <v>0</v>
      </c>
      <c r="AX45" s="3">
        <f>+IF(AV45&gt;AW45,AV45-AW45,0)</f>
        <v>24.899826623001349</v>
      </c>
      <c r="AY45">
        <f>+IF(AV45&lt;AW45,AW45-AV45,0)</f>
        <v>0</v>
      </c>
    </row>
    <row r="46" spans="1:51" x14ac:dyDescent="0.3">
      <c r="A46">
        <v>1</v>
      </c>
      <c r="B46" s="153">
        <v>1.9264110961279137E-2</v>
      </c>
      <c r="C46" s="38">
        <v>0</v>
      </c>
      <c r="D46" s="11">
        <f t="shared" ref="D46:D68" si="7">+($D$69*B46)</f>
        <v>26.218455018300904</v>
      </c>
      <c r="E46" s="11">
        <f t="shared" ref="E46:E68" si="8">+$E$69*C46</f>
        <v>0</v>
      </c>
      <c r="F46" s="3">
        <f t="shared" ref="F46:F68" si="9">+IF(D46&gt;E46,D46-E46,0)</f>
        <v>26.218455018300904</v>
      </c>
      <c r="G46">
        <f t="shared" ref="G46:G51" si="10">+IF(D46&lt;E46,E46-D46,0)</f>
        <v>0</v>
      </c>
      <c r="H46" s="11">
        <f t="shared" ref="H46:H68" si="11">+($H$69*B46)</f>
        <v>32.980157965709886</v>
      </c>
      <c r="I46" s="11">
        <f t="shared" ref="I46:I68" si="12">+$I$69*C46</f>
        <v>0</v>
      </c>
      <c r="J46" s="3">
        <f t="shared" ref="J46:J49" si="13">+IF(H46&gt;I46,H46-I46,0)</f>
        <v>32.980157965709886</v>
      </c>
      <c r="K46">
        <f t="shared" ref="K46:K51" si="14">+IF(H46&lt;I46,I46-H46,0)</f>
        <v>0</v>
      </c>
      <c r="L46" s="11">
        <f t="shared" ref="L46:L68" si="15">+($L$69*B46)</f>
        <v>30.148333654401849</v>
      </c>
      <c r="M46" s="11">
        <f t="shared" ref="M46:M68" si="16">+$M$69*C46</f>
        <v>0</v>
      </c>
      <c r="N46" s="3">
        <f t="shared" ref="N46:N49" si="17">+IF(L46&gt;M46,L46-M46,0)</f>
        <v>30.148333654401849</v>
      </c>
      <c r="O46">
        <f t="shared" ref="O46:O51" si="18">+IF(L46&lt;M46,M46-L46,0)</f>
        <v>0</v>
      </c>
      <c r="P46" s="11">
        <f t="shared" ref="P46:P68" si="19">+($P$69*B46)</f>
        <v>41.28298979002119</v>
      </c>
      <c r="Q46" s="11">
        <f t="shared" ref="Q46:Q68" si="20">+$Q$69*C46</f>
        <v>0</v>
      </c>
      <c r="R46" s="3">
        <f t="shared" ref="R46:R49" si="21">+IF(P46&gt;Q46,P46-Q46,0)</f>
        <v>41.28298979002119</v>
      </c>
      <c r="S46">
        <f t="shared" ref="S46:S51" si="22">+IF(P46&lt;Q46,Q46-P46,0)</f>
        <v>0</v>
      </c>
      <c r="T46" s="11">
        <f t="shared" ref="T46:T68" si="23">+($T$69*B46)</f>
        <v>41.051820458485842</v>
      </c>
      <c r="U46" s="11">
        <f t="shared" ref="U46:U68" si="24">+$U$69*C46</f>
        <v>0</v>
      </c>
      <c r="V46" s="3">
        <f t="shared" ref="V46:V49" si="25">+IF(T46&gt;U46,T46-U46,0)</f>
        <v>41.051820458485842</v>
      </c>
      <c r="W46">
        <f t="shared" ref="W46:W51" si="26">+IF(T46&lt;U46,U46-T46,0)</f>
        <v>0</v>
      </c>
      <c r="X46" s="11">
        <f t="shared" ref="X46:X68" si="27">+($X$69*B46)</f>
        <v>46.407243305721444</v>
      </c>
      <c r="Y46" s="11">
        <f t="shared" ref="Y46:Y68" si="28">+$Y$69*C46</f>
        <v>0</v>
      </c>
      <c r="Z46" s="3">
        <f t="shared" ref="Z46:Z49" si="29">+IF(X46&gt;Y46,X46-Y46,0)</f>
        <v>46.407243305721444</v>
      </c>
      <c r="AA46">
        <f t="shared" ref="AA46:AA51" si="30">+IF(X46&lt;Y46,Y46-X46,0)</f>
        <v>0</v>
      </c>
      <c r="AB46" s="11">
        <f t="shared" ref="AB46:AB68" si="31">+($AB$69*B46)</f>
        <v>39.741860913118863</v>
      </c>
      <c r="AC46" s="11">
        <f t="shared" ref="AC46:AC68" si="32">+$AC$69*C46</f>
        <v>0</v>
      </c>
      <c r="AD46" s="3">
        <f t="shared" ref="AD46:AD49" si="33">+IF(AB46&gt;AC46,AB46-AC46,0)</f>
        <v>39.741860913118863</v>
      </c>
      <c r="AE46">
        <f t="shared" ref="AE46:AE51" si="34">+IF(AB46&lt;AC46,AC46-AB46,0)</f>
        <v>0</v>
      </c>
      <c r="AF46" s="11">
        <f t="shared" ref="AF46:AF68" si="35">+($AF$69*B46)</f>
        <v>37.198998266230014</v>
      </c>
      <c r="AG46" s="11">
        <f t="shared" ref="AG46:AG68" si="36">+$AG$69*C46</f>
        <v>0</v>
      </c>
      <c r="AH46" s="3">
        <f t="shared" ref="AH46:AH49" si="37">+IF(AF46&gt;AG46,AF46-AG46,0)</f>
        <v>37.198998266230014</v>
      </c>
      <c r="AI46">
        <f t="shared" ref="AI46:AI51" si="38">+IF(AF46&lt;AG46,AG46-AF46,0)</f>
        <v>0</v>
      </c>
      <c r="AJ46" s="11">
        <f t="shared" ref="AJ46:AJ68" si="39">+($AJ$69*B46)</f>
        <v>27.721055673280677</v>
      </c>
      <c r="AK46" s="11">
        <f t="shared" ref="AK46:AK68" si="40">+$AK$69*C46</f>
        <v>0</v>
      </c>
      <c r="AL46" s="3">
        <f>+IF(AJ46&gt;AK46,AJ46-AK46,0)</f>
        <v>27.721055673280677</v>
      </c>
      <c r="AM46">
        <f t="shared" ref="AM46:AM51" si="41">+IF(AJ46&lt;AK46,AK46-AJ46,0)</f>
        <v>0</v>
      </c>
      <c r="AN46" s="11">
        <f t="shared" ref="AN46:AN68" si="42">+($AN$69*B46)</f>
        <v>27.509150452706606</v>
      </c>
      <c r="AO46" s="11">
        <f t="shared" ref="AO46:AO68" si="43">+$AO$69*C46</f>
        <v>0</v>
      </c>
      <c r="AP46" s="3">
        <f>+IF(AN46&gt;AO46,AN46-AO46,0)</f>
        <v>27.509150452706606</v>
      </c>
      <c r="AQ46">
        <f t="shared" ref="AQ46:AQ51" si="44">+IF(AN46&lt;AO46,AO46-AN46,0)</f>
        <v>0</v>
      </c>
      <c r="AR46" s="11">
        <f t="shared" ref="AR46:AR68" si="45">+($AR$69*B46)</f>
        <v>30.09054132151801</v>
      </c>
      <c r="AS46" s="11">
        <f t="shared" ref="AS46:AS68" si="46">+$AS$69*C46</f>
        <v>0</v>
      </c>
      <c r="AT46" s="3">
        <f>+IF(AR46&gt;AS46,AR46-AS46,0)</f>
        <v>30.09054132151801</v>
      </c>
      <c r="AU46">
        <f t="shared" ref="AU46:AU51" si="47">+IF(AR46&lt;AS46,AS46-AR46,0)</f>
        <v>0</v>
      </c>
      <c r="AV46" s="11">
        <f t="shared" ref="AV46:AV68" si="48">+($AV$69*B46)</f>
        <v>23.714120593334616</v>
      </c>
      <c r="AW46" s="11">
        <f t="shared" ref="AW46:AW68" si="49">+$AW$69*C46</f>
        <v>0</v>
      </c>
      <c r="AX46" s="3">
        <f>+IF(AV46&gt;AW46,AV46-AW46,0)</f>
        <v>23.714120593334616</v>
      </c>
      <c r="AY46">
        <f t="shared" ref="AY46:AY51" si="50">+IF(AV46&lt;AW46,AW46-AV46,0)</f>
        <v>0</v>
      </c>
    </row>
    <row r="47" spans="1:51" x14ac:dyDescent="0.3">
      <c r="A47">
        <v>2</v>
      </c>
      <c r="B47" s="153">
        <v>2.0227316509343094E-2</v>
      </c>
      <c r="C47" s="38">
        <v>0</v>
      </c>
      <c r="D47" s="11">
        <f t="shared" si="7"/>
        <v>27.529377769215952</v>
      </c>
      <c r="E47" s="11">
        <f t="shared" si="8"/>
        <v>0</v>
      </c>
      <c r="F47" s="3">
        <f t="shared" si="9"/>
        <v>27.529377769215952</v>
      </c>
      <c r="G47">
        <f t="shared" si="10"/>
        <v>0</v>
      </c>
      <c r="H47" s="11">
        <f t="shared" si="11"/>
        <v>34.629165863995375</v>
      </c>
      <c r="I47" s="11">
        <f t="shared" si="12"/>
        <v>0</v>
      </c>
      <c r="J47" s="3">
        <f t="shared" si="13"/>
        <v>34.629165863995375</v>
      </c>
      <c r="K47">
        <f t="shared" si="14"/>
        <v>0</v>
      </c>
      <c r="L47" s="11">
        <f t="shared" si="15"/>
        <v>31.655750337121944</v>
      </c>
      <c r="M47" s="11">
        <f t="shared" si="16"/>
        <v>0</v>
      </c>
      <c r="N47" s="3">
        <f t="shared" si="17"/>
        <v>31.655750337121944</v>
      </c>
      <c r="O47">
        <f t="shared" si="18"/>
        <v>0</v>
      </c>
      <c r="P47" s="11">
        <f t="shared" si="19"/>
        <v>43.347139279522253</v>
      </c>
      <c r="Q47" s="11">
        <f t="shared" si="20"/>
        <v>0</v>
      </c>
      <c r="R47" s="3">
        <f t="shared" si="21"/>
        <v>43.347139279522253</v>
      </c>
      <c r="S47">
        <f t="shared" si="22"/>
        <v>0</v>
      </c>
      <c r="T47" s="11">
        <f t="shared" si="23"/>
        <v>43.104411481410132</v>
      </c>
      <c r="U47" s="11">
        <f t="shared" si="24"/>
        <v>0</v>
      </c>
      <c r="V47" s="3">
        <f t="shared" si="25"/>
        <v>43.104411481410132</v>
      </c>
      <c r="W47">
        <f t="shared" si="26"/>
        <v>0</v>
      </c>
      <c r="X47" s="11">
        <f t="shared" si="27"/>
        <v>48.727605471007514</v>
      </c>
      <c r="Y47" s="11">
        <f t="shared" si="28"/>
        <v>0</v>
      </c>
      <c r="Z47" s="3">
        <f t="shared" si="29"/>
        <v>48.727605471007514</v>
      </c>
      <c r="AA47">
        <f t="shared" si="30"/>
        <v>0</v>
      </c>
      <c r="AB47" s="11">
        <f t="shared" si="31"/>
        <v>41.728953958774802</v>
      </c>
      <c r="AC47" s="11">
        <f t="shared" si="32"/>
        <v>0</v>
      </c>
      <c r="AD47" s="3">
        <f t="shared" si="33"/>
        <v>41.728953958774802</v>
      </c>
      <c r="AE47">
        <f t="shared" si="34"/>
        <v>0</v>
      </c>
      <c r="AF47" s="11">
        <f t="shared" si="35"/>
        <v>39.058948179541517</v>
      </c>
      <c r="AG47" s="11">
        <f t="shared" si="36"/>
        <v>0</v>
      </c>
      <c r="AH47" s="3">
        <f t="shared" si="37"/>
        <v>39.058948179541517</v>
      </c>
      <c r="AI47">
        <f t="shared" si="38"/>
        <v>0</v>
      </c>
      <c r="AJ47" s="11">
        <f t="shared" si="39"/>
        <v>29.107108456944712</v>
      </c>
      <c r="AK47" s="11">
        <f t="shared" si="40"/>
        <v>0</v>
      </c>
      <c r="AL47" s="3">
        <f>+IF(AJ47&gt;AK47,AJ47-AK47,0)</f>
        <v>29.107108456944712</v>
      </c>
      <c r="AM47">
        <f t="shared" si="41"/>
        <v>0</v>
      </c>
      <c r="AN47" s="11">
        <f t="shared" si="42"/>
        <v>28.88460797534194</v>
      </c>
      <c r="AO47" s="11">
        <f t="shared" si="43"/>
        <v>0</v>
      </c>
      <c r="AP47" s="3">
        <f>+IF(AN47&gt;AO47,AN47-AO47,0)</f>
        <v>28.88460797534194</v>
      </c>
      <c r="AQ47">
        <f t="shared" si="44"/>
        <v>0</v>
      </c>
      <c r="AR47" s="11">
        <f t="shared" si="45"/>
        <v>31.595068387593912</v>
      </c>
      <c r="AS47" s="11">
        <f t="shared" si="46"/>
        <v>0</v>
      </c>
      <c r="AT47" s="3">
        <f>+IF(AR47&gt;AS47,AR47-AS47,0)</f>
        <v>31.595068387593912</v>
      </c>
      <c r="AU47">
        <f t="shared" si="47"/>
        <v>0</v>
      </c>
      <c r="AV47" s="11">
        <f t="shared" si="48"/>
        <v>24.899826623001349</v>
      </c>
      <c r="AW47" s="11">
        <f t="shared" si="49"/>
        <v>0</v>
      </c>
      <c r="AX47" s="3">
        <f>+IF(AV47&gt;AW47,AV47-AW47,0)</f>
        <v>24.899826623001349</v>
      </c>
      <c r="AY47">
        <f t="shared" si="50"/>
        <v>0</v>
      </c>
    </row>
    <row r="48" spans="1:51" x14ac:dyDescent="0.3">
      <c r="A48">
        <v>3</v>
      </c>
      <c r="B48" s="153">
        <v>1.9264110961279137E-2</v>
      </c>
      <c r="C48" s="38">
        <v>0</v>
      </c>
      <c r="D48" s="11">
        <f t="shared" si="7"/>
        <v>26.218455018300904</v>
      </c>
      <c r="E48" s="11">
        <f t="shared" si="8"/>
        <v>0</v>
      </c>
      <c r="F48" s="3">
        <f t="shared" si="9"/>
        <v>26.218455018300904</v>
      </c>
      <c r="G48">
        <f t="shared" si="10"/>
        <v>0</v>
      </c>
      <c r="H48" s="11">
        <f t="shared" si="11"/>
        <v>32.980157965709886</v>
      </c>
      <c r="I48" s="11">
        <f t="shared" si="12"/>
        <v>0</v>
      </c>
      <c r="J48" s="3">
        <f t="shared" si="13"/>
        <v>32.980157965709886</v>
      </c>
      <c r="K48">
        <f t="shared" si="14"/>
        <v>0</v>
      </c>
      <c r="L48" s="11">
        <f t="shared" si="15"/>
        <v>30.148333654401849</v>
      </c>
      <c r="M48" s="11">
        <f t="shared" si="16"/>
        <v>0</v>
      </c>
      <c r="N48" s="3">
        <f t="shared" si="17"/>
        <v>30.148333654401849</v>
      </c>
      <c r="O48">
        <f t="shared" si="18"/>
        <v>0</v>
      </c>
      <c r="P48" s="11">
        <f t="shared" si="19"/>
        <v>41.28298979002119</v>
      </c>
      <c r="Q48" s="11">
        <f t="shared" si="20"/>
        <v>0</v>
      </c>
      <c r="R48" s="3">
        <f t="shared" si="21"/>
        <v>41.28298979002119</v>
      </c>
      <c r="S48">
        <f t="shared" si="22"/>
        <v>0</v>
      </c>
      <c r="T48" s="11">
        <f t="shared" si="23"/>
        <v>41.051820458485842</v>
      </c>
      <c r="U48" s="11">
        <f t="shared" si="24"/>
        <v>0</v>
      </c>
      <c r="V48" s="3">
        <f t="shared" si="25"/>
        <v>41.051820458485842</v>
      </c>
      <c r="W48">
        <f t="shared" si="26"/>
        <v>0</v>
      </c>
      <c r="X48" s="11">
        <f t="shared" si="27"/>
        <v>46.407243305721444</v>
      </c>
      <c r="Y48" s="11">
        <f t="shared" si="28"/>
        <v>0</v>
      </c>
      <c r="Z48" s="3">
        <f t="shared" si="29"/>
        <v>46.407243305721444</v>
      </c>
      <c r="AA48">
        <f t="shared" si="30"/>
        <v>0</v>
      </c>
      <c r="AB48" s="11">
        <f t="shared" si="31"/>
        <v>39.741860913118863</v>
      </c>
      <c r="AC48" s="11">
        <f t="shared" si="32"/>
        <v>0</v>
      </c>
      <c r="AD48" s="3">
        <f t="shared" si="33"/>
        <v>39.741860913118863</v>
      </c>
      <c r="AE48">
        <f t="shared" si="34"/>
        <v>0</v>
      </c>
      <c r="AF48" s="11">
        <f t="shared" si="35"/>
        <v>37.198998266230014</v>
      </c>
      <c r="AG48" s="11">
        <f t="shared" si="36"/>
        <v>0</v>
      </c>
      <c r="AH48" s="3">
        <f t="shared" si="37"/>
        <v>37.198998266230014</v>
      </c>
      <c r="AI48">
        <f t="shared" si="38"/>
        <v>0</v>
      </c>
      <c r="AJ48" s="11">
        <f t="shared" si="39"/>
        <v>27.721055673280677</v>
      </c>
      <c r="AK48" s="11">
        <f t="shared" si="40"/>
        <v>0</v>
      </c>
      <c r="AL48" s="3">
        <f t="shared" ref="AL48:AL49" si="51">+IF(AJ48&gt;AK48,AJ48-AK48,0)</f>
        <v>27.721055673280677</v>
      </c>
      <c r="AM48">
        <f t="shared" si="41"/>
        <v>0</v>
      </c>
      <c r="AN48" s="11">
        <f t="shared" si="42"/>
        <v>27.509150452706606</v>
      </c>
      <c r="AO48" s="11">
        <f t="shared" si="43"/>
        <v>0</v>
      </c>
      <c r="AP48" s="3">
        <f t="shared" ref="AP48:AP49" si="52">+IF(AN48&gt;AO48,AN48-AO48,0)</f>
        <v>27.509150452706606</v>
      </c>
      <c r="AQ48">
        <f t="shared" si="44"/>
        <v>0</v>
      </c>
      <c r="AR48" s="11">
        <f t="shared" si="45"/>
        <v>30.09054132151801</v>
      </c>
      <c r="AS48" s="11">
        <f t="shared" si="46"/>
        <v>0</v>
      </c>
      <c r="AT48" s="3">
        <f t="shared" ref="AT48:AT49" si="53">+IF(AR48&gt;AS48,AR48-AS48,0)</f>
        <v>30.09054132151801</v>
      </c>
      <c r="AU48">
        <f t="shared" si="47"/>
        <v>0</v>
      </c>
      <c r="AV48" s="11">
        <f t="shared" si="48"/>
        <v>23.714120593334616</v>
      </c>
      <c r="AW48" s="11">
        <f t="shared" si="49"/>
        <v>0</v>
      </c>
      <c r="AX48" s="3">
        <f t="shared" ref="AX48:AX49" si="54">+IF(AV48&gt;AW48,AV48-AW48,0)</f>
        <v>23.714120593334616</v>
      </c>
      <c r="AY48">
        <f t="shared" si="50"/>
        <v>0</v>
      </c>
    </row>
    <row r="49" spans="1:51" x14ac:dyDescent="0.3">
      <c r="A49">
        <v>4</v>
      </c>
      <c r="B49" s="153">
        <v>2.0227316509343094E-2</v>
      </c>
      <c r="C49" s="38">
        <v>0</v>
      </c>
      <c r="D49" s="11">
        <f t="shared" si="7"/>
        <v>27.529377769215952</v>
      </c>
      <c r="E49" s="11">
        <f t="shared" si="8"/>
        <v>0</v>
      </c>
      <c r="F49" s="3">
        <f t="shared" si="9"/>
        <v>27.529377769215952</v>
      </c>
      <c r="G49">
        <f t="shared" si="10"/>
        <v>0</v>
      </c>
      <c r="H49" s="11">
        <f t="shared" si="11"/>
        <v>34.629165863995375</v>
      </c>
      <c r="I49" s="11">
        <f t="shared" si="12"/>
        <v>0</v>
      </c>
      <c r="J49" s="3">
        <f t="shared" si="13"/>
        <v>34.629165863995375</v>
      </c>
      <c r="K49">
        <f t="shared" si="14"/>
        <v>0</v>
      </c>
      <c r="L49" s="11">
        <f t="shared" si="15"/>
        <v>31.655750337121944</v>
      </c>
      <c r="M49" s="11">
        <f t="shared" si="16"/>
        <v>0</v>
      </c>
      <c r="N49" s="3">
        <f t="shared" si="17"/>
        <v>31.655750337121944</v>
      </c>
      <c r="O49">
        <f t="shared" si="18"/>
        <v>0</v>
      </c>
      <c r="P49" s="11">
        <f t="shared" si="19"/>
        <v>43.347139279522253</v>
      </c>
      <c r="Q49" s="11">
        <f t="shared" si="20"/>
        <v>0</v>
      </c>
      <c r="R49" s="3">
        <f t="shared" si="21"/>
        <v>43.347139279522253</v>
      </c>
      <c r="S49">
        <f t="shared" si="22"/>
        <v>0</v>
      </c>
      <c r="T49" s="11">
        <f t="shared" si="23"/>
        <v>43.104411481410132</v>
      </c>
      <c r="U49" s="11">
        <f t="shared" si="24"/>
        <v>0</v>
      </c>
      <c r="V49" s="3">
        <f t="shared" si="25"/>
        <v>43.104411481410132</v>
      </c>
      <c r="W49">
        <f t="shared" si="26"/>
        <v>0</v>
      </c>
      <c r="X49" s="11">
        <f t="shared" si="27"/>
        <v>48.727605471007514</v>
      </c>
      <c r="Y49" s="11">
        <f t="shared" si="28"/>
        <v>0</v>
      </c>
      <c r="Z49" s="3">
        <f t="shared" si="29"/>
        <v>48.727605471007514</v>
      </c>
      <c r="AA49">
        <f t="shared" si="30"/>
        <v>0</v>
      </c>
      <c r="AB49" s="11">
        <f t="shared" si="31"/>
        <v>41.728953958774802</v>
      </c>
      <c r="AC49" s="11">
        <f t="shared" si="32"/>
        <v>0</v>
      </c>
      <c r="AD49" s="3">
        <f t="shared" si="33"/>
        <v>41.728953958774802</v>
      </c>
      <c r="AE49">
        <f t="shared" si="34"/>
        <v>0</v>
      </c>
      <c r="AF49" s="11">
        <f t="shared" si="35"/>
        <v>39.058948179541517</v>
      </c>
      <c r="AG49" s="11">
        <f t="shared" si="36"/>
        <v>0</v>
      </c>
      <c r="AH49" s="3">
        <f t="shared" si="37"/>
        <v>39.058948179541517</v>
      </c>
      <c r="AI49">
        <f t="shared" si="38"/>
        <v>0</v>
      </c>
      <c r="AJ49" s="11">
        <f t="shared" si="39"/>
        <v>29.107108456944712</v>
      </c>
      <c r="AK49" s="11">
        <f t="shared" si="40"/>
        <v>0</v>
      </c>
      <c r="AL49" s="3">
        <f t="shared" si="51"/>
        <v>29.107108456944712</v>
      </c>
      <c r="AM49">
        <f t="shared" si="41"/>
        <v>0</v>
      </c>
      <c r="AN49" s="11">
        <f t="shared" si="42"/>
        <v>28.88460797534194</v>
      </c>
      <c r="AO49" s="11">
        <f t="shared" si="43"/>
        <v>0</v>
      </c>
      <c r="AP49" s="3">
        <f t="shared" si="52"/>
        <v>28.88460797534194</v>
      </c>
      <c r="AQ49">
        <f t="shared" si="44"/>
        <v>0</v>
      </c>
      <c r="AR49" s="11">
        <f t="shared" si="45"/>
        <v>31.595068387593912</v>
      </c>
      <c r="AS49" s="11">
        <f t="shared" si="46"/>
        <v>0</v>
      </c>
      <c r="AT49" s="3">
        <f t="shared" si="53"/>
        <v>31.595068387593912</v>
      </c>
      <c r="AU49">
        <f t="shared" si="47"/>
        <v>0</v>
      </c>
      <c r="AV49" s="11">
        <f t="shared" si="48"/>
        <v>24.899826623001349</v>
      </c>
      <c r="AW49" s="11">
        <f t="shared" si="49"/>
        <v>0</v>
      </c>
      <c r="AX49" s="3">
        <f t="shared" si="54"/>
        <v>24.899826623001349</v>
      </c>
      <c r="AY49">
        <f t="shared" si="50"/>
        <v>0</v>
      </c>
    </row>
    <row r="50" spans="1:51" x14ac:dyDescent="0.3">
      <c r="A50">
        <v>5</v>
      </c>
      <c r="B50" s="153">
        <v>2.0419957618955886E-2</v>
      </c>
      <c r="C50" s="38">
        <v>1.7578820328206916E-3</v>
      </c>
      <c r="D50" s="11">
        <f t="shared" si="7"/>
        <v>27.79156231939896</v>
      </c>
      <c r="E50" s="11">
        <f t="shared" si="8"/>
        <v>3.8601921148827607</v>
      </c>
      <c r="F50" s="3">
        <f>+IF(D50&gt;E50,D50-E50,0)</f>
        <v>23.931370204516199</v>
      </c>
      <c r="G50">
        <f t="shared" si="10"/>
        <v>0</v>
      </c>
      <c r="H50" s="11">
        <f t="shared" si="11"/>
        <v>34.958967443652476</v>
      </c>
      <c r="I50" s="11">
        <f t="shared" si="12"/>
        <v>3.612515839521619</v>
      </c>
      <c r="J50" s="3">
        <f>+IF(H50&gt;I50,H50-I50,0)</f>
        <v>31.346451604130856</v>
      </c>
      <c r="K50">
        <f t="shared" si="14"/>
        <v>0</v>
      </c>
      <c r="L50" s="11">
        <f t="shared" si="15"/>
        <v>31.957233673665961</v>
      </c>
      <c r="M50" s="11">
        <f t="shared" si="16"/>
        <v>3.2569465930680357</v>
      </c>
      <c r="N50" s="3">
        <f>+IF(L50&gt;M50,L50-M50,0)</f>
        <v>28.700287080597924</v>
      </c>
      <c r="O50">
        <f t="shared" si="18"/>
        <v>0</v>
      </c>
      <c r="P50" s="11">
        <f t="shared" si="19"/>
        <v>43.759969177422462</v>
      </c>
      <c r="Q50" s="11">
        <f t="shared" si="20"/>
        <v>3.1126459953526919</v>
      </c>
      <c r="R50" s="3">
        <f>+IF(P50&gt;Q50,P50-Q50,0)</f>
        <v>40.647323182069769</v>
      </c>
      <c r="S50">
        <f t="shared" si="22"/>
        <v>0</v>
      </c>
      <c r="T50" s="11">
        <f t="shared" si="23"/>
        <v>43.514929685994993</v>
      </c>
      <c r="U50" s="11">
        <f t="shared" si="24"/>
        <v>3.2903371952356966</v>
      </c>
      <c r="V50" s="3">
        <f>+IF(T50&gt;U50,T50-U50,0)</f>
        <v>40.224592490759299</v>
      </c>
      <c r="W50">
        <f t="shared" si="26"/>
        <v>0</v>
      </c>
      <c r="X50" s="11">
        <f t="shared" si="27"/>
        <v>49.191677904064726</v>
      </c>
      <c r="Y50" s="11">
        <f t="shared" si="28"/>
        <v>3.7804635341967154</v>
      </c>
      <c r="Z50" s="3">
        <f>+IF(X50&gt;Y50,X50-Y50,0)</f>
        <v>45.411214369868013</v>
      </c>
      <c r="AA50">
        <f t="shared" si="30"/>
        <v>0</v>
      </c>
      <c r="AB50" s="11">
        <f t="shared" si="31"/>
        <v>42.126372567905989</v>
      </c>
      <c r="AC50" s="11">
        <f t="shared" si="32"/>
        <v>3.4852402723387663</v>
      </c>
      <c r="AD50" s="3">
        <f>+IF(AB50&gt;AC50,AB50-AC50,0)</f>
        <v>38.641132295567225</v>
      </c>
      <c r="AE50">
        <f t="shared" si="34"/>
        <v>0</v>
      </c>
      <c r="AF50" s="11">
        <f t="shared" si="35"/>
        <v>39.430938162203816</v>
      </c>
      <c r="AG50" s="11">
        <f t="shared" si="36"/>
        <v>4.1500600209453857</v>
      </c>
      <c r="AH50" s="3">
        <f>+IF(AF50&gt;AG50,AF50-AG50,0)</f>
        <v>35.280878141258427</v>
      </c>
      <c r="AI50">
        <f t="shared" si="38"/>
        <v>0</v>
      </c>
      <c r="AJ50" s="11">
        <f t="shared" si="39"/>
        <v>29.384319013677519</v>
      </c>
      <c r="AK50" s="11">
        <f t="shared" si="40"/>
        <v>3.7698792188947197</v>
      </c>
      <c r="AL50" s="3">
        <f>+IF(AJ50&gt;AK50,AJ50-AK50,0)</f>
        <v>25.6144397947828</v>
      </c>
      <c r="AM50">
        <f t="shared" si="41"/>
        <v>0</v>
      </c>
      <c r="AN50" s="11">
        <f t="shared" si="42"/>
        <v>29.159699479869005</v>
      </c>
      <c r="AO50" s="11">
        <f t="shared" si="43"/>
        <v>3.6551635959604165</v>
      </c>
      <c r="AP50" s="3">
        <f>+IF(AN50&gt;AO50,AN50-AO50,0)</f>
        <v>25.504535883908588</v>
      </c>
      <c r="AQ50">
        <f t="shared" si="44"/>
        <v>0</v>
      </c>
      <c r="AR50" s="11">
        <f t="shared" si="45"/>
        <v>31.895973800809092</v>
      </c>
      <c r="AS50" s="11">
        <f t="shared" si="46"/>
        <v>3.6051433582164734</v>
      </c>
      <c r="AT50" s="3">
        <f>+IF(AR50&gt;AS50,AR50-AS50,0)</f>
        <v>28.290830442592618</v>
      </c>
      <c r="AU50">
        <f t="shared" si="47"/>
        <v>0</v>
      </c>
      <c r="AV50" s="11">
        <f t="shared" si="48"/>
        <v>25.136967828934694</v>
      </c>
      <c r="AW50" s="11">
        <f t="shared" si="49"/>
        <v>3.9096817573812581</v>
      </c>
      <c r="AX50" s="3">
        <f>+IF(AV50&gt;AW50,AV50-AW50,0)</f>
        <v>21.227286071553436</v>
      </c>
      <c r="AY50">
        <f t="shared" si="50"/>
        <v>0</v>
      </c>
    </row>
    <row r="51" spans="1:51" x14ac:dyDescent="0.3">
      <c r="A51">
        <v>6</v>
      </c>
      <c r="B51" s="153">
        <v>2.1190522057407051E-2</v>
      </c>
      <c r="C51" s="38">
        <v>7.66820641375816E-3</v>
      </c>
      <c r="D51" s="11">
        <f t="shared" si="7"/>
        <v>28.840300520130995</v>
      </c>
      <c r="E51" s="11">
        <f t="shared" si="8"/>
        <v>16.838871654081018</v>
      </c>
      <c r="F51" s="3">
        <f t="shared" si="9"/>
        <v>12.001428866049977</v>
      </c>
      <c r="G51">
        <f t="shared" si="10"/>
        <v>0</v>
      </c>
      <c r="H51" s="11">
        <f t="shared" si="11"/>
        <v>36.278173762280872</v>
      </c>
      <c r="I51" s="11">
        <f t="shared" si="12"/>
        <v>15.758461952064476</v>
      </c>
      <c r="J51" s="3">
        <f t="shared" ref="J51:J68" si="55">+IF(H51&gt;I51,H51-I51,0)</f>
        <v>20.519711810216396</v>
      </c>
      <c r="K51">
        <f t="shared" si="14"/>
        <v>0</v>
      </c>
      <c r="L51" s="11">
        <f t="shared" si="15"/>
        <v>33.163167019842035</v>
      </c>
      <c r="M51" s="11">
        <f t="shared" si="16"/>
        <v>14.207403163543004</v>
      </c>
      <c r="N51" s="3">
        <f t="shared" ref="N51:N68" si="56">+IF(L51&gt;M51,L51-M51,0)</f>
        <v>18.955763856299029</v>
      </c>
      <c r="O51">
        <f t="shared" si="18"/>
        <v>0</v>
      </c>
      <c r="P51" s="11">
        <f t="shared" si="19"/>
        <v>45.411288769023308</v>
      </c>
      <c r="Q51" s="11">
        <f t="shared" si="20"/>
        <v>13.577937278887248</v>
      </c>
      <c r="R51" s="3">
        <f t="shared" ref="R51:R68" si="57">+IF(P51&gt;Q51,P51-Q51,0)</f>
        <v>31.83335149013606</v>
      </c>
      <c r="S51" s="3">
        <f t="shared" si="22"/>
        <v>0</v>
      </c>
      <c r="T51" s="11">
        <f t="shared" si="23"/>
        <v>45.157002504334429</v>
      </c>
      <c r="U51" s="11">
        <f t="shared" si="24"/>
        <v>14.353059143250841</v>
      </c>
      <c r="V51" s="3">
        <f t="shared" ref="V51:V68" si="58">+IF(T51&gt;U51,T51-U51,0)</f>
        <v>30.80394336108359</v>
      </c>
      <c r="W51" s="3">
        <f t="shared" si="26"/>
        <v>0</v>
      </c>
      <c r="X51" s="11">
        <f t="shared" si="27"/>
        <v>51.047967636293585</v>
      </c>
      <c r="Y51" s="11">
        <f t="shared" si="28"/>
        <v>16.491080845390883</v>
      </c>
      <c r="Z51" s="3">
        <f t="shared" ref="Z51:Z68" si="59">+IF(X51&gt;Y51,X51-Y51,0)</f>
        <v>34.556886790902702</v>
      </c>
      <c r="AA51" s="3">
        <f t="shared" si="30"/>
        <v>0</v>
      </c>
      <c r="AB51" s="11">
        <f t="shared" si="31"/>
        <v>43.716047004430749</v>
      </c>
      <c r="AC51" s="11">
        <f t="shared" si="32"/>
        <v>15.203262398076081</v>
      </c>
      <c r="AD51" s="3">
        <f t="shared" ref="AD51:AD68" si="60">+IF(AB51&gt;AC51,AB51-AC51,0)</f>
        <v>28.512784606354668</v>
      </c>
      <c r="AE51" s="3">
        <f t="shared" si="34"/>
        <v>0</v>
      </c>
      <c r="AF51" s="11">
        <f t="shared" si="35"/>
        <v>40.918898092853013</v>
      </c>
      <c r="AG51" s="11">
        <f t="shared" si="36"/>
        <v>18.103329049350837</v>
      </c>
      <c r="AH51" s="3">
        <f t="shared" ref="AH51:AH68" si="61">+IF(AF51&gt;AG51,AF51-AG51,0)</f>
        <v>22.815569043502176</v>
      </c>
      <c r="AI51" s="3">
        <f t="shared" si="38"/>
        <v>0</v>
      </c>
      <c r="AJ51" s="11">
        <f t="shared" si="39"/>
        <v>30.493161240608746</v>
      </c>
      <c r="AK51" s="11">
        <f t="shared" si="40"/>
        <v>16.444910105279405</v>
      </c>
      <c r="AL51" s="3">
        <f t="shared" ref="AL51:AL68" si="62">+IF(AJ51&gt;AK51,AJ51-AK51,0)</f>
        <v>14.048251135329341</v>
      </c>
      <c r="AM51" s="3">
        <f t="shared" si="41"/>
        <v>0</v>
      </c>
      <c r="AN51" s="11">
        <f t="shared" si="42"/>
        <v>30.260065497977269</v>
      </c>
      <c r="AO51" s="11">
        <f t="shared" si="43"/>
        <v>15.944499350109684</v>
      </c>
      <c r="AP51" s="3">
        <f t="shared" ref="AP51:AP68" si="63">+IF(AN51&gt;AO51,AN51-AO51,0)</f>
        <v>14.315566147867585</v>
      </c>
      <c r="AQ51" s="3">
        <f t="shared" si="44"/>
        <v>0</v>
      </c>
      <c r="AR51" s="11">
        <f t="shared" si="45"/>
        <v>33.099595453669814</v>
      </c>
      <c r="AS51" s="11">
        <f t="shared" si="46"/>
        <v>15.726301825631692</v>
      </c>
      <c r="AT51" s="3">
        <f t="shared" ref="AT51:AT68" si="64">+IF(AR51&gt;AS51,AR51-AS51,0)</f>
        <v>17.37329362803812</v>
      </c>
      <c r="AU51" s="3">
        <f t="shared" si="47"/>
        <v>0</v>
      </c>
      <c r="AV51" s="11">
        <f t="shared" si="48"/>
        <v>26.085532652668078</v>
      </c>
      <c r="AW51" s="11">
        <f t="shared" si="49"/>
        <v>17.054754624005138</v>
      </c>
      <c r="AX51" s="3">
        <f t="shared" ref="AX51:AX68" si="65">+IF(AV51&gt;AW51,AV51-AW51,0)</f>
        <v>9.0307780286629402</v>
      </c>
      <c r="AY51" s="3">
        <f t="shared" si="50"/>
        <v>0</v>
      </c>
    </row>
    <row r="52" spans="1:51" x14ac:dyDescent="0.3">
      <c r="A52">
        <v>7</v>
      </c>
      <c r="B52" s="153">
        <v>3.0822577538046618E-2</v>
      </c>
      <c r="C52" s="38">
        <v>2.5531143810014804E-2</v>
      </c>
      <c r="D52" s="11">
        <f t="shared" si="7"/>
        <v>41.949528029281446</v>
      </c>
      <c r="E52" s="11">
        <f t="shared" si="8"/>
        <v>56.064695001868664</v>
      </c>
      <c r="F52" s="3">
        <f t="shared" si="9"/>
        <v>0</v>
      </c>
      <c r="G52" s="3">
        <f>+IF(D52&lt;E52,E52-D52,0)</f>
        <v>14.115166972587218</v>
      </c>
      <c r="H52" s="11">
        <f t="shared" si="11"/>
        <v>52.768252745135811</v>
      </c>
      <c r="I52" s="11">
        <f t="shared" si="12"/>
        <v>52.467491954956849</v>
      </c>
      <c r="J52" s="3">
        <f t="shared" si="55"/>
        <v>0.30076079017896262</v>
      </c>
      <c r="K52" s="3">
        <f>+IF(H52&lt;I52,I52-H52,0)</f>
        <v>0</v>
      </c>
      <c r="L52" s="11">
        <f t="shared" si="15"/>
        <v>48.237333847042954</v>
      </c>
      <c r="M52" s="11">
        <f t="shared" si="16"/>
        <v>47.303271946940519</v>
      </c>
      <c r="N52" s="3">
        <f t="shared" si="56"/>
        <v>0.93406190010243506</v>
      </c>
      <c r="O52" s="3">
        <f>+IF(L52&lt;M52,M52-L52,0)</f>
        <v>0</v>
      </c>
      <c r="P52" s="11">
        <f t="shared" si="19"/>
        <v>66.052783664033896</v>
      </c>
      <c r="Q52" s="11">
        <f t="shared" si="20"/>
        <v>45.207477551551001</v>
      </c>
      <c r="R52" s="3">
        <f t="shared" si="57"/>
        <v>20.845306112482895</v>
      </c>
      <c r="S52" s="3">
        <f>+IF(P52&lt;Q52,Q52-P52,0)</f>
        <v>0</v>
      </c>
      <c r="T52" s="11">
        <f t="shared" si="23"/>
        <v>65.682912733577339</v>
      </c>
      <c r="U52" s="11">
        <f t="shared" si="24"/>
        <v>47.788230692708922</v>
      </c>
      <c r="V52" s="3">
        <f t="shared" si="58"/>
        <v>17.894682040868418</v>
      </c>
      <c r="W52" s="3">
        <f>+IF(T52&lt;U52,U52-T52,0)</f>
        <v>0</v>
      </c>
      <c r="X52" s="11">
        <f t="shared" si="27"/>
        <v>74.251589289154296</v>
      </c>
      <c r="Y52" s="11">
        <f t="shared" si="28"/>
        <v>54.906732282380865</v>
      </c>
      <c r="Z52" s="3">
        <f t="shared" si="59"/>
        <v>19.344857006773431</v>
      </c>
      <c r="AA52" s="3">
        <f>+IF(X52&lt;Y52,Y52-X52,0)</f>
        <v>0</v>
      </c>
      <c r="AB52" s="11">
        <f t="shared" si="31"/>
        <v>63.58697746099017</v>
      </c>
      <c r="AC52" s="11">
        <f t="shared" si="32"/>
        <v>50.618965860158269</v>
      </c>
      <c r="AD52" s="3">
        <f t="shared" si="60"/>
        <v>12.9680116008319</v>
      </c>
      <c r="AE52" s="3">
        <f>+IF(AB52&lt;AC52,AC52-AB52,0)</f>
        <v>0</v>
      </c>
      <c r="AF52" s="11">
        <f t="shared" si="35"/>
        <v>59.518397225968016</v>
      </c>
      <c r="AG52" s="11">
        <f t="shared" si="36"/>
        <v>60.274681256587741</v>
      </c>
      <c r="AH52" s="3">
        <f t="shared" si="61"/>
        <v>0</v>
      </c>
      <c r="AI52" s="3">
        <f>+IF(AF52&lt;AG52,AG52-AF52,0)</f>
        <v>0.75628403061972449</v>
      </c>
      <c r="AJ52" s="11">
        <f t="shared" si="39"/>
        <v>44.353689077249086</v>
      </c>
      <c r="AK52" s="11">
        <f t="shared" si="40"/>
        <v>54.753007702994736</v>
      </c>
      <c r="AL52" s="3">
        <f t="shared" si="62"/>
        <v>0</v>
      </c>
      <c r="AM52" s="3">
        <f>+IF(AJ52&lt;AK52,AK52-AJ52,0)</f>
        <v>10.39931862574565</v>
      </c>
      <c r="AN52" s="11">
        <f t="shared" si="42"/>
        <v>44.014640724330569</v>
      </c>
      <c r="AO52" s="11">
        <f t="shared" si="43"/>
        <v>53.086899846091761</v>
      </c>
      <c r="AP52" s="3">
        <f t="shared" si="63"/>
        <v>0</v>
      </c>
      <c r="AQ52" s="3">
        <f>+IF(AN52&lt;AO52,AO52-AN52,0)</f>
        <v>9.0722591217611921</v>
      </c>
      <c r="AR52" s="11">
        <f t="shared" si="45"/>
        <v>48.144866114428815</v>
      </c>
      <c r="AS52" s="11">
        <f t="shared" si="46"/>
        <v>52.360415440763063</v>
      </c>
      <c r="AT52" s="3">
        <f t="shared" si="64"/>
        <v>0</v>
      </c>
      <c r="AU52" s="3">
        <f>+IF(AR52&lt;AS52,AS52-AR52,0)</f>
        <v>4.2155493263342478</v>
      </c>
      <c r="AV52" s="11">
        <f t="shared" si="48"/>
        <v>37.942592949335385</v>
      </c>
      <c r="AW52" s="11">
        <f t="shared" si="49"/>
        <v>56.783473142918268</v>
      </c>
      <c r="AX52" s="3">
        <f t="shared" si="65"/>
        <v>0</v>
      </c>
      <c r="AY52" s="3">
        <f>+IF(AV52&lt;AW52,AW52-AV52,0)</f>
        <v>18.840880193582883</v>
      </c>
    </row>
    <row r="53" spans="1:51" x14ac:dyDescent="0.3">
      <c r="A53">
        <v>8</v>
      </c>
      <c r="B53" s="153">
        <v>4.0454633018686188E-2</v>
      </c>
      <c r="C53" s="38">
        <v>8.4841197270309573E-2</v>
      </c>
      <c r="D53" s="11">
        <f t="shared" si="7"/>
        <v>55.058755538431903</v>
      </c>
      <c r="E53" s="11">
        <f t="shared" si="8"/>
        <v>186.30563064266099</v>
      </c>
      <c r="F53" s="3">
        <f t="shared" si="9"/>
        <v>0</v>
      </c>
      <c r="G53" s="3">
        <f>+IF(D53&lt;E53,E53-D53,0)</f>
        <v>131.24687510422908</v>
      </c>
      <c r="H53" s="11">
        <f t="shared" si="11"/>
        <v>69.25833172799075</v>
      </c>
      <c r="I53" s="11">
        <f t="shared" si="12"/>
        <v>174.35195494385854</v>
      </c>
      <c r="J53" s="3">
        <f t="shared" si="55"/>
        <v>0</v>
      </c>
      <c r="K53" s="3">
        <f>+IF(H53&lt;I53,I53-H53,0)</f>
        <v>105.09362321586779</v>
      </c>
      <c r="L53" s="11">
        <f t="shared" si="15"/>
        <v>63.311500674243888</v>
      </c>
      <c r="M53" s="11">
        <f t="shared" si="16"/>
        <v>157.19100783910997</v>
      </c>
      <c r="N53" s="3">
        <f t="shared" si="56"/>
        <v>0</v>
      </c>
      <c r="O53" s="3">
        <f>+IF(L53&lt;M53,M53-L53,0)</f>
        <v>93.879507164866084</v>
      </c>
      <c r="P53" s="11">
        <f t="shared" si="19"/>
        <v>86.694278559044506</v>
      </c>
      <c r="Q53" s="11">
        <f t="shared" si="20"/>
        <v>150.22658403340864</v>
      </c>
      <c r="R53" s="3">
        <f t="shared" si="57"/>
        <v>0</v>
      </c>
      <c r="S53" s="3">
        <f>+IF(P53&lt;Q53,Q53-P53,0)</f>
        <v>63.532305474364136</v>
      </c>
      <c r="T53" s="11">
        <f t="shared" si="23"/>
        <v>86.208822962820264</v>
      </c>
      <c r="U53" s="11">
        <f t="shared" si="24"/>
        <v>158.80254866641752</v>
      </c>
      <c r="V53" s="3">
        <f t="shared" si="58"/>
        <v>0</v>
      </c>
      <c r="W53" s="3">
        <f>+IF(T53&lt;U53,U53-T53,0)</f>
        <v>72.593725703597258</v>
      </c>
      <c r="X53" s="11">
        <f t="shared" si="27"/>
        <v>97.455210942015029</v>
      </c>
      <c r="Y53" s="11">
        <f t="shared" si="28"/>
        <v>182.4576658101104</v>
      </c>
      <c r="Z53" s="3">
        <f t="shared" si="59"/>
        <v>0</v>
      </c>
      <c r="AA53" s="3">
        <f>+IF(X53&lt;Y53,Y53-X53,0)</f>
        <v>85.00245486809537</v>
      </c>
      <c r="AB53" s="11">
        <f t="shared" si="31"/>
        <v>83.457907917549605</v>
      </c>
      <c r="AC53" s="11">
        <f t="shared" si="32"/>
        <v>168.20921538486539</v>
      </c>
      <c r="AD53" s="3">
        <f t="shared" si="60"/>
        <v>0</v>
      </c>
      <c r="AE53" s="3">
        <f>+IF(AB53&lt;AC53,AC53-AB53,0)</f>
        <v>84.751307467315783</v>
      </c>
      <c r="AF53" s="11">
        <f t="shared" si="35"/>
        <v>78.117896359083034</v>
      </c>
      <c r="AG53" s="11">
        <f t="shared" si="36"/>
        <v>200.2956138960476</v>
      </c>
      <c r="AH53" s="3">
        <f t="shared" si="61"/>
        <v>0</v>
      </c>
      <c r="AI53" s="3">
        <f>+IF(AF53&lt;AG53,AG53-AF53,0)</f>
        <v>122.17771753696456</v>
      </c>
      <c r="AJ53" s="11">
        <f t="shared" si="39"/>
        <v>58.214216913889423</v>
      </c>
      <c r="AK53" s="11">
        <f t="shared" si="40"/>
        <v>181.94683176906449</v>
      </c>
      <c r="AL53" s="3">
        <f t="shared" si="62"/>
        <v>0</v>
      </c>
      <c r="AM53" s="3">
        <f>+IF(AJ53&lt;AK53,AK53-AJ53,0)</f>
        <v>123.73261485517506</v>
      </c>
      <c r="AN53" s="11">
        <f t="shared" si="42"/>
        <v>57.769215950683879</v>
      </c>
      <c r="AO53" s="11">
        <f t="shared" si="43"/>
        <v>176.41027663416801</v>
      </c>
      <c r="AP53" s="3">
        <f t="shared" si="63"/>
        <v>0</v>
      </c>
      <c r="AQ53" s="3">
        <f>+IF(AN53&lt;AO53,AO53-AN53,0)</f>
        <v>118.64106068348414</v>
      </c>
      <c r="AR53" s="11">
        <f t="shared" si="45"/>
        <v>63.190136775187824</v>
      </c>
      <c r="AS53" s="11">
        <f t="shared" si="46"/>
        <v>173.99613462764663</v>
      </c>
      <c r="AT53" s="3">
        <f t="shared" si="64"/>
        <v>0</v>
      </c>
      <c r="AU53" s="3">
        <f>+IF(AR53&lt;AS53,AS53-AR53,0)</f>
        <v>110.8059978524588</v>
      </c>
      <c r="AV53" s="11">
        <f t="shared" si="48"/>
        <v>49.799653246002698</v>
      </c>
      <c r="AW53" s="11">
        <f t="shared" si="49"/>
        <v>188.69416436884899</v>
      </c>
      <c r="AX53" s="3">
        <f t="shared" si="65"/>
        <v>0</v>
      </c>
      <c r="AY53" s="3">
        <f>+IF(AV53&lt;AW53,AW53-AV53,0)</f>
        <v>138.8945111228463</v>
      </c>
    </row>
    <row r="54" spans="1:51" x14ac:dyDescent="0.3">
      <c r="A54">
        <v>9</v>
      </c>
      <c r="B54" s="153">
        <v>5.7792332883837408E-2</v>
      </c>
      <c r="C54" s="38">
        <v>8.6544914870746434E-2</v>
      </c>
      <c r="D54" s="11">
        <f t="shared" si="7"/>
        <v>78.655365054902717</v>
      </c>
      <c r="E54" s="11">
        <f t="shared" si="8"/>
        <v>190.04688126380785</v>
      </c>
      <c r="F54" s="3">
        <f t="shared" si="9"/>
        <v>0</v>
      </c>
      <c r="G54" s="3">
        <f t="shared" ref="G54:G68" si="66">+IF(D54&lt;E54,E54-D54,0)</f>
        <v>111.39151620890513</v>
      </c>
      <c r="H54" s="11">
        <f t="shared" si="11"/>
        <v>98.940473897129635</v>
      </c>
      <c r="I54" s="11">
        <f t="shared" si="12"/>
        <v>177.85316077151816</v>
      </c>
      <c r="J54" s="3">
        <f t="shared" si="55"/>
        <v>0</v>
      </c>
      <c r="K54" s="3">
        <f t="shared" ref="K54:K68" si="67">+IF(H54&lt;I54,I54-H54,0)</f>
        <v>78.912686874388527</v>
      </c>
      <c r="L54" s="11">
        <f t="shared" si="15"/>
        <v>90.445000963205544</v>
      </c>
      <c r="M54" s="11">
        <f t="shared" si="16"/>
        <v>160.34760033547283</v>
      </c>
      <c r="N54" s="3">
        <f t="shared" si="56"/>
        <v>0</v>
      </c>
      <c r="O54" s="3">
        <f t="shared" ref="O54:O68" si="68">+IF(L54&lt;M54,M54-L54,0)</f>
        <v>69.902599372267289</v>
      </c>
      <c r="P54" s="11">
        <f t="shared" si="19"/>
        <v>123.84896937006357</v>
      </c>
      <c r="Q54" s="11">
        <f t="shared" si="20"/>
        <v>153.24332216896056</v>
      </c>
      <c r="R54" s="3">
        <f t="shared" si="57"/>
        <v>0</v>
      </c>
      <c r="S54" s="3">
        <f t="shared" ref="S54:S68" si="69">+IF(P54&lt;Q54,Q54-P54,0)</f>
        <v>29.394352798896989</v>
      </c>
      <c r="T54" s="11">
        <f t="shared" si="23"/>
        <v>123.15546137545752</v>
      </c>
      <c r="U54" s="11">
        <f t="shared" si="24"/>
        <v>161.99150292286444</v>
      </c>
      <c r="V54" s="3">
        <f t="shared" si="58"/>
        <v>0</v>
      </c>
      <c r="W54" s="3">
        <f t="shared" ref="W54:W68" si="70">+IF(T54&lt;U54,U54-T54,0)</f>
        <v>38.836041547406921</v>
      </c>
      <c r="X54" s="11">
        <f t="shared" si="27"/>
        <v>139.22172991716431</v>
      </c>
      <c r="Y54" s="11">
        <f t="shared" si="28"/>
        <v>186.12164447350554</v>
      </c>
      <c r="Z54" s="3">
        <f t="shared" si="59"/>
        <v>0</v>
      </c>
      <c r="AA54" s="3">
        <f t="shared" ref="AA54:AA68" si="71">+IF(X54&lt;Y54,Y54-X54,0)</f>
        <v>46.89991455634123</v>
      </c>
      <c r="AB54" s="11">
        <f t="shared" si="31"/>
        <v>119.22558273935657</v>
      </c>
      <c r="AC54" s="11">
        <f t="shared" si="32"/>
        <v>171.58706730147384</v>
      </c>
      <c r="AD54" s="3">
        <f t="shared" si="60"/>
        <v>0</v>
      </c>
      <c r="AE54" s="3">
        <f t="shared" ref="AE54:AE68" si="72">+IF(AB54&lt;AC54,AC54-AB54,0)</f>
        <v>52.361484562117269</v>
      </c>
      <c r="AF54" s="11">
        <f t="shared" si="35"/>
        <v>111.59699479869003</v>
      </c>
      <c r="AG54" s="11">
        <f t="shared" si="36"/>
        <v>204.31780091914874</v>
      </c>
      <c r="AH54" s="3">
        <f t="shared" si="61"/>
        <v>0</v>
      </c>
      <c r="AI54" s="3">
        <f t="shared" ref="AI54:AI68" si="73">+IF(AF54&lt;AG54,AG54-AF54,0)</f>
        <v>92.720806120458704</v>
      </c>
      <c r="AJ54" s="11">
        <f t="shared" si="39"/>
        <v>83.163167019842035</v>
      </c>
      <c r="AK54" s="11">
        <f t="shared" si="40"/>
        <v>185.60055224451989</v>
      </c>
      <c r="AL54" s="3">
        <f t="shared" si="62"/>
        <v>0</v>
      </c>
      <c r="AM54" s="3">
        <f t="shared" ref="AM54:AM68" si="74">+IF(AJ54&lt;AK54,AK54-AJ54,0)</f>
        <v>102.43738522467785</v>
      </c>
      <c r="AN54" s="11">
        <f t="shared" si="42"/>
        <v>82.527451358119819</v>
      </c>
      <c r="AO54" s="11">
        <f t="shared" si="43"/>
        <v>179.95281614173749</v>
      </c>
      <c r="AP54" s="3">
        <f t="shared" si="63"/>
        <v>0</v>
      </c>
      <c r="AQ54" s="3">
        <f t="shared" ref="AQ54:AQ68" si="75">+IF(AN54&lt;AO54,AO54-AN54,0)</f>
        <v>97.425364783617667</v>
      </c>
      <c r="AR54" s="11">
        <f t="shared" si="45"/>
        <v>90.271623964554024</v>
      </c>
      <c r="AS54" s="11">
        <f t="shared" si="46"/>
        <v>177.49019513729058</v>
      </c>
      <c r="AT54" s="3">
        <f t="shared" si="64"/>
        <v>0</v>
      </c>
      <c r="AU54" s="3">
        <f t="shared" ref="AU54:AU68" si="76">+IF(AR54&lt;AS54,AS54-AR54,0)</f>
        <v>87.21857117273656</v>
      </c>
      <c r="AV54" s="11">
        <f t="shared" si="48"/>
        <v>71.142361780003853</v>
      </c>
      <c r="AW54" s="11">
        <f t="shared" si="49"/>
        <v>192.48337974154902</v>
      </c>
      <c r="AX54" s="3">
        <f t="shared" si="65"/>
        <v>0</v>
      </c>
      <c r="AY54" s="3">
        <f t="shared" ref="AY54:AY68" si="77">+IF(AV54&lt;AW54,AW54-AV54,0)</f>
        <v>121.34101796154516</v>
      </c>
    </row>
    <row r="55" spans="1:51" x14ac:dyDescent="0.3">
      <c r="A55">
        <v>10</v>
      </c>
      <c r="B55" s="153">
        <v>6.26083606241572E-2</v>
      </c>
      <c r="C55" s="38">
        <v>0.10217381563313545</v>
      </c>
      <c r="D55" s="11">
        <f t="shared" si="7"/>
        <v>85.209978809477946</v>
      </c>
      <c r="E55" s="11">
        <f t="shared" si="8"/>
        <v>224.36690863814368</v>
      </c>
      <c r="F55" s="3">
        <f t="shared" si="9"/>
        <v>0</v>
      </c>
      <c r="G55" s="3">
        <f t="shared" si="66"/>
        <v>139.15692982866574</v>
      </c>
      <c r="H55" s="11">
        <f t="shared" si="11"/>
        <v>107.18551338855713</v>
      </c>
      <c r="I55" s="11">
        <f t="shared" si="12"/>
        <v>209.97115873970199</v>
      </c>
      <c r="J55" s="3">
        <f t="shared" si="55"/>
        <v>0</v>
      </c>
      <c r="K55" s="3">
        <f t="shared" si="67"/>
        <v>102.78564535114486</v>
      </c>
      <c r="L55" s="11">
        <f t="shared" si="15"/>
        <v>97.982084376806014</v>
      </c>
      <c r="M55" s="11">
        <f t="shared" si="16"/>
        <v>189.30431878476682</v>
      </c>
      <c r="N55" s="3">
        <f t="shared" si="56"/>
        <v>0</v>
      </c>
      <c r="O55" s="3">
        <f t="shared" si="68"/>
        <v>91.322234407960806</v>
      </c>
      <c r="P55" s="11">
        <f t="shared" si="19"/>
        <v>134.16971681756888</v>
      </c>
      <c r="Q55" s="11">
        <f t="shared" si="20"/>
        <v>180.91709916965928</v>
      </c>
      <c r="R55" s="3">
        <f t="shared" si="57"/>
        <v>0</v>
      </c>
      <c r="S55" s="3">
        <f t="shared" si="69"/>
        <v>46.747382352090398</v>
      </c>
      <c r="T55" s="11">
        <f t="shared" si="23"/>
        <v>133.41841649007898</v>
      </c>
      <c r="U55" s="11">
        <f t="shared" si="24"/>
        <v>191.24508907882552</v>
      </c>
      <c r="V55" s="3">
        <f t="shared" si="58"/>
        <v>0</v>
      </c>
      <c r="W55" s="3">
        <f t="shared" si="70"/>
        <v>57.826672588746533</v>
      </c>
      <c r="X55" s="11">
        <f t="shared" si="27"/>
        <v>150.82354074359469</v>
      </c>
      <c r="Y55" s="11">
        <f t="shared" si="28"/>
        <v>219.73282446661582</v>
      </c>
      <c r="Z55" s="3">
        <f t="shared" si="59"/>
        <v>0</v>
      </c>
      <c r="AA55" s="3">
        <f t="shared" si="71"/>
        <v>68.909283723021133</v>
      </c>
      <c r="AB55" s="11">
        <f t="shared" si="31"/>
        <v>129.16104796763631</v>
      </c>
      <c r="AC55" s="11">
        <f t="shared" si="32"/>
        <v>202.57348921856976</v>
      </c>
      <c r="AD55" s="3">
        <f t="shared" si="60"/>
        <v>0</v>
      </c>
      <c r="AE55" s="3">
        <f t="shared" si="72"/>
        <v>73.412441250933455</v>
      </c>
      <c r="AF55" s="11">
        <f t="shared" si="35"/>
        <v>120.89674436524756</v>
      </c>
      <c r="AG55" s="11">
        <f t="shared" si="36"/>
        <v>241.21497320620941</v>
      </c>
      <c r="AH55" s="3">
        <f t="shared" si="61"/>
        <v>0</v>
      </c>
      <c r="AI55" s="3">
        <f t="shared" si="73"/>
        <v>120.31822884096185</v>
      </c>
      <c r="AJ55" s="11">
        <f t="shared" si="39"/>
        <v>90.093430938162214</v>
      </c>
      <c r="AK55" s="11">
        <f t="shared" si="40"/>
        <v>219.11762966965111</v>
      </c>
      <c r="AL55" s="3">
        <f t="shared" si="62"/>
        <v>0</v>
      </c>
      <c r="AM55" s="3">
        <f t="shared" si="74"/>
        <v>129.02419873148889</v>
      </c>
      <c r="AN55" s="11">
        <f t="shared" si="42"/>
        <v>89.404738971296482</v>
      </c>
      <c r="AO55" s="11">
        <f t="shared" si="43"/>
        <v>212.44998491926793</v>
      </c>
      <c r="AP55" s="3">
        <f t="shared" si="63"/>
        <v>0</v>
      </c>
      <c r="AQ55" s="3">
        <f t="shared" si="75"/>
        <v>123.04524594797145</v>
      </c>
      <c r="AR55" s="11">
        <f t="shared" si="45"/>
        <v>97.794259294933539</v>
      </c>
      <c r="AS55" s="11">
        <f t="shared" si="46"/>
        <v>209.54264617084547</v>
      </c>
      <c r="AT55" s="3">
        <f t="shared" si="64"/>
        <v>0</v>
      </c>
      <c r="AU55" s="3">
        <f t="shared" si="76"/>
        <v>111.74838687591193</v>
      </c>
      <c r="AV55" s="11">
        <f t="shared" si="48"/>
        <v>77.070891928337517</v>
      </c>
      <c r="AW55" s="11">
        <f t="shared" si="49"/>
        <v>227.24340746683788</v>
      </c>
      <c r="AX55" s="3">
        <f t="shared" si="65"/>
        <v>0</v>
      </c>
      <c r="AY55" s="3">
        <f t="shared" si="77"/>
        <v>150.17251553850036</v>
      </c>
    </row>
    <row r="56" spans="1:51" x14ac:dyDescent="0.3">
      <c r="A56">
        <v>11</v>
      </c>
      <c r="B56" s="153">
        <v>6.7424388364476978E-2</v>
      </c>
      <c r="C56" s="38">
        <v>0.14205853402486543</v>
      </c>
      <c r="D56" s="11">
        <f t="shared" si="7"/>
        <v>91.764592564053174</v>
      </c>
      <c r="E56" s="11">
        <f t="shared" si="8"/>
        <v>311.95109948002147</v>
      </c>
      <c r="F56" s="3">
        <f t="shared" si="9"/>
        <v>0</v>
      </c>
      <c r="G56" s="3">
        <f t="shared" si="66"/>
        <v>220.18650691596829</v>
      </c>
      <c r="H56" s="11">
        <f t="shared" si="11"/>
        <v>115.43055287998459</v>
      </c>
      <c r="I56" s="11">
        <f t="shared" si="12"/>
        <v>291.93580383809166</v>
      </c>
      <c r="J56" s="3">
        <f t="shared" si="55"/>
        <v>0</v>
      </c>
      <c r="K56" s="3">
        <f t="shared" si="67"/>
        <v>176.50525095810707</v>
      </c>
      <c r="L56" s="11">
        <f t="shared" si="15"/>
        <v>105.51916779040647</v>
      </c>
      <c r="M56" s="11">
        <f t="shared" si="16"/>
        <v>263.2014263585794</v>
      </c>
      <c r="N56" s="3">
        <f t="shared" si="56"/>
        <v>0</v>
      </c>
      <c r="O56" s="3">
        <f t="shared" si="68"/>
        <v>157.68225856817293</v>
      </c>
      <c r="P56" s="11">
        <f t="shared" si="19"/>
        <v>144.49046426507417</v>
      </c>
      <c r="Q56" s="11">
        <f t="shared" si="20"/>
        <v>251.54015956841786</v>
      </c>
      <c r="R56" s="3">
        <f t="shared" si="57"/>
        <v>0</v>
      </c>
      <c r="S56" s="3">
        <f t="shared" si="69"/>
        <v>107.0496953033437</v>
      </c>
      <c r="T56" s="11">
        <f t="shared" si="23"/>
        <v>143.68137160470044</v>
      </c>
      <c r="U56" s="11">
        <f t="shared" si="24"/>
        <v>265.89979855055981</v>
      </c>
      <c r="V56" s="3">
        <f t="shared" si="58"/>
        <v>0</v>
      </c>
      <c r="W56" s="3">
        <f t="shared" si="70"/>
        <v>122.21842694585936</v>
      </c>
      <c r="X56" s="11">
        <f t="shared" si="27"/>
        <v>162.42535157002504</v>
      </c>
      <c r="Y56" s="11">
        <f t="shared" si="28"/>
        <v>305.50804751141527</v>
      </c>
      <c r="Z56" s="3">
        <f t="shared" si="59"/>
        <v>0</v>
      </c>
      <c r="AA56" s="3">
        <f t="shared" si="71"/>
        <v>143.08269594139023</v>
      </c>
      <c r="AB56" s="11">
        <f t="shared" si="31"/>
        <v>139.096513195916</v>
      </c>
      <c r="AC56" s="11">
        <f t="shared" si="32"/>
        <v>281.65036934726447</v>
      </c>
      <c r="AD56" s="3">
        <f t="shared" si="60"/>
        <v>0</v>
      </c>
      <c r="AE56" s="3">
        <f t="shared" si="72"/>
        <v>142.55385615134847</v>
      </c>
      <c r="AF56" s="11">
        <f t="shared" si="35"/>
        <v>130.19649393180504</v>
      </c>
      <c r="AG56" s="11">
        <f t="shared" si="36"/>
        <v>335.37599889152489</v>
      </c>
      <c r="AH56" s="3">
        <f t="shared" si="61"/>
        <v>0</v>
      </c>
      <c r="AI56" s="3">
        <f t="shared" si="73"/>
        <v>205.17950495971985</v>
      </c>
      <c r="AJ56" s="11">
        <f t="shared" si="39"/>
        <v>97.023694856482365</v>
      </c>
      <c r="AK56" s="11">
        <f t="shared" si="40"/>
        <v>304.65270438406912</v>
      </c>
      <c r="AL56" s="3">
        <f t="shared" si="62"/>
        <v>0</v>
      </c>
      <c r="AM56" s="3">
        <f t="shared" si="74"/>
        <v>207.62900952758676</v>
      </c>
      <c r="AN56" s="11">
        <f t="shared" si="42"/>
        <v>96.28202658447313</v>
      </c>
      <c r="AO56" s="11">
        <f t="shared" si="43"/>
        <v>295.38226818895805</v>
      </c>
      <c r="AP56" s="3">
        <f t="shared" si="63"/>
        <v>0</v>
      </c>
      <c r="AQ56" s="3">
        <f t="shared" si="75"/>
        <v>199.10024160448492</v>
      </c>
      <c r="AR56" s="11">
        <f t="shared" si="45"/>
        <v>105.31689462531304</v>
      </c>
      <c r="AS56" s="11">
        <f t="shared" si="46"/>
        <v>291.34001648332008</v>
      </c>
      <c r="AT56" s="3">
        <f t="shared" si="64"/>
        <v>0</v>
      </c>
      <c r="AU56" s="3">
        <f t="shared" si="76"/>
        <v>186.02312185800704</v>
      </c>
      <c r="AV56" s="11">
        <f t="shared" si="48"/>
        <v>82.999422076671166</v>
      </c>
      <c r="AW56" s="11">
        <f t="shared" si="49"/>
        <v>315.95047255027822</v>
      </c>
      <c r="AX56" s="3">
        <f t="shared" si="65"/>
        <v>0</v>
      </c>
      <c r="AY56" s="3">
        <f t="shared" si="77"/>
        <v>232.95105047360704</v>
      </c>
    </row>
    <row r="57" spans="1:51" x14ac:dyDescent="0.3">
      <c r="A57">
        <v>12</v>
      </c>
      <c r="B57" s="153">
        <v>6.5497977268349064E-2</v>
      </c>
      <c r="C57" s="38">
        <v>0.14772117922862957</v>
      </c>
      <c r="D57" s="11">
        <f t="shared" si="7"/>
        <v>89.14274706222308</v>
      </c>
      <c r="E57" s="11">
        <f t="shared" si="8"/>
        <v>324.38589200695475</v>
      </c>
      <c r="F57" s="3">
        <f t="shared" si="9"/>
        <v>0</v>
      </c>
      <c r="G57" s="3">
        <f t="shared" si="66"/>
        <v>235.24314494473168</v>
      </c>
      <c r="H57" s="11">
        <f t="shared" si="11"/>
        <v>112.1325370834136</v>
      </c>
      <c r="I57" s="11">
        <f t="shared" si="12"/>
        <v>303.57275962366555</v>
      </c>
      <c r="J57" s="3">
        <f t="shared" si="55"/>
        <v>0</v>
      </c>
      <c r="K57" s="3">
        <f t="shared" si="67"/>
        <v>191.44022254025197</v>
      </c>
      <c r="L57" s="11">
        <f t="shared" si="15"/>
        <v>102.50433442496629</v>
      </c>
      <c r="M57" s="11">
        <f t="shared" si="16"/>
        <v>273.69299101412071</v>
      </c>
      <c r="N57" s="3">
        <f t="shared" si="56"/>
        <v>0</v>
      </c>
      <c r="O57" s="3">
        <f t="shared" si="68"/>
        <v>171.18865658915442</v>
      </c>
      <c r="P57" s="11">
        <f t="shared" si="19"/>
        <v>140.36216528607204</v>
      </c>
      <c r="Q57" s="11">
        <f t="shared" si="20"/>
        <v>261.56689036577245</v>
      </c>
      <c r="R57" s="3">
        <f t="shared" si="57"/>
        <v>0</v>
      </c>
      <c r="S57" s="3">
        <f t="shared" si="69"/>
        <v>121.20472507970041</v>
      </c>
      <c r="T57" s="11">
        <f t="shared" si="23"/>
        <v>139.57618955885187</v>
      </c>
      <c r="U57" s="11">
        <f t="shared" si="24"/>
        <v>276.49892396938628</v>
      </c>
      <c r="V57" s="3">
        <f t="shared" si="58"/>
        <v>0</v>
      </c>
      <c r="W57" s="3">
        <f t="shared" si="70"/>
        <v>136.92273441053442</v>
      </c>
      <c r="X57" s="11">
        <f t="shared" si="27"/>
        <v>157.7846272394529</v>
      </c>
      <c r="Y57" s="11">
        <f t="shared" si="28"/>
        <v>317.68601127703494</v>
      </c>
      <c r="Z57" s="3">
        <f t="shared" si="59"/>
        <v>0</v>
      </c>
      <c r="AA57" s="3">
        <f t="shared" si="71"/>
        <v>159.90138403758203</v>
      </c>
      <c r="AB57" s="11">
        <f t="shared" si="31"/>
        <v>135.12232710460412</v>
      </c>
      <c r="AC57" s="11">
        <f t="shared" si="32"/>
        <v>292.87733380998037</v>
      </c>
      <c r="AD57" s="3">
        <f t="shared" si="60"/>
        <v>0</v>
      </c>
      <c r="AE57" s="3">
        <f t="shared" si="72"/>
        <v>157.75500670537625</v>
      </c>
      <c r="AF57" s="11">
        <f t="shared" si="35"/>
        <v>126.47659410518204</v>
      </c>
      <c r="AG57" s="11">
        <f t="shared" si="36"/>
        <v>348.74453957524253</v>
      </c>
      <c r="AH57" s="3">
        <f t="shared" si="61"/>
        <v>0</v>
      </c>
      <c r="AI57" s="3">
        <f t="shared" si="73"/>
        <v>222.26794547006048</v>
      </c>
      <c r="AJ57" s="11">
        <f t="shared" si="39"/>
        <v>94.251589289154296</v>
      </c>
      <c r="AK57" s="11">
        <f t="shared" si="40"/>
        <v>316.79657301636308</v>
      </c>
      <c r="AL57" s="3">
        <f t="shared" si="62"/>
        <v>0</v>
      </c>
      <c r="AM57" s="3">
        <f t="shared" si="74"/>
        <v>222.54498372720877</v>
      </c>
      <c r="AN57" s="11">
        <f t="shared" si="42"/>
        <v>93.53111153920247</v>
      </c>
      <c r="AO57" s="11">
        <f t="shared" si="43"/>
        <v>307.15660470255608</v>
      </c>
      <c r="AP57" s="3">
        <f t="shared" si="63"/>
        <v>0</v>
      </c>
      <c r="AQ57" s="3">
        <f t="shared" si="75"/>
        <v>213.62549316335361</v>
      </c>
      <c r="AR57" s="11">
        <f t="shared" si="45"/>
        <v>102.30784049316124</v>
      </c>
      <c r="AS57" s="11">
        <f t="shared" si="46"/>
        <v>302.95322337953564</v>
      </c>
      <c r="AT57" s="3">
        <f t="shared" si="64"/>
        <v>0</v>
      </c>
      <c r="AU57" s="3">
        <f t="shared" si="76"/>
        <v>200.64538288637442</v>
      </c>
      <c r="AV57" s="11">
        <f t="shared" si="48"/>
        <v>80.628010017337701</v>
      </c>
      <c r="AW57" s="11">
        <f t="shared" si="49"/>
        <v>328.54468549422342</v>
      </c>
      <c r="AX57" s="3">
        <f t="shared" si="65"/>
        <v>0</v>
      </c>
      <c r="AY57" s="3">
        <f t="shared" si="77"/>
        <v>247.9166754768857</v>
      </c>
    </row>
    <row r="58" spans="1:51" x14ac:dyDescent="0.3">
      <c r="A58">
        <v>13</v>
      </c>
      <c r="B58" s="153">
        <v>6.26083606241572E-2</v>
      </c>
      <c r="C58" s="38">
        <v>0.12310098269052464</v>
      </c>
      <c r="D58" s="11">
        <f t="shared" si="7"/>
        <v>85.209978809477946</v>
      </c>
      <c r="E58" s="11">
        <f t="shared" si="8"/>
        <v>270.32157667246224</v>
      </c>
      <c r="F58" s="3">
        <f t="shared" si="9"/>
        <v>0</v>
      </c>
      <c r="G58" s="3">
        <f t="shared" si="66"/>
        <v>185.1115978629843</v>
      </c>
      <c r="H58" s="11">
        <f t="shared" si="11"/>
        <v>107.18551338855713</v>
      </c>
      <c r="I58" s="11">
        <f t="shared" si="12"/>
        <v>252.97729968638794</v>
      </c>
      <c r="J58" s="3">
        <f t="shared" si="55"/>
        <v>0</v>
      </c>
      <c r="K58" s="3">
        <f t="shared" si="67"/>
        <v>145.79178629783081</v>
      </c>
      <c r="L58" s="11">
        <f t="shared" si="15"/>
        <v>97.982084376806014</v>
      </c>
      <c r="M58" s="11">
        <f t="shared" si="16"/>
        <v>228.07749251176725</v>
      </c>
      <c r="N58" s="3">
        <f t="shared" si="56"/>
        <v>0</v>
      </c>
      <c r="O58" s="3">
        <f t="shared" si="68"/>
        <v>130.09540813496125</v>
      </c>
      <c r="P58" s="11">
        <f t="shared" si="19"/>
        <v>134.16971681756888</v>
      </c>
      <c r="Q58" s="11">
        <f t="shared" si="20"/>
        <v>217.97240863814372</v>
      </c>
      <c r="R58" s="3">
        <f t="shared" si="57"/>
        <v>0</v>
      </c>
      <c r="S58" s="3">
        <f t="shared" si="69"/>
        <v>83.802691820574836</v>
      </c>
      <c r="T58" s="11">
        <f t="shared" si="23"/>
        <v>133.41841649007898</v>
      </c>
      <c r="U58" s="11">
        <f t="shared" si="24"/>
        <v>230.41576997448857</v>
      </c>
      <c r="V58" s="3">
        <f t="shared" si="58"/>
        <v>0</v>
      </c>
      <c r="W58" s="3">
        <f t="shared" si="70"/>
        <v>96.997353484409587</v>
      </c>
      <c r="X58" s="11">
        <f t="shared" si="27"/>
        <v>150.82354074359469</v>
      </c>
      <c r="Y58" s="11">
        <f t="shared" si="28"/>
        <v>264.73834273086243</v>
      </c>
      <c r="Z58" s="3">
        <f t="shared" si="59"/>
        <v>0</v>
      </c>
      <c r="AA58" s="3">
        <f t="shared" si="71"/>
        <v>113.91480198726774</v>
      </c>
      <c r="AB58" s="11">
        <f t="shared" si="31"/>
        <v>129.16104796763631</v>
      </c>
      <c r="AC58" s="11">
        <f t="shared" si="32"/>
        <v>244.06444484165033</v>
      </c>
      <c r="AD58" s="3">
        <f t="shared" si="60"/>
        <v>0</v>
      </c>
      <c r="AE58" s="3">
        <f t="shared" si="72"/>
        <v>114.90339687401402</v>
      </c>
      <c r="AF58" s="11">
        <f t="shared" si="35"/>
        <v>120.89674436524756</v>
      </c>
      <c r="AG58" s="11">
        <f t="shared" si="36"/>
        <v>290.62044964603541</v>
      </c>
      <c r="AH58" s="3">
        <f t="shared" si="61"/>
        <v>0</v>
      </c>
      <c r="AI58" s="3">
        <f t="shared" si="73"/>
        <v>169.72370528078784</v>
      </c>
      <c r="AJ58" s="11">
        <f t="shared" si="39"/>
        <v>90.093430938162214</v>
      </c>
      <c r="AK58" s="11">
        <f t="shared" si="40"/>
        <v>263.99714418030254</v>
      </c>
      <c r="AL58" s="3">
        <f t="shared" si="62"/>
        <v>0</v>
      </c>
      <c r="AM58" s="3">
        <f t="shared" si="74"/>
        <v>173.90371324214033</v>
      </c>
      <c r="AN58" s="11">
        <f t="shared" si="42"/>
        <v>89.404738971296482</v>
      </c>
      <c r="AO58" s="11">
        <f t="shared" si="43"/>
        <v>255.96383725213005</v>
      </c>
      <c r="AP58" s="3">
        <f t="shared" si="63"/>
        <v>0</v>
      </c>
      <c r="AQ58" s="3">
        <f t="shared" si="75"/>
        <v>166.55909828083355</v>
      </c>
      <c r="AR58" s="11">
        <f t="shared" si="45"/>
        <v>97.794259294933539</v>
      </c>
      <c r="AS58" s="11">
        <f t="shared" si="46"/>
        <v>252.46101948294634</v>
      </c>
      <c r="AT58" s="3">
        <f t="shared" si="64"/>
        <v>0</v>
      </c>
      <c r="AU58" s="3">
        <f t="shared" si="76"/>
        <v>154.6667601880128</v>
      </c>
      <c r="AV58" s="11">
        <f t="shared" si="48"/>
        <v>77.070891928337517</v>
      </c>
      <c r="AW58" s="11">
        <f t="shared" si="49"/>
        <v>273.78723791185286</v>
      </c>
      <c r="AX58" s="3">
        <f t="shared" si="65"/>
        <v>0</v>
      </c>
      <c r="AY58" s="3">
        <f t="shared" si="77"/>
        <v>196.71634598351534</v>
      </c>
    </row>
    <row r="59" spans="1:51" x14ac:dyDescent="0.3">
      <c r="A59">
        <v>14</v>
      </c>
      <c r="B59" s="153">
        <v>5.7792332883837408E-2</v>
      </c>
      <c r="C59" s="38">
        <v>0.12310098269052464</v>
      </c>
      <c r="D59" s="11">
        <f t="shared" si="7"/>
        <v>78.655365054902717</v>
      </c>
      <c r="E59" s="11">
        <f t="shared" si="8"/>
        <v>270.32157667246224</v>
      </c>
      <c r="F59" s="3">
        <f t="shared" si="9"/>
        <v>0</v>
      </c>
      <c r="G59" s="3">
        <f t="shared" si="66"/>
        <v>191.66621161755953</v>
      </c>
      <c r="H59" s="11">
        <f t="shared" si="11"/>
        <v>98.940473897129635</v>
      </c>
      <c r="I59" s="11">
        <f t="shared" si="12"/>
        <v>252.97729968638794</v>
      </c>
      <c r="J59" s="3">
        <f t="shared" si="55"/>
        <v>0</v>
      </c>
      <c r="K59" s="3">
        <f t="shared" si="67"/>
        <v>154.0368257892583</v>
      </c>
      <c r="L59" s="11">
        <f t="shared" si="15"/>
        <v>90.445000963205544</v>
      </c>
      <c r="M59" s="11">
        <f t="shared" si="16"/>
        <v>228.07749251176725</v>
      </c>
      <c r="N59" s="3">
        <f t="shared" si="56"/>
        <v>0</v>
      </c>
      <c r="O59" s="3">
        <f t="shared" si="68"/>
        <v>137.63249154856169</v>
      </c>
      <c r="P59" s="11">
        <f t="shared" si="19"/>
        <v>123.84896937006357</v>
      </c>
      <c r="Q59" s="11">
        <f t="shared" si="20"/>
        <v>217.97240863814372</v>
      </c>
      <c r="R59" s="3">
        <f t="shared" si="57"/>
        <v>0</v>
      </c>
      <c r="S59" s="3">
        <f t="shared" si="69"/>
        <v>94.123439268080148</v>
      </c>
      <c r="T59" s="11">
        <f t="shared" si="23"/>
        <v>123.15546137545752</v>
      </c>
      <c r="U59" s="11">
        <f t="shared" si="24"/>
        <v>230.41576997448857</v>
      </c>
      <c r="V59" s="3">
        <f t="shared" si="58"/>
        <v>0</v>
      </c>
      <c r="W59" s="3">
        <f t="shared" si="70"/>
        <v>107.26030859903105</v>
      </c>
      <c r="X59" s="11">
        <f t="shared" si="27"/>
        <v>139.22172991716431</v>
      </c>
      <c r="Y59" s="11">
        <f t="shared" si="28"/>
        <v>264.73834273086243</v>
      </c>
      <c r="Z59" s="3">
        <f t="shared" si="59"/>
        <v>0</v>
      </c>
      <c r="AA59" s="3">
        <f t="shared" si="71"/>
        <v>125.51661281369812</v>
      </c>
      <c r="AB59" s="11">
        <f t="shared" si="31"/>
        <v>119.22558273935657</v>
      </c>
      <c r="AC59" s="11">
        <f t="shared" si="32"/>
        <v>244.06444484165033</v>
      </c>
      <c r="AD59" s="3">
        <f t="shared" si="60"/>
        <v>0</v>
      </c>
      <c r="AE59" s="3">
        <f t="shared" si="72"/>
        <v>124.83886210229376</v>
      </c>
      <c r="AF59" s="11">
        <f t="shared" si="35"/>
        <v>111.59699479869003</v>
      </c>
      <c r="AG59" s="11">
        <f t="shared" si="36"/>
        <v>290.62044964603541</v>
      </c>
      <c r="AH59" s="3">
        <f t="shared" si="61"/>
        <v>0</v>
      </c>
      <c r="AI59" s="3">
        <f t="shared" si="73"/>
        <v>179.02345484734536</v>
      </c>
      <c r="AJ59" s="11">
        <f t="shared" si="39"/>
        <v>83.163167019842035</v>
      </c>
      <c r="AK59" s="11">
        <f t="shared" si="40"/>
        <v>263.99714418030254</v>
      </c>
      <c r="AL59" s="3">
        <f t="shared" si="62"/>
        <v>0</v>
      </c>
      <c r="AM59" s="3">
        <f t="shared" si="74"/>
        <v>180.83397716046051</v>
      </c>
      <c r="AN59" s="11">
        <f t="shared" si="42"/>
        <v>82.527451358119819</v>
      </c>
      <c r="AO59" s="11">
        <f t="shared" si="43"/>
        <v>255.96383725213005</v>
      </c>
      <c r="AP59" s="3">
        <f t="shared" si="63"/>
        <v>0</v>
      </c>
      <c r="AQ59" s="3">
        <f t="shared" si="75"/>
        <v>173.43638589401024</v>
      </c>
      <c r="AR59" s="11">
        <f t="shared" si="45"/>
        <v>90.271623964554024</v>
      </c>
      <c r="AS59" s="11">
        <f t="shared" si="46"/>
        <v>252.46101948294634</v>
      </c>
      <c r="AT59" s="3">
        <f t="shared" si="64"/>
        <v>0</v>
      </c>
      <c r="AU59" s="3">
        <f t="shared" si="76"/>
        <v>162.1893955183923</v>
      </c>
      <c r="AV59" s="11">
        <f t="shared" si="48"/>
        <v>71.142361780003853</v>
      </c>
      <c r="AW59" s="11">
        <f t="shared" si="49"/>
        <v>273.78723791185286</v>
      </c>
      <c r="AX59" s="3">
        <f t="shared" si="65"/>
        <v>0</v>
      </c>
      <c r="AY59" s="3">
        <f t="shared" si="77"/>
        <v>202.644876131849</v>
      </c>
    </row>
    <row r="60" spans="1:51" x14ac:dyDescent="0.3">
      <c r="A60">
        <v>15</v>
      </c>
      <c r="B60" s="153">
        <v>5.8755538431901365E-2</v>
      </c>
      <c r="C60" s="38">
        <v>9.8480786152419703E-2</v>
      </c>
      <c r="D60" s="11">
        <f t="shared" si="7"/>
        <v>79.966287805817757</v>
      </c>
      <c r="E60" s="11">
        <f t="shared" si="8"/>
        <v>216.25726133796979</v>
      </c>
      <c r="F60" s="3">
        <f t="shared" si="9"/>
        <v>0</v>
      </c>
      <c r="G60" s="3">
        <f t="shared" si="66"/>
        <v>136.29097353215204</v>
      </c>
      <c r="H60" s="11">
        <f t="shared" si="11"/>
        <v>100.58948179541514</v>
      </c>
      <c r="I60" s="11">
        <f t="shared" si="12"/>
        <v>202.38183974911033</v>
      </c>
      <c r="J60" s="3">
        <f t="shared" si="55"/>
        <v>0</v>
      </c>
      <c r="K60" s="3">
        <f t="shared" si="67"/>
        <v>101.79235795369519</v>
      </c>
      <c r="L60" s="11">
        <f t="shared" si="15"/>
        <v>91.952417645925635</v>
      </c>
      <c r="M60" s="11">
        <f t="shared" si="16"/>
        <v>182.46199400941379</v>
      </c>
      <c r="N60" s="3">
        <f t="shared" si="56"/>
        <v>0</v>
      </c>
      <c r="O60" s="3">
        <f t="shared" si="68"/>
        <v>90.509576363488151</v>
      </c>
      <c r="P60" s="11">
        <f t="shared" si="19"/>
        <v>125.91311885956462</v>
      </c>
      <c r="Q60" s="11">
        <f t="shared" si="20"/>
        <v>174.37792691051496</v>
      </c>
      <c r="R60" s="3">
        <f t="shared" si="57"/>
        <v>0</v>
      </c>
      <c r="S60" s="3">
        <f t="shared" si="69"/>
        <v>48.464808050950339</v>
      </c>
      <c r="T60" s="11">
        <f t="shared" si="23"/>
        <v>125.20805239838181</v>
      </c>
      <c r="U60" s="11">
        <f t="shared" si="24"/>
        <v>184.33261597959086</v>
      </c>
      <c r="V60" s="3">
        <f t="shared" si="58"/>
        <v>0</v>
      </c>
      <c r="W60" s="3">
        <f t="shared" si="70"/>
        <v>59.124563581209046</v>
      </c>
      <c r="X60" s="11">
        <f t="shared" si="27"/>
        <v>141.54209208245038</v>
      </c>
      <c r="Y60" s="11">
        <f t="shared" si="28"/>
        <v>211.79067418468995</v>
      </c>
      <c r="Z60" s="3">
        <f t="shared" si="59"/>
        <v>0</v>
      </c>
      <c r="AA60" s="3">
        <f t="shared" si="71"/>
        <v>70.248582102239567</v>
      </c>
      <c r="AB60" s="11">
        <f t="shared" si="31"/>
        <v>121.21267578501252</v>
      </c>
      <c r="AC60" s="11">
        <f t="shared" si="32"/>
        <v>195.25155587332026</v>
      </c>
      <c r="AD60" s="3">
        <f t="shared" si="60"/>
        <v>0</v>
      </c>
      <c r="AE60" s="3">
        <f t="shared" si="72"/>
        <v>74.038880088307735</v>
      </c>
      <c r="AF60" s="11">
        <f t="shared" si="35"/>
        <v>113.45694471200153</v>
      </c>
      <c r="AG60" s="11">
        <f t="shared" si="36"/>
        <v>232.49635971682832</v>
      </c>
      <c r="AH60" s="3">
        <f t="shared" si="61"/>
        <v>0</v>
      </c>
      <c r="AI60" s="3">
        <f t="shared" si="73"/>
        <v>119.03941500482679</v>
      </c>
      <c r="AJ60" s="11">
        <f t="shared" si="39"/>
        <v>84.549219803506062</v>
      </c>
      <c r="AK60" s="11">
        <f t="shared" si="40"/>
        <v>211.19771534424203</v>
      </c>
      <c r="AL60" s="3">
        <f t="shared" si="62"/>
        <v>0</v>
      </c>
      <c r="AM60" s="3">
        <f t="shared" si="74"/>
        <v>126.64849554073596</v>
      </c>
      <c r="AN60" s="11">
        <f t="shared" si="42"/>
        <v>83.902908880755149</v>
      </c>
      <c r="AO60" s="11">
        <f t="shared" si="43"/>
        <v>204.77106980170402</v>
      </c>
      <c r="AP60" s="3">
        <f t="shared" si="63"/>
        <v>0</v>
      </c>
      <c r="AQ60" s="3">
        <f t="shared" si="75"/>
        <v>120.86816092094887</v>
      </c>
      <c r="AR60" s="11">
        <f t="shared" si="45"/>
        <v>91.776151030629933</v>
      </c>
      <c r="AS60" s="11">
        <f t="shared" si="46"/>
        <v>201.96881558635707</v>
      </c>
      <c r="AT60" s="3">
        <f t="shared" si="64"/>
        <v>0</v>
      </c>
      <c r="AU60" s="3">
        <f t="shared" si="76"/>
        <v>110.19266455572713</v>
      </c>
      <c r="AV60" s="11">
        <f t="shared" si="48"/>
        <v>72.328067809670586</v>
      </c>
      <c r="AW60" s="11">
        <f t="shared" si="49"/>
        <v>219.02979032948227</v>
      </c>
      <c r="AX60" s="3">
        <f t="shared" si="65"/>
        <v>0</v>
      </c>
      <c r="AY60" s="3">
        <f t="shared" si="77"/>
        <v>146.70172251981168</v>
      </c>
    </row>
    <row r="61" spans="1:51" x14ac:dyDescent="0.3">
      <c r="A61">
        <v>16</v>
      </c>
      <c r="B61" s="153">
        <v>5.8755538431901365E-2</v>
      </c>
      <c r="C61" s="38">
        <v>2.8313226018820664E-2</v>
      </c>
      <c r="D61" s="11">
        <f t="shared" si="7"/>
        <v>79.966287805817757</v>
      </c>
      <c r="E61" s="11">
        <f t="shared" si="8"/>
        <v>62.173962634666317</v>
      </c>
      <c r="F61" s="3">
        <f t="shared" si="9"/>
        <v>17.79232517115144</v>
      </c>
      <c r="G61" s="3">
        <f t="shared" si="66"/>
        <v>0</v>
      </c>
      <c r="H61" s="11">
        <f t="shared" si="11"/>
        <v>100.58948179541514</v>
      </c>
      <c r="I61" s="11">
        <f t="shared" si="12"/>
        <v>58.184778927869218</v>
      </c>
      <c r="J61" s="3">
        <f t="shared" si="55"/>
        <v>42.404702867545922</v>
      </c>
      <c r="K61" s="3">
        <f t="shared" si="67"/>
        <v>0</v>
      </c>
      <c r="L61" s="11">
        <f t="shared" si="15"/>
        <v>91.952417645925635</v>
      </c>
      <c r="M61" s="11">
        <f t="shared" si="16"/>
        <v>52.45782327770646</v>
      </c>
      <c r="N61" s="3">
        <f t="shared" si="56"/>
        <v>39.494594368219175</v>
      </c>
      <c r="O61" s="3">
        <f t="shared" si="68"/>
        <v>0</v>
      </c>
      <c r="P61" s="11">
        <f t="shared" si="19"/>
        <v>125.91311885956462</v>
      </c>
      <c r="Q61" s="11">
        <f t="shared" si="20"/>
        <v>50.133653986773055</v>
      </c>
      <c r="R61" s="3">
        <f t="shared" si="57"/>
        <v>75.779464872791564</v>
      </c>
      <c r="S61" s="3">
        <f t="shared" si="69"/>
        <v>0</v>
      </c>
      <c r="T61" s="11">
        <f t="shared" si="23"/>
        <v>125.20805239838181</v>
      </c>
      <c r="U61" s="11">
        <f t="shared" si="24"/>
        <v>52.995627094132367</v>
      </c>
      <c r="V61" s="3">
        <f t="shared" si="58"/>
        <v>72.21242530424945</v>
      </c>
      <c r="W61" s="3">
        <f t="shared" si="70"/>
        <v>0</v>
      </c>
      <c r="X61" s="11">
        <f t="shared" si="27"/>
        <v>141.54209208245038</v>
      </c>
      <c r="Y61" s="11">
        <f t="shared" si="28"/>
        <v>60.889818828098363</v>
      </c>
      <c r="Z61" s="3">
        <f t="shared" si="59"/>
        <v>80.652273254352025</v>
      </c>
      <c r="AA61" s="3">
        <f t="shared" si="71"/>
        <v>0</v>
      </c>
      <c r="AB61" s="11">
        <f t="shared" si="31"/>
        <v>121.21267578501252</v>
      </c>
      <c r="AC61" s="11">
        <f t="shared" si="32"/>
        <v>56.134822313579569</v>
      </c>
      <c r="AD61" s="3">
        <f t="shared" si="60"/>
        <v>65.077853471432945</v>
      </c>
      <c r="AE61" s="3">
        <f t="shared" si="72"/>
        <v>0</v>
      </c>
      <c r="AF61" s="11">
        <f t="shared" si="35"/>
        <v>113.45694471200153</v>
      </c>
      <c r="AG61" s="11">
        <f t="shared" si="36"/>
        <v>66.842703418588144</v>
      </c>
      <c r="AH61" s="3">
        <f t="shared" si="61"/>
        <v>46.614241293413386</v>
      </c>
      <c r="AI61" s="3">
        <f t="shared" si="73"/>
        <v>0</v>
      </c>
      <c r="AJ61" s="11">
        <f t="shared" si="39"/>
        <v>84.549219803506062</v>
      </c>
      <c r="AK61" s="11">
        <f t="shared" si="40"/>
        <v>60.719343161469581</v>
      </c>
      <c r="AL61" s="3">
        <f t="shared" si="62"/>
        <v>23.829876642036481</v>
      </c>
      <c r="AM61" s="3">
        <f t="shared" si="74"/>
        <v>0</v>
      </c>
      <c r="AN61" s="11">
        <f t="shared" si="42"/>
        <v>83.902908880755149</v>
      </c>
      <c r="AO61" s="11">
        <f t="shared" si="43"/>
        <v>58.871682567989907</v>
      </c>
      <c r="AP61" s="3">
        <f t="shared" si="63"/>
        <v>25.031226312765241</v>
      </c>
      <c r="AQ61" s="3">
        <f t="shared" si="75"/>
        <v>0</v>
      </c>
      <c r="AR61" s="11">
        <f t="shared" si="45"/>
        <v>91.776151030629933</v>
      </c>
      <c r="AS61" s="11">
        <f t="shared" si="46"/>
        <v>58.066034481077658</v>
      </c>
      <c r="AT61" s="3">
        <f t="shared" si="64"/>
        <v>33.710116549552275</v>
      </c>
      <c r="AU61" s="3">
        <f t="shared" si="76"/>
        <v>0</v>
      </c>
      <c r="AV61" s="11">
        <f t="shared" si="48"/>
        <v>72.328067809670586</v>
      </c>
      <c r="AW61" s="11">
        <f t="shared" si="49"/>
        <v>62.971064719726151</v>
      </c>
      <c r="AX61" s="3">
        <f t="shared" si="65"/>
        <v>9.3570030899444347</v>
      </c>
      <c r="AY61" s="3">
        <f t="shared" si="77"/>
        <v>0</v>
      </c>
    </row>
    <row r="62" spans="1:51" x14ac:dyDescent="0.3">
      <c r="A62">
        <v>17</v>
      </c>
      <c r="B62" s="153">
        <v>5.7792332883837408E-2</v>
      </c>
      <c r="C62" s="38">
        <v>2.3881590641961777E-2</v>
      </c>
      <c r="D62" s="11">
        <f t="shared" si="7"/>
        <v>78.655365054902717</v>
      </c>
      <c r="E62" s="11">
        <f t="shared" si="8"/>
        <v>52.442385874457678</v>
      </c>
      <c r="F62" s="3">
        <f t="shared" si="9"/>
        <v>26.212979180445039</v>
      </c>
      <c r="G62" s="3">
        <f t="shared" si="66"/>
        <v>0</v>
      </c>
      <c r="H62" s="11">
        <f t="shared" si="11"/>
        <v>98.940473897129635</v>
      </c>
      <c r="I62" s="11">
        <f t="shared" si="12"/>
        <v>49.077596139159255</v>
      </c>
      <c r="J62" s="3">
        <f t="shared" si="55"/>
        <v>49.862877757970381</v>
      </c>
      <c r="K62" s="3">
        <f t="shared" si="67"/>
        <v>0</v>
      </c>
      <c r="L62" s="11">
        <f t="shared" si="15"/>
        <v>90.445000963205544</v>
      </c>
      <c r="M62" s="11">
        <f t="shared" si="16"/>
        <v>44.24703354728284</v>
      </c>
      <c r="N62" s="3">
        <f t="shared" si="56"/>
        <v>46.197967415922705</v>
      </c>
      <c r="O62" s="3">
        <f t="shared" si="68"/>
        <v>0</v>
      </c>
      <c r="P62" s="11">
        <f t="shared" si="19"/>
        <v>123.84896937006357</v>
      </c>
      <c r="Q62" s="11">
        <f t="shared" si="20"/>
        <v>42.286647275799879</v>
      </c>
      <c r="R62" s="3">
        <f t="shared" si="57"/>
        <v>81.562322094263692</v>
      </c>
      <c r="S62" s="3">
        <f t="shared" si="69"/>
        <v>0</v>
      </c>
      <c r="T62" s="11">
        <f t="shared" si="23"/>
        <v>123.15546137545752</v>
      </c>
      <c r="U62" s="11">
        <f t="shared" si="24"/>
        <v>44.700659375050776</v>
      </c>
      <c r="V62" s="3">
        <f t="shared" si="58"/>
        <v>78.454802000406744</v>
      </c>
      <c r="W62" s="3">
        <f t="shared" si="70"/>
        <v>0</v>
      </c>
      <c r="X62" s="11">
        <f t="shared" si="27"/>
        <v>139.22172991716431</v>
      </c>
      <c r="Y62" s="11">
        <f t="shared" si="28"/>
        <v>51.359238489787309</v>
      </c>
      <c r="Z62" s="3">
        <f t="shared" si="59"/>
        <v>87.862491427376995</v>
      </c>
      <c r="AA62" s="3">
        <f t="shared" si="71"/>
        <v>0</v>
      </c>
      <c r="AB62" s="11">
        <f t="shared" si="31"/>
        <v>119.22558273935657</v>
      </c>
      <c r="AC62" s="11">
        <f t="shared" si="32"/>
        <v>47.348502299280156</v>
      </c>
      <c r="AD62" s="3">
        <f t="shared" si="60"/>
        <v>71.877080440076412</v>
      </c>
      <c r="AE62" s="3">
        <f t="shared" si="72"/>
        <v>0</v>
      </c>
      <c r="AF62" s="11">
        <f t="shared" si="35"/>
        <v>111.59699479869003</v>
      </c>
      <c r="AG62" s="11">
        <f t="shared" si="36"/>
        <v>56.380367231330865</v>
      </c>
      <c r="AH62" s="3">
        <f t="shared" si="61"/>
        <v>55.216627567359168</v>
      </c>
      <c r="AI62" s="3">
        <f t="shared" si="73"/>
        <v>0</v>
      </c>
      <c r="AJ62" s="11">
        <f t="shared" si="39"/>
        <v>83.163167019842035</v>
      </c>
      <c r="AK62" s="11">
        <f t="shared" si="40"/>
        <v>51.215445970978685</v>
      </c>
      <c r="AL62" s="3">
        <f t="shared" si="62"/>
        <v>31.94772104886335</v>
      </c>
      <c r="AM62" s="3">
        <f t="shared" si="74"/>
        <v>0</v>
      </c>
      <c r="AN62" s="11">
        <f t="shared" si="42"/>
        <v>82.527451358119819</v>
      </c>
      <c r="AO62" s="11">
        <f t="shared" si="43"/>
        <v>49.656984426913219</v>
      </c>
      <c r="AP62" s="3">
        <f t="shared" si="63"/>
        <v>32.8704669312066</v>
      </c>
      <c r="AQ62" s="3">
        <f t="shared" si="75"/>
        <v>0</v>
      </c>
      <c r="AR62" s="11">
        <f t="shared" si="45"/>
        <v>90.271623964554024</v>
      </c>
      <c r="AS62" s="11">
        <f t="shared" si="46"/>
        <v>48.977437779691584</v>
      </c>
      <c r="AT62" s="3">
        <f t="shared" si="64"/>
        <v>41.29418618486244</v>
      </c>
      <c r="AU62" s="3">
        <f t="shared" si="76"/>
        <v>0</v>
      </c>
      <c r="AV62" s="11">
        <f t="shared" si="48"/>
        <v>71.142361780003853</v>
      </c>
      <c r="AW62" s="11">
        <f t="shared" si="49"/>
        <v>53.114724154899449</v>
      </c>
      <c r="AX62" s="3">
        <f t="shared" si="65"/>
        <v>18.027637625104404</v>
      </c>
      <c r="AY62" s="3">
        <f t="shared" si="77"/>
        <v>0</v>
      </c>
    </row>
    <row r="63" spans="1:51" x14ac:dyDescent="0.3">
      <c r="A63">
        <v>18</v>
      </c>
      <c r="B63" s="153">
        <v>5.5865921787709494E-2</v>
      </c>
      <c r="C63" s="38">
        <v>4.8255585214685651E-3</v>
      </c>
      <c r="D63" s="11">
        <f t="shared" si="7"/>
        <v>76.033519553072622</v>
      </c>
      <c r="E63" s="11">
        <f t="shared" si="8"/>
        <v>10.59660580556052</v>
      </c>
      <c r="F63" s="3">
        <f t="shared" si="9"/>
        <v>65.436913747512108</v>
      </c>
      <c r="G63" s="3">
        <f t="shared" si="66"/>
        <v>0</v>
      </c>
      <c r="H63" s="11">
        <f t="shared" si="11"/>
        <v>95.642458100558656</v>
      </c>
      <c r="I63" s="11">
        <f t="shared" si="12"/>
        <v>9.9167101477064055</v>
      </c>
      <c r="J63" s="3">
        <f t="shared" si="55"/>
        <v>85.725747952852245</v>
      </c>
      <c r="K63" s="3">
        <f t="shared" si="67"/>
        <v>0</v>
      </c>
      <c r="L63" s="11">
        <f t="shared" si="15"/>
        <v>87.430167597765362</v>
      </c>
      <c r="M63" s="11">
        <f t="shared" si="16"/>
        <v>8.9406377064612759</v>
      </c>
      <c r="N63" s="3">
        <f t="shared" si="56"/>
        <v>78.489529891304088</v>
      </c>
      <c r="O63" s="3">
        <f t="shared" si="68"/>
        <v>0</v>
      </c>
      <c r="P63" s="11">
        <f t="shared" si="19"/>
        <v>119.72067039106145</v>
      </c>
      <c r="Q63" s="11">
        <f t="shared" si="20"/>
        <v>8.5445184186152332</v>
      </c>
      <c r="R63" s="3">
        <f t="shared" si="57"/>
        <v>111.17615197244621</v>
      </c>
      <c r="S63" s="3">
        <f t="shared" si="69"/>
        <v>0</v>
      </c>
      <c r="T63" s="11">
        <f t="shared" si="23"/>
        <v>119.05027932960893</v>
      </c>
      <c r="U63" s="11">
        <f t="shared" si="24"/>
        <v>9.032298182999952</v>
      </c>
      <c r="V63" s="3">
        <f t="shared" si="58"/>
        <v>110.01798114660897</v>
      </c>
      <c r="W63" s="3">
        <f t="shared" si="70"/>
        <v>0</v>
      </c>
      <c r="X63" s="11">
        <f t="shared" si="27"/>
        <v>134.58100558659217</v>
      </c>
      <c r="Y63" s="11">
        <f t="shared" si="28"/>
        <v>10.377743035049807</v>
      </c>
      <c r="Z63" s="3">
        <f t="shared" si="59"/>
        <v>124.20326255154237</v>
      </c>
      <c r="AA63" s="3">
        <f t="shared" si="71"/>
        <v>0</v>
      </c>
      <c r="AB63" s="11">
        <f t="shared" si="31"/>
        <v>115.25139664804469</v>
      </c>
      <c r="AC63" s="11">
        <f t="shared" si="32"/>
        <v>9.5673262377926918</v>
      </c>
      <c r="AD63" s="3">
        <f t="shared" si="60"/>
        <v>105.68407041025199</v>
      </c>
      <c r="AE63" s="3">
        <f t="shared" si="72"/>
        <v>0</v>
      </c>
      <c r="AF63" s="11">
        <f t="shared" si="35"/>
        <v>107.87709497206703</v>
      </c>
      <c r="AG63" s="11">
        <f t="shared" si="36"/>
        <v>11.392321626124588</v>
      </c>
      <c r="AH63" s="3">
        <f t="shared" si="61"/>
        <v>96.484773345942443</v>
      </c>
      <c r="AI63" s="3">
        <f t="shared" si="73"/>
        <v>0</v>
      </c>
      <c r="AJ63" s="11">
        <f t="shared" si="39"/>
        <v>80.391061452513966</v>
      </c>
      <c r="AK63" s="11">
        <f t="shared" si="40"/>
        <v>10.348688051867859</v>
      </c>
      <c r="AL63" s="3">
        <f t="shared" si="62"/>
        <v>70.042373400646113</v>
      </c>
      <c r="AM63" s="3">
        <f t="shared" si="74"/>
        <v>0</v>
      </c>
      <c r="AN63" s="11">
        <f t="shared" si="42"/>
        <v>79.77653631284916</v>
      </c>
      <c r="AO63" s="11">
        <f t="shared" si="43"/>
        <v>10.033782420283497</v>
      </c>
      <c r="AP63" s="3">
        <f t="shared" si="63"/>
        <v>69.742753892565659</v>
      </c>
      <c r="AQ63" s="3">
        <f t="shared" si="75"/>
        <v>0</v>
      </c>
      <c r="AR63" s="11">
        <f t="shared" si="45"/>
        <v>87.262569832402235</v>
      </c>
      <c r="AS63" s="11">
        <f t="shared" si="46"/>
        <v>9.8964719637314964</v>
      </c>
      <c r="AT63" s="3">
        <f t="shared" si="64"/>
        <v>77.366097868670735</v>
      </c>
      <c r="AU63" s="3">
        <f t="shared" si="76"/>
        <v>0</v>
      </c>
      <c r="AV63" s="11">
        <f t="shared" si="48"/>
        <v>68.770949720670387</v>
      </c>
      <c r="AW63" s="11">
        <f t="shared" si="49"/>
        <v>10.732459726144631</v>
      </c>
      <c r="AX63" s="3">
        <f t="shared" si="65"/>
        <v>58.038489994525754</v>
      </c>
      <c r="AY63" s="3">
        <f t="shared" si="77"/>
        <v>0</v>
      </c>
    </row>
    <row r="64" spans="1:51" x14ac:dyDescent="0.3">
      <c r="A64">
        <v>19</v>
      </c>
      <c r="B64" s="153">
        <v>5.4902716239645544E-2</v>
      </c>
      <c r="C64" s="38">
        <v>0</v>
      </c>
      <c r="D64" s="11">
        <f t="shared" si="7"/>
        <v>74.722596802157582</v>
      </c>
      <c r="E64" s="11">
        <f t="shared" si="8"/>
        <v>0</v>
      </c>
      <c r="F64" s="3">
        <f t="shared" si="9"/>
        <v>74.722596802157582</v>
      </c>
      <c r="G64" s="3">
        <f t="shared" si="66"/>
        <v>0</v>
      </c>
      <c r="H64" s="11">
        <f t="shared" si="11"/>
        <v>93.993450202273166</v>
      </c>
      <c r="I64" s="11">
        <f t="shared" si="12"/>
        <v>0</v>
      </c>
      <c r="J64" s="3">
        <f t="shared" si="55"/>
        <v>93.993450202273166</v>
      </c>
      <c r="K64" s="3">
        <f t="shared" si="67"/>
        <v>0</v>
      </c>
      <c r="L64" s="11">
        <f t="shared" si="15"/>
        <v>85.92275091504527</v>
      </c>
      <c r="M64" s="11">
        <f t="shared" si="16"/>
        <v>0</v>
      </c>
      <c r="N64" s="3">
        <f t="shared" si="56"/>
        <v>85.92275091504527</v>
      </c>
      <c r="O64" s="3">
        <f t="shared" si="68"/>
        <v>0</v>
      </c>
      <c r="P64" s="11">
        <f t="shared" si="19"/>
        <v>117.6565209015604</v>
      </c>
      <c r="Q64" s="11">
        <f t="shared" si="20"/>
        <v>0</v>
      </c>
      <c r="R64" s="3">
        <f t="shared" si="57"/>
        <v>117.6565209015604</v>
      </c>
      <c r="S64" s="3">
        <f t="shared" si="69"/>
        <v>0</v>
      </c>
      <c r="T64" s="11">
        <f t="shared" si="23"/>
        <v>116.99768830668465</v>
      </c>
      <c r="U64" s="11">
        <f t="shared" si="24"/>
        <v>0</v>
      </c>
      <c r="V64" s="3">
        <f t="shared" si="58"/>
        <v>116.99768830668465</v>
      </c>
      <c r="W64" s="3">
        <f t="shared" si="70"/>
        <v>0</v>
      </c>
      <c r="X64" s="11">
        <f t="shared" si="27"/>
        <v>132.26064342130613</v>
      </c>
      <c r="Y64" s="11">
        <f t="shared" si="28"/>
        <v>0</v>
      </c>
      <c r="Z64" s="3">
        <f t="shared" si="59"/>
        <v>132.26064342130613</v>
      </c>
      <c r="AA64" s="3">
        <f t="shared" si="71"/>
        <v>0</v>
      </c>
      <c r="AB64" s="11">
        <f t="shared" si="31"/>
        <v>113.26430360238875</v>
      </c>
      <c r="AC64" s="11">
        <f t="shared" si="32"/>
        <v>0</v>
      </c>
      <c r="AD64" s="3">
        <f t="shared" si="60"/>
        <v>113.26430360238875</v>
      </c>
      <c r="AE64" s="3">
        <f t="shared" si="72"/>
        <v>0</v>
      </c>
      <c r="AF64" s="11">
        <f t="shared" si="35"/>
        <v>106.01714505875555</v>
      </c>
      <c r="AG64" s="11">
        <f t="shared" si="36"/>
        <v>0</v>
      </c>
      <c r="AH64" s="3">
        <f t="shared" si="61"/>
        <v>106.01714505875555</v>
      </c>
      <c r="AI64" s="3">
        <f t="shared" si="73"/>
        <v>0</v>
      </c>
      <c r="AJ64" s="11">
        <f t="shared" si="39"/>
        <v>79.005008668849939</v>
      </c>
      <c r="AK64" s="11">
        <f t="shared" si="40"/>
        <v>0</v>
      </c>
      <c r="AL64" s="3">
        <f t="shared" si="62"/>
        <v>79.005008668849939</v>
      </c>
      <c r="AM64" s="3">
        <f t="shared" si="74"/>
        <v>0</v>
      </c>
      <c r="AN64" s="11">
        <f t="shared" si="42"/>
        <v>78.40107879021383</v>
      </c>
      <c r="AO64" s="11">
        <f t="shared" si="43"/>
        <v>0</v>
      </c>
      <c r="AP64" s="3">
        <f t="shared" si="63"/>
        <v>78.40107879021383</v>
      </c>
      <c r="AQ64" s="3">
        <f t="shared" si="75"/>
        <v>0</v>
      </c>
      <c r="AR64" s="11">
        <f t="shared" si="45"/>
        <v>85.758042766326341</v>
      </c>
      <c r="AS64" s="11">
        <f t="shared" si="46"/>
        <v>0</v>
      </c>
      <c r="AT64" s="3">
        <f t="shared" si="64"/>
        <v>85.758042766326341</v>
      </c>
      <c r="AU64" s="3">
        <f t="shared" si="76"/>
        <v>0</v>
      </c>
      <c r="AV64" s="11">
        <f t="shared" si="48"/>
        <v>67.585243691003669</v>
      </c>
      <c r="AW64" s="11">
        <f t="shared" si="49"/>
        <v>0</v>
      </c>
      <c r="AX64" s="3">
        <f t="shared" si="65"/>
        <v>67.585243691003669</v>
      </c>
      <c r="AY64" s="3">
        <f t="shared" si="77"/>
        <v>0</v>
      </c>
    </row>
    <row r="65" spans="1:51" x14ac:dyDescent="0.3">
      <c r="A65">
        <v>20</v>
      </c>
      <c r="B65" s="153">
        <v>4.0454633018686188E-2</v>
      </c>
      <c r="C65" s="38">
        <v>0</v>
      </c>
      <c r="D65" s="11">
        <f t="shared" si="7"/>
        <v>55.058755538431903</v>
      </c>
      <c r="E65" s="11">
        <f t="shared" si="8"/>
        <v>0</v>
      </c>
      <c r="F65" s="3">
        <f t="shared" si="9"/>
        <v>55.058755538431903</v>
      </c>
      <c r="G65" s="3">
        <f t="shared" si="66"/>
        <v>0</v>
      </c>
      <c r="H65" s="11">
        <f t="shared" si="11"/>
        <v>69.25833172799075</v>
      </c>
      <c r="I65" s="11">
        <f t="shared" si="12"/>
        <v>0</v>
      </c>
      <c r="J65" s="3">
        <f t="shared" si="55"/>
        <v>69.25833172799075</v>
      </c>
      <c r="K65" s="3">
        <f t="shared" si="67"/>
        <v>0</v>
      </c>
      <c r="L65" s="11">
        <f t="shared" si="15"/>
        <v>63.311500674243888</v>
      </c>
      <c r="M65" s="11">
        <f t="shared" si="16"/>
        <v>0</v>
      </c>
      <c r="N65" s="3">
        <f t="shared" si="56"/>
        <v>63.311500674243888</v>
      </c>
      <c r="O65" s="3">
        <f t="shared" si="68"/>
        <v>0</v>
      </c>
      <c r="P65" s="11">
        <f t="shared" si="19"/>
        <v>86.694278559044506</v>
      </c>
      <c r="Q65" s="11">
        <f t="shared" si="20"/>
        <v>0</v>
      </c>
      <c r="R65" s="3">
        <f t="shared" si="57"/>
        <v>86.694278559044506</v>
      </c>
      <c r="S65" s="3">
        <f t="shared" si="69"/>
        <v>0</v>
      </c>
      <c r="T65" s="11">
        <f t="shared" si="23"/>
        <v>86.208822962820264</v>
      </c>
      <c r="U65" s="11">
        <f t="shared" si="24"/>
        <v>0</v>
      </c>
      <c r="V65" s="3">
        <f t="shared" si="58"/>
        <v>86.208822962820264</v>
      </c>
      <c r="W65" s="3">
        <f t="shared" si="70"/>
        <v>0</v>
      </c>
      <c r="X65" s="11">
        <f t="shared" si="27"/>
        <v>97.455210942015029</v>
      </c>
      <c r="Y65" s="11">
        <f t="shared" si="28"/>
        <v>0</v>
      </c>
      <c r="Z65" s="3">
        <f t="shared" si="59"/>
        <v>97.455210942015029</v>
      </c>
      <c r="AA65" s="3">
        <f t="shared" si="71"/>
        <v>0</v>
      </c>
      <c r="AB65" s="11">
        <f t="shared" si="31"/>
        <v>83.457907917549605</v>
      </c>
      <c r="AC65" s="11">
        <f t="shared" si="32"/>
        <v>0</v>
      </c>
      <c r="AD65" s="3">
        <f t="shared" si="60"/>
        <v>83.457907917549605</v>
      </c>
      <c r="AE65" s="3">
        <f t="shared" si="72"/>
        <v>0</v>
      </c>
      <c r="AF65" s="11">
        <f t="shared" si="35"/>
        <v>78.117896359083034</v>
      </c>
      <c r="AG65" s="11">
        <f t="shared" si="36"/>
        <v>0</v>
      </c>
      <c r="AH65" s="3">
        <f t="shared" si="61"/>
        <v>78.117896359083034</v>
      </c>
      <c r="AI65" s="3">
        <f t="shared" si="73"/>
        <v>0</v>
      </c>
      <c r="AJ65" s="11">
        <f t="shared" si="39"/>
        <v>58.214216913889423</v>
      </c>
      <c r="AK65" s="11">
        <f t="shared" si="40"/>
        <v>0</v>
      </c>
      <c r="AL65" s="3">
        <f t="shared" si="62"/>
        <v>58.214216913889423</v>
      </c>
      <c r="AM65" s="3">
        <f t="shared" si="74"/>
        <v>0</v>
      </c>
      <c r="AN65" s="11">
        <f t="shared" si="42"/>
        <v>57.769215950683879</v>
      </c>
      <c r="AO65" s="11">
        <f t="shared" si="43"/>
        <v>0</v>
      </c>
      <c r="AP65" s="3">
        <f t="shared" si="63"/>
        <v>57.769215950683879</v>
      </c>
      <c r="AQ65" s="3">
        <f t="shared" si="75"/>
        <v>0</v>
      </c>
      <c r="AR65" s="11">
        <f t="shared" si="45"/>
        <v>63.190136775187824</v>
      </c>
      <c r="AS65" s="11">
        <f t="shared" si="46"/>
        <v>0</v>
      </c>
      <c r="AT65" s="3">
        <f t="shared" si="64"/>
        <v>63.190136775187824</v>
      </c>
      <c r="AU65" s="3">
        <f t="shared" si="76"/>
        <v>0</v>
      </c>
      <c r="AV65" s="11">
        <f t="shared" si="48"/>
        <v>49.799653246002698</v>
      </c>
      <c r="AW65" s="11">
        <f t="shared" si="49"/>
        <v>0</v>
      </c>
      <c r="AX65" s="3">
        <f t="shared" si="65"/>
        <v>49.799653246002698</v>
      </c>
      <c r="AY65" s="3">
        <f t="shared" si="77"/>
        <v>0</v>
      </c>
    </row>
    <row r="66" spans="1:51" x14ac:dyDescent="0.3">
      <c r="A66">
        <v>21</v>
      </c>
      <c r="B66" s="153">
        <v>3.8528221922558274E-2</v>
      </c>
      <c r="C66" s="38">
        <v>0</v>
      </c>
      <c r="D66" s="11">
        <f t="shared" si="7"/>
        <v>52.436910036601809</v>
      </c>
      <c r="E66" s="11">
        <f t="shared" si="8"/>
        <v>0</v>
      </c>
      <c r="F66" s="3">
        <f t="shared" si="9"/>
        <v>52.436910036601809</v>
      </c>
      <c r="G66" s="3">
        <f t="shared" si="66"/>
        <v>0</v>
      </c>
      <c r="H66" s="11">
        <f t="shared" si="11"/>
        <v>65.960315931419771</v>
      </c>
      <c r="I66" s="11">
        <f t="shared" si="12"/>
        <v>0</v>
      </c>
      <c r="J66" s="3">
        <f t="shared" si="55"/>
        <v>65.960315931419771</v>
      </c>
      <c r="K66" s="3">
        <f t="shared" si="67"/>
        <v>0</v>
      </c>
      <c r="L66" s="11">
        <f t="shared" si="15"/>
        <v>60.296667308803698</v>
      </c>
      <c r="M66" s="11">
        <f t="shared" si="16"/>
        <v>0</v>
      </c>
      <c r="N66" s="3">
        <f t="shared" si="56"/>
        <v>60.296667308803698</v>
      </c>
      <c r="O66" s="3">
        <f t="shared" si="68"/>
        <v>0</v>
      </c>
      <c r="P66" s="11">
        <f t="shared" si="19"/>
        <v>82.565979580042381</v>
      </c>
      <c r="Q66" s="11">
        <f t="shared" si="20"/>
        <v>0</v>
      </c>
      <c r="R66" s="3">
        <f t="shared" si="57"/>
        <v>82.565979580042381</v>
      </c>
      <c r="S66" s="3">
        <f t="shared" si="69"/>
        <v>0</v>
      </c>
      <c r="T66" s="11">
        <f t="shared" si="23"/>
        <v>82.103640916971685</v>
      </c>
      <c r="U66" s="11">
        <f t="shared" si="24"/>
        <v>0</v>
      </c>
      <c r="V66" s="3">
        <f t="shared" si="58"/>
        <v>82.103640916971685</v>
      </c>
      <c r="W66" s="3">
        <f t="shared" si="70"/>
        <v>0</v>
      </c>
      <c r="X66" s="11">
        <f t="shared" si="27"/>
        <v>92.814486611442888</v>
      </c>
      <c r="Y66" s="11">
        <f t="shared" si="28"/>
        <v>0</v>
      </c>
      <c r="Z66" s="3">
        <f t="shared" si="59"/>
        <v>92.814486611442888</v>
      </c>
      <c r="AA66" s="3">
        <f t="shared" si="71"/>
        <v>0</v>
      </c>
      <c r="AB66" s="11">
        <f t="shared" si="31"/>
        <v>79.483721826237726</v>
      </c>
      <c r="AC66" s="11">
        <f t="shared" si="32"/>
        <v>0</v>
      </c>
      <c r="AD66" s="3">
        <f t="shared" si="60"/>
        <v>79.483721826237726</v>
      </c>
      <c r="AE66" s="3">
        <f t="shared" si="72"/>
        <v>0</v>
      </c>
      <c r="AF66" s="11">
        <f t="shared" si="35"/>
        <v>74.397996532460027</v>
      </c>
      <c r="AG66" s="11">
        <f t="shared" si="36"/>
        <v>0</v>
      </c>
      <c r="AH66" s="3">
        <f t="shared" si="61"/>
        <v>74.397996532460027</v>
      </c>
      <c r="AI66" s="3">
        <f t="shared" si="73"/>
        <v>0</v>
      </c>
      <c r="AJ66" s="11">
        <f t="shared" si="39"/>
        <v>55.442111346561354</v>
      </c>
      <c r="AK66" s="11">
        <f t="shared" si="40"/>
        <v>0</v>
      </c>
      <c r="AL66" s="3">
        <f t="shared" si="62"/>
        <v>55.442111346561354</v>
      </c>
      <c r="AM66" s="3">
        <f t="shared" si="74"/>
        <v>0</v>
      </c>
      <c r="AN66" s="11">
        <f t="shared" si="42"/>
        <v>55.018300905413213</v>
      </c>
      <c r="AO66" s="11">
        <f t="shared" si="43"/>
        <v>0</v>
      </c>
      <c r="AP66" s="3">
        <f t="shared" si="63"/>
        <v>55.018300905413213</v>
      </c>
      <c r="AQ66" s="3">
        <f t="shared" si="75"/>
        <v>0</v>
      </c>
      <c r="AR66" s="11">
        <f t="shared" si="45"/>
        <v>60.181082643036021</v>
      </c>
      <c r="AS66" s="11">
        <f t="shared" si="46"/>
        <v>0</v>
      </c>
      <c r="AT66" s="3">
        <f t="shared" si="64"/>
        <v>60.181082643036021</v>
      </c>
      <c r="AU66" s="3">
        <f t="shared" si="76"/>
        <v>0</v>
      </c>
      <c r="AV66" s="11">
        <f t="shared" si="48"/>
        <v>47.428241186669233</v>
      </c>
      <c r="AW66" s="11">
        <f t="shared" si="49"/>
        <v>0</v>
      </c>
      <c r="AX66" s="3">
        <f t="shared" si="65"/>
        <v>47.428241186669233</v>
      </c>
      <c r="AY66" s="3">
        <f t="shared" si="77"/>
        <v>0</v>
      </c>
    </row>
    <row r="67" spans="1:51" x14ac:dyDescent="0.3">
      <c r="A67">
        <v>22</v>
      </c>
      <c r="B67" s="153">
        <v>2.8896166441918704E-2</v>
      </c>
      <c r="C67" s="38">
        <v>0</v>
      </c>
      <c r="D67" s="11">
        <f t="shared" si="7"/>
        <v>39.327682527451358</v>
      </c>
      <c r="E67" s="11">
        <f t="shared" si="8"/>
        <v>0</v>
      </c>
      <c r="F67" s="3">
        <f t="shared" si="9"/>
        <v>39.327682527451358</v>
      </c>
      <c r="G67" s="3">
        <f t="shared" si="66"/>
        <v>0</v>
      </c>
      <c r="H67" s="11">
        <f t="shared" si="11"/>
        <v>49.470236948564818</v>
      </c>
      <c r="I67" s="11">
        <f t="shared" si="12"/>
        <v>0</v>
      </c>
      <c r="J67" s="3">
        <f t="shared" si="55"/>
        <v>49.470236948564818</v>
      </c>
      <c r="K67" s="3">
        <f t="shared" si="67"/>
        <v>0</v>
      </c>
      <c r="L67" s="11">
        <f t="shared" si="15"/>
        <v>45.222500481602772</v>
      </c>
      <c r="M67" s="11">
        <f t="shared" si="16"/>
        <v>0</v>
      </c>
      <c r="N67" s="3">
        <f t="shared" si="56"/>
        <v>45.222500481602772</v>
      </c>
      <c r="O67" s="3">
        <f t="shared" si="68"/>
        <v>0</v>
      </c>
      <c r="P67" s="11">
        <f t="shared" si="19"/>
        <v>61.924484685031786</v>
      </c>
      <c r="Q67" s="11">
        <f t="shared" si="20"/>
        <v>0</v>
      </c>
      <c r="R67" s="3">
        <f t="shared" si="57"/>
        <v>61.924484685031786</v>
      </c>
      <c r="S67" s="3">
        <f t="shared" si="69"/>
        <v>0</v>
      </c>
      <c r="T67" s="11">
        <f t="shared" si="23"/>
        <v>61.57773068772876</v>
      </c>
      <c r="U67" s="11">
        <f t="shared" si="24"/>
        <v>0</v>
      </c>
      <c r="V67" s="3">
        <f t="shared" si="58"/>
        <v>61.57773068772876</v>
      </c>
      <c r="W67" s="3">
        <f t="shared" si="70"/>
        <v>0</v>
      </c>
      <c r="X67" s="11">
        <f t="shared" si="27"/>
        <v>69.610864958582155</v>
      </c>
      <c r="Y67" s="11">
        <f t="shared" si="28"/>
        <v>0</v>
      </c>
      <c r="Z67" s="3">
        <f t="shared" si="59"/>
        <v>69.610864958582155</v>
      </c>
      <c r="AA67" s="3">
        <f t="shared" si="71"/>
        <v>0</v>
      </c>
      <c r="AB67" s="11">
        <f t="shared" si="31"/>
        <v>59.612791369678284</v>
      </c>
      <c r="AC67" s="11">
        <f t="shared" si="32"/>
        <v>0</v>
      </c>
      <c r="AD67" s="3">
        <f t="shared" si="60"/>
        <v>59.612791369678284</v>
      </c>
      <c r="AE67" s="3">
        <f t="shared" si="72"/>
        <v>0</v>
      </c>
      <c r="AF67" s="11">
        <f t="shared" si="35"/>
        <v>55.798497399345017</v>
      </c>
      <c r="AG67" s="11">
        <f t="shared" si="36"/>
        <v>0</v>
      </c>
      <c r="AH67" s="3">
        <f t="shared" si="61"/>
        <v>55.798497399345017</v>
      </c>
      <c r="AI67" s="3">
        <f t="shared" si="73"/>
        <v>0</v>
      </c>
      <c r="AJ67" s="11">
        <f t="shared" si="39"/>
        <v>41.581583509921018</v>
      </c>
      <c r="AK67" s="11">
        <f t="shared" si="40"/>
        <v>0</v>
      </c>
      <c r="AL67" s="3">
        <f t="shared" si="62"/>
        <v>41.581583509921018</v>
      </c>
      <c r="AM67" s="3">
        <f t="shared" si="74"/>
        <v>0</v>
      </c>
      <c r="AN67" s="11">
        <f t="shared" si="42"/>
        <v>41.26372567905991</v>
      </c>
      <c r="AO67" s="11">
        <f t="shared" si="43"/>
        <v>0</v>
      </c>
      <c r="AP67" s="3">
        <f t="shared" si="63"/>
        <v>41.26372567905991</v>
      </c>
      <c r="AQ67" s="3">
        <f t="shared" si="75"/>
        <v>0</v>
      </c>
      <c r="AR67" s="11">
        <f t="shared" si="45"/>
        <v>45.135811982277012</v>
      </c>
      <c r="AS67" s="11">
        <f t="shared" si="46"/>
        <v>0</v>
      </c>
      <c r="AT67" s="3">
        <f t="shared" si="64"/>
        <v>45.135811982277012</v>
      </c>
      <c r="AU67" s="3">
        <f t="shared" si="76"/>
        <v>0</v>
      </c>
      <c r="AV67" s="11">
        <f t="shared" si="48"/>
        <v>35.571180890001926</v>
      </c>
      <c r="AW67" s="11">
        <f t="shared" si="49"/>
        <v>0</v>
      </c>
      <c r="AX67" s="3">
        <f t="shared" si="65"/>
        <v>35.571180890001926</v>
      </c>
      <c r="AY67" s="3">
        <f t="shared" si="77"/>
        <v>0</v>
      </c>
    </row>
    <row r="68" spans="1:51" x14ac:dyDescent="0.3">
      <c r="A68">
        <v>23</v>
      </c>
      <c r="B68" s="153">
        <v>2.0227316509343094E-2</v>
      </c>
      <c r="C68" s="38">
        <v>0</v>
      </c>
      <c r="D68" s="11">
        <f t="shared" si="7"/>
        <v>27.529377769215952</v>
      </c>
      <c r="E68" s="11">
        <f t="shared" si="8"/>
        <v>0</v>
      </c>
      <c r="F68" s="3">
        <f t="shared" si="9"/>
        <v>27.529377769215952</v>
      </c>
      <c r="G68" s="3">
        <f t="shared" si="66"/>
        <v>0</v>
      </c>
      <c r="H68" s="11">
        <f t="shared" si="11"/>
        <v>34.629165863995375</v>
      </c>
      <c r="I68" s="11">
        <f t="shared" si="12"/>
        <v>0</v>
      </c>
      <c r="J68" s="3">
        <f t="shared" si="55"/>
        <v>34.629165863995375</v>
      </c>
      <c r="K68" s="3">
        <f t="shared" si="67"/>
        <v>0</v>
      </c>
      <c r="L68" s="11">
        <f t="shared" si="15"/>
        <v>31.655750337121944</v>
      </c>
      <c r="M68" s="11">
        <f t="shared" si="16"/>
        <v>0</v>
      </c>
      <c r="N68" s="3">
        <f t="shared" si="56"/>
        <v>31.655750337121944</v>
      </c>
      <c r="O68" s="3">
        <f t="shared" si="68"/>
        <v>0</v>
      </c>
      <c r="P68" s="11">
        <f t="shared" si="19"/>
        <v>43.347139279522253</v>
      </c>
      <c r="Q68" s="11">
        <f t="shared" si="20"/>
        <v>0</v>
      </c>
      <c r="R68" s="3">
        <f t="shared" si="57"/>
        <v>43.347139279522253</v>
      </c>
      <c r="S68" s="3">
        <f t="shared" si="69"/>
        <v>0</v>
      </c>
      <c r="T68" s="11">
        <f t="shared" si="23"/>
        <v>43.104411481410132</v>
      </c>
      <c r="U68" s="11">
        <f t="shared" si="24"/>
        <v>0</v>
      </c>
      <c r="V68" s="3">
        <f t="shared" si="58"/>
        <v>43.104411481410132</v>
      </c>
      <c r="W68" s="3">
        <f t="shared" si="70"/>
        <v>0</v>
      </c>
      <c r="X68" s="11">
        <f t="shared" si="27"/>
        <v>48.727605471007514</v>
      </c>
      <c r="Y68" s="11">
        <f t="shared" si="28"/>
        <v>0</v>
      </c>
      <c r="Z68" s="3">
        <f t="shared" si="59"/>
        <v>48.727605471007514</v>
      </c>
      <c r="AA68" s="3">
        <f t="shared" si="71"/>
        <v>0</v>
      </c>
      <c r="AB68" s="11">
        <f t="shared" si="31"/>
        <v>41.728953958774802</v>
      </c>
      <c r="AC68" s="11">
        <f t="shared" si="32"/>
        <v>0</v>
      </c>
      <c r="AD68" s="3">
        <f t="shared" si="60"/>
        <v>41.728953958774802</v>
      </c>
      <c r="AE68" s="3">
        <f t="shared" si="72"/>
        <v>0</v>
      </c>
      <c r="AF68" s="11">
        <f t="shared" si="35"/>
        <v>39.058948179541517</v>
      </c>
      <c r="AG68" s="11">
        <f t="shared" si="36"/>
        <v>0</v>
      </c>
      <c r="AH68" s="3">
        <f t="shared" si="61"/>
        <v>39.058948179541517</v>
      </c>
      <c r="AI68" s="3">
        <f t="shared" si="73"/>
        <v>0</v>
      </c>
      <c r="AJ68" s="11">
        <f t="shared" si="39"/>
        <v>29.107108456944712</v>
      </c>
      <c r="AK68" s="11">
        <f t="shared" si="40"/>
        <v>0</v>
      </c>
      <c r="AL68" s="3">
        <f t="shared" si="62"/>
        <v>29.107108456944712</v>
      </c>
      <c r="AM68" s="3">
        <f t="shared" si="74"/>
        <v>0</v>
      </c>
      <c r="AN68" s="11">
        <f t="shared" si="42"/>
        <v>28.88460797534194</v>
      </c>
      <c r="AO68" s="11">
        <f t="shared" si="43"/>
        <v>0</v>
      </c>
      <c r="AP68" s="3">
        <f t="shared" si="63"/>
        <v>28.88460797534194</v>
      </c>
      <c r="AQ68" s="3">
        <f t="shared" si="75"/>
        <v>0</v>
      </c>
      <c r="AR68" s="11">
        <f t="shared" si="45"/>
        <v>31.595068387593912</v>
      </c>
      <c r="AS68" s="11">
        <f t="shared" si="46"/>
        <v>0</v>
      </c>
      <c r="AT68" s="3">
        <f t="shared" si="64"/>
        <v>31.595068387593912</v>
      </c>
      <c r="AU68" s="3">
        <f t="shared" si="76"/>
        <v>0</v>
      </c>
      <c r="AV68" s="11">
        <f t="shared" si="48"/>
        <v>24.899826623001349</v>
      </c>
      <c r="AW68" s="11">
        <f t="shared" si="49"/>
        <v>0</v>
      </c>
      <c r="AX68" s="3">
        <f t="shared" si="65"/>
        <v>24.899826623001349</v>
      </c>
      <c r="AY68" s="3">
        <f t="shared" si="77"/>
        <v>0</v>
      </c>
    </row>
    <row r="69" spans="1:51" x14ac:dyDescent="0.3">
      <c r="A69" t="s">
        <v>11</v>
      </c>
      <c r="B69" s="11">
        <f t="shared" ref="B69" si="78">+SUM(B45:B68)</f>
        <v>1.0000000000000002</v>
      </c>
      <c r="C69" s="11">
        <f t="shared" ref="C69" si="79">+SUM(C45:C68)</f>
        <v>1.0000000000000002</v>
      </c>
      <c r="D69" s="11">
        <f>+Producción!E9</f>
        <v>1361</v>
      </c>
      <c r="E69" s="11">
        <f>+Producción!E8</f>
        <v>2195.9335397999998</v>
      </c>
      <c r="F69" s="11">
        <f>+SUM(F45:F68)</f>
        <v>529.47538318778311</v>
      </c>
      <c r="G69" s="11">
        <f>+SUM(G45:G68)</f>
        <v>1364.4089229877832</v>
      </c>
      <c r="H69" s="11">
        <f>+Producción!F9</f>
        <v>1712</v>
      </c>
      <c r="I69" s="11">
        <f>+Producción!F8</f>
        <v>2055.0388319999997</v>
      </c>
      <c r="J69" s="11">
        <f>+SUM(J45:J68)</f>
        <v>713.31956698054455</v>
      </c>
      <c r="K69" s="11">
        <f>+SUM(K45:K68)</f>
        <v>1056.3583989805445</v>
      </c>
      <c r="L69" s="11">
        <f>+Producción!G9</f>
        <v>1565</v>
      </c>
      <c r="M69" s="11">
        <f>+Producción!G8</f>
        <v>1852.7674396</v>
      </c>
      <c r="N69" s="11">
        <f>+SUM(N45:N68)</f>
        <v>654.44529254943245</v>
      </c>
      <c r="O69" s="11">
        <f>+SUM(O45:O68)</f>
        <v>942.21273214943255</v>
      </c>
      <c r="P69" s="11">
        <f>+Producción!H9</f>
        <v>2143</v>
      </c>
      <c r="Q69" s="11">
        <f>+Producción!H8</f>
        <v>1770.6796800000002</v>
      </c>
      <c r="R69" s="11">
        <f>+SUM(R45:R68)</f>
        <v>966.63972014800061</v>
      </c>
      <c r="S69" s="11">
        <f>+SUM(S45:S68)</f>
        <v>594.31940014800091</v>
      </c>
      <c r="T69" s="11">
        <f>+Producción!I9</f>
        <v>2131</v>
      </c>
      <c r="U69" s="11">
        <f>+Producción!I8</f>
        <v>1871.7622308</v>
      </c>
      <c r="V69" s="11">
        <f>+SUM(V45:V68)</f>
        <v>951.01759606079395</v>
      </c>
      <c r="W69" s="11">
        <f>+SUM(W45:W68)</f>
        <v>691.77982686079417</v>
      </c>
      <c r="X69" s="11">
        <f>+Producción!J9</f>
        <v>2409</v>
      </c>
      <c r="Y69" s="11">
        <f>+Producción!J8</f>
        <v>2150.5786302000006</v>
      </c>
      <c r="Z69" s="72">
        <f>+SUM(Z45:Z68)</f>
        <v>1071.8970998296347</v>
      </c>
      <c r="AA69" s="72">
        <f>+SUM(AA45:AA68)</f>
        <v>813.47573002963532</v>
      </c>
      <c r="AB69" s="11">
        <f>+Producción!K9</f>
        <v>2063</v>
      </c>
      <c r="AC69" s="11">
        <f>+Producción!K8</f>
        <v>1982.6360400000001</v>
      </c>
      <c r="AD69" s="11">
        <f>+SUM(AD45:AD68)</f>
        <v>904.97919520170637</v>
      </c>
      <c r="AE69" s="11">
        <f>+SUM(AE45:AE68)</f>
        <v>824.61523520170681</v>
      </c>
      <c r="AF69" s="11">
        <f>+Producción!L9</f>
        <v>1931</v>
      </c>
      <c r="AG69" s="11">
        <f>+Producción!L8</f>
        <v>2360.8296480999998</v>
      </c>
      <c r="AH69" s="11">
        <f>+SUM(AH45:AH68)</f>
        <v>801.37741399174536</v>
      </c>
      <c r="AI69" s="11">
        <f>+SUM(AI45:AI68)</f>
        <v>1231.2070620917452</v>
      </c>
      <c r="AJ69" s="11">
        <f>+Producción!M9</f>
        <v>1439</v>
      </c>
      <c r="AK69" s="11">
        <f>+Producción!M8</f>
        <v>2144.5575689999996</v>
      </c>
      <c r="AL69" s="11">
        <f>+SUM(AL45:AL68)</f>
        <v>571.59612763522</v>
      </c>
      <c r="AM69" s="11">
        <f>+SUM(AM45:AM68)</f>
        <v>1277.1536966352198</v>
      </c>
      <c r="AN69" s="11">
        <f>+Producción!N9</f>
        <v>1428</v>
      </c>
      <c r="AO69" s="11">
        <f>+Producción!N8</f>
        <v>2079.2997071</v>
      </c>
      <c r="AP69" s="11">
        <f>+SUM(AP45:AP68)</f>
        <v>570.47360330046547</v>
      </c>
      <c r="AQ69" s="11">
        <f>+SUM(AQ45:AQ68)</f>
        <v>1221.7733104004656</v>
      </c>
      <c r="AR69" s="11">
        <f>+Producción!O9</f>
        <v>1562</v>
      </c>
      <c r="AS69" s="11">
        <f>+Producción!R8</f>
        <v>2050.8448751999999</v>
      </c>
      <c r="AT69" s="11">
        <f>+SUM(AT45:AT68)</f>
        <v>638.86095503395495</v>
      </c>
      <c r="AU69" s="11">
        <f>+SUM(AU45:AU68)</f>
        <v>1127.7058302339553</v>
      </c>
      <c r="AV69" s="11">
        <f>+Producción!P9</f>
        <v>1231</v>
      </c>
      <c r="AW69" s="11">
        <f>+Producción!P8</f>
        <v>2224.0865339000002</v>
      </c>
      <c r="AX69" s="11">
        <f>+SUM(AX45:AX68)</f>
        <v>463.09306150214314</v>
      </c>
      <c r="AY69" s="11">
        <f>+SUM(AY45:AY68)</f>
        <v>1456.1795954021436</v>
      </c>
    </row>
    <row r="71" spans="1:51" x14ac:dyDescent="0.3">
      <c r="E71" t="s">
        <v>867</v>
      </c>
      <c r="F71" t="s">
        <v>856</v>
      </c>
      <c r="G71" t="s">
        <v>857</v>
      </c>
      <c r="H71" t="s">
        <v>858</v>
      </c>
      <c r="I71" t="s">
        <v>859</v>
      </c>
      <c r="J71" t="s">
        <v>860</v>
      </c>
      <c r="K71" t="s">
        <v>861</v>
      </c>
      <c r="L71" t="s">
        <v>862</v>
      </c>
      <c r="M71" t="s">
        <v>863</v>
      </c>
      <c r="N71" t="s">
        <v>864</v>
      </c>
      <c r="O71" t="s">
        <v>865</v>
      </c>
      <c r="P71" t="s">
        <v>866</v>
      </c>
    </row>
    <row r="72" spans="1:51" x14ac:dyDescent="0.3">
      <c r="D72" t="s">
        <v>845</v>
      </c>
      <c r="E72">
        <f>+Producción!E9</f>
        <v>1361</v>
      </c>
      <c r="F72">
        <f>+Producción!F9</f>
        <v>1712</v>
      </c>
      <c r="G72">
        <f>+Producción!G9</f>
        <v>1565</v>
      </c>
      <c r="H72">
        <f>+Producción!H9</f>
        <v>2143</v>
      </c>
      <c r="I72">
        <f>+Producción!I9</f>
        <v>2131</v>
      </c>
      <c r="J72">
        <f>+Producción!J9</f>
        <v>2409</v>
      </c>
      <c r="K72">
        <f>+Producción!K9</f>
        <v>2063</v>
      </c>
      <c r="L72">
        <f>+Producción!L9</f>
        <v>1931</v>
      </c>
      <c r="M72">
        <f>+Producción!M9</f>
        <v>1439</v>
      </c>
      <c r="N72">
        <f>+Producción!N9</f>
        <v>1428</v>
      </c>
      <c r="O72">
        <f>+Producción!O9</f>
        <v>1562</v>
      </c>
      <c r="P72">
        <f>+Producción!P9</f>
        <v>1231</v>
      </c>
    </row>
    <row r="73" spans="1:51" x14ac:dyDescent="0.3">
      <c r="D73" t="s">
        <v>767</v>
      </c>
      <c r="E73" s="11">
        <f>+E69-G69</f>
        <v>831.52461681221666</v>
      </c>
      <c r="F73" s="11">
        <f>+I69-K69</f>
        <v>998.68043301945522</v>
      </c>
      <c r="G73" s="11">
        <f>+M69-O69</f>
        <v>910.55470745056743</v>
      </c>
      <c r="H73" s="11">
        <f>+Q69-S69</f>
        <v>1176.3602798519992</v>
      </c>
      <c r="I73" s="11">
        <f>+U69-W69</f>
        <v>1179.9824039392058</v>
      </c>
      <c r="J73" s="11">
        <f>+Y69-AA69</f>
        <v>1337.1029001703653</v>
      </c>
      <c r="K73" s="11">
        <f>+AC69-AE69</f>
        <v>1158.0208047982933</v>
      </c>
      <c r="L73" s="11">
        <f>+AG69-AI69</f>
        <v>1129.6225860082545</v>
      </c>
      <c r="M73" s="11">
        <f>+AK69-AM69</f>
        <v>867.40387236477977</v>
      </c>
      <c r="N73" s="11">
        <f>+AO69-AQ69</f>
        <v>857.52639669953442</v>
      </c>
      <c r="O73" s="11">
        <f>+AS69-AU69</f>
        <v>923.13904496604459</v>
      </c>
      <c r="P73" s="11">
        <f>+AW69-AY69</f>
        <v>767.90693849785657</v>
      </c>
    </row>
    <row r="74" spans="1:51" x14ac:dyDescent="0.3">
      <c r="D74" t="s">
        <v>768</v>
      </c>
      <c r="E74" s="11">
        <f>+F69</f>
        <v>529.47538318778311</v>
      </c>
      <c r="F74" s="11">
        <f>+J69</f>
        <v>713.31956698054455</v>
      </c>
      <c r="G74" s="11">
        <f>+N69</f>
        <v>654.44529254943245</v>
      </c>
      <c r="H74" s="11">
        <f>+R69</f>
        <v>966.63972014800061</v>
      </c>
      <c r="I74" s="11">
        <f>+V69</f>
        <v>951.01759606079395</v>
      </c>
      <c r="J74" s="11">
        <f>+Z69</f>
        <v>1071.8970998296347</v>
      </c>
      <c r="K74" s="11">
        <f>+AD69</f>
        <v>904.97919520170637</v>
      </c>
      <c r="L74" s="11">
        <f>+AH69</f>
        <v>801.37741399174536</v>
      </c>
      <c r="M74" s="11">
        <f>+AL69</f>
        <v>571.59612763522</v>
      </c>
      <c r="N74" s="11">
        <f>+AP69</f>
        <v>570.47360330046547</v>
      </c>
      <c r="O74" s="11">
        <f>+AT69</f>
        <v>638.86095503395495</v>
      </c>
      <c r="P74" s="11">
        <f>+AX69</f>
        <v>463.09306150214314</v>
      </c>
    </row>
    <row r="75" spans="1:51" x14ac:dyDescent="0.3">
      <c r="D75" t="s">
        <v>769</v>
      </c>
      <c r="E75" s="11">
        <f>+G69</f>
        <v>1364.4089229877832</v>
      </c>
      <c r="F75" s="11">
        <f>+K69</f>
        <v>1056.3583989805445</v>
      </c>
      <c r="G75" s="11">
        <f>+O69</f>
        <v>942.21273214943255</v>
      </c>
      <c r="H75" s="11">
        <f>+S69</f>
        <v>594.31940014800091</v>
      </c>
      <c r="I75" s="11">
        <f>+W69</f>
        <v>691.77982686079417</v>
      </c>
      <c r="J75" s="11">
        <f>+AA69</f>
        <v>813.47573002963532</v>
      </c>
      <c r="K75" s="11">
        <f>+AE69</f>
        <v>824.61523520170681</v>
      </c>
      <c r="L75" s="11">
        <f>+AI69</f>
        <v>1231.2070620917452</v>
      </c>
      <c r="M75" s="11">
        <f>+AM69</f>
        <v>1277.1536966352198</v>
      </c>
      <c r="N75" s="11">
        <f>+AQ69</f>
        <v>1221.7733104004656</v>
      </c>
      <c r="O75" s="11">
        <f>+AU69</f>
        <v>1127.7058302339553</v>
      </c>
      <c r="P75" s="11">
        <f>+AY69</f>
        <v>1456.1795954021436</v>
      </c>
    </row>
    <row r="76" spans="1:51" x14ac:dyDescent="0.3">
      <c r="D76" t="s">
        <v>770</v>
      </c>
      <c r="E76" s="11">
        <f>+IF(E74&lt;E75,E74,E75)</f>
        <v>529.47538318778311</v>
      </c>
      <c r="F76" s="11">
        <f t="shared" ref="F76:P76" si="80">+IF(F74&lt;F75,F74,F75)</f>
        <v>713.31956698054455</v>
      </c>
      <c r="G76" s="11">
        <f t="shared" si="80"/>
        <v>654.44529254943245</v>
      </c>
      <c r="H76" s="11">
        <f t="shared" si="80"/>
        <v>594.31940014800091</v>
      </c>
      <c r="I76" s="11">
        <f t="shared" si="80"/>
        <v>691.77982686079417</v>
      </c>
      <c r="J76" s="11">
        <f>+IF(J74&lt;J75,J74,J75)</f>
        <v>813.47573002963532</v>
      </c>
      <c r="K76" s="11">
        <f>+IF(K74&lt;K75,K74,K75)</f>
        <v>824.61523520170681</v>
      </c>
      <c r="L76" s="11">
        <f t="shared" si="80"/>
        <v>801.37741399174536</v>
      </c>
      <c r="M76" s="11">
        <f t="shared" si="80"/>
        <v>571.59612763522</v>
      </c>
      <c r="N76" s="11">
        <f t="shared" si="80"/>
        <v>570.47360330046547</v>
      </c>
      <c r="O76" s="11">
        <f t="shared" si="80"/>
        <v>638.86095503395495</v>
      </c>
      <c r="P76" s="11">
        <f t="shared" si="80"/>
        <v>463.09306150214314</v>
      </c>
    </row>
    <row r="77" spans="1:51" x14ac:dyDescent="0.3">
      <c r="D77" t="s">
        <v>771</v>
      </c>
      <c r="E77" s="11">
        <f>+E74-E76</f>
        <v>0</v>
      </c>
      <c r="F77" s="11">
        <f t="shared" ref="F77:J77" si="81">+F74-F76</f>
        <v>0</v>
      </c>
      <c r="G77" s="11">
        <f t="shared" si="81"/>
        <v>0</v>
      </c>
      <c r="H77" s="11">
        <f>+H74-H76</f>
        <v>372.3203199999997</v>
      </c>
      <c r="I77" s="11">
        <f t="shared" si="81"/>
        <v>259.23776919999978</v>
      </c>
      <c r="J77" s="11">
        <f t="shared" si="81"/>
        <v>258.42136979999941</v>
      </c>
      <c r="K77" s="11">
        <f>+K74-K76</f>
        <v>80.363959999999565</v>
      </c>
      <c r="L77" s="11">
        <f t="shared" ref="L77:P77" si="82">+L74-L76</f>
        <v>0</v>
      </c>
      <c r="M77" s="11">
        <f t="shared" si="82"/>
        <v>0</v>
      </c>
      <c r="N77" s="11">
        <f t="shared" si="82"/>
        <v>0</v>
      </c>
      <c r="O77" s="11">
        <f t="shared" si="82"/>
        <v>0</v>
      </c>
      <c r="P77" s="11">
        <f t="shared" si="82"/>
        <v>0</v>
      </c>
    </row>
    <row r="78" spans="1:51" x14ac:dyDescent="0.3">
      <c r="D78" t="s">
        <v>772</v>
      </c>
      <c r="E78" s="11">
        <f t="shared" ref="E78:P78" si="83">+IF(E74&lt;E75,E74-E75,0)</f>
        <v>-834.93353980000006</v>
      </c>
      <c r="F78" s="11">
        <f t="shared" si="83"/>
        <v>-343.03883199999996</v>
      </c>
      <c r="G78" s="11">
        <f t="shared" si="83"/>
        <v>-287.7674396000001</v>
      </c>
      <c r="H78" s="11">
        <f t="shared" si="83"/>
        <v>0</v>
      </c>
      <c r="I78" s="11">
        <f t="shared" si="83"/>
        <v>0</v>
      </c>
      <c r="J78" s="11">
        <f t="shared" si="83"/>
        <v>0</v>
      </c>
      <c r="K78" s="11">
        <f t="shared" si="83"/>
        <v>0</v>
      </c>
      <c r="L78" s="11">
        <f t="shared" si="83"/>
        <v>-429.82964809999987</v>
      </c>
      <c r="M78" s="11">
        <f t="shared" si="83"/>
        <v>-705.55756899999983</v>
      </c>
      <c r="N78" s="11">
        <f t="shared" si="83"/>
        <v>-651.29970710000009</v>
      </c>
      <c r="O78" s="11">
        <f t="shared" si="83"/>
        <v>-488.84487520000039</v>
      </c>
      <c r="P78" s="11">
        <f t="shared" si="83"/>
        <v>-993.0865339000004</v>
      </c>
    </row>
    <row r="79" spans="1:51" x14ac:dyDescent="0.3"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51" x14ac:dyDescent="0.3">
      <c r="D80" t="s">
        <v>868</v>
      </c>
      <c r="E80" s="30">
        <f>+(E76*Tarifas!S8)+(E77*Tarifas!S7)+(E78*Tarifas!U11)</f>
        <v>-411690.53743121325</v>
      </c>
      <c r="F80" s="30">
        <f>+(F76*Tarifas!T8)+(F77*Tarifas!T7)+(F78*Tarifas!V11)</f>
        <v>-207296.68349581037</v>
      </c>
      <c r="G80" s="30">
        <f>+(G76*Tarifas!U8)+(G77*Tarifas!U7)+(G78*Tarifas!W11)</f>
        <v>-175586.50655307068</v>
      </c>
      <c r="H80" s="30">
        <f>+(H76*Tarifas!V8)+(H77*Tarifas!V7)+(H78*Tarifas!X11)</f>
        <v>420390.56053417188</v>
      </c>
      <c r="I80" s="30">
        <f>+(I76*Tarifas!W8)+(I77*Tarifas!W7)+(I78*Tarifas!Y11)</f>
        <v>336962.07014426845</v>
      </c>
      <c r="J80" s="30">
        <f>+(J76*Tarifas!X8)+(J77*Tarifas!X7)+(J78*Tarifas!Z11)</f>
        <v>359882.99268052523</v>
      </c>
      <c r="K80" s="30">
        <f>+(K76*Tarifas!Y8)+(K77*Tarifas!Y7)+(K78*Tarifas!AA11)</f>
        <v>207090.6809933593</v>
      </c>
      <c r="L80" s="30">
        <f>+(L76*Tarifas!Z8)+(L77*Tarifas!Z7)+(L78*Tarifas!AB11)</f>
        <v>-46436.156208892644</v>
      </c>
      <c r="M80" s="30">
        <f>+(M76*Tarifas!AA8)+(M77*Tarifas!AA7)+(M78*Tarifas!AC11)</f>
        <v>-190733.35141070659</v>
      </c>
      <c r="N80" s="30">
        <f>+(N76*Tarifas!AB8)+(N77*Tarifas!AB7)+(N78*Tarifas!AD11)</f>
        <v>-172159.22642479095</v>
      </c>
      <c r="O80" s="30">
        <f>+(O76*Tarifas!AC8)+(O77*Tarifas!AC7)+(O78*Tarifas!AE11)</f>
        <v>-97402.51877723432</v>
      </c>
      <c r="P80" s="30">
        <f>+(P76*Tarifas!AD8)+(P77*Tarifas!AD7)+(P78*Tarifas!AF11)</f>
        <v>-326858.36100351944</v>
      </c>
    </row>
    <row r="81" spans="5:16" x14ac:dyDescent="0.3"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</sheetData>
  <mergeCells count="12">
    <mergeCell ref="AV43:AY43"/>
    <mergeCell ref="D43:G43"/>
    <mergeCell ref="H43:K43"/>
    <mergeCell ref="L43:O43"/>
    <mergeCell ref="P43:S43"/>
    <mergeCell ref="T43:W43"/>
    <mergeCell ref="X43:AA43"/>
    <mergeCell ref="AB43:AE43"/>
    <mergeCell ref="AF43:AI43"/>
    <mergeCell ref="AJ43:AM43"/>
    <mergeCell ref="AN43:AQ43"/>
    <mergeCell ref="AR43:AU43"/>
  </mergeCells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B2A6-87BE-45D5-B350-A08973CF72E0}">
  <dimension ref="A1:K37"/>
  <sheetViews>
    <sheetView topLeftCell="A16" workbookViewId="0">
      <selection activeCell="E24" sqref="E24"/>
    </sheetView>
  </sheetViews>
  <sheetFormatPr baseColWidth="10" defaultColWidth="11.44140625" defaultRowHeight="14.4" x14ac:dyDescent="0.3"/>
  <cols>
    <col min="2" max="2" width="12.77734375" bestFit="1" customWidth="1"/>
    <col min="5" max="5" width="21.5546875" bestFit="1" customWidth="1"/>
    <col min="6" max="6" width="22.44140625" customWidth="1"/>
    <col min="7" max="7" width="13.44140625" customWidth="1"/>
    <col min="8" max="8" width="12.21875" customWidth="1"/>
    <col min="11" max="11" width="17.77734375" bestFit="1" customWidth="1"/>
  </cols>
  <sheetData>
    <row r="1" spans="1:11" x14ac:dyDescent="0.3">
      <c r="A1" s="6"/>
      <c r="B1" s="6" t="s">
        <v>869</v>
      </c>
      <c r="C1" s="6"/>
      <c r="D1" s="6" t="s">
        <v>830</v>
      </c>
      <c r="E1" s="6" t="s">
        <v>870</v>
      </c>
      <c r="F1" s="6" t="s">
        <v>871</v>
      </c>
      <c r="G1" s="6" t="s">
        <v>768</v>
      </c>
      <c r="H1" s="6" t="s">
        <v>834</v>
      </c>
      <c r="I1" s="6" t="s">
        <v>872</v>
      </c>
      <c r="J1" s="6" t="s">
        <v>873</v>
      </c>
    </row>
    <row r="2" spans="1:11" x14ac:dyDescent="0.3">
      <c r="A2">
        <v>1</v>
      </c>
      <c r="B2" s="10">
        <f>+(Liquidación!F6*1000)/30</f>
        <v>2147.4956285661701</v>
      </c>
      <c r="C2" s="38">
        <f>+B2/$B$26</f>
        <v>5.5812385275369199E-2</v>
      </c>
      <c r="D2" s="38">
        <f>+Liquidación!B6</f>
        <v>3.6858089453340702E-2</v>
      </c>
      <c r="E2" s="31">
        <f>+D2*$E$26</f>
        <v>1130.511319712866</v>
      </c>
      <c r="F2" s="31">
        <f>+(Liquidación!E6*1000)/30</f>
        <v>0</v>
      </c>
      <c r="G2" s="10">
        <f>+IF(E2&gt;F2,E2-F2,0)</f>
        <v>1130.511319712866</v>
      </c>
      <c r="H2">
        <f>+IF(E2&lt;F2,F2-E2,0)</f>
        <v>0</v>
      </c>
      <c r="I2" s="31">
        <f>20513+H2-G2</f>
        <v>19382.488680287133</v>
      </c>
      <c r="J2">
        <v>0</v>
      </c>
    </row>
    <row r="3" spans="1:11" x14ac:dyDescent="0.3">
      <c r="A3">
        <v>2</v>
      </c>
      <c r="B3" s="10">
        <f>+(Liquidación!F7*1000)/30</f>
        <v>1664.9123412479291</v>
      </c>
      <c r="C3" s="38">
        <f t="shared" ref="C3:C25" si="0">+B3/$B$26</f>
        <v>4.3270276224724423E-2</v>
      </c>
      <c r="D3" s="38">
        <f>+Liquidación!B7</f>
        <v>2.8575372722252898E-2</v>
      </c>
      <c r="E3" s="31">
        <f t="shared" ref="E3:E25" si="1">+D3*$E$26</f>
        <v>876.46383213694094</v>
      </c>
      <c r="F3" s="31">
        <f>+(Liquidación!E7*1000)/30</f>
        <v>0</v>
      </c>
      <c r="G3" s="10">
        <f t="shared" ref="G3:G25" si="2">+IF(E3&gt;F3,E3-F3,0)</f>
        <v>876.46383213694094</v>
      </c>
      <c r="H3">
        <f t="shared" ref="H3:H24" si="3">+IF(E3&lt;F3,F3-E3,0)</f>
        <v>0</v>
      </c>
      <c r="I3" s="31">
        <f>+I2+H3-G3</f>
        <v>18506.024848150191</v>
      </c>
      <c r="J3">
        <v>0</v>
      </c>
    </row>
    <row r="4" spans="1:11" x14ac:dyDescent="0.3">
      <c r="A4">
        <v>3</v>
      </c>
      <c r="B4" s="10">
        <f>+(Liquidación!F8*1000)/30</f>
        <v>1475.9005537149521</v>
      </c>
      <c r="C4" s="38">
        <f t="shared" si="0"/>
        <v>3.8357950179888571E-2</v>
      </c>
      <c r="D4" s="38">
        <f>+Liquidación!B8</f>
        <v>2.5331308669243512E-2</v>
      </c>
      <c r="E4" s="31">
        <f t="shared" si="1"/>
        <v>776.96189950303699</v>
      </c>
      <c r="F4" s="31">
        <f>+(Liquidación!E8*1000)/30</f>
        <v>0</v>
      </c>
      <c r="G4" s="10">
        <f t="shared" si="2"/>
        <v>776.96189950303699</v>
      </c>
      <c r="H4">
        <f t="shared" si="3"/>
        <v>0</v>
      </c>
      <c r="I4" s="31">
        <f>+I3+H4-G4</f>
        <v>17729.062948647155</v>
      </c>
      <c r="J4">
        <v>0</v>
      </c>
      <c r="K4" s="28"/>
    </row>
    <row r="5" spans="1:11" x14ac:dyDescent="0.3">
      <c r="A5">
        <v>4</v>
      </c>
      <c r="B5" s="10">
        <f>+(Liquidación!F9*1000)/30</f>
        <v>1435.6852797717652</v>
      </c>
      <c r="C5" s="38">
        <f t="shared" si="0"/>
        <v>3.7312774425668167E-2</v>
      </c>
      <c r="D5" s="38">
        <f>+Liquidación!B9</f>
        <v>2.4641082274986195E-2</v>
      </c>
      <c r="E5" s="31">
        <f t="shared" si="1"/>
        <v>755.79127553837657</v>
      </c>
      <c r="F5" s="31">
        <f>+(Liquidación!E9*1000)/30</f>
        <v>0</v>
      </c>
      <c r="G5" s="10">
        <f t="shared" si="2"/>
        <v>755.79127553837657</v>
      </c>
      <c r="H5">
        <f t="shared" si="3"/>
        <v>0</v>
      </c>
      <c r="I5" s="31">
        <f t="shared" ref="I5:I8" si="4">+I4+H5-G5</f>
        <v>16973.271673108778</v>
      </c>
      <c r="J5">
        <v>0</v>
      </c>
    </row>
    <row r="6" spans="1:11" x14ac:dyDescent="0.3">
      <c r="A6">
        <v>5</v>
      </c>
      <c r="B6" s="10">
        <f>+(Liquidación!F10*1000)/30</f>
        <v>1419.5991701944906</v>
      </c>
      <c r="C6" s="38">
        <f t="shared" si="0"/>
        <v>3.6894704123980014E-2</v>
      </c>
      <c r="D6" s="38">
        <f>+Liquidación!B10</f>
        <v>2.436499171728327E-2</v>
      </c>
      <c r="E6" s="31">
        <f t="shared" si="1"/>
        <v>747.32302595251247</v>
      </c>
      <c r="F6" s="31">
        <f>+(Liquidación!E10*1000)/30</f>
        <v>0</v>
      </c>
      <c r="G6" s="10">
        <f t="shared" si="2"/>
        <v>747.32302595251247</v>
      </c>
      <c r="H6">
        <f t="shared" si="3"/>
        <v>0</v>
      </c>
      <c r="I6" s="31">
        <f t="shared" si="4"/>
        <v>16225.948647156267</v>
      </c>
      <c r="J6">
        <v>0</v>
      </c>
    </row>
    <row r="7" spans="1:11" x14ac:dyDescent="0.3">
      <c r="A7">
        <v>6</v>
      </c>
      <c r="B7" s="10">
        <f>+(Liquidación!F11*1000)/30</f>
        <v>1383.0589706089688</v>
      </c>
      <c r="C7" s="38">
        <f t="shared" si="0"/>
        <v>3.5945041796300356E-2</v>
      </c>
      <c r="D7" s="38">
        <f>+Liquidación!B11</f>
        <v>2.5814467145223632E-2</v>
      </c>
      <c r="E7" s="31">
        <f t="shared" si="1"/>
        <v>791.78133627829925</v>
      </c>
      <c r="F7" s="31">
        <f>+(Liquidación!E11*1000)/30</f>
        <v>120.99227486621385</v>
      </c>
      <c r="G7" s="10">
        <f t="shared" si="2"/>
        <v>670.7890614120854</v>
      </c>
      <c r="H7">
        <f t="shared" si="3"/>
        <v>0</v>
      </c>
      <c r="I7" s="31">
        <f t="shared" si="4"/>
        <v>15555.159585744181</v>
      </c>
      <c r="J7">
        <v>0</v>
      </c>
    </row>
    <row r="8" spans="1:11" x14ac:dyDescent="0.3">
      <c r="A8">
        <v>7</v>
      </c>
      <c r="B8" s="10">
        <f>+(Liquidación!F12*1000)/30</f>
        <v>1704.157032560714</v>
      </c>
      <c r="C8" s="38">
        <f t="shared" si="0"/>
        <v>4.4290227000142075E-2</v>
      </c>
      <c r="D8" s="38">
        <f>+Liquidación!B12</f>
        <v>3.8307564881281064E-2</v>
      </c>
      <c r="E8" s="31">
        <f t="shared" si="1"/>
        <v>1174.9696300386529</v>
      </c>
      <c r="F8" s="31">
        <f>+(Liquidación!E12*1000)/30</f>
        <v>527.79067128614804</v>
      </c>
      <c r="G8" s="10">
        <f t="shared" si="2"/>
        <v>647.17895875250485</v>
      </c>
      <c r="H8">
        <f t="shared" si="3"/>
        <v>0</v>
      </c>
      <c r="I8" s="31">
        <f t="shared" si="4"/>
        <v>14907.980626991675</v>
      </c>
      <c r="J8">
        <v>0</v>
      </c>
    </row>
    <row r="9" spans="1:11" x14ac:dyDescent="0.3">
      <c r="A9">
        <v>8</v>
      </c>
      <c r="B9" s="10">
        <f>+(Liquidación!F13*1000)/30</f>
        <v>0</v>
      </c>
      <c r="C9" s="38">
        <f t="shared" si="0"/>
        <v>0</v>
      </c>
      <c r="D9" s="38">
        <f>+Liquidación!B13</f>
        <v>2.4088901159580341E-2</v>
      </c>
      <c r="E9" s="31">
        <f>+D9*$E$26</f>
        <v>738.85477636664825</v>
      </c>
      <c r="F9" s="31">
        <f>+(Liquidación!E13*1000)/30</f>
        <v>1757.2687540092961</v>
      </c>
      <c r="G9" s="10">
        <f t="shared" si="2"/>
        <v>0</v>
      </c>
      <c r="H9" s="10">
        <f t="shared" si="3"/>
        <v>1018.4139776426479</v>
      </c>
      <c r="I9" s="31">
        <f>+I8+H9-G9</f>
        <v>15926.394604634323</v>
      </c>
      <c r="J9">
        <v>0</v>
      </c>
    </row>
    <row r="10" spans="1:11" x14ac:dyDescent="0.3">
      <c r="A10">
        <v>9</v>
      </c>
      <c r="B10" s="10">
        <f>+(Liquidación!F14*1000)/30</f>
        <v>0</v>
      </c>
      <c r="C10" s="38">
        <f t="shared" si="0"/>
        <v>0</v>
      </c>
      <c r="D10" s="38">
        <f>+Liquidación!B14</f>
        <v>1.1733848702374381E-2</v>
      </c>
      <c r="E10" s="31">
        <f t="shared" si="1"/>
        <v>359.900607399227</v>
      </c>
      <c r="F10" s="31">
        <f>+(Liquidación!E14*1000)/30</f>
        <v>5839.4871034870166</v>
      </c>
      <c r="G10" s="10">
        <f t="shared" si="2"/>
        <v>0</v>
      </c>
      <c r="H10" s="10">
        <f t="shared" si="3"/>
        <v>5479.5864960877898</v>
      </c>
      <c r="I10" s="31">
        <f>+I9+H10-G10</f>
        <v>21405.981100722114</v>
      </c>
      <c r="J10">
        <v>0</v>
      </c>
    </row>
    <row r="11" spans="1:11" x14ac:dyDescent="0.3">
      <c r="A11">
        <v>10</v>
      </c>
      <c r="B11" s="10">
        <f>+(Liquidación!F15*1000)/30</f>
        <v>0</v>
      </c>
      <c r="C11" s="38">
        <f t="shared" si="0"/>
        <v>0</v>
      </c>
      <c r="D11" s="38">
        <f>+Liquidación!B15</f>
        <v>1.4632799558255107E-2</v>
      </c>
      <c r="E11" s="31">
        <f t="shared" si="1"/>
        <v>448.81722805080062</v>
      </c>
      <c r="F11" s="31">
        <f>+(Liquidación!E15*1000)/30</f>
        <v>5956.7513250660359</v>
      </c>
      <c r="G11" s="10">
        <f t="shared" si="2"/>
        <v>0</v>
      </c>
      <c r="H11" s="10">
        <f t="shared" si="3"/>
        <v>5507.9340970152352</v>
      </c>
      <c r="I11" s="31">
        <f>+I10+H11-G11</f>
        <v>26913.915197737348</v>
      </c>
      <c r="J11">
        <v>0</v>
      </c>
    </row>
    <row r="12" spans="1:11" x14ac:dyDescent="0.3">
      <c r="A12">
        <v>11</v>
      </c>
      <c r="B12" s="10">
        <f>+(Liquidación!F16*1000)/30</f>
        <v>0</v>
      </c>
      <c r="C12" s="38">
        <f t="shared" si="0"/>
        <v>0</v>
      </c>
      <c r="D12" s="38">
        <f>+Liquidación!B16</f>
        <v>9.9392600773053549E-3</v>
      </c>
      <c r="E12" s="31">
        <f>+D12*$E$26</f>
        <v>304.85698509110983</v>
      </c>
      <c r="F12" s="31">
        <f>+(Liquidación!E16*1000)/30</f>
        <v>7032.4641553891815</v>
      </c>
      <c r="G12" s="10">
        <f t="shared" si="2"/>
        <v>0</v>
      </c>
      <c r="H12" s="10">
        <f t="shared" si="3"/>
        <v>6727.6071702980717</v>
      </c>
      <c r="I12" s="31">
        <f>+I11+H12-G12</f>
        <v>33641.522368035417</v>
      </c>
      <c r="J12">
        <v>0</v>
      </c>
    </row>
    <row r="13" spans="1:11" x14ac:dyDescent="0.3">
      <c r="A13">
        <v>12</v>
      </c>
      <c r="B13" s="10">
        <f>+(Liquidación!F17*1000)/30</f>
        <v>0</v>
      </c>
      <c r="C13" s="38">
        <f t="shared" si="0"/>
        <v>0</v>
      </c>
      <c r="D13" s="38">
        <f>+Liquidación!B17</f>
        <v>8.9729431253451133E-3</v>
      </c>
      <c r="E13" s="31">
        <f t="shared" si="1"/>
        <v>275.21811154058531</v>
      </c>
      <c r="F13" s="31">
        <f>+(Liquidación!E17*1000)/30</f>
        <v>9777.6670305049593</v>
      </c>
      <c r="G13" s="10">
        <f t="shared" si="2"/>
        <v>0</v>
      </c>
      <c r="H13" s="10">
        <f t="shared" si="3"/>
        <v>9502.4489189643737</v>
      </c>
      <c r="I13" s="31">
        <f>+I12</f>
        <v>33641.522368035417</v>
      </c>
      <c r="J13" s="31">
        <f>+H13</f>
        <v>9502.4489189643737</v>
      </c>
    </row>
    <row r="14" spans="1:11" x14ac:dyDescent="0.3">
      <c r="A14">
        <v>13</v>
      </c>
      <c r="B14" s="10">
        <f>+(Liquidación!F18*1000)/30</f>
        <v>0</v>
      </c>
      <c r="C14" s="38">
        <f t="shared" si="0"/>
        <v>0</v>
      </c>
      <c r="D14" s="38">
        <f>+Liquidación!B18</f>
        <v>9.7321921590281611E-3</v>
      </c>
      <c r="E14" s="31">
        <f t="shared" si="1"/>
        <v>298.50579790171173</v>
      </c>
      <c r="F14" s="31">
        <f>+(Liquidación!E18*1000)/30</f>
        <v>10167.418055984359</v>
      </c>
      <c r="G14" s="10">
        <f t="shared" si="2"/>
        <v>0</v>
      </c>
      <c r="H14" s="10">
        <f t="shared" si="3"/>
        <v>9868.9122580826479</v>
      </c>
      <c r="I14" s="31">
        <f>+I13</f>
        <v>33641.522368035417</v>
      </c>
      <c r="J14" s="31">
        <f>+H14</f>
        <v>9868.9122580826479</v>
      </c>
    </row>
    <row r="15" spans="1:11" x14ac:dyDescent="0.3">
      <c r="A15">
        <v>14</v>
      </c>
      <c r="B15" s="10">
        <f>+(Liquidación!F19*1000)/30</f>
        <v>0</v>
      </c>
      <c r="C15" s="38">
        <f t="shared" si="0"/>
        <v>0</v>
      </c>
      <c r="D15" s="38">
        <f>+Liquidación!B19</f>
        <v>1.7738818332413031E-2</v>
      </c>
      <c r="E15" s="31">
        <f t="shared" si="1"/>
        <v>544.08503589177246</v>
      </c>
      <c r="F15" s="31">
        <f>+(Liquidación!E19*1000)/30</f>
        <v>8472.8483799869646</v>
      </c>
      <c r="G15" s="10">
        <f t="shared" si="2"/>
        <v>0</v>
      </c>
      <c r="H15" s="10">
        <f t="shared" si="3"/>
        <v>7928.7633440951922</v>
      </c>
      <c r="I15" s="31">
        <f>+I14</f>
        <v>33641.522368035417</v>
      </c>
      <c r="J15" s="31">
        <f>+H15</f>
        <v>7928.7633440951922</v>
      </c>
    </row>
    <row r="16" spans="1:11" x14ac:dyDescent="0.3">
      <c r="A16">
        <v>15</v>
      </c>
      <c r="B16" s="10">
        <f>+(Liquidación!F20*1000)/30</f>
        <v>0</v>
      </c>
      <c r="C16" s="38">
        <f t="shared" si="0"/>
        <v>0</v>
      </c>
      <c r="D16" s="38">
        <f>+Liquidación!B20</f>
        <v>7.1093318608503597E-2</v>
      </c>
      <c r="E16" s="31">
        <f t="shared" si="1"/>
        <v>2180.5742683600224</v>
      </c>
      <c r="F16" s="31">
        <f>+(Liquidación!E20*1000)/30</f>
        <v>8472.8483799869646</v>
      </c>
      <c r="G16" s="10">
        <f t="shared" si="2"/>
        <v>0</v>
      </c>
      <c r="H16" s="10">
        <f t="shared" si="3"/>
        <v>6292.2741116269426</v>
      </c>
      <c r="I16" s="31">
        <f>+I15</f>
        <v>33641.522368035417</v>
      </c>
      <c r="J16" s="31">
        <f>+H16</f>
        <v>6292.2741116269426</v>
      </c>
    </row>
    <row r="17" spans="1:10" x14ac:dyDescent="0.3">
      <c r="A17">
        <v>16</v>
      </c>
      <c r="B17" s="10">
        <f>+(Liquidación!F21*1000)/30</f>
        <v>0</v>
      </c>
      <c r="C17" s="38">
        <f t="shared" si="0"/>
        <v>0</v>
      </c>
      <c r="D17" s="38">
        <f>+Liquidación!B21</f>
        <v>9.3180563224737722E-2</v>
      </c>
      <c r="E17" s="31">
        <f>+D17*$E$26</f>
        <v>2858.0342352291555</v>
      </c>
      <c r="F17" s="31">
        <f>+(Liquidación!E21*1000)/30</f>
        <v>6778.278703989572</v>
      </c>
      <c r="G17" s="10">
        <f t="shared" si="2"/>
        <v>0</v>
      </c>
      <c r="H17" s="10">
        <f t="shared" si="3"/>
        <v>3920.2444687604166</v>
      </c>
      <c r="I17" s="31">
        <f>+I16</f>
        <v>33641.522368035417</v>
      </c>
      <c r="J17" s="31">
        <f>+H17</f>
        <v>3920.2444687604166</v>
      </c>
    </row>
    <row r="18" spans="1:10" x14ac:dyDescent="0.3">
      <c r="A18">
        <v>17</v>
      </c>
      <c r="B18" s="10">
        <f>+(Liquidación!F22*1000)/30</f>
        <v>3078.1541155013369</v>
      </c>
      <c r="C18" s="38">
        <f t="shared" si="0"/>
        <v>7.9999754665870948E-2</v>
      </c>
      <c r="D18" s="38">
        <f>+Liquidación!B22</f>
        <v>8.6278299282164558E-2</v>
      </c>
      <c r="E18" s="31">
        <f t="shared" si="1"/>
        <v>2646.3279955825515</v>
      </c>
      <c r="F18" s="31">
        <f>+(Liquidación!E22*1000)/30</f>
        <v>1948.7551273970018</v>
      </c>
      <c r="G18" s="10">
        <f>+IF(E18&gt;F18,E18-F18,0)</f>
        <v>697.57286818554962</v>
      </c>
      <c r="H18">
        <f t="shared" si="3"/>
        <v>0</v>
      </c>
      <c r="I18" s="31">
        <f>+I17+H18-G18</f>
        <v>32943.94949984987</v>
      </c>
      <c r="J18">
        <v>0</v>
      </c>
    </row>
    <row r="19" spans="1:10" x14ac:dyDescent="0.3">
      <c r="A19">
        <v>18</v>
      </c>
      <c r="B19" s="10">
        <f>+(Liquidación!F23*1000)/30</f>
        <v>2981.0239177489989</v>
      </c>
      <c r="C19" s="38">
        <f t="shared" si="0"/>
        <v>7.7475387236799254E-2</v>
      </c>
      <c r="D19" s="38">
        <f>+Liquidación!B23</f>
        <v>7.937603533959138E-2</v>
      </c>
      <c r="E19" s="31">
        <f t="shared" si="1"/>
        <v>2434.621755935947</v>
      </c>
      <c r="F19" s="31">
        <f>+(Liquidación!E23*1000)/30</f>
        <v>1643.7325857174712</v>
      </c>
      <c r="G19" s="10">
        <f t="shared" si="2"/>
        <v>790.88917021847578</v>
      </c>
      <c r="H19">
        <f t="shared" si="3"/>
        <v>0</v>
      </c>
      <c r="I19" s="31">
        <f t="shared" ref="I19:I25" si="5">+I18+H19-G19</f>
        <v>32153.060329631393</v>
      </c>
      <c r="J19">
        <v>0</v>
      </c>
    </row>
    <row r="20" spans="1:10" x14ac:dyDescent="0.3">
      <c r="A20">
        <v>19</v>
      </c>
      <c r="B20" s="10">
        <f>+(Liquidación!F24*1000)/30</f>
        <v>4091.5444772550491</v>
      </c>
      <c r="C20" s="38">
        <f t="shared" si="0"/>
        <v>0.10633728595216627</v>
      </c>
      <c r="D20" s="38">
        <f>+Liquidación!B24</f>
        <v>7.5924903368304819E-2</v>
      </c>
      <c r="E20" s="31">
        <f>+D20*$E$26</f>
        <v>2328.7686361126453</v>
      </c>
      <c r="F20" s="31">
        <f>+(Liquidación!E24*1000)/30</f>
        <v>332.13565649548894</v>
      </c>
      <c r="G20" s="10">
        <f t="shared" si="2"/>
        <v>1996.6329796171563</v>
      </c>
      <c r="H20">
        <f t="shared" si="3"/>
        <v>0</v>
      </c>
      <c r="I20" s="31">
        <f t="shared" si="5"/>
        <v>30156.427350014237</v>
      </c>
      <c r="J20">
        <v>0</v>
      </c>
    </row>
    <row r="21" spans="1:10" x14ac:dyDescent="0.3">
      <c r="A21">
        <v>20</v>
      </c>
      <c r="B21" s="10">
        <f>+(Liquidación!F25*1000)/30</f>
        <v>4423.6801337505376</v>
      </c>
      <c r="C21" s="38">
        <f t="shared" si="0"/>
        <v>0.11496933296424366</v>
      </c>
      <c r="D21" s="38">
        <f>+Liquidación!B25</f>
        <v>7.5924903368304819E-2</v>
      </c>
      <c r="E21" s="31">
        <f t="shared" si="1"/>
        <v>2328.7686361126453</v>
      </c>
      <c r="F21" s="31">
        <f>+(Liquidación!E25*1000)/30</f>
        <v>0</v>
      </c>
      <c r="G21" s="10">
        <f t="shared" si="2"/>
        <v>2328.7686361126453</v>
      </c>
      <c r="H21">
        <f t="shared" si="3"/>
        <v>0</v>
      </c>
      <c r="I21" s="31">
        <f t="shared" si="5"/>
        <v>27827.65871390159</v>
      </c>
      <c r="J21">
        <v>0</v>
      </c>
    </row>
    <row r="22" spans="1:10" x14ac:dyDescent="0.3">
      <c r="A22">
        <v>21</v>
      </c>
      <c r="B22" s="10">
        <f>+(Liquidación!F26*1000)/30</f>
        <v>5147.5550647278978</v>
      </c>
      <c r="C22" s="38">
        <f t="shared" si="0"/>
        <v>0.13378249654021079</v>
      </c>
      <c r="D22" s="38">
        <f>+Liquidación!B26</f>
        <v>8.8348978464936501E-2</v>
      </c>
      <c r="E22" s="31">
        <f t="shared" si="1"/>
        <v>2709.8398674765322</v>
      </c>
      <c r="F22" s="31">
        <f>+(Liquidación!E26*1000)/30</f>
        <v>0</v>
      </c>
      <c r="G22" s="10">
        <f t="shared" si="2"/>
        <v>2709.8398674765322</v>
      </c>
      <c r="H22">
        <f t="shared" si="3"/>
        <v>0</v>
      </c>
      <c r="I22" s="31">
        <f t="shared" si="5"/>
        <v>25117.818846425056</v>
      </c>
      <c r="J22">
        <v>0</v>
      </c>
    </row>
    <row r="23" spans="1:10" x14ac:dyDescent="0.3">
      <c r="A23">
        <v>22</v>
      </c>
      <c r="B23" s="10">
        <f>+(Liquidación!F27*1000)/30</f>
        <v>3136.7913675685627</v>
      </c>
      <c r="C23" s="38">
        <f t="shared" si="0"/>
        <v>8.1523708829190952E-2</v>
      </c>
      <c r="D23" s="38">
        <f>+Liquidación!B27</f>
        <v>5.383765875207068E-2</v>
      </c>
      <c r="E23" s="31">
        <f t="shared" si="1"/>
        <v>1651.308669243512</v>
      </c>
      <c r="F23" s="31">
        <f>+(Liquidación!E27*1000)/30</f>
        <v>0</v>
      </c>
      <c r="G23" s="10">
        <f t="shared" si="2"/>
        <v>1651.308669243512</v>
      </c>
      <c r="H23">
        <f t="shared" si="3"/>
        <v>0</v>
      </c>
      <c r="I23" s="31">
        <f t="shared" si="5"/>
        <v>23466.510177181543</v>
      </c>
      <c r="J23">
        <v>0</v>
      </c>
    </row>
    <row r="24" spans="1:10" x14ac:dyDescent="0.3">
      <c r="A24">
        <v>23</v>
      </c>
      <c r="B24" s="10">
        <f>+(Liquidación!F28*1000)/30</f>
        <v>2481.2824022946193</v>
      </c>
      <c r="C24" s="38">
        <f t="shared" si="0"/>
        <v>6.4487344035398478E-2</v>
      </c>
      <c r="D24" s="38">
        <f>+Liquidación!B28</f>
        <v>4.2586968525676422E-2</v>
      </c>
      <c r="E24" s="31">
        <f t="shared" si="1"/>
        <v>1306.2274986195473</v>
      </c>
      <c r="F24" s="31">
        <f>+(Liquidación!E28*1000)/30</f>
        <v>0</v>
      </c>
      <c r="G24" s="10">
        <f t="shared" si="2"/>
        <v>1306.2274986195473</v>
      </c>
      <c r="H24">
        <f t="shared" si="3"/>
        <v>0</v>
      </c>
      <c r="I24" s="31">
        <f t="shared" si="5"/>
        <v>22160.282678561995</v>
      </c>
      <c r="J24">
        <v>0</v>
      </c>
    </row>
    <row r="25" spans="1:10" x14ac:dyDescent="0.3">
      <c r="A25">
        <v>24</v>
      </c>
      <c r="B25" s="10">
        <f>+(Liquidación!F29*1000)/30</f>
        <v>1906.2039849070495</v>
      </c>
      <c r="C25" s="38">
        <f t="shared" si="0"/>
        <v>4.9541330750046811E-2</v>
      </c>
      <c r="D25" s="38">
        <f>+Liquidación!B29</f>
        <v>3.2716731087796797E-2</v>
      </c>
      <c r="E25" s="31">
        <f t="shared" si="1"/>
        <v>1003.4875759249034</v>
      </c>
      <c r="F25" s="31">
        <f>+(Liquidación!E29*1000)/30</f>
        <v>0</v>
      </c>
      <c r="G25" s="10">
        <f t="shared" si="2"/>
        <v>1003.4875759249034</v>
      </c>
      <c r="H25">
        <f>+IF(E25&lt;F25,F25-E25,0)</f>
        <v>0</v>
      </c>
      <c r="I25" s="31">
        <f t="shared" si="5"/>
        <v>21156.79510263709</v>
      </c>
      <c r="J25">
        <v>0</v>
      </c>
    </row>
    <row r="26" spans="1:10" x14ac:dyDescent="0.3">
      <c r="B26" s="10">
        <f>+SUM(B2:B25)</f>
        <v>38477.044440419042</v>
      </c>
      <c r="E26" s="10">
        <f>+'Cuadro de cargas'!AN7</f>
        <v>30672</v>
      </c>
      <c r="F26" s="10">
        <f>+SUM(F2:F25)</f>
        <v>68828.438204166669</v>
      </c>
      <c r="G26" s="10">
        <f>+SUM(G2:G25)</f>
        <v>18089.746638406647</v>
      </c>
      <c r="H26" s="10">
        <f>+SUM(H2:H25)</f>
        <v>56246.184842573319</v>
      </c>
      <c r="J26" s="10">
        <f>+SUM(J2:J25)</f>
        <v>37512.643101529568</v>
      </c>
    </row>
    <row r="27" spans="1:10" x14ac:dyDescent="0.3">
      <c r="H27" t="s">
        <v>874</v>
      </c>
    </row>
    <row r="28" spans="1:10" x14ac:dyDescent="0.3">
      <c r="F28" t="s">
        <v>875</v>
      </c>
      <c r="G28" s="31">
        <f>+G26</f>
        <v>18089.746638406647</v>
      </c>
      <c r="H28">
        <v>15</v>
      </c>
    </row>
    <row r="29" spans="1:10" x14ac:dyDescent="0.3">
      <c r="D29">
        <f>+Liquidación!F30</f>
        <v>1154.3113332125715</v>
      </c>
      <c r="F29" t="s">
        <v>876</v>
      </c>
      <c r="G29" s="10">
        <f>51.2*280</f>
        <v>14336</v>
      </c>
    </row>
    <row r="30" spans="1:10" x14ac:dyDescent="0.3">
      <c r="D30">
        <f>+D29*1000</f>
        <v>1154311.3332125715</v>
      </c>
      <c r="F30" t="s">
        <v>877</v>
      </c>
      <c r="G30" s="181">
        <f>+ROUNDUP(G28/G29,0)</f>
        <v>2</v>
      </c>
    </row>
    <row r="31" spans="1:10" x14ac:dyDescent="0.3">
      <c r="D31">
        <f>+D30/30</f>
        <v>38477.044440419049</v>
      </c>
      <c r="F31" t="s">
        <v>878</v>
      </c>
      <c r="G31" s="42">
        <f>+G29*G30</f>
        <v>28672</v>
      </c>
    </row>
    <row r="33" spans="6:8" x14ac:dyDescent="0.3">
      <c r="F33" t="s">
        <v>879</v>
      </c>
      <c r="G33" s="31">
        <f>+SUM(G18:G25)</f>
        <v>12484.727265398322</v>
      </c>
      <c r="H33">
        <v>8</v>
      </c>
    </row>
    <row r="34" spans="6:8" x14ac:dyDescent="0.3">
      <c r="F34" t="s">
        <v>880</v>
      </c>
      <c r="G34" s="181">
        <f>+ROUNDUP(G33/G29,0)</f>
        <v>1</v>
      </c>
    </row>
    <row r="36" spans="6:8" x14ac:dyDescent="0.3">
      <c r="F36" t="s">
        <v>879</v>
      </c>
      <c r="G36" s="31">
        <f>+SUM(G20:G22)</f>
        <v>7035.2414832063332</v>
      </c>
      <c r="H36" s="190" t="s">
        <v>881</v>
      </c>
    </row>
    <row r="37" spans="6:8" x14ac:dyDescent="0.3">
      <c r="F37" t="s">
        <v>880</v>
      </c>
      <c r="G37" s="181">
        <f>+ROUNDUP(G36/G29,0)</f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065F-3EF2-48DF-B170-3F8C188D4964}">
  <dimension ref="A2:JE77"/>
  <sheetViews>
    <sheetView workbookViewId="0">
      <selection activeCell="L7" sqref="L7"/>
    </sheetView>
  </sheetViews>
  <sheetFormatPr baseColWidth="10" defaultColWidth="11.44140625" defaultRowHeight="14.4" x14ac:dyDescent="0.3"/>
  <cols>
    <col min="1" max="1" width="27.5546875" bestFit="1" customWidth="1"/>
    <col min="2" max="2" width="10.44140625" bestFit="1" customWidth="1"/>
    <col min="3" max="3" width="11.5546875" bestFit="1" customWidth="1"/>
    <col min="4" max="4" width="14.5546875" bestFit="1" customWidth="1"/>
    <col min="5" max="25" width="11.5546875" bestFit="1" customWidth="1"/>
    <col min="26" max="49" width="11.77734375" bestFit="1" customWidth="1"/>
    <col min="50" max="50" width="16.44140625" bestFit="1" customWidth="1"/>
    <col min="51" max="85" width="11.77734375" bestFit="1" customWidth="1"/>
    <col min="86" max="86" width="14.44140625" bestFit="1" customWidth="1"/>
    <col min="87" max="183" width="11.77734375" bestFit="1" customWidth="1"/>
    <col min="184" max="217" width="12.5546875" bestFit="1" customWidth="1"/>
    <col min="218" max="218" width="14.44140625" bestFit="1" customWidth="1"/>
    <col min="219" max="219" width="11.5546875" bestFit="1" customWidth="1"/>
    <col min="230" max="230" width="14.44140625" bestFit="1" customWidth="1"/>
    <col min="231" max="231" width="11.5546875" bestFit="1" customWidth="1"/>
    <col min="242" max="253" width="14.44140625" bestFit="1" customWidth="1"/>
    <col min="254" max="255" width="11.5546875" bestFit="1" customWidth="1"/>
  </cols>
  <sheetData>
    <row r="2" spans="1:265" x14ac:dyDescent="0.3">
      <c r="A2" t="s">
        <v>773</v>
      </c>
      <c r="B2" s="40">
        <v>0.03</v>
      </c>
      <c r="D2" t="s">
        <v>882</v>
      </c>
      <c r="E2" s="30">
        <v>50</v>
      </c>
    </row>
    <row r="3" spans="1:265" x14ac:dyDescent="0.3">
      <c r="A3" t="s">
        <v>883</v>
      </c>
      <c r="B3" s="40"/>
      <c r="E3" s="30"/>
      <c r="L3">
        <f t="shared" ref="L3:M3" si="0">1042.79-841.69</f>
        <v>201.09999999999991</v>
      </c>
      <c r="M3">
        <f t="shared" si="0"/>
        <v>201.09999999999991</v>
      </c>
      <c r="N3">
        <f>1042.79-841.69</f>
        <v>201.09999999999991</v>
      </c>
      <c r="O3">
        <f>1042.79-841.69</f>
        <v>201.09999999999991</v>
      </c>
      <c r="P3">
        <v>189.07</v>
      </c>
      <c r="Q3">
        <v>208.27</v>
      </c>
      <c r="R3">
        <v>226.11</v>
      </c>
      <c r="S3">
        <v>235.76</v>
      </c>
      <c r="T3">
        <v>254.56</v>
      </c>
      <c r="U3">
        <v>263.43</v>
      </c>
      <c r="V3">
        <v>265.5</v>
      </c>
    </row>
    <row r="4" spans="1:265" x14ac:dyDescent="0.3">
      <c r="A4" s="6" t="s">
        <v>727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265" x14ac:dyDescent="0.3">
      <c r="L5">
        <f t="shared" ref="L5" si="1">+YEAR(L6)</f>
        <v>2024</v>
      </c>
      <c r="M5">
        <f t="shared" ref="M5:N5" si="2">+YEAR(M6)</f>
        <v>2024</v>
      </c>
      <c r="N5">
        <f t="shared" si="2"/>
        <v>2024</v>
      </c>
      <c r="O5">
        <f t="shared" ref="O5" si="3">+YEAR(O6)</f>
        <v>2024</v>
      </c>
      <c r="P5">
        <f t="shared" ref="P5" si="4">+YEAR(P6)</f>
        <v>2024</v>
      </c>
      <c r="Q5">
        <f t="shared" ref="Q5" si="5">+YEAR(Q6)</f>
        <v>2024</v>
      </c>
      <c r="R5">
        <f t="shared" ref="R5" si="6">+YEAR(R6)</f>
        <v>2024</v>
      </c>
      <c r="S5">
        <f t="shared" ref="S5" si="7">+YEAR(S6)</f>
        <v>2024</v>
      </c>
      <c r="T5">
        <f t="shared" ref="T5:U5" si="8">+YEAR(T6)</f>
        <v>2024</v>
      </c>
      <c r="U5">
        <f t="shared" si="8"/>
        <v>2024</v>
      </c>
      <c r="V5">
        <f t="shared" ref="V5" si="9">+YEAR(V6)</f>
        <v>2024</v>
      </c>
      <c r="W5">
        <f t="shared" ref="W5" si="10">+YEAR(W6)</f>
        <v>2024</v>
      </c>
      <c r="X5">
        <f t="shared" ref="X5" si="11">+YEAR(X6)</f>
        <v>2025</v>
      </c>
      <c r="Y5">
        <f t="shared" ref="Y5" si="12">+YEAR(Y6)</f>
        <v>2025</v>
      </c>
      <c r="Z5">
        <f t="shared" ref="Z5" si="13">+YEAR(Z6)</f>
        <v>2025</v>
      </c>
      <c r="AA5">
        <f t="shared" ref="AA5:AB5" si="14">+YEAR(AA6)</f>
        <v>2025</v>
      </c>
      <c r="AB5">
        <f t="shared" si="14"/>
        <v>2025</v>
      </c>
      <c r="AC5">
        <f t="shared" ref="AC5" si="15">+YEAR(AC6)</f>
        <v>2025</v>
      </c>
      <c r="AD5">
        <f t="shared" ref="AD5" si="16">+YEAR(AD6)</f>
        <v>2025</v>
      </c>
      <c r="AE5">
        <f t="shared" ref="AE5" si="17">+YEAR(AE6)</f>
        <v>2025</v>
      </c>
      <c r="AF5">
        <f t="shared" ref="AF5" si="18">+YEAR(AF6)</f>
        <v>2025</v>
      </c>
      <c r="AG5">
        <f t="shared" ref="AG5" si="19">+YEAR(AG6)</f>
        <v>2025</v>
      </c>
      <c r="AH5">
        <f t="shared" ref="AH5:AI5" si="20">+YEAR(AH6)</f>
        <v>2025</v>
      </c>
      <c r="AI5">
        <f t="shared" si="20"/>
        <v>2025</v>
      </c>
      <c r="AJ5">
        <f t="shared" ref="AJ5" si="21">+YEAR(AJ6)</f>
        <v>2026</v>
      </c>
      <c r="AK5">
        <f t="shared" ref="AK5" si="22">+YEAR(AK6)</f>
        <v>2026</v>
      </c>
      <c r="AL5">
        <f t="shared" ref="AL5" si="23">+YEAR(AL6)</f>
        <v>2026</v>
      </c>
      <c r="AM5">
        <f t="shared" ref="AM5" si="24">+YEAR(AM6)</f>
        <v>2026</v>
      </c>
      <c r="AN5">
        <f t="shared" ref="AN5" si="25">+YEAR(AN6)</f>
        <v>2026</v>
      </c>
      <c r="AO5">
        <f t="shared" ref="AO5:AP5" si="26">+YEAR(AO6)</f>
        <v>2026</v>
      </c>
      <c r="AP5">
        <f t="shared" si="26"/>
        <v>2026</v>
      </c>
      <c r="AQ5">
        <f t="shared" ref="AQ5" si="27">+YEAR(AQ6)</f>
        <v>2026</v>
      </c>
      <c r="AR5">
        <f t="shared" ref="AR5" si="28">+YEAR(AR6)</f>
        <v>2026</v>
      </c>
      <c r="AS5">
        <f t="shared" ref="AS5" si="29">+YEAR(AS6)</f>
        <v>2026</v>
      </c>
      <c r="AT5">
        <f t="shared" ref="AT5" si="30">+YEAR(AT6)</f>
        <v>2026</v>
      </c>
      <c r="AU5">
        <f t="shared" ref="AU5" si="31">+YEAR(AU6)</f>
        <v>2026</v>
      </c>
      <c r="AV5">
        <f t="shared" ref="AV5:AW5" si="32">+YEAR(AV6)</f>
        <v>2027</v>
      </c>
      <c r="AW5">
        <f t="shared" si="32"/>
        <v>2027</v>
      </c>
      <c r="AX5">
        <f t="shared" ref="AX5" si="33">+YEAR(AX6)</f>
        <v>2027</v>
      </c>
      <c r="AY5">
        <f t="shared" ref="AY5" si="34">+YEAR(AY6)</f>
        <v>2027</v>
      </c>
      <c r="AZ5">
        <f t="shared" ref="AZ5" si="35">+YEAR(AZ6)</f>
        <v>2027</v>
      </c>
      <c r="BA5">
        <f t="shared" ref="BA5" si="36">+YEAR(BA6)</f>
        <v>2027</v>
      </c>
      <c r="BB5">
        <f t="shared" ref="BB5" si="37">+YEAR(BB6)</f>
        <v>2027</v>
      </c>
      <c r="BC5">
        <f t="shared" ref="BC5:BD5" si="38">+YEAR(BC6)</f>
        <v>2027</v>
      </c>
      <c r="BD5">
        <f t="shared" si="38"/>
        <v>2027</v>
      </c>
      <c r="BE5">
        <f t="shared" ref="BE5" si="39">+YEAR(BE6)</f>
        <v>2027</v>
      </c>
      <c r="BF5">
        <f t="shared" ref="BF5" si="40">+YEAR(BF6)</f>
        <v>2027</v>
      </c>
      <c r="BG5">
        <f t="shared" ref="BG5" si="41">+YEAR(BG6)</f>
        <v>2027</v>
      </c>
      <c r="BH5">
        <f t="shared" ref="BH5" si="42">+YEAR(BH6)</f>
        <v>2028</v>
      </c>
      <c r="BI5">
        <f t="shared" ref="BI5" si="43">+YEAR(BI6)</f>
        <v>2028</v>
      </c>
      <c r="BJ5">
        <f t="shared" ref="BJ5:BK5" si="44">+YEAR(BJ6)</f>
        <v>2028</v>
      </c>
      <c r="BK5">
        <f t="shared" si="44"/>
        <v>2028</v>
      </c>
      <c r="BL5">
        <f t="shared" ref="BL5" si="45">+YEAR(BL6)</f>
        <v>2028</v>
      </c>
      <c r="BM5">
        <f t="shared" ref="BM5" si="46">+YEAR(BM6)</f>
        <v>2028</v>
      </c>
      <c r="BN5">
        <f t="shared" ref="BN5" si="47">+YEAR(BN6)</f>
        <v>2028</v>
      </c>
      <c r="BO5">
        <f t="shared" ref="BO5" si="48">+YEAR(BO6)</f>
        <v>2028</v>
      </c>
      <c r="BP5">
        <f t="shared" ref="BP5" si="49">+YEAR(BP6)</f>
        <v>2028</v>
      </c>
      <c r="BQ5">
        <f t="shared" ref="BQ5:BR5" si="50">+YEAR(BQ6)</f>
        <v>2028</v>
      </c>
      <c r="BR5">
        <f t="shared" si="50"/>
        <v>2028</v>
      </c>
      <c r="BS5">
        <f t="shared" ref="BS5" si="51">+YEAR(BS6)</f>
        <v>2028</v>
      </c>
      <c r="BT5">
        <f t="shared" ref="BT5" si="52">+YEAR(BT6)</f>
        <v>2029</v>
      </c>
      <c r="BU5">
        <f t="shared" ref="BU5" si="53">+YEAR(BU6)</f>
        <v>2029</v>
      </c>
      <c r="BV5">
        <f t="shared" ref="BV5" si="54">+YEAR(BV6)</f>
        <v>2029</v>
      </c>
      <c r="BW5">
        <f t="shared" ref="BW5" si="55">+YEAR(BW6)</f>
        <v>2029</v>
      </c>
      <c r="BX5">
        <f t="shared" ref="BX5:BY5" si="56">+YEAR(BX6)</f>
        <v>2029</v>
      </c>
      <c r="BY5">
        <f t="shared" si="56"/>
        <v>2029</v>
      </c>
      <c r="BZ5">
        <f t="shared" ref="BZ5" si="57">+YEAR(BZ6)</f>
        <v>2029</v>
      </c>
      <c r="CA5">
        <f t="shared" ref="CA5" si="58">+YEAR(CA6)</f>
        <v>2029</v>
      </c>
      <c r="CB5">
        <f t="shared" ref="CB5" si="59">+YEAR(CB6)</f>
        <v>2029</v>
      </c>
      <c r="CC5">
        <f t="shared" ref="CC5" si="60">+YEAR(CC6)</f>
        <v>2029</v>
      </c>
      <c r="CD5">
        <f t="shared" ref="CD5" si="61">+YEAR(CD6)</f>
        <v>2029</v>
      </c>
      <c r="CE5">
        <f t="shared" ref="CE5:CF5" si="62">+YEAR(CE6)</f>
        <v>2029</v>
      </c>
      <c r="CF5">
        <f t="shared" si="62"/>
        <v>2030</v>
      </c>
      <c r="CG5">
        <f t="shared" ref="CG5" si="63">+YEAR(CG6)</f>
        <v>2030</v>
      </c>
      <c r="CH5">
        <f t="shared" ref="CH5" si="64">+YEAR(CH6)</f>
        <v>2030</v>
      </c>
      <c r="CI5">
        <f t="shared" ref="CI5" si="65">+YEAR(CI6)</f>
        <v>2030</v>
      </c>
      <c r="CJ5">
        <f t="shared" ref="CJ5" si="66">+YEAR(CJ6)</f>
        <v>2030</v>
      </c>
      <c r="CK5">
        <f t="shared" ref="CK5" si="67">+YEAR(CK6)</f>
        <v>2030</v>
      </c>
      <c r="CL5">
        <f t="shared" ref="CL5:CM5" si="68">+YEAR(CL6)</f>
        <v>2030</v>
      </c>
      <c r="CM5">
        <f t="shared" si="68"/>
        <v>2030</v>
      </c>
      <c r="CN5">
        <f t="shared" ref="CN5" si="69">+YEAR(CN6)</f>
        <v>2030</v>
      </c>
      <c r="CO5">
        <f t="shared" ref="CO5" si="70">+YEAR(CO6)</f>
        <v>2030</v>
      </c>
      <c r="CP5">
        <f t="shared" ref="CP5" si="71">+YEAR(CP6)</f>
        <v>2030</v>
      </c>
      <c r="CQ5">
        <f t="shared" ref="CQ5" si="72">+YEAR(CQ6)</f>
        <v>2030</v>
      </c>
      <c r="CR5">
        <f t="shared" ref="CR5" si="73">+YEAR(CR6)</f>
        <v>2031</v>
      </c>
      <c r="CS5">
        <f t="shared" ref="CS5:CT5" si="74">+YEAR(CS6)</f>
        <v>2031</v>
      </c>
      <c r="CT5">
        <f t="shared" si="74"/>
        <v>2031</v>
      </c>
      <c r="CU5">
        <f t="shared" ref="CU5" si="75">+YEAR(CU6)</f>
        <v>2031</v>
      </c>
      <c r="CV5">
        <f t="shared" ref="CV5" si="76">+YEAR(CV6)</f>
        <v>2031</v>
      </c>
      <c r="CW5">
        <f t="shared" ref="CW5" si="77">+YEAR(CW6)</f>
        <v>2031</v>
      </c>
      <c r="CX5">
        <f t="shared" ref="CX5" si="78">+YEAR(CX6)</f>
        <v>2031</v>
      </c>
      <c r="CY5">
        <f t="shared" ref="CY5" si="79">+YEAR(CY6)</f>
        <v>2031</v>
      </c>
      <c r="CZ5">
        <f t="shared" ref="CZ5:DA5" si="80">+YEAR(CZ6)</f>
        <v>2031</v>
      </c>
      <c r="DA5">
        <f t="shared" si="80"/>
        <v>2031</v>
      </c>
      <c r="DB5">
        <f t="shared" ref="DB5" si="81">+YEAR(DB6)</f>
        <v>2031</v>
      </c>
      <c r="DC5">
        <f t="shared" ref="DC5" si="82">+YEAR(DC6)</f>
        <v>2031</v>
      </c>
      <c r="DD5">
        <f t="shared" ref="DD5" si="83">+YEAR(DD6)</f>
        <v>2032</v>
      </c>
      <c r="DE5">
        <f t="shared" ref="DE5" si="84">+YEAR(DE6)</f>
        <v>2032</v>
      </c>
      <c r="DF5">
        <f t="shared" ref="DF5" si="85">+YEAR(DF6)</f>
        <v>2032</v>
      </c>
      <c r="DG5">
        <f t="shared" ref="DG5:DH5" si="86">+YEAR(DG6)</f>
        <v>2032</v>
      </c>
      <c r="DH5">
        <f t="shared" si="86"/>
        <v>2032</v>
      </c>
      <c r="DI5">
        <f t="shared" ref="DI5" si="87">+YEAR(DI6)</f>
        <v>2032</v>
      </c>
      <c r="DJ5">
        <f t="shared" ref="DJ5" si="88">+YEAR(DJ6)</f>
        <v>2032</v>
      </c>
      <c r="DK5">
        <f t="shared" ref="DK5" si="89">+YEAR(DK6)</f>
        <v>2032</v>
      </c>
      <c r="DL5">
        <f t="shared" ref="DL5" si="90">+YEAR(DL6)</f>
        <v>2032</v>
      </c>
      <c r="DM5">
        <f t="shared" ref="DM5" si="91">+YEAR(DM6)</f>
        <v>2032</v>
      </c>
      <c r="DN5">
        <f t="shared" ref="DN5:DO5" si="92">+YEAR(DN6)</f>
        <v>2032</v>
      </c>
      <c r="DO5">
        <f t="shared" si="92"/>
        <v>2032</v>
      </c>
      <c r="DP5">
        <f t="shared" ref="DP5" si="93">+YEAR(DP6)</f>
        <v>2033</v>
      </c>
      <c r="DQ5">
        <f t="shared" ref="DQ5" si="94">+YEAR(DQ6)</f>
        <v>2033</v>
      </c>
      <c r="DR5">
        <f t="shared" ref="DR5" si="95">+YEAR(DR6)</f>
        <v>2033</v>
      </c>
      <c r="DS5">
        <f t="shared" ref="DS5" si="96">+YEAR(DS6)</f>
        <v>2033</v>
      </c>
      <c r="DT5">
        <f t="shared" ref="DT5" si="97">+YEAR(DT6)</f>
        <v>2033</v>
      </c>
      <c r="DU5">
        <f t="shared" ref="DU5:DV5" si="98">+YEAR(DU6)</f>
        <v>2033</v>
      </c>
      <c r="DV5">
        <f t="shared" si="98"/>
        <v>2033</v>
      </c>
      <c r="DW5">
        <f t="shared" ref="DW5" si="99">+YEAR(DW6)</f>
        <v>2033</v>
      </c>
      <c r="DX5">
        <f t="shared" ref="DX5" si="100">+YEAR(DX6)</f>
        <v>2033</v>
      </c>
      <c r="DY5">
        <f t="shared" ref="DY5" si="101">+YEAR(DY6)</f>
        <v>2033</v>
      </c>
      <c r="DZ5">
        <f t="shared" ref="DZ5" si="102">+YEAR(DZ6)</f>
        <v>2033</v>
      </c>
      <c r="EA5">
        <f t="shared" ref="EA5" si="103">+YEAR(EA6)</f>
        <v>2033</v>
      </c>
      <c r="EB5">
        <f t="shared" ref="EB5:EC5" si="104">+YEAR(EB6)</f>
        <v>2034</v>
      </c>
      <c r="EC5">
        <f t="shared" si="104"/>
        <v>2034</v>
      </c>
      <c r="ED5">
        <f t="shared" ref="ED5" si="105">+YEAR(ED6)</f>
        <v>2034</v>
      </c>
      <c r="EE5">
        <f t="shared" ref="EE5" si="106">+YEAR(EE6)</f>
        <v>2034</v>
      </c>
      <c r="EF5">
        <f t="shared" ref="EF5" si="107">+YEAR(EF6)</f>
        <v>2034</v>
      </c>
      <c r="EG5">
        <f t="shared" ref="EG5" si="108">+YEAR(EG6)</f>
        <v>2034</v>
      </c>
      <c r="EH5">
        <f t="shared" ref="EH5" si="109">+YEAR(EH6)</f>
        <v>2034</v>
      </c>
      <c r="EI5">
        <f t="shared" ref="EI5:EJ5" si="110">+YEAR(EI6)</f>
        <v>2034</v>
      </c>
      <c r="EJ5">
        <f t="shared" si="110"/>
        <v>2034</v>
      </c>
      <c r="EK5">
        <f t="shared" ref="EK5" si="111">+YEAR(EK6)</f>
        <v>2034</v>
      </c>
      <c r="EL5">
        <f t="shared" ref="EL5" si="112">+YEAR(EL6)</f>
        <v>2034</v>
      </c>
      <c r="EM5">
        <f t="shared" ref="EM5" si="113">+YEAR(EM6)</f>
        <v>2034</v>
      </c>
      <c r="EN5">
        <f t="shared" ref="EN5" si="114">+YEAR(EN6)</f>
        <v>2035</v>
      </c>
      <c r="EO5">
        <f t="shared" ref="EO5" si="115">+YEAR(EO6)</f>
        <v>2035</v>
      </c>
      <c r="EP5">
        <f t="shared" ref="EP5:EQ5" si="116">+YEAR(EP6)</f>
        <v>2035</v>
      </c>
      <c r="EQ5">
        <f t="shared" si="116"/>
        <v>2035</v>
      </c>
      <c r="ER5">
        <f t="shared" ref="ER5" si="117">+YEAR(ER6)</f>
        <v>2035</v>
      </c>
      <c r="ES5">
        <f t="shared" ref="ES5" si="118">+YEAR(ES6)</f>
        <v>2035</v>
      </c>
      <c r="ET5">
        <f t="shared" ref="ET5" si="119">+YEAR(ET6)</f>
        <v>2035</v>
      </c>
      <c r="EU5">
        <f t="shared" ref="EU5" si="120">+YEAR(EU6)</f>
        <v>2035</v>
      </c>
      <c r="EV5">
        <f t="shared" ref="EV5" si="121">+YEAR(EV6)</f>
        <v>2035</v>
      </c>
      <c r="EW5">
        <f t="shared" ref="EW5:EX5" si="122">+YEAR(EW6)</f>
        <v>2035</v>
      </c>
      <c r="EX5">
        <f t="shared" si="122"/>
        <v>2035</v>
      </c>
      <c r="EY5">
        <f t="shared" ref="EY5" si="123">+YEAR(EY6)</f>
        <v>2035</v>
      </c>
      <c r="EZ5">
        <f t="shared" ref="EZ5" si="124">+YEAR(EZ6)</f>
        <v>2036</v>
      </c>
      <c r="FA5">
        <f t="shared" ref="FA5" si="125">+YEAR(FA6)</f>
        <v>2036</v>
      </c>
      <c r="FB5">
        <f t="shared" ref="FB5" si="126">+YEAR(FB6)</f>
        <v>2036</v>
      </c>
      <c r="FC5">
        <f t="shared" ref="FC5" si="127">+YEAR(FC6)</f>
        <v>2036</v>
      </c>
      <c r="FD5">
        <f t="shared" ref="FD5:FE5" si="128">+YEAR(FD6)</f>
        <v>2036</v>
      </c>
      <c r="FE5">
        <f t="shared" si="128"/>
        <v>2036</v>
      </c>
      <c r="FF5">
        <f t="shared" ref="FF5" si="129">+YEAR(FF6)</f>
        <v>2036</v>
      </c>
      <c r="FG5">
        <f t="shared" ref="FG5" si="130">+YEAR(FG6)</f>
        <v>2036</v>
      </c>
      <c r="FH5">
        <f t="shared" ref="FH5" si="131">+YEAR(FH6)</f>
        <v>2036</v>
      </c>
      <c r="FI5">
        <f t="shared" ref="FI5" si="132">+YEAR(FI6)</f>
        <v>2036</v>
      </c>
      <c r="FJ5">
        <f t="shared" ref="FJ5" si="133">+YEAR(FJ6)</f>
        <v>2036</v>
      </c>
      <c r="FK5">
        <f t="shared" ref="FK5:FL5" si="134">+YEAR(FK6)</f>
        <v>2036</v>
      </c>
      <c r="FL5">
        <f t="shared" si="134"/>
        <v>2037</v>
      </c>
      <c r="FM5">
        <f t="shared" ref="FM5" si="135">+YEAR(FM6)</f>
        <v>2037</v>
      </c>
      <c r="FN5">
        <f t="shared" ref="FN5" si="136">+YEAR(FN6)</f>
        <v>2037</v>
      </c>
      <c r="FO5">
        <f t="shared" ref="FO5" si="137">+YEAR(FO6)</f>
        <v>2037</v>
      </c>
      <c r="FP5">
        <f t="shared" ref="FP5" si="138">+YEAR(FP6)</f>
        <v>2037</v>
      </c>
      <c r="FQ5">
        <f t="shared" ref="FQ5" si="139">+YEAR(FQ6)</f>
        <v>2037</v>
      </c>
      <c r="FR5">
        <f t="shared" ref="FR5:FS5" si="140">+YEAR(FR6)</f>
        <v>2037</v>
      </c>
      <c r="FS5">
        <f t="shared" si="140"/>
        <v>2037</v>
      </c>
      <c r="FT5">
        <f t="shared" ref="FT5" si="141">+YEAR(FT6)</f>
        <v>2037</v>
      </c>
      <c r="FU5">
        <f t="shared" ref="FU5" si="142">+YEAR(FU6)</f>
        <v>2037</v>
      </c>
      <c r="FV5">
        <f t="shared" ref="FV5" si="143">+YEAR(FV6)</f>
        <v>2037</v>
      </c>
      <c r="FW5">
        <f t="shared" ref="FW5" si="144">+YEAR(FW6)</f>
        <v>2037</v>
      </c>
      <c r="FX5">
        <f t="shared" ref="FX5" si="145">+YEAR(FX6)</f>
        <v>2038</v>
      </c>
      <c r="FY5">
        <f t="shared" ref="FY5:FZ5" si="146">+YEAR(FY6)</f>
        <v>2038</v>
      </c>
      <c r="FZ5">
        <f t="shared" si="146"/>
        <v>2038</v>
      </c>
      <c r="GA5">
        <f t="shared" ref="GA5" si="147">+YEAR(GA6)</f>
        <v>2038</v>
      </c>
      <c r="GB5">
        <f t="shared" ref="GB5" si="148">+YEAR(GB6)</f>
        <v>2038</v>
      </c>
      <c r="GC5">
        <f t="shared" ref="GC5" si="149">+YEAR(GC6)</f>
        <v>2038</v>
      </c>
      <c r="GD5">
        <f t="shared" ref="GD5" si="150">+YEAR(GD6)</f>
        <v>2038</v>
      </c>
      <c r="GE5">
        <f t="shared" ref="GE5" si="151">+YEAR(GE6)</f>
        <v>2038</v>
      </c>
      <c r="GF5">
        <f t="shared" ref="GF5:GG5" si="152">+YEAR(GF6)</f>
        <v>2038</v>
      </c>
      <c r="GG5">
        <f t="shared" si="152"/>
        <v>2038</v>
      </c>
      <c r="GH5">
        <f t="shared" ref="GH5" si="153">+YEAR(GH6)</f>
        <v>2038</v>
      </c>
      <c r="GI5">
        <f t="shared" ref="GI5" si="154">+YEAR(GI6)</f>
        <v>2038</v>
      </c>
      <c r="GJ5">
        <f t="shared" ref="GJ5" si="155">+YEAR(GJ6)</f>
        <v>2039</v>
      </c>
      <c r="GK5">
        <f t="shared" ref="GK5" si="156">+YEAR(GK6)</f>
        <v>2039</v>
      </c>
      <c r="GL5">
        <f t="shared" ref="GL5" si="157">+YEAR(GL6)</f>
        <v>2039</v>
      </c>
      <c r="GM5">
        <f t="shared" ref="GM5:GN5" si="158">+YEAR(GM6)</f>
        <v>2039</v>
      </c>
      <c r="GN5">
        <f t="shared" si="158"/>
        <v>2039</v>
      </c>
      <c r="GO5">
        <f t="shared" ref="GO5" si="159">+YEAR(GO6)</f>
        <v>2039</v>
      </c>
      <c r="GP5">
        <f t="shared" ref="GP5" si="160">+YEAR(GP6)</f>
        <v>2039</v>
      </c>
      <c r="GQ5">
        <f t="shared" ref="GQ5" si="161">+YEAR(GQ6)</f>
        <v>2039</v>
      </c>
      <c r="GR5">
        <f t="shared" ref="GR5" si="162">+YEAR(GR6)</f>
        <v>2039</v>
      </c>
      <c r="GS5">
        <f t="shared" ref="GS5" si="163">+YEAR(GS6)</f>
        <v>2039</v>
      </c>
      <c r="GT5">
        <f t="shared" ref="GT5:GU5" si="164">+YEAR(GT6)</f>
        <v>2039</v>
      </c>
      <c r="GU5">
        <f t="shared" si="164"/>
        <v>2039</v>
      </c>
      <c r="GV5">
        <f t="shared" ref="GV5" si="165">+YEAR(GV6)</f>
        <v>2040</v>
      </c>
      <c r="GW5">
        <f t="shared" ref="GW5" si="166">+YEAR(GW6)</f>
        <v>2040</v>
      </c>
      <c r="GX5">
        <f t="shared" ref="GX5" si="167">+YEAR(GX6)</f>
        <v>2040</v>
      </c>
      <c r="GY5">
        <f t="shared" ref="GY5" si="168">+YEAR(GY6)</f>
        <v>2040</v>
      </c>
      <c r="GZ5">
        <f t="shared" ref="GZ5" si="169">+YEAR(GZ6)</f>
        <v>2040</v>
      </c>
      <c r="HA5">
        <f t="shared" ref="HA5:HB5" si="170">+YEAR(HA6)</f>
        <v>2040</v>
      </c>
      <c r="HB5">
        <f t="shared" si="170"/>
        <v>2040</v>
      </c>
      <c r="HC5">
        <f t="shared" ref="HC5" si="171">+YEAR(HC6)</f>
        <v>2040</v>
      </c>
      <c r="HD5">
        <f t="shared" ref="HD5" si="172">+YEAR(HD6)</f>
        <v>2040</v>
      </c>
      <c r="HE5">
        <f t="shared" ref="HE5" si="173">+YEAR(HE6)</f>
        <v>2040</v>
      </c>
      <c r="HF5">
        <f t="shared" ref="HF5" si="174">+YEAR(HF6)</f>
        <v>2040</v>
      </c>
      <c r="HG5">
        <f t="shared" ref="HG5:JC5" si="175">+YEAR(HG6)</f>
        <v>2040</v>
      </c>
      <c r="HH5">
        <f t="shared" si="175"/>
        <v>2041</v>
      </c>
      <c r="HI5">
        <f t="shared" si="175"/>
        <v>2041</v>
      </c>
      <c r="HJ5">
        <f t="shared" si="175"/>
        <v>2041</v>
      </c>
      <c r="HK5">
        <f t="shared" si="175"/>
        <v>2041</v>
      </c>
      <c r="HL5">
        <f t="shared" si="175"/>
        <v>2041</v>
      </c>
      <c r="HM5">
        <f t="shared" si="175"/>
        <v>2041</v>
      </c>
      <c r="HN5">
        <f t="shared" si="175"/>
        <v>2041</v>
      </c>
      <c r="HO5">
        <f t="shared" si="175"/>
        <v>2041</v>
      </c>
      <c r="HP5">
        <f t="shared" si="175"/>
        <v>2041</v>
      </c>
      <c r="HQ5">
        <f t="shared" si="175"/>
        <v>2041</v>
      </c>
      <c r="HR5">
        <f t="shared" si="175"/>
        <v>2041</v>
      </c>
      <c r="HS5">
        <f t="shared" si="175"/>
        <v>2041</v>
      </c>
      <c r="HT5">
        <f t="shared" si="175"/>
        <v>2042</v>
      </c>
      <c r="HU5">
        <f t="shared" si="175"/>
        <v>2042</v>
      </c>
      <c r="HV5">
        <f t="shared" si="175"/>
        <v>2042</v>
      </c>
      <c r="HW5">
        <f t="shared" si="175"/>
        <v>2042</v>
      </c>
      <c r="HX5">
        <f t="shared" si="175"/>
        <v>2042</v>
      </c>
      <c r="HY5">
        <f t="shared" si="175"/>
        <v>2042</v>
      </c>
      <c r="HZ5">
        <f t="shared" si="175"/>
        <v>2042</v>
      </c>
      <c r="IA5">
        <f t="shared" si="175"/>
        <v>2042</v>
      </c>
      <c r="IB5">
        <f t="shared" si="175"/>
        <v>2042</v>
      </c>
      <c r="IC5">
        <f t="shared" si="175"/>
        <v>2042</v>
      </c>
      <c r="ID5">
        <f t="shared" si="175"/>
        <v>2042</v>
      </c>
      <c r="IE5">
        <f t="shared" si="175"/>
        <v>2042</v>
      </c>
      <c r="IF5">
        <f t="shared" si="175"/>
        <v>2043</v>
      </c>
      <c r="IG5">
        <f t="shared" si="175"/>
        <v>2043</v>
      </c>
      <c r="IH5">
        <f t="shared" si="175"/>
        <v>2043</v>
      </c>
      <c r="II5">
        <f t="shared" si="175"/>
        <v>2043</v>
      </c>
      <c r="IJ5">
        <f t="shared" si="175"/>
        <v>2043</v>
      </c>
      <c r="IK5">
        <f t="shared" si="175"/>
        <v>2043</v>
      </c>
      <c r="IL5">
        <f t="shared" si="175"/>
        <v>2043</v>
      </c>
      <c r="IM5">
        <f t="shared" si="175"/>
        <v>2043</v>
      </c>
      <c r="IN5">
        <f t="shared" si="175"/>
        <v>2043</v>
      </c>
      <c r="IO5">
        <f t="shared" si="175"/>
        <v>2043</v>
      </c>
      <c r="IP5">
        <f t="shared" si="175"/>
        <v>2043</v>
      </c>
      <c r="IQ5">
        <f t="shared" si="175"/>
        <v>2043</v>
      </c>
      <c r="IR5">
        <f t="shared" si="175"/>
        <v>2044</v>
      </c>
      <c r="IS5">
        <f t="shared" si="175"/>
        <v>2044</v>
      </c>
      <c r="IT5">
        <f t="shared" si="175"/>
        <v>2044</v>
      </c>
      <c r="IU5">
        <f t="shared" si="175"/>
        <v>2044</v>
      </c>
      <c r="IV5">
        <f t="shared" si="175"/>
        <v>2044</v>
      </c>
      <c r="IW5">
        <f t="shared" si="175"/>
        <v>2044</v>
      </c>
      <c r="IX5">
        <f t="shared" si="175"/>
        <v>2044</v>
      </c>
      <c r="IY5">
        <f t="shared" si="175"/>
        <v>2044</v>
      </c>
      <c r="IZ5">
        <f t="shared" si="175"/>
        <v>2044</v>
      </c>
      <c r="JA5">
        <f t="shared" si="175"/>
        <v>2044</v>
      </c>
      <c r="JB5">
        <f t="shared" si="175"/>
        <v>2044</v>
      </c>
      <c r="JC5">
        <f t="shared" si="175"/>
        <v>2044</v>
      </c>
    </row>
    <row r="6" spans="1:265" x14ac:dyDescent="0.3">
      <c r="B6" s="39"/>
      <c r="C6" s="39"/>
      <c r="D6" s="39"/>
      <c r="E6" s="39"/>
      <c r="F6" s="39"/>
      <c r="G6" s="39"/>
      <c r="H6" s="39"/>
      <c r="I6" s="39"/>
      <c r="J6" s="39"/>
      <c r="K6" s="39"/>
      <c r="L6" s="39">
        <v>45292</v>
      </c>
      <c r="M6" s="39">
        <v>45323</v>
      </c>
      <c r="N6" s="39">
        <v>45352</v>
      </c>
      <c r="O6" s="39">
        <v>45383</v>
      </c>
      <c r="P6" s="39">
        <v>45413</v>
      </c>
      <c r="Q6" s="39">
        <v>45444</v>
      </c>
      <c r="R6" s="39">
        <v>45474</v>
      </c>
      <c r="S6" s="39">
        <v>45505</v>
      </c>
      <c r="T6" s="39">
        <v>45536</v>
      </c>
      <c r="U6" s="39">
        <v>45566</v>
      </c>
      <c r="V6" s="39">
        <v>45597</v>
      </c>
      <c r="W6" s="39">
        <v>45627</v>
      </c>
      <c r="X6" s="39">
        <v>45658</v>
      </c>
      <c r="Y6" s="39">
        <v>45689</v>
      </c>
      <c r="Z6" s="39">
        <v>45717</v>
      </c>
      <c r="AA6" s="39">
        <v>45748</v>
      </c>
      <c r="AB6" s="39">
        <v>45778</v>
      </c>
      <c r="AC6" s="39">
        <v>45809</v>
      </c>
      <c r="AD6" s="39">
        <v>45839</v>
      </c>
      <c r="AE6" s="39">
        <v>45870</v>
      </c>
      <c r="AF6" s="39">
        <v>45901</v>
      </c>
      <c r="AG6" s="39">
        <v>45931</v>
      </c>
      <c r="AH6" s="39">
        <v>45962</v>
      </c>
      <c r="AI6" s="39">
        <v>45992</v>
      </c>
      <c r="AJ6" s="39">
        <v>46023</v>
      </c>
      <c r="AK6" s="39">
        <v>46054</v>
      </c>
      <c r="AL6" s="39">
        <v>46082</v>
      </c>
      <c r="AM6" s="39">
        <v>46113</v>
      </c>
      <c r="AN6" s="39">
        <v>46143</v>
      </c>
      <c r="AO6" s="39">
        <v>46174</v>
      </c>
      <c r="AP6" s="39">
        <v>46204</v>
      </c>
      <c r="AQ6" s="39">
        <v>46235</v>
      </c>
      <c r="AR6" s="39">
        <v>46266</v>
      </c>
      <c r="AS6" s="39">
        <v>46296</v>
      </c>
      <c r="AT6" s="39">
        <v>46327</v>
      </c>
      <c r="AU6" s="39">
        <v>46357</v>
      </c>
      <c r="AV6" s="39">
        <v>46388</v>
      </c>
      <c r="AW6" s="39">
        <v>46419</v>
      </c>
      <c r="AX6" s="39">
        <v>46447</v>
      </c>
      <c r="AY6" s="39">
        <v>46478</v>
      </c>
      <c r="AZ6" s="39">
        <v>46508</v>
      </c>
      <c r="BA6" s="39">
        <v>46539</v>
      </c>
      <c r="BB6" s="39">
        <v>46569</v>
      </c>
      <c r="BC6" s="39">
        <v>46600</v>
      </c>
      <c r="BD6" s="39">
        <v>46631</v>
      </c>
      <c r="BE6" s="39">
        <v>46661</v>
      </c>
      <c r="BF6" s="39">
        <v>46692</v>
      </c>
      <c r="BG6" s="39">
        <v>46722</v>
      </c>
      <c r="BH6" s="39">
        <v>46753</v>
      </c>
      <c r="BI6" s="39">
        <v>46784</v>
      </c>
      <c r="BJ6" s="39">
        <v>46813</v>
      </c>
      <c r="BK6" s="39">
        <v>46844</v>
      </c>
      <c r="BL6" s="39">
        <v>46874</v>
      </c>
      <c r="BM6" s="39">
        <v>46905</v>
      </c>
      <c r="BN6" s="39">
        <v>46935</v>
      </c>
      <c r="BO6" s="39">
        <v>46966</v>
      </c>
      <c r="BP6" s="39">
        <v>46997</v>
      </c>
      <c r="BQ6" s="39">
        <v>47027</v>
      </c>
      <c r="BR6" s="39">
        <v>47058</v>
      </c>
      <c r="BS6" s="39">
        <v>47088</v>
      </c>
      <c r="BT6" s="39">
        <v>47119</v>
      </c>
      <c r="BU6" s="39">
        <v>47150</v>
      </c>
      <c r="BV6" s="39">
        <v>47178</v>
      </c>
      <c r="BW6" s="39">
        <v>47209</v>
      </c>
      <c r="BX6" s="39">
        <v>47239</v>
      </c>
      <c r="BY6" s="39">
        <v>47270</v>
      </c>
      <c r="BZ6" s="39">
        <v>47300</v>
      </c>
      <c r="CA6" s="39">
        <v>47331</v>
      </c>
      <c r="CB6" s="39">
        <v>47362</v>
      </c>
      <c r="CC6" s="39">
        <v>47392</v>
      </c>
      <c r="CD6" s="39">
        <v>47423</v>
      </c>
      <c r="CE6" s="39">
        <v>47453</v>
      </c>
      <c r="CF6" s="39">
        <v>47484</v>
      </c>
      <c r="CG6" s="39">
        <v>47515</v>
      </c>
      <c r="CH6" s="39">
        <v>47543</v>
      </c>
      <c r="CI6" s="39">
        <v>47574</v>
      </c>
      <c r="CJ6" s="39">
        <v>47604</v>
      </c>
      <c r="CK6" s="39">
        <v>47635</v>
      </c>
      <c r="CL6" s="39">
        <v>47665</v>
      </c>
      <c r="CM6" s="39">
        <v>47696</v>
      </c>
      <c r="CN6" s="39">
        <v>47727</v>
      </c>
      <c r="CO6" s="39">
        <v>47757</v>
      </c>
      <c r="CP6" s="39">
        <v>47788</v>
      </c>
      <c r="CQ6" s="39">
        <v>47818</v>
      </c>
      <c r="CR6" s="39">
        <v>47849</v>
      </c>
      <c r="CS6" s="39">
        <v>47880</v>
      </c>
      <c r="CT6" s="39">
        <v>47908</v>
      </c>
      <c r="CU6" s="39">
        <v>47939</v>
      </c>
      <c r="CV6" s="39">
        <v>47969</v>
      </c>
      <c r="CW6" s="39">
        <v>48000</v>
      </c>
      <c r="CX6" s="39">
        <v>48030</v>
      </c>
      <c r="CY6" s="39">
        <v>48061</v>
      </c>
      <c r="CZ6" s="39">
        <v>48092</v>
      </c>
      <c r="DA6" s="39">
        <v>48122</v>
      </c>
      <c r="DB6" s="39">
        <v>48153</v>
      </c>
      <c r="DC6" s="39">
        <v>48183</v>
      </c>
      <c r="DD6" s="39">
        <v>48214</v>
      </c>
      <c r="DE6" s="39">
        <v>48245</v>
      </c>
      <c r="DF6" s="39">
        <v>48274</v>
      </c>
      <c r="DG6" s="39">
        <v>48305</v>
      </c>
      <c r="DH6" s="39">
        <v>48335</v>
      </c>
      <c r="DI6" s="39">
        <v>48366</v>
      </c>
      <c r="DJ6" s="39">
        <v>48396</v>
      </c>
      <c r="DK6" s="39">
        <v>48427</v>
      </c>
      <c r="DL6" s="39">
        <v>48458</v>
      </c>
      <c r="DM6" s="39">
        <v>48488</v>
      </c>
      <c r="DN6" s="39">
        <v>48519</v>
      </c>
      <c r="DO6" s="39">
        <v>48549</v>
      </c>
      <c r="DP6" s="39">
        <v>48580</v>
      </c>
      <c r="DQ6" s="39">
        <v>48611</v>
      </c>
      <c r="DR6" s="39">
        <v>48639</v>
      </c>
      <c r="DS6" s="39">
        <v>48670</v>
      </c>
      <c r="DT6" s="39">
        <v>48700</v>
      </c>
      <c r="DU6" s="39">
        <v>48731</v>
      </c>
      <c r="DV6" s="39">
        <v>48761</v>
      </c>
      <c r="DW6" s="39">
        <v>48792</v>
      </c>
      <c r="DX6" s="39">
        <v>48823</v>
      </c>
      <c r="DY6" s="39">
        <v>48853</v>
      </c>
      <c r="DZ6" s="39">
        <v>48884</v>
      </c>
      <c r="EA6" s="39">
        <v>48914</v>
      </c>
      <c r="EB6" s="39">
        <v>48945</v>
      </c>
      <c r="EC6" s="39">
        <v>48976</v>
      </c>
      <c r="ED6" s="39">
        <v>49004</v>
      </c>
      <c r="EE6" s="39">
        <v>49035</v>
      </c>
      <c r="EF6" s="39">
        <v>49065</v>
      </c>
      <c r="EG6" s="39">
        <v>49096</v>
      </c>
      <c r="EH6" s="39">
        <v>49126</v>
      </c>
      <c r="EI6" s="39">
        <v>49157</v>
      </c>
      <c r="EJ6" s="39">
        <v>49188</v>
      </c>
      <c r="EK6" s="39">
        <v>49218</v>
      </c>
      <c r="EL6" s="39">
        <v>49249</v>
      </c>
      <c r="EM6" s="39">
        <v>49279</v>
      </c>
      <c r="EN6" s="39">
        <v>49310</v>
      </c>
      <c r="EO6" s="39">
        <v>49341</v>
      </c>
      <c r="EP6" s="39">
        <v>49369</v>
      </c>
      <c r="EQ6" s="39">
        <v>49400</v>
      </c>
      <c r="ER6" s="39">
        <v>49430</v>
      </c>
      <c r="ES6" s="39">
        <v>49461</v>
      </c>
      <c r="ET6" s="39">
        <v>49491</v>
      </c>
      <c r="EU6" s="39">
        <v>49522</v>
      </c>
      <c r="EV6" s="39">
        <v>49553</v>
      </c>
      <c r="EW6" s="39">
        <v>49583</v>
      </c>
      <c r="EX6" s="39">
        <v>49614</v>
      </c>
      <c r="EY6" s="39">
        <v>49644</v>
      </c>
      <c r="EZ6" s="39">
        <v>49675</v>
      </c>
      <c r="FA6" s="39">
        <v>49706</v>
      </c>
      <c r="FB6" s="39">
        <v>49735</v>
      </c>
      <c r="FC6" s="39">
        <v>49766</v>
      </c>
      <c r="FD6" s="39">
        <v>49796</v>
      </c>
      <c r="FE6" s="39">
        <v>49827</v>
      </c>
      <c r="FF6" s="39">
        <v>49857</v>
      </c>
      <c r="FG6" s="39">
        <v>49888</v>
      </c>
      <c r="FH6" s="39">
        <v>49919</v>
      </c>
      <c r="FI6" s="39">
        <v>49949</v>
      </c>
      <c r="FJ6" s="39">
        <v>49980</v>
      </c>
      <c r="FK6" s="39">
        <v>50010</v>
      </c>
      <c r="FL6" s="39">
        <v>50041</v>
      </c>
      <c r="FM6" s="39">
        <v>50072</v>
      </c>
      <c r="FN6" s="39">
        <v>50100</v>
      </c>
      <c r="FO6" s="39">
        <v>50131</v>
      </c>
      <c r="FP6" s="39">
        <v>50161</v>
      </c>
      <c r="FQ6" s="39">
        <v>50192</v>
      </c>
      <c r="FR6" s="39">
        <v>50222</v>
      </c>
      <c r="FS6" s="39">
        <v>50253</v>
      </c>
      <c r="FT6" s="39">
        <v>50284</v>
      </c>
      <c r="FU6" s="39">
        <v>50314</v>
      </c>
      <c r="FV6" s="39">
        <v>50345</v>
      </c>
      <c r="FW6" s="39">
        <v>50375</v>
      </c>
      <c r="FX6" s="39">
        <v>50406</v>
      </c>
      <c r="FY6" s="39">
        <v>50437</v>
      </c>
      <c r="FZ6" s="39">
        <v>50465</v>
      </c>
      <c r="GA6" s="39">
        <v>50496</v>
      </c>
      <c r="GB6" s="39">
        <v>50526</v>
      </c>
      <c r="GC6" s="39">
        <v>50557</v>
      </c>
      <c r="GD6" s="39">
        <v>50587</v>
      </c>
      <c r="GE6" s="39">
        <v>50618</v>
      </c>
      <c r="GF6" s="39">
        <v>50649</v>
      </c>
      <c r="GG6" s="39">
        <v>50679</v>
      </c>
      <c r="GH6" s="39">
        <v>50710</v>
      </c>
      <c r="GI6" s="39">
        <v>50740</v>
      </c>
      <c r="GJ6" s="39">
        <v>50771</v>
      </c>
      <c r="GK6" s="39">
        <v>50802</v>
      </c>
      <c r="GL6" s="39">
        <v>50830</v>
      </c>
      <c r="GM6" s="39">
        <v>50861</v>
      </c>
      <c r="GN6" s="39">
        <v>50891</v>
      </c>
      <c r="GO6" s="39">
        <v>50922</v>
      </c>
      <c r="GP6" s="39">
        <v>50952</v>
      </c>
      <c r="GQ6" s="39">
        <v>50983</v>
      </c>
      <c r="GR6" s="39">
        <v>51014</v>
      </c>
      <c r="GS6" s="39">
        <v>51044</v>
      </c>
      <c r="GT6" s="39">
        <v>51075</v>
      </c>
      <c r="GU6" s="39">
        <v>51105</v>
      </c>
      <c r="GV6" s="39">
        <v>51136</v>
      </c>
      <c r="GW6" s="39">
        <v>51167</v>
      </c>
      <c r="GX6" s="39">
        <v>51196</v>
      </c>
      <c r="GY6" s="39">
        <v>51227</v>
      </c>
      <c r="GZ6" s="39">
        <v>51257</v>
      </c>
      <c r="HA6" s="39">
        <v>51288</v>
      </c>
      <c r="HB6" s="39">
        <v>51318</v>
      </c>
      <c r="HC6" s="39">
        <v>51349</v>
      </c>
      <c r="HD6" s="39">
        <v>51380</v>
      </c>
      <c r="HE6" s="39">
        <v>51410</v>
      </c>
      <c r="HF6" s="39">
        <v>51441</v>
      </c>
      <c r="HG6" s="39">
        <v>51471</v>
      </c>
      <c r="HH6" s="39">
        <v>51502</v>
      </c>
      <c r="HI6" s="39">
        <v>51533</v>
      </c>
      <c r="HJ6" s="39">
        <v>51561</v>
      </c>
      <c r="HK6" s="39">
        <v>51592</v>
      </c>
      <c r="HL6" s="39">
        <v>51622</v>
      </c>
      <c r="HM6" s="39">
        <v>51653</v>
      </c>
      <c r="HN6" s="39">
        <v>51683</v>
      </c>
      <c r="HO6" s="39">
        <v>51714</v>
      </c>
      <c r="HP6" s="39">
        <v>51745</v>
      </c>
      <c r="HQ6" s="39">
        <v>51775</v>
      </c>
      <c r="HR6" s="39">
        <v>51806</v>
      </c>
      <c r="HS6" s="39">
        <v>51836</v>
      </c>
      <c r="HT6" s="39">
        <v>51867</v>
      </c>
      <c r="HU6" s="39">
        <v>51898</v>
      </c>
      <c r="HV6" s="39">
        <v>51926</v>
      </c>
      <c r="HW6" s="39">
        <v>51957</v>
      </c>
      <c r="HX6" s="39">
        <v>51987</v>
      </c>
      <c r="HY6" s="39">
        <v>52018</v>
      </c>
      <c r="HZ6" s="39">
        <v>52048</v>
      </c>
      <c r="IA6" s="39">
        <v>52079</v>
      </c>
      <c r="IB6" s="39">
        <v>52110</v>
      </c>
      <c r="IC6" s="39">
        <v>52140</v>
      </c>
      <c r="ID6" s="39">
        <v>52171</v>
      </c>
      <c r="IE6" s="39">
        <v>52201</v>
      </c>
      <c r="IF6" s="39">
        <v>52232</v>
      </c>
      <c r="IG6" s="39">
        <v>52263</v>
      </c>
      <c r="IH6" s="39">
        <v>52291</v>
      </c>
      <c r="II6" s="39">
        <v>52322</v>
      </c>
      <c r="IJ6" s="39">
        <v>52352</v>
      </c>
      <c r="IK6" s="39">
        <v>52383</v>
      </c>
      <c r="IL6" s="39">
        <v>52413</v>
      </c>
      <c r="IM6" s="39">
        <v>52444</v>
      </c>
      <c r="IN6" s="39">
        <v>52475</v>
      </c>
      <c r="IO6" s="39">
        <v>52505</v>
      </c>
      <c r="IP6" s="39">
        <v>52536</v>
      </c>
      <c r="IQ6" s="39">
        <v>52566</v>
      </c>
      <c r="IR6" s="39">
        <v>52597</v>
      </c>
      <c r="IS6" s="39">
        <v>52628</v>
      </c>
      <c r="IT6" s="39">
        <v>52657</v>
      </c>
      <c r="IU6" s="39">
        <v>52688</v>
      </c>
      <c r="IV6" s="39">
        <v>52718</v>
      </c>
      <c r="IW6" s="39">
        <v>52749</v>
      </c>
      <c r="IX6" s="39">
        <v>52779</v>
      </c>
      <c r="IY6" s="39">
        <v>52810</v>
      </c>
      <c r="IZ6" s="39">
        <v>52841</v>
      </c>
      <c r="JA6" s="39">
        <v>52871</v>
      </c>
      <c r="JB6" s="39">
        <v>52902</v>
      </c>
      <c r="JC6" s="39">
        <v>52932</v>
      </c>
    </row>
    <row r="7" spans="1:265" x14ac:dyDescent="0.3">
      <c r="A7" t="s">
        <v>884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154">
        <v>972.47</v>
      </c>
      <c r="M7" s="154">
        <v>975.85</v>
      </c>
      <c r="N7" s="154">
        <v>1003.02</v>
      </c>
      <c r="O7" s="154">
        <v>945.96590000000003</v>
      </c>
      <c r="P7" s="154">
        <v>949.84</v>
      </c>
      <c r="Q7" s="154">
        <v>881.59</v>
      </c>
      <c r="R7" s="154">
        <v>859.24</v>
      </c>
      <c r="S7" s="154">
        <v>807.28</v>
      </c>
      <c r="T7" s="154">
        <v>855.04</v>
      </c>
      <c r="U7" s="154">
        <v>854.84</v>
      </c>
      <c r="V7" s="154">
        <v>907.23</v>
      </c>
      <c r="W7" s="154">
        <v>907.2</v>
      </c>
      <c r="X7" s="154">
        <v>907.22</v>
      </c>
      <c r="Y7" s="154">
        <v>943.46</v>
      </c>
      <c r="Z7" s="154">
        <v>943.5</v>
      </c>
      <c r="AA7" s="154">
        <v>943.46</v>
      </c>
      <c r="AB7" s="154">
        <v>943.46</v>
      </c>
      <c r="AC7" s="154">
        <v>938.16</v>
      </c>
      <c r="AD7" s="154">
        <v>885.71</v>
      </c>
      <c r="AE7" s="154">
        <v>885.7</v>
      </c>
      <c r="AF7" s="154">
        <v>795</v>
      </c>
      <c r="AG7" s="154">
        <v>795</v>
      </c>
      <c r="AH7" s="154">
        <v>795.93</v>
      </c>
      <c r="AI7" s="154">
        <v>795.93</v>
      </c>
      <c r="AJ7" s="154">
        <v>795.93</v>
      </c>
      <c r="AK7" s="154">
        <v>795.93</v>
      </c>
      <c r="AL7" s="30">
        <f t="shared" ref="AL7:AL8" si="176">+Z7*(1+$B$2)</f>
        <v>971.80500000000006</v>
      </c>
      <c r="AM7" s="30">
        <f t="shared" ref="AM7:AM8" si="177">+AA7*(1+$B$2)</f>
        <v>971.76380000000006</v>
      </c>
      <c r="AN7" s="30">
        <f t="shared" ref="AN7:AN8" si="178">+AB7*(1+$B$2)</f>
        <v>971.76380000000006</v>
      </c>
      <c r="AO7" s="30">
        <f t="shared" ref="AO7:AO8" si="179">+AC7*(1+$B$2)</f>
        <v>966.3048</v>
      </c>
      <c r="AP7" s="30">
        <f t="shared" ref="AP7:AP8" si="180">+AD7*(1+$B$2)</f>
        <v>912.2813000000001</v>
      </c>
      <c r="AQ7" s="30">
        <f t="shared" ref="AQ7:AQ8" si="181">+AE7*(1+$B$2)</f>
        <v>912.27100000000007</v>
      </c>
      <c r="AR7" s="30">
        <f t="shared" ref="AR7:AR8" si="182">+AF7*(1+$B$2)</f>
        <v>818.85</v>
      </c>
      <c r="AS7" s="30">
        <f t="shared" ref="AS7:AS8" si="183">+AG7*(1+$B$2)</f>
        <v>818.85</v>
      </c>
      <c r="AT7" s="30">
        <f t="shared" ref="AT7:AT8" si="184">+AH7*(1+$B$2)</f>
        <v>819.80790000000002</v>
      </c>
      <c r="AU7" s="30">
        <f t="shared" ref="AU7:AU8" si="185">+AI7*(1+$B$2)</f>
        <v>819.80790000000002</v>
      </c>
      <c r="AV7" s="30">
        <f>+AJ7*(1+$B$2)</f>
        <v>819.80790000000002</v>
      </c>
      <c r="AW7" s="30">
        <f t="shared" ref="AW7:AX8" si="186">+AK7*(1+$B$2)</f>
        <v>819.80790000000002</v>
      </c>
      <c r="AX7" s="30">
        <f t="shared" si="186"/>
        <v>1000.9591500000001</v>
      </c>
      <c r="AY7" s="30">
        <f t="shared" ref="AY7:AY8" si="187">+AM7*(1+$B$2)</f>
        <v>1000.9167140000001</v>
      </c>
      <c r="AZ7" s="30">
        <f t="shared" ref="AZ7:AZ8" si="188">+AN7*(1+$B$2)</f>
        <v>1000.9167140000001</v>
      </c>
      <c r="BA7" s="30">
        <f t="shared" ref="BA7:BA8" si="189">+AO7*(1+$B$2)</f>
        <v>995.29394400000001</v>
      </c>
      <c r="BB7" s="30">
        <f t="shared" ref="BB7:BB8" si="190">+AP7*(1+$B$2)</f>
        <v>939.64973900000018</v>
      </c>
      <c r="BC7" s="30">
        <f t="shared" ref="BC7:BC8" si="191">+AQ7*(1+$B$2)</f>
        <v>939.63913000000014</v>
      </c>
      <c r="BD7" s="30">
        <f t="shared" ref="BD7:BD8" si="192">+AR7*(1+$B$2)</f>
        <v>843.41550000000007</v>
      </c>
      <c r="BE7" s="30">
        <f t="shared" ref="BE7:BE8" si="193">+AS7*(1+$B$2)</f>
        <v>843.41550000000007</v>
      </c>
      <c r="BF7" s="30">
        <f t="shared" ref="BF7:BF8" si="194">+AT7*(1+$B$2)</f>
        <v>844.40213700000004</v>
      </c>
      <c r="BG7" s="30">
        <f t="shared" ref="BG7:BG8" si="195">+AU7*(1+$B$2)</f>
        <v>844.40213700000004</v>
      </c>
      <c r="BH7" s="30">
        <f>+AV7*(1+$B$2)</f>
        <v>844.40213700000004</v>
      </c>
      <c r="BI7" s="30">
        <f t="shared" ref="BI7:BI8" si="196">+AW7*(1+$B$2)</f>
        <v>844.40213700000004</v>
      </c>
      <c r="BJ7" s="30">
        <f t="shared" ref="BJ7:BK8" si="197">+AX7*(1+$B$2)</f>
        <v>1030.9879245000002</v>
      </c>
      <c r="BK7" s="30">
        <f t="shared" si="197"/>
        <v>1030.9442154200001</v>
      </c>
      <c r="BL7" s="30">
        <f t="shared" ref="BL7:BL8" si="198">+AZ7*(1+$B$2)</f>
        <v>1030.9442154200001</v>
      </c>
      <c r="BM7" s="30">
        <f t="shared" ref="BM7:BM8" si="199">+BA7*(1+$B$2)</f>
        <v>1025.15276232</v>
      </c>
      <c r="BN7" s="30">
        <f t="shared" ref="BN7:BN8" si="200">+BB7*(1+$B$2)</f>
        <v>967.83923117000018</v>
      </c>
      <c r="BO7" s="30">
        <f t="shared" ref="BO7:BO8" si="201">+BC7*(1+$B$2)</f>
        <v>967.82830390000015</v>
      </c>
      <c r="BP7" s="30">
        <f t="shared" ref="BP7:BP8" si="202">+BD7*(1+$B$2)</f>
        <v>868.71796500000005</v>
      </c>
      <c r="BQ7" s="30">
        <f t="shared" ref="BQ7:BQ8" si="203">+BE7*(1+$B$2)</f>
        <v>868.71796500000005</v>
      </c>
      <c r="BR7" s="30">
        <f t="shared" ref="BR7:BR8" si="204">+BF7*(1+$B$2)</f>
        <v>869.73420111000007</v>
      </c>
      <c r="BS7" s="30">
        <f t="shared" ref="BS7:BS8" si="205">+BG7*(1+$B$2)</f>
        <v>869.73420111000007</v>
      </c>
      <c r="BT7" s="30">
        <f>+BH7*(1+$B$2)</f>
        <v>869.73420111000007</v>
      </c>
      <c r="BU7" s="30">
        <f t="shared" ref="BU7:BU8" si="206">+BI7*(1+$B$2)</f>
        <v>869.73420111000007</v>
      </c>
      <c r="BV7" s="30">
        <f t="shared" ref="BV7:BV8" si="207">+BJ7*(1+$B$2)</f>
        <v>1061.9175622350003</v>
      </c>
      <c r="BW7" s="30">
        <f t="shared" ref="BW7:BX8" si="208">+BK7*(1+$B$2)</f>
        <v>1061.8725418826002</v>
      </c>
      <c r="BX7" s="30">
        <f t="shared" si="208"/>
        <v>1061.8725418826002</v>
      </c>
      <c r="BY7" s="30">
        <f t="shared" ref="BY7:BY8" si="209">+BM7*(1+$B$2)</f>
        <v>1055.9073451895999</v>
      </c>
      <c r="BZ7" s="30">
        <f t="shared" ref="BZ7:BZ8" si="210">+BN7*(1+$B$2)</f>
        <v>996.8744081051002</v>
      </c>
      <c r="CA7" s="30">
        <f t="shared" ref="CA7:CA8" si="211">+BO7*(1+$B$2)</f>
        <v>996.86315301700017</v>
      </c>
      <c r="CB7" s="30">
        <f t="shared" ref="CB7:CB8" si="212">+BP7*(1+$B$2)</f>
        <v>894.77950395000005</v>
      </c>
      <c r="CC7" s="30">
        <f t="shared" ref="CC7:CC8" si="213">+BQ7*(1+$B$2)</f>
        <v>894.77950395000005</v>
      </c>
      <c r="CD7" s="30">
        <f t="shared" ref="CD7:CD8" si="214">+BR7*(1+$B$2)</f>
        <v>895.82622714330012</v>
      </c>
      <c r="CE7" s="30">
        <f t="shared" ref="CE7:CE8" si="215">+BS7*(1+$B$2)</f>
        <v>895.82622714330012</v>
      </c>
      <c r="CF7" s="30">
        <f t="shared" ref="CF7:CF8" si="216">+BT7*(1+$B$2)</f>
        <v>895.82622714330012</v>
      </c>
      <c r="CG7" s="30">
        <f t="shared" ref="CG7:CG8" si="217">+BU7*(1+$B$2)</f>
        <v>895.82622714330012</v>
      </c>
      <c r="CH7" s="30">
        <f t="shared" ref="CH7:CH8" si="218">+BV7*(1+$B$2)</f>
        <v>1093.7750891020503</v>
      </c>
      <c r="CI7" s="30">
        <f t="shared" ref="CI7:CI8" si="219">+BW7*(1+$B$2)</f>
        <v>1093.7287181390782</v>
      </c>
      <c r="CJ7" s="30">
        <f t="shared" ref="CJ7:CK8" si="220">+BX7*(1+$B$2)</f>
        <v>1093.7287181390782</v>
      </c>
      <c r="CK7" s="30">
        <f t="shared" si="220"/>
        <v>1087.5845655452879</v>
      </c>
      <c r="CL7" s="30">
        <f t="shared" ref="CL7:CL8" si="221">+BZ7*(1+$B$2)</f>
        <v>1026.7806403482532</v>
      </c>
      <c r="CM7" s="30">
        <f t="shared" ref="CM7:CM8" si="222">+CA7*(1+$B$2)</f>
        <v>1026.7690476075102</v>
      </c>
      <c r="CN7" s="30">
        <f t="shared" ref="CN7:CN8" si="223">+CB7*(1+$B$2)</f>
        <v>921.62288906850006</v>
      </c>
      <c r="CO7" s="30">
        <f t="shared" ref="CO7:CO8" si="224">+CC7*(1+$B$2)</f>
        <v>921.62288906850006</v>
      </c>
      <c r="CP7" s="30">
        <f t="shared" ref="CP7:CP8" si="225">+CD7*(1+$B$2)</f>
        <v>922.70101395759912</v>
      </c>
      <c r="CQ7" s="30">
        <f t="shared" ref="CQ7:CQ8" si="226">+CE7*(1+$B$2)</f>
        <v>922.70101395759912</v>
      </c>
      <c r="CR7" s="30">
        <f t="shared" ref="CR7:CR8" si="227">+CF7*(1+$B$2)</f>
        <v>922.70101395759912</v>
      </c>
      <c r="CS7" s="30">
        <f t="shared" ref="CS7:CS8" si="228">+CG7*(1+$B$2)</f>
        <v>922.70101395759912</v>
      </c>
      <c r="CT7" s="30">
        <f t="shared" ref="CT7:CT8" si="229">+CH7*(1+$B$2)</f>
        <v>1126.5883417751118</v>
      </c>
      <c r="CU7" s="30">
        <f t="shared" ref="CU7:CU8" si="230">+CI7*(1+$B$2)</f>
        <v>1126.5405796832506</v>
      </c>
      <c r="CV7" s="30">
        <f t="shared" ref="CV7:CV8" si="231">+CJ7*(1+$B$2)</f>
        <v>1126.5405796832506</v>
      </c>
      <c r="CW7" s="30">
        <f t="shared" ref="CW7:CX8" si="232">+CK7*(1+$B$2)</f>
        <v>1120.2121025116467</v>
      </c>
      <c r="CX7" s="30">
        <f t="shared" si="232"/>
        <v>1057.5840595587008</v>
      </c>
      <c r="CY7" s="30">
        <f t="shared" ref="CY7:CY8" si="233">+CM7*(1+$B$2)</f>
        <v>1057.5721190357356</v>
      </c>
      <c r="CZ7" s="30">
        <f t="shared" ref="CZ7:CZ8" si="234">+CN7*(1+$B$2)</f>
        <v>949.27157574055514</v>
      </c>
      <c r="DA7" s="30">
        <f t="shared" ref="DA7:DA8" si="235">+CO7*(1+$B$2)</f>
        <v>949.27157574055514</v>
      </c>
      <c r="DB7" s="30">
        <f t="shared" ref="DB7:DB8" si="236">+CP7*(1+$B$2)</f>
        <v>950.38204437632714</v>
      </c>
      <c r="DC7" s="30">
        <f t="shared" ref="DC7:DC8" si="237">+CQ7*(1+$B$2)</f>
        <v>950.38204437632714</v>
      </c>
      <c r="DD7" s="30">
        <f>+CR7*(1+$B$2)</f>
        <v>950.38204437632714</v>
      </c>
      <c r="DE7" s="30">
        <f t="shared" ref="DE7:DE8" si="238">+CS7*(1+$B$2)</f>
        <v>950.38204437632714</v>
      </c>
      <c r="DF7" s="30">
        <f t="shared" ref="DF7:DF8" si="239">+CT7*(1+$B$2)</f>
        <v>1160.3859920283651</v>
      </c>
      <c r="DG7" s="30">
        <f t="shared" ref="DG7:DG8" si="240">+CU7*(1+$B$2)</f>
        <v>1160.3367970737481</v>
      </c>
      <c r="DH7" s="30">
        <f t="shared" ref="DH7:DH8" si="241">+CV7*(1+$B$2)</f>
        <v>1160.3367970737481</v>
      </c>
      <c r="DI7" s="30">
        <f t="shared" ref="DI7:DI8" si="242">+CW7*(1+$B$2)</f>
        <v>1153.8184655869961</v>
      </c>
      <c r="DJ7" s="30">
        <f t="shared" ref="DJ7:DK8" si="243">+CX7*(1+$B$2)</f>
        <v>1089.3115813454619</v>
      </c>
      <c r="DK7" s="30">
        <f t="shared" si="243"/>
        <v>1089.2992826068078</v>
      </c>
      <c r="DL7" s="30">
        <f t="shared" ref="DL7:DL8" si="244">+CZ7*(1+$B$2)</f>
        <v>977.74972301277182</v>
      </c>
      <c r="DM7" s="30">
        <f t="shared" ref="DM7:DM8" si="245">+DA7*(1+$B$2)</f>
        <v>977.74972301277182</v>
      </c>
      <c r="DN7" s="30">
        <f t="shared" ref="DN7:DN8" si="246">+DB7*(1+$B$2)</f>
        <v>978.89350570761701</v>
      </c>
      <c r="DO7" s="30">
        <f t="shared" ref="DO7:DO8" si="247">+DC7*(1+$B$2)</f>
        <v>978.89350570761701</v>
      </c>
      <c r="DP7" s="30">
        <f t="shared" ref="DP7:DP8" si="248">+DD7*(1+$B$2)</f>
        <v>978.89350570761701</v>
      </c>
      <c r="DQ7" s="30">
        <f t="shared" ref="DQ7:DQ8" si="249">+DE7*(1+$B$2)</f>
        <v>978.89350570761701</v>
      </c>
      <c r="DR7" s="30">
        <f t="shared" ref="DR7:DR8" si="250">+DF7*(1+$B$2)</f>
        <v>1195.197571789216</v>
      </c>
      <c r="DS7" s="30">
        <f t="shared" ref="DS7:DS8" si="251">+DG7*(1+$B$2)</f>
        <v>1195.1469009859607</v>
      </c>
      <c r="DT7" s="30">
        <f t="shared" ref="DT7:DT8" si="252">+DH7*(1+$B$2)</f>
        <v>1195.1469009859607</v>
      </c>
      <c r="DU7" s="30">
        <f t="shared" ref="DU7:DU8" si="253">+DI7*(1+$B$2)</f>
        <v>1188.4330195546061</v>
      </c>
      <c r="DV7" s="30">
        <f t="shared" ref="DV7:DV8" si="254">+DJ7*(1+$B$2)</f>
        <v>1121.9909287858259</v>
      </c>
      <c r="DW7" s="30">
        <f t="shared" ref="DW7:DX8" si="255">+DK7*(1+$B$2)</f>
        <v>1121.978261085012</v>
      </c>
      <c r="DX7" s="30">
        <f t="shared" si="255"/>
        <v>1007.082214703155</v>
      </c>
      <c r="DY7" s="30">
        <f t="shared" ref="DY7:DY8" si="256">+DM7*(1+$B$2)</f>
        <v>1007.082214703155</v>
      </c>
      <c r="DZ7" s="30">
        <f t="shared" ref="DZ7:DZ8" si="257">+DN7*(1+$B$2)</f>
        <v>1008.2603108788455</v>
      </c>
      <c r="EA7" s="30">
        <f t="shared" ref="EA7:EA8" si="258">+DO7*(1+$B$2)</f>
        <v>1008.2603108788455</v>
      </c>
      <c r="EB7" s="30">
        <f>+DP7*(1+$B$2)</f>
        <v>1008.2603108788455</v>
      </c>
      <c r="EC7" s="30">
        <f t="shared" ref="EC7:EC8" si="259">+DQ7*(1+$B$2)</f>
        <v>1008.2603108788455</v>
      </c>
      <c r="ED7" s="30">
        <f t="shared" ref="ED7:ED8" si="260">+DR7*(1+$B$2)</f>
        <v>1231.0534989428925</v>
      </c>
      <c r="EE7" s="30">
        <f t="shared" ref="EE7:EE8" si="261">+DS7*(1+$B$2)</f>
        <v>1231.0013080155395</v>
      </c>
      <c r="EF7" s="30">
        <f t="shared" ref="EF7:EF8" si="262">+DT7*(1+$B$2)</f>
        <v>1231.0013080155395</v>
      </c>
      <c r="EG7" s="30">
        <f t="shared" ref="EG7:EG8" si="263">+DU7*(1+$B$2)</f>
        <v>1224.0860101412443</v>
      </c>
      <c r="EH7" s="30">
        <f t="shared" ref="EH7:EH8" si="264">+DV7*(1+$B$2)</f>
        <v>1155.6506566494006</v>
      </c>
      <c r="EI7" s="30">
        <f t="shared" ref="EI7:EI8" si="265">+DW7*(1+$B$2)</f>
        <v>1155.6376089175624</v>
      </c>
      <c r="EJ7" s="30">
        <f t="shared" ref="EJ7:EK8" si="266">+DX7*(1+$B$2)</f>
        <v>1037.2946811442498</v>
      </c>
      <c r="EK7" s="30">
        <f t="shared" si="266"/>
        <v>1037.2946811442498</v>
      </c>
      <c r="EL7" s="30">
        <f t="shared" ref="EL7:EL8" si="267">+DZ7*(1+$B$2)</f>
        <v>1038.5081202052108</v>
      </c>
      <c r="EM7" s="30">
        <f t="shared" ref="EM7:EM8" si="268">+EA7*(1+$B$2)</f>
        <v>1038.5081202052108</v>
      </c>
      <c r="EN7" s="30">
        <f t="shared" ref="EN7:EN8" si="269">+EB7*(1+$B$2)</f>
        <v>1038.5081202052108</v>
      </c>
      <c r="EO7" s="30">
        <f t="shared" ref="EO7:EO8" si="270">+EC7*(1+$B$2)</f>
        <v>1038.5081202052108</v>
      </c>
      <c r="EP7" s="30">
        <f t="shared" ref="EP7:EP8" si="271">+ED7*(1+$B$2)</f>
        <v>1267.9851039111793</v>
      </c>
      <c r="EQ7" s="30">
        <f t="shared" ref="EQ7:EQ8" si="272">+EE7*(1+$B$2)</f>
        <v>1267.9313472560057</v>
      </c>
      <c r="ER7" s="30">
        <f t="shared" ref="ER7:ER8" si="273">+EF7*(1+$B$2)</f>
        <v>1267.9313472560057</v>
      </c>
      <c r="ES7" s="30">
        <f t="shared" ref="ES7:ES8" si="274">+EG7*(1+$B$2)</f>
        <v>1260.8085904454817</v>
      </c>
      <c r="ET7" s="30">
        <f t="shared" ref="ET7:ET8" si="275">+EH7*(1+$B$2)</f>
        <v>1190.3201763488826</v>
      </c>
      <c r="EU7" s="30">
        <f t="shared" ref="EU7:EU8" si="276">+EI7*(1+$B$2)</f>
        <v>1190.3067371850893</v>
      </c>
      <c r="EV7" s="30">
        <f t="shared" ref="EV7:EV8" si="277">+EJ7*(1+$B$2)</f>
        <v>1068.4135215785773</v>
      </c>
      <c r="EW7" s="30">
        <f t="shared" ref="EW7:EX8" si="278">+EK7*(1+$B$2)</f>
        <v>1068.4135215785773</v>
      </c>
      <c r="EX7" s="30">
        <f t="shared" si="278"/>
        <v>1069.6633638113672</v>
      </c>
      <c r="EY7" s="30">
        <f t="shared" ref="EY7:EY8" si="279">+EM7*(1+$B$2)</f>
        <v>1069.6633638113672</v>
      </c>
      <c r="EZ7" s="30">
        <f t="shared" ref="EZ7:EZ8" si="280">+EN7*(1+$B$2)</f>
        <v>1069.6633638113672</v>
      </c>
      <c r="FA7" s="30">
        <f t="shared" ref="FA7:FA8" si="281">+EO7*(1+$B$2)</f>
        <v>1069.6633638113672</v>
      </c>
      <c r="FB7" s="30">
        <f t="shared" ref="FB7:FB8" si="282">+EP7*(1+$B$2)</f>
        <v>1306.0246570285146</v>
      </c>
      <c r="FC7" s="30">
        <f t="shared" ref="FC7:FC8" si="283">+EQ7*(1+$B$2)</f>
        <v>1305.9692876736858</v>
      </c>
      <c r="FD7" s="30">
        <f t="shared" ref="FD7:FD8" si="284">+ER7*(1+$B$2)</f>
        <v>1305.9692876736858</v>
      </c>
      <c r="FE7" s="30">
        <f t="shared" ref="FE7:FE8" si="285">+ES7*(1+$B$2)</f>
        <v>1298.6328481588462</v>
      </c>
      <c r="FF7" s="30">
        <f t="shared" ref="FF7:FF8" si="286">+ET7*(1+$B$2)</f>
        <v>1226.029781639349</v>
      </c>
      <c r="FG7" s="30">
        <f t="shared" ref="FG7:FG8" si="287">+EU7*(1+$B$2)</f>
        <v>1226.015939300642</v>
      </c>
      <c r="FH7" s="30">
        <f t="shared" ref="FH7:FH8" si="288">+EV7*(1+$B$2)</f>
        <v>1100.4659272259346</v>
      </c>
      <c r="FI7" s="30">
        <f t="shared" ref="FI7:FI8" si="289">+EW7*(1+$B$2)</f>
        <v>1100.4659272259346</v>
      </c>
      <c r="FJ7" s="30">
        <f t="shared" ref="FJ7:FK8" si="290">+EX7*(1+$B$2)</f>
        <v>1101.7532647257083</v>
      </c>
      <c r="FK7" s="30">
        <f t="shared" si="290"/>
        <v>1101.7532647257083</v>
      </c>
      <c r="FL7" s="30">
        <f t="shared" ref="FL7:FL8" si="291">+EZ7*(1+$B$2)</f>
        <v>1101.7532647257083</v>
      </c>
      <c r="FM7" s="30">
        <f t="shared" ref="FM7:FM8" si="292">+FA7*(1+$B$2)</f>
        <v>1101.7532647257083</v>
      </c>
      <c r="FN7" s="30">
        <f t="shared" ref="FN7:FN8" si="293">+FB7*(1+$B$2)</f>
        <v>1345.2053967393701</v>
      </c>
      <c r="FO7" s="30">
        <f t="shared" ref="FO7:FO8" si="294">+FC7*(1+$B$2)</f>
        <v>1345.1483663038964</v>
      </c>
      <c r="FP7" s="30">
        <f t="shared" ref="FP7:FP8" si="295">+FD7*(1+$B$2)</f>
        <v>1345.1483663038964</v>
      </c>
      <c r="FQ7" s="30">
        <f t="shared" ref="FQ7:FQ8" si="296">+FE7*(1+$B$2)</f>
        <v>1337.5918336036116</v>
      </c>
      <c r="FR7" s="30">
        <f t="shared" ref="FR7:FR8" si="297">+FF7*(1+$B$2)</f>
        <v>1262.8106750885295</v>
      </c>
      <c r="FS7" s="30">
        <f t="shared" ref="FS7:FS8" si="298">+FG7*(1+$B$2)</f>
        <v>1262.7964174796614</v>
      </c>
      <c r="FT7" s="30">
        <f t="shared" ref="FT7:FT8" si="299">+FH7*(1+$B$2)</f>
        <v>1133.4799050427127</v>
      </c>
      <c r="FU7" s="30">
        <f t="shared" ref="FU7:FU8" si="300">+FI7*(1+$B$2)</f>
        <v>1133.4799050427127</v>
      </c>
      <c r="FV7" s="30">
        <f t="shared" ref="FV7:FV8" si="301">+FJ7*(1+$B$2)</f>
        <v>1134.8058626674795</v>
      </c>
      <c r="FW7" s="30">
        <f t="shared" ref="FW7:FX8" si="302">+FK7*(1+$B$2)</f>
        <v>1134.8058626674795</v>
      </c>
      <c r="FX7" s="30">
        <f t="shared" si="302"/>
        <v>1134.8058626674795</v>
      </c>
      <c r="FY7" s="30">
        <f t="shared" ref="FY7:FY8" si="303">+FM7*(1+$B$2)</f>
        <v>1134.8058626674795</v>
      </c>
      <c r="FZ7" s="30">
        <f t="shared" ref="FZ7:FZ8" si="304">+FN7*(1+$B$2)</f>
        <v>1385.5615586415513</v>
      </c>
      <c r="GA7" s="30">
        <f t="shared" ref="GA7:GA8" si="305">+FO7*(1+$B$2)</f>
        <v>1385.5028172930133</v>
      </c>
      <c r="GB7" s="30">
        <f t="shared" ref="GB7:GB8" si="306">+FP7*(1+$B$2)</f>
        <v>1385.5028172930133</v>
      </c>
      <c r="GC7" s="30">
        <f t="shared" ref="GC7:GC8" si="307">+FQ7*(1+$B$2)</f>
        <v>1377.7195886117199</v>
      </c>
      <c r="GD7" s="30">
        <f t="shared" ref="GD7:GD8" si="308">+FR7*(1+$B$2)</f>
        <v>1300.6949953411854</v>
      </c>
      <c r="GE7" s="30">
        <f t="shared" ref="GE7:GE8" si="309">+FS7*(1+$B$2)</f>
        <v>1300.6803100040513</v>
      </c>
      <c r="GF7" s="30">
        <f t="shared" ref="GF7:GF8" si="310">+FT7*(1+$B$2)</f>
        <v>1167.4843021939942</v>
      </c>
      <c r="GG7" s="30">
        <f t="shared" ref="GG7:GG8" si="311">+FU7*(1+$B$2)</f>
        <v>1167.4843021939942</v>
      </c>
      <c r="GH7" s="30">
        <f t="shared" ref="GH7:GH8" si="312">+FV7*(1+$B$2)</f>
        <v>1168.8500385475038</v>
      </c>
      <c r="GI7" s="30">
        <f t="shared" ref="GI7:GI8" si="313">+FW7*(1+$B$2)</f>
        <v>1168.8500385475038</v>
      </c>
      <c r="GJ7" s="30">
        <f t="shared" ref="GJ7:GK8" si="314">+FX7*(1+$B$2)</f>
        <v>1168.8500385475038</v>
      </c>
      <c r="GK7" s="30">
        <f t="shared" si="314"/>
        <v>1168.8500385475038</v>
      </c>
      <c r="GL7" s="30">
        <f t="shared" ref="GL7:GL8" si="315">+FZ7*(1+$B$2)</f>
        <v>1427.1284054007979</v>
      </c>
      <c r="GM7" s="30">
        <f t="shared" ref="GM7:GM8" si="316">+GA7*(1+$B$2)</f>
        <v>1427.0679018118037</v>
      </c>
      <c r="GN7" s="30">
        <f t="shared" ref="GN7:GN8" si="317">+GB7*(1+$B$2)</f>
        <v>1427.0679018118037</v>
      </c>
      <c r="GO7" s="30">
        <f t="shared" ref="GO7:GO8" si="318">+GC7*(1+$B$2)</f>
        <v>1419.0511762700717</v>
      </c>
      <c r="GP7" s="30">
        <f t="shared" ref="GP7:GP8" si="319">+GD7*(1+$B$2)</f>
        <v>1339.715845201421</v>
      </c>
      <c r="GQ7" s="30">
        <f t="shared" ref="GQ7:GQ8" si="320">+GE7*(1+$B$2)</f>
        <v>1339.7007193041729</v>
      </c>
      <c r="GR7" s="30">
        <f t="shared" ref="GR7:GR8" si="321">+GF7*(1+$B$2)</f>
        <v>1202.5088312598141</v>
      </c>
      <c r="GS7" s="30">
        <f>+GG7*(1+$B$2)</f>
        <v>1202.5088312598141</v>
      </c>
      <c r="GT7" s="30">
        <f t="shared" ref="GT7:GT8" si="322">+GH7*(1+$B$2)</f>
        <v>1203.915539703929</v>
      </c>
      <c r="GU7" s="30">
        <f t="shared" ref="GU7:GU8" si="323">+GI7*(1+$B$2)</f>
        <v>1203.915539703929</v>
      </c>
      <c r="GV7" s="30">
        <f t="shared" ref="GV7:GV8" si="324">+GJ7*(1+$B$2)</f>
        <v>1203.915539703929</v>
      </c>
      <c r="GW7" s="30">
        <f t="shared" ref="GW7:GX8" si="325">+GK7*(1+$B$2)</f>
        <v>1203.915539703929</v>
      </c>
      <c r="GX7" s="30">
        <f>+GL7*(1+$B$2)</f>
        <v>1469.9422575628219</v>
      </c>
      <c r="GY7" s="30">
        <f t="shared" ref="GY7:GY8" si="326">+GM7*(1+$B$2)</f>
        <v>1469.8799388661578</v>
      </c>
      <c r="GZ7" s="30">
        <f>+GN7*(1+$B$2)</f>
        <v>1469.8799388661578</v>
      </c>
      <c r="HA7" s="30">
        <f>+GO7*(1+$B$2)</f>
        <v>1461.6227115581739</v>
      </c>
      <c r="HB7" s="30">
        <f t="shared" ref="HB7:HB8" si="327">+GP7*(1+$B$2)</f>
        <v>1379.9073205574637</v>
      </c>
      <c r="HC7" s="30">
        <f t="shared" ref="HC7:HC8" si="328">+GQ7*(1+$B$2)</f>
        <v>1379.8917408832981</v>
      </c>
      <c r="HD7" s="30">
        <f t="shared" ref="HD7:HD8" si="329">+GR7*(1+$B$2)</f>
        <v>1238.5840961976085</v>
      </c>
      <c r="HE7" s="30">
        <f t="shared" ref="HE7:HE8" si="330">+GS7*(1+$B$2)</f>
        <v>1238.5840961976085</v>
      </c>
      <c r="HF7" s="30">
        <f t="shared" ref="HF7:HF8" si="331">+GT7*(1+$B$2)</f>
        <v>1240.0330058950469</v>
      </c>
      <c r="HG7" s="30">
        <f t="shared" ref="HG7:HG8" si="332">+GU7*(1+$B$2)</f>
        <v>1240.0330058950469</v>
      </c>
      <c r="HH7" s="30">
        <f>+GV7*(1+$B$2)</f>
        <v>1240.0330058950469</v>
      </c>
      <c r="HI7" s="30">
        <f>+GW7*(1+$B$2)</f>
        <v>1240.0330058950469</v>
      </c>
      <c r="HJ7" s="30">
        <f>+GX7*(1+$B$2)</f>
        <v>1514.0405252897065</v>
      </c>
      <c r="HK7" s="30">
        <f t="shared" ref="HK7:JC8" si="333">+GY7*(1+$B$2)</f>
        <v>1513.9763370321425</v>
      </c>
      <c r="HL7" s="30">
        <f t="shared" si="333"/>
        <v>1513.9763370321425</v>
      </c>
      <c r="HM7" s="30">
        <f t="shared" si="333"/>
        <v>1505.4713929049192</v>
      </c>
      <c r="HN7" s="30">
        <f t="shared" si="333"/>
        <v>1421.3045401741877</v>
      </c>
      <c r="HO7" s="30">
        <f t="shared" si="333"/>
        <v>1421.2884931097972</v>
      </c>
      <c r="HP7" s="30">
        <f t="shared" si="333"/>
        <v>1275.7416190835368</v>
      </c>
      <c r="HQ7" s="30">
        <f t="shared" si="333"/>
        <v>1275.7416190835368</v>
      </c>
      <c r="HR7" s="30">
        <f t="shared" si="333"/>
        <v>1277.2339960718984</v>
      </c>
      <c r="HS7" s="30">
        <f t="shared" si="333"/>
        <v>1277.2339960718984</v>
      </c>
      <c r="HT7" s="30">
        <f t="shared" si="333"/>
        <v>1277.2339960718984</v>
      </c>
      <c r="HU7" s="30">
        <f t="shared" si="333"/>
        <v>1277.2339960718984</v>
      </c>
      <c r="HV7" s="30">
        <f t="shared" si="333"/>
        <v>1559.4617410483977</v>
      </c>
      <c r="HW7" s="30">
        <f t="shared" si="333"/>
        <v>1559.3956271431068</v>
      </c>
      <c r="HX7" s="30">
        <f t="shared" si="333"/>
        <v>1559.3956271431068</v>
      </c>
      <c r="HY7" s="30">
        <f t="shared" si="333"/>
        <v>1550.6355346920668</v>
      </c>
      <c r="HZ7" s="30">
        <f t="shared" si="333"/>
        <v>1463.9436763794133</v>
      </c>
      <c r="IA7" s="30">
        <f t="shared" si="333"/>
        <v>1463.9271479030911</v>
      </c>
      <c r="IB7" s="30">
        <f t="shared" si="333"/>
        <v>1314.013867656043</v>
      </c>
      <c r="IC7" s="30">
        <f t="shared" si="333"/>
        <v>1314.013867656043</v>
      </c>
      <c r="ID7" s="30">
        <f t="shared" si="333"/>
        <v>1315.5510159540554</v>
      </c>
      <c r="IE7" s="30">
        <f t="shared" si="333"/>
        <v>1315.5510159540554</v>
      </c>
      <c r="IF7" s="30">
        <f t="shared" si="333"/>
        <v>1315.5510159540554</v>
      </c>
      <c r="IG7" s="30">
        <f t="shared" si="333"/>
        <v>1315.5510159540554</v>
      </c>
      <c r="IH7" s="30">
        <f t="shared" si="333"/>
        <v>1606.2455932798496</v>
      </c>
      <c r="II7" s="30">
        <f t="shared" si="333"/>
        <v>1606.1774959574</v>
      </c>
      <c r="IJ7" s="30">
        <f t="shared" si="333"/>
        <v>1606.1774959574</v>
      </c>
      <c r="IK7" s="30">
        <f t="shared" si="333"/>
        <v>1597.1546007328288</v>
      </c>
      <c r="IL7" s="30">
        <f t="shared" si="333"/>
        <v>1507.8619866707957</v>
      </c>
      <c r="IM7" s="30">
        <f t="shared" si="333"/>
        <v>1507.8449623401839</v>
      </c>
      <c r="IN7" s="30">
        <f t="shared" si="333"/>
        <v>1353.4342836857243</v>
      </c>
      <c r="IO7" s="30">
        <f t="shared" si="333"/>
        <v>1353.4342836857243</v>
      </c>
      <c r="IP7" s="30">
        <f t="shared" si="333"/>
        <v>1355.0175464326771</v>
      </c>
      <c r="IQ7" s="30">
        <f t="shared" si="333"/>
        <v>1355.0175464326771</v>
      </c>
      <c r="IR7" s="30">
        <f>+IF7*(1+$B$2)</f>
        <v>1355.0175464326771</v>
      </c>
      <c r="IS7" s="30">
        <f t="shared" si="333"/>
        <v>1355.0175464326771</v>
      </c>
      <c r="IT7" s="30">
        <f t="shared" si="333"/>
        <v>1654.4329610782452</v>
      </c>
      <c r="IU7" s="30">
        <f t="shared" si="333"/>
        <v>1654.362820836122</v>
      </c>
      <c r="IV7" s="30">
        <f t="shared" si="333"/>
        <v>1654.362820836122</v>
      </c>
      <c r="IW7" s="30">
        <f t="shared" si="333"/>
        <v>1645.0692387548138</v>
      </c>
      <c r="IX7" s="30">
        <f t="shared" si="333"/>
        <v>1553.0978462709195</v>
      </c>
      <c r="IY7" s="30">
        <f t="shared" si="333"/>
        <v>1553.0803112103895</v>
      </c>
      <c r="IZ7" s="30">
        <f t="shared" si="333"/>
        <v>1394.0373121962959</v>
      </c>
      <c r="JA7" s="30">
        <f t="shared" si="333"/>
        <v>1394.0373121962959</v>
      </c>
      <c r="JB7" s="30">
        <f t="shared" si="333"/>
        <v>1395.6680728256574</v>
      </c>
      <c r="JC7" s="30">
        <f t="shared" si="333"/>
        <v>1395.6680728256574</v>
      </c>
    </row>
    <row r="8" spans="1:265" x14ac:dyDescent="0.3">
      <c r="A8" t="s">
        <v>885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54">
        <v>137.38</v>
      </c>
      <c r="M8" s="154">
        <v>136.72</v>
      </c>
      <c r="N8" s="154">
        <v>145.76</v>
      </c>
      <c r="O8" s="154">
        <v>147.0412</v>
      </c>
      <c r="P8" s="154">
        <v>139.18</v>
      </c>
      <c r="Q8" s="154">
        <v>135.94999999999999</v>
      </c>
      <c r="R8" s="154">
        <v>128.91</v>
      </c>
      <c r="S8" s="154">
        <v>125.95</v>
      </c>
      <c r="T8" s="154">
        <v>128.91999999999999</v>
      </c>
      <c r="U8" s="154">
        <v>135.29</v>
      </c>
      <c r="V8" s="154">
        <v>139</v>
      </c>
      <c r="W8" s="154">
        <v>147.13</v>
      </c>
      <c r="X8" s="154">
        <v>154.19999999999999</v>
      </c>
      <c r="Y8" s="154">
        <v>159.19</v>
      </c>
      <c r="Z8" s="154">
        <v>156.6</v>
      </c>
      <c r="AA8" s="154">
        <v>160.06</v>
      </c>
      <c r="AB8" s="154">
        <v>154.88999999999999</v>
      </c>
      <c r="AC8" s="154">
        <v>153.61000000000001</v>
      </c>
      <c r="AD8" s="154">
        <v>151.97</v>
      </c>
      <c r="AE8" s="154">
        <v>132.69999999999999</v>
      </c>
      <c r="AF8" s="154">
        <v>133.16</v>
      </c>
      <c r="AG8" s="154">
        <v>121.2</v>
      </c>
      <c r="AH8" s="30">
        <v>119.83</v>
      </c>
      <c r="AI8" s="30">
        <f t="shared" ref="AI8:AK8" si="334">+W8*(1+$B$2)</f>
        <v>151.54390000000001</v>
      </c>
      <c r="AJ8" s="30">
        <f>+X8*(1+$B$2)</f>
        <v>158.82599999999999</v>
      </c>
      <c r="AK8" s="30">
        <f t="shared" si="334"/>
        <v>163.9657</v>
      </c>
      <c r="AL8" s="30">
        <f t="shared" si="176"/>
        <v>161.298</v>
      </c>
      <c r="AM8" s="30">
        <f t="shared" si="177"/>
        <v>164.86180000000002</v>
      </c>
      <c r="AN8" s="30">
        <f t="shared" si="178"/>
        <v>159.5367</v>
      </c>
      <c r="AO8" s="30">
        <f t="shared" si="179"/>
        <v>158.21830000000003</v>
      </c>
      <c r="AP8" s="30">
        <f t="shared" si="180"/>
        <v>156.5291</v>
      </c>
      <c r="AQ8" s="30">
        <f t="shared" si="181"/>
        <v>136.68099999999998</v>
      </c>
      <c r="AR8" s="30">
        <f t="shared" si="182"/>
        <v>137.15479999999999</v>
      </c>
      <c r="AS8" s="30">
        <f t="shared" si="183"/>
        <v>124.83600000000001</v>
      </c>
      <c r="AT8" s="30">
        <f t="shared" si="184"/>
        <v>123.42490000000001</v>
      </c>
      <c r="AU8" s="30">
        <f t="shared" si="185"/>
        <v>156.09021700000002</v>
      </c>
      <c r="AV8" s="30">
        <f t="shared" ref="AV8" si="335">+AJ8*(1+$B$2)</f>
        <v>163.59078</v>
      </c>
      <c r="AW8" s="30">
        <f t="shared" si="186"/>
        <v>168.884671</v>
      </c>
      <c r="AX8" s="30">
        <f t="shared" si="186"/>
        <v>166.13694000000001</v>
      </c>
      <c r="AY8" s="30">
        <f t="shared" si="187"/>
        <v>169.80765400000001</v>
      </c>
      <c r="AZ8" s="30">
        <f t="shared" si="188"/>
        <v>164.322801</v>
      </c>
      <c r="BA8" s="30">
        <f t="shared" si="189"/>
        <v>162.96484900000004</v>
      </c>
      <c r="BB8" s="30">
        <f t="shared" si="190"/>
        <v>161.22497300000001</v>
      </c>
      <c r="BC8" s="30">
        <f t="shared" si="191"/>
        <v>140.78143</v>
      </c>
      <c r="BD8" s="30">
        <f t="shared" si="192"/>
        <v>141.26944399999999</v>
      </c>
      <c r="BE8" s="30">
        <f t="shared" si="193"/>
        <v>128.58108000000001</v>
      </c>
      <c r="BF8" s="30">
        <f t="shared" si="194"/>
        <v>127.12764700000001</v>
      </c>
      <c r="BG8" s="30">
        <f t="shared" si="195"/>
        <v>160.77292351000003</v>
      </c>
      <c r="BH8" s="30">
        <f t="shared" ref="BH8" si="336">+AV8*(1+$B$2)</f>
        <v>168.4985034</v>
      </c>
      <c r="BI8" s="30">
        <f t="shared" si="196"/>
        <v>173.95121112999999</v>
      </c>
      <c r="BJ8" s="30">
        <f t="shared" si="197"/>
        <v>171.12104820000002</v>
      </c>
      <c r="BK8" s="30">
        <f t="shared" si="197"/>
        <v>174.90188362000001</v>
      </c>
      <c r="BL8" s="30">
        <f t="shared" si="198"/>
        <v>169.25248503</v>
      </c>
      <c r="BM8" s="30">
        <f t="shared" si="199"/>
        <v>167.85379447000005</v>
      </c>
      <c r="BN8" s="30">
        <f t="shared" si="200"/>
        <v>166.06172219000001</v>
      </c>
      <c r="BO8" s="30">
        <f t="shared" si="201"/>
        <v>145.00487290000001</v>
      </c>
      <c r="BP8" s="30">
        <f t="shared" si="202"/>
        <v>145.50752732000001</v>
      </c>
      <c r="BQ8" s="30">
        <f t="shared" si="203"/>
        <v>132.43851240000001</v>
      </c>
      <c r="BR8" s="30">
        <f t="shared" si="204"/>
        <v>130.94147641000001</v>
      </c>
      <c r="BS8" s="30">
        <f t="shared" si="205"/>
        <v>165.59611121530003</v>
      </c>
      <c r="BT8" s="30">
        <f t="shared" ref="BT8" si="337">+BH8*(1+$B$2)</f>
        <v>173.55345850200001</v>
      </c>
      <c r="BU8" s="30">
        <f t="shared" si="206"/>
        <v>179.16974746389999</v>
      </c>
      <c r="BV8" s="30">
        <f t="shared" si="207"/>
        <v>176.25467964600003</v>
      </c>
      <c r="BW8" s="30">
        <f t="shared" si="208"/>
        <v>180.1489401286</v>
      </c>
      <c r="BX8" s="30">
        <f t="shared" si="208"/>
        <v>174.33005958090001</v>
      </c>
      <c r="BY8" s="30">
        <f t="shared" si="209"/>
        <v>172.88940830410007</v>
      </c>
      <c r="BZ8" s="30">
        <f t="shared" si="210"/>
        <v>171.0435738557</v>
      </c>
      <c r="CA8" s="30">
        <f t="shared" si="211"/>
        <v>149.35501908700002</v>
      </c>
      <c r="CB8" s="30">
        <f t="shared" si="212"/>
        <v>149.87275313960001</v>
      </c>
      <c r="CC8" s="30">
        <f t="shared" si="213"/>
        <v>136.41166777200002</v>
      </c>
      <c r="CD8" s="30">
        <f t="shared" si="214"/>
        <v>134.86972070230001</v>
      </c>
      <c r="CE8" s="30">
        <f t="shared" si="215"/>
        <v>170.56399455175904</v>
      </c>
      <c r="CF8" s="30">
        <f t="shared" si="216"/>
        <v>178.76006225706001</v>
      </c>
      <c r="CG8" s="30">
        <f t="shared" si="217"/>
        <v>184.54483988781701</v>
      </c>
      <c r="CH8" s="30">
        <f t="shared" si="218"/>
        <v>181.54232003538004</v>
      </c>
      <c r="CI8" s="30">
        <f t="shared" si="219"/>
        <v>185.55340833245802</v>
      </c>
      <c r="CJ8" s="30">
        <f t="shared" si="220"/>
        <v>179.55996136832701</v>
      </c>
      <c r="CK8" s="30">
        <f t="shared" si="220"/>
        <v>178.07609055322308</v>
      </c>
      <c r="CL8" s="30">
        <f t="shared" si="221"/>
        <v>176.174881071371</v>
      </c>
      <c r="CM8" s="30">
        <f t="shared" si="222"/>
        <v>153.83566965961003</v>
      </c>
      <c r="CN8" s="30">
        <f t="shared" si="223"/>
        <v>154.36893573378802</v>
      </c>
      <c r="CO8" s="30">
        <f t="shared" si="224"/>
        <v>140.50401780516003</v>
      </c>
      <c r="CP8" s="30">
        <f t="shared" si="225"/>
        <v>138.91581232336901</v>
      </c>
      <c r="CQ8" s="30">
        <f t="shared" si="226"/>
        <v>175.68091438831181</v>
      </c>
      <c r="CR8" s="30">
        <f t="shared" si="227"/>
        <v>184.12286412477181</v>
      </c>
      <c r="CS8" s="30">
        <f t="shared" si="228"/>
        <v>190.08118508445153</v>
      </c>
      <c r="CT8" s="30">
        <f t="shared" si="229"/>
        <v>186.98858963644145</v>
      </c>
      <c r="CU8" s="30">
        <f t="shared" si="230"/>
        <v>191.12001058243177</v>
      </c>
      <c r="CV8" s="30">
        <f t="shared" si="231"/>
        <v>184.94676020937683</v>
      </c>
      <c r="CW8" s="30">
        <f t="shared" si="232"/>
        <v>183.41837326981977</v>
      </c>
      <c r="CX8" s="30">
        <f t="shared" si="232"/>
        <v>181.46012750351213</v>
      </c>
      <c r="CY8" s="30">
        <f t="shared" si="233"/>
        <v>158.45073974939834</v>
      </c>
      <c r="CZ8" s="30">
        <f t="shared" si="234"/>
        <v>159.00000380580167</v>
      </c>
      <c r="DA8" s="30">
        <f t="shared" si="235"/>
        <v>144.71913833931484</v>
      </c>
      <c r="DB8" s="30">
        <f t="shared" si="236"/>
        <v>143.08328669307008</v>
      </c>
      <c r="DC8" s="30">
        <f t="shared" si="237"/>
        <v>180.95134181996116</v>
      </c>
      <c r="DD8" s="30">
        <f t="shared" ref="DD8" si="338">+CR8*(1+$B$2)</f>
        <v>189.64655004851497</v>
      </c>
      <c r="DE8" s="30">
        <f t="shared" si="238"/>
        <v>195.78362063698509</v>
      </c>
      <c r="DF8" s="30">
        <f t="shared" si="239"/>
        <v>192.59824732553469</v>
      </c>
      <c r="DG8" s="30">
        <f t="shared" si="240"/>
        <v>196.85361089990474</v>
      </c>
      <c r="DH8" s="30">
        <f t="shared" si="241"/>
        <v>190.49516301565814</v>
      </c>
      <c r="DI8" s="30">
        <f t="shared" si="242"/>
        <v>188.92092446791438</v>
      </c>
      <c r="DJ8" s="30">
        <f t="shared" si="243"/>
        <v>186.90393132861749</v>
      </c>
      <c r="DK8" s="30">
        <f t="shared" si="243"/>
        <v>163.2042619418803</v>
      </c>
      <c r="DL8" s="30">
        <f t="shared" si="244"/>
        <v>163.77000391997572</v>
      </c>
      <c r="DM8" s="30">
        <f t="shared" si="245"/>
        <v>149.06071248949428</v>
      </c>
      <c r="DN8" s="30">
        <f t="shared" si="246"/>
        <v>147.37578529386218</v>
      </c>
      <c r="DO8" s="30">
        <f t="shared" si="247"/>
        <v>186.37988207455999</v>
      </c>
      <c r="DP8" s="30">
        <f t="shared" si="248"/>
        <v>195.33594654997043</v>
      </c>
      <c r="DQ8" s="30">
        <f t="shared" si="249"/>
        <v>201.65712925609466</v>
      </c>
      <c r="DR8" s="30">
        <f t="shared" si="250"/>
        <v>198.37619474530072</v>
      </c>
      <c r="DS8" s="30">
        <f t="shared" si="251"/>
        <v>202.75921922690188</v>
      </c>
      <c r="DT8" s="30">
        <f t="shared" si="252"/>
        <v>196.21001790612789</v>
      </c>
      <c r="DU8" s="30">
        <f t="shared" si="253"/>
        <v>194.58855220195181</v>
      </c>
      <c r="DV8" s="30">
        <f t="shared" si="254"/>
        <v>192.51104926847603</v>
      </c>
      <c r="DW8" s="30">
        <f t="shared" si="255"/>
        <v>168.10038980013672</v>
      </c>
      <c r="DX8" s="30">
        <f t="shared" si="255"/>
        <v>168.68310403757499</v>
      </c>
      <c r="DY8" s="30">
        <f t="shared" si="256"/>
        <v>153.5325338641791</v>
      </c>
      <c r="DZ8" s="30">
        <f t="shared" si="257"/>
        <v>151.79705885267805</v>
      </c>
      <c r="EA8" s="30">
        <f t="shared" si="258"/>
        <v>191.9712785367968</v>
      </c>
      <c r="EB8" s="30">
        <f t="shared" ref="EB8" si="339">+DP8*(1+$B$2)</f>
        <v>201.19602494646955</v>
      </c>
      <c r="EC8" s="30">
        <f t="shared" si="259"/>
        <v>207.70684313377751</v>
      </c>
      <c r="ED8" s="30">
        <f t="shared" si="260"/>
        <v>204.32748058765975</v>
      </c>
      <c r="EE8" s="30">
        <f t="shared" si="261"/>
        <v>208.84199580370893</v>
      </c>
      <c r="EF8" s="30">
        <f t="shared" si="262"/>
        <v>202.09631844331173</v>
      </c>
      <c r="EG8" s="30">
        <f t="shared" si="263"/>
        <v>200.42620876801038</v>
      </c>
      <c r="EH8" s="30">
        <f t="shared" si="264"/>
        <v>198.28638074653031</v>
      </c>
      <c r="EI8" s="30">
        <f t="shared" si="265"/>
        <v>173.14340149414082</v>
      </c>
      <c r="EJ8" s="30">
        <f t="shared" si="266"/>
        <v>173.74359715870224</v>
      </c>
      <c r="EK8" s="30">
        <f t="shared" si="266"/>
        <v>158.13850988010446</v>
      </c>
      <c r="EL8" s="30">
        <f t="shared" si="267"/>
        <v>156.3509706182584</v>
      </c>
      <c r="EM8" s="30">
        <f t="shared" si="268"/>
        <v>197.73041689290071</v>
      </c>
      <c r="EN8" s="30">
        <f t="shared" si="269"/>
        <v>207.23190569486363</v>
      </c>
      <c r="EO8" s="30">
        <f t="shared" si="270"/>
        <v>213.93804842779085</v>
      </c>
      <c r="EP8" s="30">
        <f t="shared" si="271"/>
        <v>210.45730500528956</v>
      </c>
      <c r="EQ8" s="30">
        <f t="shared" si="272"/>
        <v>215.10725567782021</v>
      </c>
      <c r="ER8" s="30">
        <f t="shared" si="273"/>
        <v>208.15920799661109</v>
      </c>
      <c r="ES8" s="30">
        <f t="shared" si="274"/>
        <v>206.43899503105069</v>
      </c>
      <c r="ET8" s="30">
        <f t="shared" si="275"/>
        <v>204.23497216892622</v>
      </c>
      <c r="EU8" s="30">
        <f t="shared" si="276"/>
        <v>178.33770353896506</v>
      </c>
      <c r="EV8" s="30">
        <f t="shared" si="277"/>
        <v>178.95590507346333</v>
      </c>
      <c r="EW8" s="30">
        <f t="shared" si="278"/>
        <v>162.8826651765076</v>
      </c>
      <c r="EX8" s="30">
        <f t="shared" si="278"/>
        <v>161.04149973680614</v>
      </c>
      <c r="EY8" s="30">
        <f t="shared" si="279"/>
        <v>203.66232939968774</v>
      </c>
      <c r="EZ8" s="30">
        <f t="shared" si="280"/>
        <v>213.44886286570954</v>
      </c>
      <c r="FA8" s="30">
        <f t="shared" si="281"/>
        <v>220.35618988062458</v>
      </c>
      <c r="FB8" s="30">
        <f t="shared" si="282"/>
        <v>216.77102415544826</v>
      </c>
      <c r="FC8" s="30">
        <f t="shared" si="283"/>
        <v>221.56047334815483</v>
      </c>
      <c r="FD8" s="30">
        <f t="shared" si="284"/>
        <v>214.40398423650942</v>
      </c>
      <c r="FE8" s="30">
        <f t="shared" si="285"/>
        <v>212.63216488198222</v>
      </c>
      <c r="FF8" s="30">
        <f t="shared" si="286"/>
        <v>210.36202133399402</v>
      </c>
      <c r="FG8" s="30">
        <f t="shared" si="287"/>
        <v>183.68783464513402</v>
      </c>
      <c r="FH8" s="30">
        <f t="shared" si="288"/>
        <v>184.32458222566723</v>
      </c>
      <c r="FI8" s="30">
        <f t="shared" si="289"/>
        <v>167.76914513180284</v>
      </c>
      <c r="FJ8" s="30">
        <f t="shared" si="290"/>
        <v>165.87274472891033</v>
      </c>
      <c r="FK8" s="30">
        <f t="shared" si="290"/>
        <v>209.77219928167838</v>
      </c>
      <c r="FL8" s="30">
        <f t="shared" si="291"/>
        <v>219.85232875168083</v>
      </c>
      <c r="FM8" s="30">
        <f t="shared" si="292"/>
        <v>226.96687557704334</v>
      </c>
      <c r="FN8" s="30">
        <f t="shared" si="293"/>
        <v>223.27415488011172</v>
      </c>
      <c r="FO8" s="30">
        <f t="shared" si="294"/>
        <v>228.20728754859948</v>
      </c>
      <c r="FP8" s="30">
        <f t="shared" si="295"/>
        <v>220.83610376360471</v>
      </c>
      <c r="FQ8" s="30">
        <f t="shared" si="296"/>
        <v>219.01112982844168</v>
      </c>
      <c r="FR8" s="30">
        <f t="shared" si="297"/>
        <v>216.67288197401385</v>
      </c>
      <c r="FS8" s="30">
        <f t="shared" si="298"/>
        <v>189.19846968448803</v>
      </c>
      <c r="FT8" s="30">
        <f t="shared" si="299"/>
        <v>189.85431969243726</v>
      </c>
      <c r="FU8" s="30">
        <f t="shared" si="300"/>
        <v>172.80221948575692</v>
      </c>
      <c r="FV8" s="30">
        <f t="shared" si="301"/>
        <v>170.84892707077765</v>
      </c>
      <c r="FW8" s="30">
        <f t="shared" si="302"/>
        <v>216.06536526012874</v>
      </c>
      <c r="FX8" s="30">
        <f t="shared" si="302"/>
        <v>226.44789861423126</v>
      </c>
      <c r="FY8" s="30">
        <f t="shared" si="303"/>
        <v>233.77588184435464</v>
      </c>
      <c r="FZ8" s="30">
        <f t="shared" si="304"/>
        <v>229.97237952651508</v>
      </c>
      <c r="GA8" s="30">
        <f t="shared" si="305"/>
        <v>235.05350617505746</v>
      </c>
      <c r="GB8" s="30">
        <f t="shared" si="306"/>
        <v>227.46118687651287</v>
      </c>
      <c r="GC8" s="30">
        <f t="shared" si="307"/>
        <v>225.58146372329495</v>
      </c>
      <c r="GD8" s="30">
        <f t="shared" si="308"/>
        <v>223.17306843323428</v>
      </c>
      <c r="GE8" s="30">
        <f t="shared" si="309"/>
        <v>194.87442377502268</v>
      </c>
      <c r="GF8" s="30">
        <f t="shared" si="310"/>
        <v>195.54994928321037</v>
      </c>
      <c r="GG8" s="30">
        <f t="shared" si="311"/>
        <v>177.98628607032964</v>
      </c>
      <c r="GH8" s="30">
        <f t="shared" si="312"/>
        <v>175.97439488290098</v>
      </c>
      <c r="GI8" s="30">
        <f t="shared" si="313"/>
        <v>222.54732621793261</v>
      </c>
      <c r="GJ8" s="30">
        <f t="shared" si="314"/>
        <v>233.24133557265822</v>
      </c>
      <c r="GK8" s="30">
        <f t="shared" si="314"/>
        <v>240.78915829968528</v>
      </c>
      <c r="GL8" s="30">
        <f t="shared" si="315"/>
        <v>236.87155091231054</v>
      </c>
      <c r="GM8" s="30">
        <f t="shared" si="316"/>
        <v>242.10511136030919</v>
      </c>
      <c r="GN8" s="30">
        <f t="shared" si="317"/>
        <v>234.28502248280827</v>
      </c>
      <c r="GO8" s="30">
        <f t="shared" si="318"/>
        <v>232.34890763499379</v>
      </c>
      <c r="GP8" s="30">
        <f t="shared" si="319"/>
        <v>229.86826048623132</v>
      </c>
      <c r="GQ8" s="30">
        <f t="shared" si="320"/>
        <v>200.72065648827336</v>
      </c>
      <c r="GR8" s="30">
        <f t="shared" si="321"/>
        <v>201.41644776170668</v>
      </c>
      <c r="GS8" s="30">
        <f t="shared" ref="GS8" si="340">+GG8*(1+$B$2)</f>
        <v>183.32587465243952</v>
      </c>
      <c r="GT8" s="30">
        <f t="shared" si="322"/>
        <v>181.253626729388</v>
      </c>
      <c r="GU8" s="30">
        <f t="shared" si="323"/>
        <v>229.2237460044706</v>
      </c>
      <c r="GV8" s="30">
        <f t="shared" si="324"/>
        <v>240.23857563983796</v>
      </c>
      <c r="GW8" s="30">
        <f t="shared" si="325"/>
        <v>248.01283304867584</v>
      </c>
      <c r="GX8" s="30">
        <f t="shared" si="325"/>
        <v>243.97769743967987</v>
      </c>
      <c r="GY8" s="30">
        <f t="shared" si="326"/>
        <v>249.36826470111848</v>
      </c>
      <c r="GZ8" s="30">
        <f t="shared" ref="GZ8" si="341">+GN8*(1+$B$2)</f>
        <v>241.31357315729252</v>
      </c>
      <c r="HA8" s="30">
        <f t="shared" ref="HA8" si="342">+GO8*(1+$B$2)</f>
        <v>239.31937486404362</v>
      </c>
      <c r="HB8" s="30">
        <f t="shared" si="327"/>
        <v>236.76430830081827</v>
      </c>
      <c r="HC8" s="30">
        <f t="shared" si="328"/>
        <v>206.74227618292156</v>
      </c>
      <c r="HD8" s="30">
        <f t="shared" si="329"/>
        <v>207.45894119455789</v>
      </c>
      <c r="HE8" s="30">
        <f t="shared" si="330"/>
        <v>188.8256508920127</v>
      </c>
      <c r="HF8" s="30">
        <f t="shared" si="331"/>
        <v>186.69123553126965</v>
      </c>
      <c r="HG8" s="30">
        <f t="shared" si="332"/>
        <v>236.10045838460474</v>
      </c>
      <c r="HH8" s="30">
        <f t="shared" ref="HH8" si="343">+GV8*(1+$B$2)</f>
        <v>247.4457329090331</v>
      </c>
      <c r="HI8" s="30">
        <f t="shared" ref="HI8" si="344">+GW8*(1+$B$2)</f>
        <v>255.45321804013614</v>
      </c>
      <c r="HJ8" s="30">
        <f t="shared" ref="HJ8" si="345">+GX8*(1+$B$2)</f>
        <v>251.29702836287026</v>
      </c>
      <c r="HK8" s="30">
        <f t="shared" si="333"/>
        <v>256.84931264215203</v>
      </c>
      <c r="HL8" s="30">
        <f t="shared" si="333"/>
        <v>248.5529803520113</v>
      </c>
      <c r="HM8" s="30">
        <f t="shared" si="333"/>
        <v>246.49895610996495</v>
      </c>
      <c r="HN8" s="30">
        <f t="shared" si="333"/>
        <v>243.86723754984283</v>
      </c>
      <c r="HO8" s="30">
        <f t="shared" si="333"/>
        <v>212.94454446840922</v>
      </c>
      <c r="HP8" s="30">
        <f t="shared" si="333"/>
        <v>213.68270943039462</v>
      </c>
      <c r="HQ8" s="30">
        <f t="shared" si="333"/>
        <v>194.49042041877308</v>
      </c>
      <c r="HR8" s="30">
        <f t="shared" si="333"/>
        <v>192.29197259720775</v>
      </c>
      <c r="HS8" s="30">
        <f t="shared" si="333"/>
        <v>243.18347213614288</v>
      </c>
      <c r="HT8" s="30">
        <f t="shared" si="333"/>
        <v>254.86910489630409</v>
      </c>
      <c r="HU8" s="30">
        <f t="shared" si="333"/>
        <v>263.11681458134024</v>
      </c>
      <c r="HV8" s="30">
        <f t="shared" si="333"/>
        <v>258.83593921375638</v>
      </c>
      <c r="HW8" s="30">
        <f t="shared" si="333"/>
        <v>264.55479202141657</v>
      </c>
      <c r="HX8" s="30">
        <f t="shared" si="333"/>
        <v>256.00956976257163</v>
      </c>
      <c r="HY8" s="30">
        <f t="shared" si="333"/>
        <v>253.89392479326389</v>
      </c>
      <c r="HZ8" s="30">
        <f t="shared" si="333"/>
        <v>251.18325467633812</v>
      </c>
      <c r="IA8" s="30">
        <f t="shared" si="333"/>
        <v>219.33288080246149</v>
      </c>
      <c r="IB8" s="30">
        <f t="shared" si="333"/>
        <v>220.09319071330646</v>
      </c>
      <c r="IC8" s="30">
        <f t="shared" si="333"/>
        <v>200.32513303133629</v>
      </c>
      <c r="ID8" s="30">
        <f t="shared" si="333"/>
        <v>198.060731775124</v>
      </c>
      <c r="IE8" s="30">
        <f t="shared" si="333"/>
        <v>250.47897630022717</v>
      </c>
      <c r="IF8" s="30">
        <f t="shared" si="333"/>
        <v>262.5151780431932</v>
      </c>
      <c r="IG8" s="30">
        <f t="shared" si="333"/>
        <v>271.01031901878048</v>
      </c>
      <c r="IH8" s="30">
        <f t="shared" si="333"/>
        <v>266.60101739016909</v>
      </c>
      <c r="II8" s="30">
        <f t="shared" si="333"/>
        <v>272.49143578205906</v>
      </c>
      <c r="IJ8" s="30">
        <f t="shared" si="333"/>
        <v>263.6898568554488</v>
      </c>
      <c r="IK8" s="30">
        <f t="shared" si="333"/>
        <v>261.51074253706179</v>
      </c>
      <c r="IL8" s="30">
        <f t="shared" si="333"/>
        <v>258.7187523166283</v>
      </c>
      <c r="IM8" s="30">
        <f t="shared" si="333"/>
        <v>225.91286722653533</v>
      </c>
      <c r="IN8" s="30">
        <f t="shared" si="333"/>
        <v>226.69598643470565</v>
      </c>
      <c r="IO8" s="30">
        <f t="shared" si="333"/>
        <v>206.33488702227638</v>
      </c>
      <c r="IP8" s="30">
        <f t="shared" si="333"/>
        <v>204.00255372837773</v>
      </c>
      <c r="IQ8" s="30">
        <f t="shared" si="333"/>
        <v>257.99334558923397</v>
      </c>
      <c r="IR8" s="30">
        <f t="shared" si="333"/>
        <v>270.39063338448898</v>
      </c>
      <c r="IS8" s="30">
        <f t="shared" si="333"/>
        <v>279.14062858934392</v>
      </c>
      <c r="IT8" s="30">
        <f t="shared" si="333"/>
        <v>274.59904791187415</v>
      </c>
      <c r="IU8" s="30">
        <f t="shared" si="333"/>
        <v>280.66617885552085</v>
      </c>
      <c r="IV8" s="30">
        <f t="shared" si="333"/>
        <v>271.60055256111224</v>
      </c>
      <c r="IW8" s="30">
        <f t="shared" si="333"/>
        <v>269.35606481317365</v>
      </c>
      <c r="IX8" s="30">
        <f t="shared" si="333"/>
        <v>266.48031488612713</v>
      </c>
      <c r="IY8" s="30">
        <f t="shared" si="333"/>
        <v>232.6902532433314</v>
      </c>
      <c r="IZ8" s="30">
        <f t="shared" si="333"/>
        <v>233.49686602774682</v>
      </c>
      <c r="JA8" s="30">
        <f t="shared" si="333"/>
        <v>212.52493363294468</v>
      </c>
      <c r="JB8" s="30">
        <f t="shared" si="333"/>
        <v>210.12263034022908</v>
      </c>
      <c r="JC8" s="30">
        <f t="shared" si="333"/>
        <v>265.73314595691102</v>
      </c>
    </row>
    <row r="9" spans="1:265" x14ac:dyDescent="0.3">
      <c r="A9" t="s">
        <v>886</v>
      </c>
      <c r="C9" s="38"/>
      <c r="D9" s="38"/>
      <c r="E9" s="38"/>
      <c r="F9" s="38"/>
      <c r="G9" s="38"/>
      <c r="H9" s="38"/>
      <c r="I9" s="38"/>
      <c r="Q9" s="42"/>
      <c r="R9" s="38"/>
      <c r="U9" s="12"/>
      <c r="V9" s="12"/>
      <c r="W9" s="12"/>
      <c r="X9" s="12"/>
      <c r="Y9" s="12"/>
      <c r="Z9" s="12"/>
      <c r="AA9" s="12">
        <f ca="1">+C35</f>
        <v>117.76437779643383</v>
      </c>
      <c r="AB9" s="12">
        <f t="shared" ref="AB9:AK12" ca="1" si="346">+AA9</f>
        <v>117.76437779643383</v>
      </c>
      <c r="AC9" s="12">
        <f t="shared" ca="1" si="346"/>
        <v>117.76437779643383</v>
      </c>
      <c r="AD9" s="12">
        <f t="shared" ca="1" si="346"/>
        <v>117.76437779643383</v>
      </c>
      <c r="AE9" s="12">
        <f t="shared" ca="1" si="346"/>
        <v>117.76437779643383</v>
      </c>
      <c r="AF9" s="12">
        <f t="shared" ca="1" si="346"/>
        <v>117.76437779643383</v>
      </c>
      <c r="AG9" s="12">
        <f t="shared" ca="1" si="346"/>
        <v>117.76437779643383</v>
      </c>
      <c r="AH9" s="12">
        <f t="shared" ca="1" si="346"/>
        <v>117.76437779643383</v>
      </c>
      <c r="AI9" s="12">
        <f t="shared" ca="1" si="346"/>
        <v>117.76437779643383</v>
      </c>
      <c r="AJ9" s="12">
        <f t="shared" ca="1" si="346"/>
        <v>117.76437779643383</v>
      </c>
      <c r="AK9" s="12">
        <f t="shared" ca="1" si="346"/>
        <v>117.76437779643383</v>
      </c>
      <c r="AL9" s="12">
        <f ca="1">+AK9*(1+B2)</f>
        <v>121.29730913032685</v>
      </c>
      <c r="AM9" s="12">
        <f ca="1">+AL9</f>
        <v>121.29730913032685</v>
      </c>
      <c r="AN9" s="12">
        <f t="shared" ref="AN9:AW9" ca="1" si="347">+AM9</f>
        <v>121.29730913032685</v>
      </c>
      <c r="AO9" s="12">
        <f t="shared" ca="1" si="347"/>
        <v>121.29730913032685</v>
      </c>
      <c r="AP9" s="12">
        <f t="shared" ca="1" si="347"/>
        <v>121.29730913032685</v>
      </c>
      <c r="AQ9" s="12">
        <f t="shared" ca="1" si="347"/>
        <v>121.29730913032685</v>
      </c>
      <c r="AR9" s="12">
        <f t="shared" ca="1" si="347"/>
        <v>121.29730913032685</v>
      </c>
      <c r="AS9" s="12">
        <f t="shared" ca="1" si="347"/>
        <v>121.29730913032685</v>
      </c>
      <c r="AT9" s="12">
        <f t="shared" ca="1" si="347"/>
        <v>121.29730913032685</v>
      </c>
      <c r="AU9" s="12">
        <f t="shared" ca="1" si="347"/>
        <v>121.29730913032685</v>
      </c>
      <c r="AV9" s="12">
        <f t="shared" ca="1" si="347"/>
        <v>121.29730913032685</v>
      </c>
      <c r="AW9" s="12">
        <f t="shared" ca="1" si="347"/>
        <v>121.29730913032685</v>
      </c>
      <c r="AX9" s="12">
        <f ca="1">+AW9*(1+B2)</f>
        <v>124.93622840423666</v>
      </c>
      <c r="AY9" s="12">
        <f ca="1">+AX9</f>
        <v>124.93622840423666</v>
      </c>
      <c r="AZ9" s="12">
        <f t="shared" ref="AZ9:BI12" ca="1" si="348">+AY9</f>
        <v>124.93622840423666</v>
      </c>
      <c r="BA9" s="12">
        <f t="shared" ca="1" si="348"/>
        <v>124.93622840423666</v>
      </c>
      <c r="BB9" s="12">
        <f t="shared" ca="1" si="348"/>
        <v>124.93622840423666</v>
      </c>
      <c r="BC9" s="12">
        <f t="shared" ca="1" si="348"/>
        <v>124.93622840423666</v>
      </c>
      <c r="BD9" s="12">
        <f t="shared" ca="1" si="348"/>
        <v>124.93622840423666</v>
      </c>
      <c r="BE9" s="12">
        <f ca="1">+BD9</f>
        <v>124.93622840423666</v>
      </c>
      <c r="BF9" s="12">
        <f t="shared" ca="1" si="348"/>
        <v>124.93622840423666</v>
      </c>
      <c r="BG9" s="12">
        <f t="shared" ca="1" si="348"/>
        <v>124.93622840423666</v>
      </c>
      <c r="BH9" s="12">
        <f t="shared" ca="1" si="348"/>
        <v>124.93622840423666</v>
      </c>
      <c r="BI9" s="12">
        <f t="shared" ca="1" si="348"/>
        <v>124.93622840423666</v>
      </c>
      <c r="BJ9" s="12">
        <f ca="1">+BI9*(1+$B$2)</f>
        <v>128.68431525636376</v>
      </c>
      <c r="BK9" s="12">
        <f ca="1">+BJ9</f>
        <v>128.68431525636376</v>
      </c>
      <c r="BL9" s="12">
        <f t="shared" ref="BL9:BU12" ca="1" si="349">+BK9</f>
        <v>128.68431525636376</v>
      </c>
      <c r="BM9" s="12">
        <f t="shared" ca="1" si="349"/>
        <v>128.68431525636376</v>
      </c>
      <c r="BN9" s="12">
        <f t="shared" ca="1" si="349"/>
        <v>128.68431525636376</v>
      </c>
      <c r="BO9" s="12">
        <f t="shared" ca="1" si="349"/>
        <v>128.68431525636376</v>
      </c>
      <c r="BP9" s="12">
        <f t="shared" ca="1" si="349"/>
        <v>128.68431525636376</v>
      </c>
      <c r="BQ9" s="12">
        <f t="shared" ca="1" si="349"/>
        <v>128.68431525636376</v>
      </c>
      <c r="BR9" s="12">
        <f t="shared" ca="1" si="349"/>
        <v>128.68431525636376</v>
      </c>
      <c r="BS9" s="12">
        <f t="shared" ca="1" si="349"/>
        <v>128.68431525636376</v>
      </c>
      <c r="BT9" s="12">
        <f t="shared" ca="1" si="349"/>
        <v>128.68431525636376</v>
      </c>
      <c r="BU9" s="12">
        <f t="shared" ca="1" si="349"/>
        <v>128.68431525636376</v>
      </c>
      <c r="BV9" s="12">
        <f ca="1">+BU9*(1+B2)</f>
        <v>132.54484471405468</v>
      </c>
      <c r="BW9" s="12">
        <f ca="1">+BV9</f>
        <v>132.54484471405468</v>
      </c>
      <c r="BX9" s="12">
        <f t="shared" ref="BX9:CG12" ca="1" si="350">+BW9</f>
        <v>132.54484471405468</v>
      </c>
      <c r="BY9" s="12">
        <f t="shared" ca="1" si="350"/>
        <v>132.54484471405468</v>
      </c>
      <c r="BZ9" s="12">
        <f t="shared" ca="1" si="350"/>
        <v>132.54484471405468</v>
      </c>
      <c r="CA9" s="12">
        <f t="shared" ca="1" si="350"/>
        <v>132.54484471405468</v>
      </c>
      <c r="CB9" s="12">
        <f t="shared" ca="1" si="350"/>
        <v>132.54484471405468</v>
      </c>
      <c r="CC9" s="12">
        <f t="shared" ca="1" si="350"/>
        <v>132.54484471405468</v>
      </c>
      <c r="CD9" s="12">
        <f t="shared" ca="1" si="350"/>
        <v>132.54484471405468</v>
      </c>
      <c r="CE9" s="12">
        <f t="shared" ca="1" si="350"/>
        <v>132.54484471405468</v>
      </c>
      <c r="CF9" s="12">
        <f t="shared" ca="1" si="350"/>
        <v>132.54484471405468</v>
      </c>
      <c r="CG9" s="12">
        <f t="shared" ca="1" si="350"/>
        <v>132.54484471405468</v>
      </c>
      <c r="CH9" s="30">
        <f ca="1">+CG9*(1+$B$2)</f>
        <v>136.52119005547632</v>
      </c>
      <c r="CI9" s="12">
        <f ca="1">+CH9</f>
        <v>136.52119005547632</v>
      </c>
      <c r="CJ9" s="12">
        <f ca="1">+CI9</f>
        <v>136.52119005547632</v>
      </c>
      <c r="CK9" s="12">
        <f t="shared" ref="CK9:CS12" ca="1" si="351">+CJ9</f>
        <v>136.52119005547632</v>
      </c>
      <c r="CL9" s="12">
        <f t="shared" ca="1" si="351"/>
        <v>136.52119005547632</v>
      </c>
      <c r="CM9" s="12">
        <f t="shared" ca="1" si="351"/>
        <v>136.52119005547632</v>
      </c>
      <c r="CN9" s="12">
        <f t="shared" ca="1" si="351"/>
        <v>136.52119005547632</v>
      </c>
      <c r="CO9" s="12">
        <f t="shared" ca="1" si="351"/>
        <v>136.52119005547632</v>
      </c>
      <c r="CP9" s="12">
        <f t="shared" ca="1" si="351"/>
        <v>136.52119005547632</v>
      </c>
      <c r="CQ9" s="12">
        <f t="shared" ca="1" si="351"/>
        <v>136.52119005547632</v>
      </c>
      <c r="CR9" s="12">
        <f t="shared" ca="1" si="351"/>
        <v>136.52119005547632</v>
      </c>
      <c r="CS9" s="12">
        <f t="shared" ca="1" si="351"/>
        <v>136.52119005547632</v>
      </c>
      <c r="CT9" s="12">
        <f ca="1">+CS9*(1+B2)</f>
        <v>140.61682575714062</v>
      </c>
      <c r="CU9" s="12">
        <f ca="1">+CT9</f>
        <v>140.61682575714062</v>
      </c>
      <c r="CV9" s="12">
        <f t="shared" ref="CV9:DE12" ca="1" si="352">+CU9</f>
        <v>140.61682575714062</v>
      </c>
      <c r="CW9" s="12">
        <f t="shared" ca="1" si="352"/>
        <v>140.61682575714062</v>
      </c>
      <c r="CX9" s="12">
        <f t="shared" ca="1" si="352"/>
        <v>140.61682575714062</v>
      </c>
      <c r="CY9" s="12">
        <f t="shared" ca="1" si="352"/>
        <v>140.61682575714062</v>
      </c>
      <c r="CZ9" s="12">
        <f t="shared" ca="1" si="352"/>
        <v>140.61682575714062</v>
      </c>
      <c r="DA9" s="12">
        <f t="shared" ca="1" si="352"/>
        <v>140.61682575714062</v>
      </c>
      <c r="DB9" s="12">
        <f t="shared" ca="1" si="352"/>
        <v>140.61682575714062</v>
      </c>
      <c r="DC9" s="12">
        <f t="shared" ca="1" si="352"/>
        <v>140.61682575714062</v>
      </c>
      <c r="DD9" s="12">
        <f t="shared" ca="1" si="352"/>
        <v>140.61682575714062</v>
      </c>
      <c r="DE9" s="12">
        <f t="shared" ca="1" si="352"/>
        <v>140.61682575714062</v>
      </c>
      <c r="DF9" s="12">
        <f ca="1">+DE9*(1+B2)</f>
        <v>144.83533052985484</v>
      </c>
      <c r="DG9" s="12">
        <f ca="1">+DF9</f>
        <v>144.83533052985484</v>
      </c>
      <c r="DH9" s="12">
        <f t="shared" ref="DH9:DQ12" ca="1" si="353">+DG9</f>
        <v>144.83533052985484</v>
      </c>
      <c r="DI9" s="12">
        <f t="shared" ca="1" si="353"/>
        <v>144.83533052985484</v>
      </c>
      <c r="DJ9" s="12">
        <f t="shared" ca="1" si="353"/>
        <v>144.83533052985484</v>
      </c>
      <c r="DK9" s="12">
        <f t="shared" ca="1" si="353"/>
        <v>144.83533052985484</v>
      </c>
      <c r="DL9" s="12">
        <f t="shared" ca="1" si="353"/>
        <v>144.83533052985484</v>
      </c>
      <c r="DM9" s="12">
        <f t="shared" ca="1" si="353"/>
        <v>144.83533052985484</v>
      </c>
      <c r="DN9" s="12">
        <f t="shared" ca="1" si="353"/>
        <v>144.83533052985484</v>
      </c>
      <c r="DO9" s="12">
        <f t="shared" ca="1" si="353"/>
        <v>144.83533052985484</v>
      </c>
      <c r="DP9" s="12">
        <f t="shared" ca="1" si="353"/>
        <v>144.83533052985484</v>
      </c>
      <c r="DQ9" s="12">
        <f t="shared" ca="1" si="353"/>
        <v>144.83533052985484</v>
      </c>
      <c r="DR9" s="12">
        <f ca="1">+DQ9*(1+B2)</f>
        <v>149.1803904457505</v>
      </c>
      <c r="DS9" s="12">
        <f ca="1">+DR9</f>
        <v>149.1803904457505</v>
      </c>
      <c r="DT9" s="12">
        <f t="shared" ref="DT9:EC12" ca="1" si="354">+DS9</f>
        <v>149.1803904457505</v>
      </c>
      <c r="DU9" s="12">
        <f t="shared" ca="1" si="354"/>
        <v>149.1803904457505</v>
      </c>
      <c r="DV9" s="12">
        <f t="shared" ca="1" si="354"/>
        <v>149.1803904457505</v>
      </c>
      <c r="DW9" s="12">
        <f t="shared" ca="1" si="354"/>
        <v>149.1803904457505</v>
      </c>
      <c r="DX9" s="12">
        <f t="shared" ca="1" si="354"/>
        <v>149.1803904457505</v>
      </c>
      <c r="DY9" s="12">
        <f t="shared" ca="1" si="354"/>
        <v>149.1803904457505</v>
      </c>
      <c r="DZ9" s="12">
        <f t="shared" ca="1" si="354"/>
        <v>149.1803904457505</v>
      </c>
      <c r="EA9" s="12">
        <f t="shared" ca="1" si="354"/>
        <v>149.1803904457505</v>
      </c>
      <c r="EB9" s="12">
        <f t="shared" ca="1" si="354"/>
        <v>149.1803904457505</v>
      </c>
      <c r="EC9" s="12">
        <f t="shared" ca="1" si="354"/>
        <v>149.1803904457505</v>
      </c>
      <c r="ED9" s="12">
        <f ca="1">+EC9*(1+B2)</f>
        <v>153.65580215912303</v>
      </c>
      <c r="EE9" s="12">
        <f ca="1">+ED9</f>
        <v>153.65580215912303</v>
      </c>
      <c r="EF9" s="12">
        <f t="shared" ref="EF9:EO12" ca="1" si="355">+EE9</f>
        <v>153.65580215912303</v>
      </c>
      <c r="EG9" s="12">
        <f t="shared" ca="1" si="355"/>
        <v>153.65580215912303</v>
      </c>
      <c r="EH9" s="12">
        <f t="shared" ca="1" si="355"/>
        <v>153.65580215912303</v>
      </c>
      <c r="EI9" s="12">
        <f t="shared" ca="1" si="355"/>
        <v>153.65580215912303</v>
      </c>
      <c r="EJ9" s="12">
        <f t="shared" ca="1" si="355"/>
        <v>153.65580215912303</v>
      </c>
      <c r="EK9" s="12">
        <f t="shared" ca="1" si="355"/>
        <v>153.65580215912303</v>
      </c>
      <c r="EL9" s="12">
        <f t="shared" ca="1" si="355"/>
        <v>153.65580215912303</v>
      </c>
      <c r="EM9" s="12">
        <f t="shared" ca="1" si="355"/>
        <v>153.65580215912303</v>
      </c>
      <c r="EN9" s="12">
        <f t="shared" ca="1" si="355"/>
        <v>153.65580215912303</v>
      </c>
      <c r="EO9" s="12">
        <f t="shared" ca="1" si="355"/>
        <v>153.65580215912303</v>
      </c>
      <c r="EP9" s="12">
        <f ca="1">+EO9*(1+B2)</f>
        <v>158.26547622389671</v>
      </c>
      <c r="EQ9" s="12">
        <f ca="1">+EP9</f>
        <v>158.26547622389671</v>
      </c>
      <c r="ER9" s="12">
        <f t="shared" ref="ER9:FA12" ca="1" si="356">+EQ9</f>
        <v>158.26547622389671</v>
      </c>
      <c r="ES9" s="12">
        <f t="shared" ca="1" si="356"/>
        <v>158.26547622389671</v>
      </c>
      <c r="ET9" s="12">
        <f t="shared" ca="1" si="356"/>
        <v>158.26547622389671</v>
      </c>
      <c r="EU9" s="12">
        <f t="shared" ca="1" si="356"/>
        <v>158.26547622389671</v>
      </c>
      <c r="EV9" s="12">
        <f t="shared" ca="1" si="356"/>
        <v>158.26547622389671</v>
      </c>
      <c r="EW9" s="12">
        <f t="shared" ca="1" si="356"/>
        <v>158.26547622389671</v>
      </c>
      <c r="EX9" s="12">
        <f t="shared" ca="1" si="356"/>
        <v>158.26547622389671</v>
      </c>
      <c r="EY9" s="12">
        <f t="shared" ca="1" si="356"/>
        <v>158.26547622389671</v>
      </c>
      <c r="EZ9" s="12">
        <f t="shared" ca="1" si="356"/>
        <v>158.26547622389671</v>
      </c>
      <c r="FA9" s="12">
        <f t="shared" ca="1" si="356"/>
        <v>158.26547622389671</v>
      </c>
      <c r="FB9" s="12">
        <f ca="1">+FA9*(1+B2)</f>
        <v>163.01344051061361</v>
      </c>
      <c r="FC9" s="12">
        <f ca="1">+FB9</f>
        <v>163.01344051061361</v>
      </c>
      <c r="FD9" s="12">
        <f t="shared" ref="FD9:FM12" ca="1" si="357">+FC9</f>
        <v>163.01344051061361</v>
      </c>
      <c r="FE9" s="12">
        <f t="shared" ca="1" si="357"/>
        <v>163.01344051061361</v>
      </c>
      <c r="FF9" s="12">
        <f t="shared" ca="1" si="357"/>
        <v>163.01344051061361</v>
      </c>
      <c r="FG9" s="12">
        <f t="shared" ca="1" si="357"/>
        <v>163.01344051061361</v>
      </c>
      <c r="FH9" s="12">
        <f t="shared" ca="1" si="357"/>
        <v>163.01344051061361</v>
      </c>
      <c r="FI9" s="12">
        <f t="shared" ca="1" si="357"/>
        <v>163.01344051061361</v>
      </c>
      <c r="FJ9" s="12">
        <f t="shared" ca="1" si="357"/>
        <v>163.01344051061361</v>
      </c>
      <c r="FK9" s="12">
        <f t="shared" ca="1" si="357"/>
        <v>163.01344051061361</v>
      </c>
      <c r="FL9" s="12">
        <f t="shared" ca="1" si="357"/>
        <v>163.01344051061361</v>
      </c>
      <c r="FM9" s="12">
        <f t="shared" ca="1" si="357"/>
        <v>163.01344051061361</v>
      </c>
      <c r="FN9" s="12">
        <f ca="1">+FM9*(1+B2)</f>
        <v>167.90384372593201</v>
      </c>
      <c r="FO9" s="12">
        <f ca="1">+FN9</f>
        <v>167.90384372593201</v>
      </c>
      <c r="FP9" s="12">
        <f t="shared" ref="FP9:FY12" ca="1" si="358">+FO9</f>
        <v>167.90384372593201</v>
      </c>
      <c r="FQ9" s="12">
        <f t="shared" ca="1" si="358"/>
        <v>167.90384372593201</v>
      </c>
      <c r="FR9" s="12">
        <f t="shared" ca="1" si="358"/>
        <v>167.90384372593201</v>
      </c>
      <c r="FS9" s="12">
        <f t="shared" ca="1" si="358"/>
        <v>167.90384372593201</v>
      </c>
      <c r="FT9" s="12">
        <f t="shared" ca="1" si="358"/>
        <v>167.90384372593201</v>
      </c>
      <c r="FU9" s="12">
        <f t="shared" ca="1" si="358"/>
        <v>167.90384372593201</v>
      </c>
      <c r="FV9" s="12">
        <f t="shared" ca="1" si="358"/>
        <v>167.90384372593201</v>
      </c>
      <c r="FW9" s="12">
        <f t="shared" ca="1" si="358"/>
        <v>167.90384372593201</v>
      </c>
      <c r="FX9" s="12">
        <f t="shared" ca="1" si="358"/>
        <v>167.90384372593201</v>
      </c>
      <c r="FY9" s="12">
        <f t="shared" ca="1" si="358"/>
        <v>167.90384372593201</v>
      </c>
      <c r="FZ9" s="12">
        <f ca="1">+FY9*(1+B2)</f>
        <v>172.94095903770997</v>
      </c>
      <c r="GA9" s="12">
        <f ca="1">+FZ9</f>
        <v>172.94095903770997</v>
      </c>
      <c r="GB9" s="12">
        <f t="shared" ref="GB9:GK12" ca="1" si="359">+GA9</f>
        <v>172.94095903770997</v>
      </c>
      <c r="GC9" s="12">
        <f t="shared" ca="1" si="359"/>
        <v>172.94095903770997</v>
      </c>
      <c r="GD9" s="12">
        <f t="shared" ca="1" si="359"/>
        <v>172.94095903770997</v>
      </c>
      <c r="GE9" s="12">
        <f t="shared" ca="1" si="359"/>
        <v>172.94095903770997</v>
      </c>
      <c r="GF9" s="12">
        <f t="shared" ca="1" si="359"/>
        <v>172.94095903770997</v>
      </c>
      <c r="GG9" s="12">
        <f t="shared" ca="1" si="359"/>
        <v>172.94095903770997</v>
      </c>
      <c r="GH9" s="12">
        <f t="shared" ca="1" si="359"/>
        <v>172.94095903770997</v>
      </c>
      <c r="GI9" s="12">
        <f t="shared" ca="1" si="359"/>
        <v>172.94095903770997</v>
      </c>
      <c r="GJ9" s="12">
        <f t="shared" ca="1" si="359"/>
        <v>172.94095903770997</v>
      </c>
      <c r="GK9" s="12">
        <f t="shared" ca="1" si="359"/>
        <v>172.94095903770997</v>
      </c>
      <c r="GL9" s="12">
        <f ca="1">+GK9*(1+B2)</f>
        <v>178.12918780884127</v>
      </c>
      <c r="GM9" s="12">
        <f ca="1">+GL9</f>
        <v>178.12918780884127</v>
      </c>
      <c r="GN9" s="12">
        <f t="shared" ref="GN9:GW12" ca="1" si="360">+GM9</f>
        <v>178.12918780884127</v>
      </c>
      <c r="GO9" s="12">
        <f t="shared" ca="1" si="360"/>
        <v>178.12918780884127</v>
      </c>
      <c r="GP9" s="12">
        <f t="shared" ca="1" si="360"/>
        <v>178.12918780884127</v>
      </c>
      <c r="GQ9" s="12">
        <f t="shared" ca="1" si="360"/>
        <v>178.12918780884127</v>
      </c>
      <c r="GR9" s="12">
        <f t="shared" ca="1" si="360"/>
        <v>178.12918780884127</v>
      </c>
      <c r="GS9" s="12">
        <f t="shared" ca="1" si="360"/>
        <v>178.12918780884127</v>
      </c>
      <c r="GT9" s="12">
        <f t="shared" ca="1" si="360"/>
        <v>178.12918780884127</v>
      </c>
      <c r="GU9" s="12">
        <f t="shared" ca="1" si="360"/>
        <v>178.12918780884127</v>
      </c>
      <c r="GV9" s="12">
        <f t="shared" ca="1" si="360"/>
        <v>178.12918780884127</v>
      </c>
      <c r="GW9" s="12">
        <f t="shared" ca="1" si="360"/>
        <v>178.12918780884127</v>
      </c>
      <c r="GX9" s="12">
        <f ca="1">+GW9*(1+B2)</f>
        <v>183.4730634431065</v>
      </c>
      <c r="GY9" s="12">
        <f ca="1">+GX9</f>
        <v>183.4730634431065</v>
      </c>
      <c r="GZ9" s="12">
        <f t="shared" ref="GZ9:HI12" ca="1" si="361">+GY9</f>
        <v>183.4730634431065</v>
      </c>
      <c r="HA9" s="12">
        <f t="shared" ca="1" si="361"/>
        <v>183.4730634431065</v>
      </c>
      <c r="HB9" s="12">
        <f t="shared" ca="1" si="361"/>
        <v>183.4730634431065</v>
      </c>
      <c r="HC9" s="12">
        <f t="shared" ca="1" si="361"/>
        <v>183.4730634431065</v>
      </c>
      <c r="HD9" s="12">
        <f t="shared" ca="1" si="361"/>
        <v>183.4730634431065</v>
      </c>
      <c r="HE9" s="12">
        <f t="shared" ca="1" si="361"/>
        <v>183.4730634431065</v>
      </c>
      <c r="HF9" s="12">
        <f t="shared" ca="1" si="361"/>
        <v>183.4730634431065</v>
      </c>
      <c r="HG9" s="12">
        <f t="shared" ca="1" si="361"/>
        <v>183.4730634431065</v>
      </c>
      <c r="HH9" s="12">
        <f t="shared" ca="1" si="361"/>
        <v>183.4730634431065</v>
      </c>
      <c r="HI9" s="12">
        <f t="shared" ca="1" si="361"/>
        <v>183.4730634431065</v>
      </c>
      <c r="HJ9" s="12">
        <f ca="1">+HI9*(1+B2)</f>
        <v>188.97725534639969</v>
      </c>
      <c r="HK9" s="12">
        <f ca="1">+HJ9</f>
        <v>188.97725534639969</v>
      </c>
      <c r="HL9" s="12">
        <f t="shared" ref="HL9:HU9" ca="1" si="362">+HK9</f>
        <v>188.97725534639969</v>
      </c>
      <c r="HM9" s="12">
        <f t="shared" ca="1" si="362"/>
        <v>188.97725534639969</v>
      </c>
      <c r="HN9" s="12">
        <f t="shared" ca="1" si="362"/>
        <v>188.97725534639969</v>
      </c>
      <c r="HO9" s="12">
        <f t="shared" ca="1" si="362"/>
        <v>188.97725534639969</v>
      </c>
      <c r="HP9" s="12">
        <f t="shared" ca="1" si="362"/>
        <v>188.97725534639969</v>
      </c>
      <c r="HQ9" s="12">
        <f t="shared" ca="1" si="362"/>
        <v>188.97725534639969</v>
      </c>
      <c r="HR9" s="12">
        <f t="shared" ca="1" si="362"/>
        <v>188.97725534639969</v>
      </c>
      <c r="HS9" s="12">
        <f t="shared" ca="1" si="362"/>
        <v>188.97725534639969</v>
      </c>
      <c r="HT9" s="12">
        <f t="shared" ca="1" si="362"/>
        <v>188.97725534639969</v>
      </c>
      <c r="HU9" s="12">
        <f t="shared" ca="1" si="362"/>
        <v>188.97725534639969</v>
      </c>
      <c r="HV9" s="12">
        <f ca="1">+HU9*(1+B2)</f>
        <v>194.64657300679167</v>
      </c>
      <c r="HW9" s="12">
        <f ca="1">+HV9</f>
        <v>194.64657300679167</v>
      </c>
      <c r="HX9" s="12">
        <f t="shared" ref="HX9:IG9" ca="1" si="363">+HW9</f>
        <v>194.64657300679167</v>
      </c>
      <c r="HY9" s="12">
        <f t="shared" ca="1" si="363"/>
        <v>194.64657300679167</v>
      </c>
      <c r="HZ9" s="12">
        <f t="shared" ca="1" si="363"/>
        <v>194.64657300679167</v>
      </c>
      <c r="IA9" s="12">
        <f t="shared" ca="1" si="363"/>
        <v>194.64657300679167</v>
      </c>
      <c r="IB9" s="12">
        <f t="shared" ca="1" si="363"/>
        <v>194.64657300679167</v>
      </c>
      <c r="IC9" s="12">
        <f t="shared" ca="1" si="363"/>
        <v>194.64657300679167</v>
      </c>
      <c r="ID9" s="12">
        <f t="shared" ca="1" si="363"/>
        <v>194.64657300679167</v>
      </c>
      <c r="IE9" s="12">
        <f t="shared" ca="1" si="363"/>
        <v>194.64657300679167</v>
      </c>
      <c r="IF9" s="12">
        <f t="shared" ca="1" si="363"/>
        <v>194.64657300679167</v>
      </c>
      <c r="IG9" s="12">
        <f t="shared" ca="1" si="363"/>
        <v>194.64657300679167</v>
      </c>
      <c r="IH9" s="12">
        <f ca="1">+IG9*(1+B2)</f>
        <v>200.48597019699542</v>
      </c>
      <c r="II9" s="12">
        <f ca="1">+IH9</f>
        <v>200.48597019699542</v>
      </c>
      <c r="IJ9" s="12">
        <f t="shared" ref="IJ9:IS9" ca="1" si="364">+II9</f>
        <v>200.48597019699542</v>
      </c>
      <c r="IK9" s="12">
        <f t="shared" ca="1" si="364"/>
        <v>200.48597019699542</v>
      </c>
      <c r="IL9" s="12">
        <f t="shared" ca="1" si="364"/>
        <v>200.48597019699542</v>
      </c>
      <c r="IM9" s="12">
        <f t="shared" ca="1" si="364"/>
        <v>200.48597019699542</v>
      </c>
      <c r="IN9" s="12">
        <f t="shared" ca="1" si="364"/>
        <v>200.48597019699542</v>
      </c>
      <c r="IO9" s="12">
        <f t="shared" ca="1" si="364"/>
        <v>200.48597019699542</v>
      </c>
      <c r="IP9" s="12">
        <f t="shared" ca="1" si="364"/>
        <v>200.48597019699542</v>
      </c>
      <c r="IQ9" s="12">
        <f t="shared" ca="1" si="364"/>
        <v>200.48597019699542</v>
      </c>
      <c r="IR9" s="12">
        <f t="shared" ca="1" si="364"/>
        <v>200.48597019699542</v>
      </c>
      <c r="IS9" s="12">
        <f t="shared" ca="1" si="364"/>
        <v>200.48597019699542</v>
      </c>
      <c r="IT9" s="12">
        <f ca="1">+IS9*(1+B2)</f>
        <v>206.50054930290528</v>
      </c>
      <c r="IU9" s="12">
        <f ca="1">+IT9</f>
        <v>206.50054930290528</v>
      </c>
      <c r="IV9" s="12">
        <f t="shared" ref="IV9:JE9" ca="1" si="365">+IU9</f>
        <v>206.50054930290528</v>
      </c>
      <c r="IW9" s="12">
        <f t="shared" ca="1" si="365"/>
        <v>206.50054930290528</v>
      </c>
      <c r="IX9" s="12">
        <f t="shared" ca="1" si="365"/>
        <v>206.50054930290528</v>
      </c>
      <c r="IY9" s="12">
        <f t="shared" ca="1" si="365"/>
        <v>206.50054930290528</v>
      </c>
      <c r="IZ9" s="12">
        <f t="shared" ca="1" si="365"/>
        <v>206.50054930290528</v>
      </c>
      <c r="JA9" s="12">
        <f t="shared" ca="1" si="365"/>
        <v>206.50054930290528</v>
      </c>
      <c r="JB9" s="12">
        <f t="shared" ca="1" si="365"/>
        <v>206.50054930290528</v>
      </c>
      <c r="JC9" s="12">
        <f t="shared" ca="1" si="365"/>
        <v>206.50054930290528</v>
      </c>
      <c r="JD9" s="12">
        <f t="shared" ca="1" si="365"/>
        <v>206.50054930290528</v>
      </c>
      <c r="JE9" s="12">
        <f t="shared" ca="1" si="365"/>
        <v>206.50054930290528</v>
      </c>
    </row>
    <row r="10" spans="1:265" x14ac:dyDescent="0.3">
      <c r="A10" t="s">
        <v>887</v>
      </c>
      <c r="C10" s="38"/>
      <c r="D10" s="38"/>
      <c r="E10" s="38"/>
      <c r="F10" s="38"/>
      <c r="G10" s="38"/>
      <c r="H10" s="38"/>
      <c r="I10" s="38"/>
      <c r="Q10" s="42"/>
      <c r="R10" s="38"/>
      <c r="U10" s="12"/>
      <c r="V10" s="12"/>
      <c r="W10" s="12"/>
      <c r="X10" s="12"/>
      <c r="Y10" s="12"/>
      <c r="Z10" s="12"/>
      <c r="AA10" s="12">
        <f ca="1">+C36</f>
        <v>117.76437779643383</v>
      </c>
      <c r="AB10" s="12">
        <f t="shared" ref="AB10" ca="1" si="366">+AA10</f>
        <v>117.76437779643383</v>
      </c>
      <c r="AC10" s="12">
        <f t="shared" ref="AC10" ca="1" si="367">+AB10</f>
        <v>117.76437779643383</v>
      </c>
      <c r="AD10" s="12">
        <f t="shared" ref="AD10" ca="1" si="368">+AC10</f>
        <v>117.76437779643383</v>
      </c>
      <c r="AE10" s="12">
        <f t="shared" ref="AE10" ca="1" si="369">+AD10</f>
        <v>117.76437779643383</v>
      </c>
      <c r="AF10" s="12">
        <f t="shared" ref="AF10" ca="1" si="370">+AE10</f>
        <v>117.76437779643383</v>
      </c>
      <c r="AG10" s="12">
        <f t="shared" ref="AG10" ca="1" si="371">+AF10</f>
        <v>117.76437779643383</v>
      </c>
      <c r="AH10" s="12">
        <f t="shared" ref="AH10" ca="1" si="372">+AG10</f>
        <v>117.76437779643383</v>
      </c>
      <c r="AI10" s="12">
        <f t="shared" ref="AI10" ca="1" si="373">+AH10</f>
        <v>117.76437779643383</v>
      </c>
      <c r="AJ10" s="12">
        <f t="shared" ref="AJ10" ca="1" si="374">+AI10</f>
        <v>117.76437779643383</v>
      </c>
      <c r="AK10" s="12">
        <f t="shared" ref="AK10" ca="1" si="375">+AJ10</f>
        <v>117.76437779643383</v>
      </c>
      <c r="AL10" s="12">
        <f ca="1">+AK10*(1+B2)</f>
        <v>121.29730913032685</v>
      </c>
      <c r="AM10" s="12">
        <f ca="1">+AL10</f>
        <v>121.29730913032685</v>
      </c>
      <c r="AN10" s="12">
        <f t="shared" ref="AN10" ca="1" si="376">+AM10</f>
        <v>121.29730913032685</v>
      </c>
      <c r="AO10" s="12">
        <f t="shared" ref="AO10" ca="1" si="377">+AN10</f>
        <v>121.29730913032685</v>
      </c>
      <c r="AP10" s="12">
        <f t="shared" ref="AP10" ca="1" si="378">+AO10</f>
        <v>121.29730913032685</v>
      </c>
      <c r="AQ10" s="12">
        <f t="shared" ref="AQ10" ca="1" si="379">+AP10</f>
        <v>121.29730913032685</v>
      </c>
      <c r="AR10" s="12">
        <f t="shared" ref="AR10" ca="1" si="380">+AQ10</f>
        <v>121.29730913032685</v>
      </c>
      <c r="AS10" s="12">
        <f t="shared" ref="AS10" ca="1" si="381">+AR10</f>
        <v>121.29730913032685</v>
      </c>
      <c r="AT10" s="12">
        <f t="shared" ref="AT10" ca="1" si="382">+AS10</f>
        <v>121.29730913032685</v>
      </c>
      <c r="AU10" s="12">
        <f t="shared" ref="AU10" ca="1" si="383">+AT10</f>
        <v>121.29730913032685</v>
      </c>
      <c r="AV10" s="12">
        <f t="shared" ref="AV10" ca="1" si="384">+AU10</f>
        <v>121.29730913032685</v>
      </c>
      <c r="AW10" s="12">
        <f t="shared" ref="AW10" ca="1" si="385">+AV10</f>
        <v>121.29730913032685</v>
      </c>
      <c r="AX10" s="12">
        <f ca="1">+AW10*(1+B2)</f>
        <v>124.93622840423666</v>
      </c>
      <c r="AY10" s="12">
        <f ca="1">+AX10</f>
        <v>124.93622840423666</v>
      </c>
      <c r="AZ10" s="12">
        <f t="shared" ref="AZ10" ca="1" si="386">+AY10</f>
        <v>124.93622840423666</v>
      </c>
      <c r="BA10" s="12">
        <f t="shared" ref="BA10" ca="1" si="387">+AZ10</f>
        <v>124.93622840423666</v>
      </c>
      <c r="BB10" s="12">
        <f t="shared" ref="BB10" ca="1" si="388">+BA10</f>
        <v>124.93622840423666</v>
      </c>
      <c r="BC10" s="12">
        <f t="shared" ref="BC10" ca="1" si="389">+BB10</f>
        <v>124.93622840423666</v>
      </c>
      <c r="BD10" s="12">
        <f t="shared" ref="BD10" ca="1" si="390">+BC10</f>
        <v>124.93622840423666</v>
      </c>
      <c r="BE10" s="12">
        <f ca="1">+BD10</f>
        <v>124.93622840423666</v>
      </c>
      <c r="BF10" s="12">
        <f t="shared" ref="BF10" ca="1" si="391">+BE10</f>
        <v>124.93622840423666</v>
      </c>
      <c r="BG10" s="12">
        <f t="shared" ref="BG10" ca="1" si="392">+BF10</f>
        <v>124.93622840423666</v>
      </c>
      <c r="BH10" s="12">
        <f t="shared" ref="BH10" ca="1" si="393">+BG10</f>
        <v>124.93622840423666</v>
      </c>
      <c r="BI10" s="12">
        <f t="shared" ref="BI10" ca="1" si="394">+BH10</f>
        <v>124.93622840423666</v>
      </c>
      <c r="BJ10" s="12">
        <f ca="1">+BI10*(1+$B$2)</f>
        <v>128.68431525636376</v>
      </c>
      <c r="BK10" s="12">
        <f ca="1">+BJ10</f>
        <v>128.68431525636376</v>
      </c>
      <c r="BL10" s="12">
        <f t="shared" ref="BL10" ca="1" si="395">+BK10</f>
        <v>128.68431525636376</v>
      </c>
      <c r="BM10" s="12">
        <f t="shared" ref="BM10" ca="1" si="396">+BL10</f>
        <v>128.68431525636376</v>
      </c>
      <c r="BN10" s="12">
        <f t="shared" ref="BN10" ca="1" si="397">+BM10</f>
        <v>128.68431525636376</v>
      </c>
      <c r="BO10" s="12">
        <f t="shared" ref="BO10" ca="1" si="398">+BN10</f>
        <v>128.68431525636376</v>
      </c>
      <c r="BP10" s="12">
        <f t="shared" ref="BP10" ca="1" si="399">+BO10</f>
        <v>128.68431525636376</v>
      </c>
      <c r="BQ10" s="12">
        <f t="shared" ref="BQ10" ca="1" si="400">+BP10</f>
        <v>128.68431525636376</v>
      </c>
      <c r="BR10" s="12">
        <f t="shared" ref="BR10" ca="1" si="401">+BQ10</f>
        <v>128.68431525636376</v>
      </c>
      <c r="BS10" s="12">
        <f t="shared" ref="BS10" ca="1" si="402">+BR10</f>
        <v>128.68431525636376</v>
      </c>
      <c r="BT10" s="12">
        <f t="shared" ref="BT10" ca="1" si="403">+BS10</f>
        <v>128.68431525636376</v>
      </c>
      <c r="BU10" s="12">
        <f t="shared" ref="BU10" ca="1" si="404">+BT10</f>
        <v>128.68431525636376</v>
      </c>
      <c r="BV10" s="12">
        <f ca="1">+BU10*(1+B2)</f>
        <v>132.54484471405468</v>
      </c>
      <c r="BW10" s="12">
        <f ca="1">+BV10</f>
        <v>132.54484471405468</v>
      </c>
      <c r="BX10" s="12">
        <f t="shared" ref="BX10" ca="1" si="405">+BW10</f>
        <v>132.54484471405468</v>
      </c>
      <c r="BY10" s="12">
        <f t="shared" ref="BY10" ca="1" si="406">+BX10</f>
        <v>132.54484471405468</v>
      </c>
      <c r="BZ10" s="12">
        <f t="shared" ref="BZ10" ca="1" si="407">+BY10</f>
        <v>132.54484471405468</v>
      </c>
      <c r="CA10" s="12">
        <f t="shared" ref="CA10" ca="1" si="408">+BZ10</f>
        <v>132.54484471405468</v>
      </c>
      <c r="CB10" s="12">
        <f t="shared" ref="CB10" ca="1" si="409">+CA10</f>
        <v>132.54484471405468</v>
      </c>
      <c r="CC10" s="12">
        <f t="shared" ref="CC10" ca="1" si="410">+CB10</f>
        <v>132.54484471405468</v>
      </c>
      <c r="CD10" s="12">
        <f t="shared" ref="CD10" ca="1" si="411">+CC10</f>
        <v>132.54484471405468</v>
      </c>
      <c r="CE10" s="12">
        <f t="shared" ref="CE10" ca="1" si="412">+CD10</f>
        <v>132.54484471405468</v>
      </c>
      <c r="CF10" s="12">
        <f t="shared" ref="CF10" ca="1" si="413">+CE10</f>
        <v>132.54484471405468</v>
      </c>
      <c r="CG10" s="12">
        <f t="shared" ref="CG10" ca="1" si="414">+CF10</f>
        <v>132.54484471405468</v>
      </c>
      <c r="CH10" s="30">
        <f ca="1">+CG10*(1+$B$2)</f>
        <v>136.52119005547632</v>
      </c>
      <c r="CI10" s="12">
        <f ca="1">+CH10</f>
        <v>136.52119005547632</v>
      </c>
      <c r="CJ10" s="12">
        <f ca="1">+CI10</f>
        <v>136.52119005547632</v>
      </c>
      <c r="CK10" s="12">
        <f t="shared" ref="CK10" ca="1" si="415">+CJ10</f>
        <v>136.52119005547632</v>
      </c>
      <c r="CL10" s="12">
        <f t="shared" ref="CL10" ca="1" si="416">+CK10</f>
        <v>136.52119005547632</v>
      </c>
      <c r="CM10" s="12">
        <f t="shared" ref="CM10" ca="1" si="417">+CL10</f>
        <v>136.52119005547632</v>
      </c>
      <c r="CN10" s="12">
        <f t="shared" ref="CN10" ca="1" si="418">+CM10</f>
        <v>136.52119005547632</v>
      </c>
      <c r="CO10" s="12">
        <f t="shared" ref="CO10" ca="1" si="419">+CN10</f>
        <v>136.52119005547632</v>
      </c>
      <c r="CP10" s="12">
        <f t="shared" ref="CP10" ca="1" si="420">+CO10</f>
        <v>136.52119005547632</v>
      </c>
      <c r="CQ10" s="12">
        <f t="shared" ref="CQ10" ca="1" si="421">+CP10</f>
        <v>136.52119005547632</v>
      </c>
      <c r="CR10" s="12">
        <f t="shared" ref="CR10" ca="1" si="422">+CQ10</f>
        <v>136.52119005547632</v>
      </c>
      <c r="CS10" s="12">
        <f t="shared" ref="CS10" ca="1" si="423">+CR10</f>
        <v>136.52119005547632</v>
      </c>
      <c r="CT10" s="12">
        <f ca="1">+CS10*(1+B2)</f>
        <v>140.61682575714062</v>
      </c>
      <c r="CU10" s="12">
        <f ca="1">+CT10</f>
        <v>140.61682575714062</v>
      </c>
      <c r="CV10" s="12">
        <f t="shared" ref="CV10" ca="1" si="424">+CU10</f>
        <v>140.61682575714062</v>
      </c>
      <c r="CW10" s="12">
        <f t="shared" ref="CW10" ca="1" si="425">+CV10</f>
        <v>140.61682575714062</v>
      </c>
      <c r="CX10" s="12">
        <f t="shared" ref="CX10" ca="1" si="426">+CW10</f>
        <v>140.61682575714062</v>
      </c>
      <c r="CY10" s="12">
        <f t="shared" ref="CY10" ca="1" si="427">+CX10</f>
        <v>140.61682575714062</v>
      </c>
      <c r="CZ10" s="12">
        <f t="shared" ref="CZ10" ca="1" si="428">+CY10</f>
        <v>140.61682575714062</v>
      </c>
      <c r="DA10" s="12">
        <f t="shared" ref="DA10" ca="1" si="429">+CZ10</f>
        <v>140.61682575714062</v>
      </c>
      <c r="DB10" s="12">
        <f t="shared" ref="DB10" ca="1" si="430">+DA10</f>
        <v>140.61682575714062</v>
      </c>
      <c r="DC10" s="12">
        <f t="shared" ref="DC10" ca="1" si="431">+DB10</f>
        <v>140.61682575714062</v>
      </c>
      <c r="DD10" s="12">
        <f t="shared" ref="DD10" ca="1" si="432">+DC10</f>
        <v>140.61682575714062</v>
      </c>
      <c r="DE10" s="12">
        <f t="shared" ref="DE10" ca="1" si="433">+DD10</f>
        <v>140.61682575714062</v>
      </c>
      <c r="DF10" s="12">
        <f ca="1">+DE10*(1+B2)</f>
        <v>144.83533052985484</v>
      </c>
      <c r="DG10" s="12">
        <f ca="1">+DF10</f>
        <v>144.83533052985484</v>
      </c>
      <c r="DH10" s="12">
        <f t="shared" ref="DH10" ca="1" si="434">+DG10</f>
        <v>144.83533052985484</v>
      </c>
      <c r="DI10" s="12">
        <f t="shared" ref="DI10" ca="1" si="435">+DH10</f>
        <v>144.83533052985484</v>
      </c>
      <c r="DJ10" s="12">
        <f t="shared" ref="DJ10" ca="1" si="436">+DI10</f>
        <v>144.83533052985484</v>
      </c>
      <c r="DK10" s="12">
        <f t="shared" ref="DK10" ca="1" si="437">+DJ10</f>
        <v>144.83533052985484</v>
      </c>
      <c r="DL10" s="12">
        <f t="shared" ref="DL10" ca="1" si="438">+DK10</f>
        <v>144.83533052985484</v>
      </c>
      <c r="DM10" s="12">
        <f t="shared" ref="DM10" ca="1" si="439">+DL10</f>
        <v>144.83533052985484</v>
      </c>
      <c r="DN10" s="12">
        <f t="shared" ref="DN10" ca="1" si="440">+DM10</f>
        <v>144.83533052985484</v>
      </c>
      <c r="DO10" s="12">
        <f t="shared" ref="DO10" ca="1" si="441">+DN10</f>
        <v>144.83533052985484</v>
      </c>
      <c r="DP10" s="12">
        <f t="shared" ref="DP10" ca="1" si="442">+DO10</f>
        <v>144.83533052985484</v>
      </c>
      <c r="DQ10" s="12">
        <f t="shared" ref="DQ10" ca="1" si="443">+DP10</f>
        <v>144.83533052985484</v>
      </c>
      <c r="DR10" s="12">
        <f ca="1">+DQ10*(1+B2)</f>
        <v>149.1803904457505</v>
      </c>
      <c r="DS10" s="12">
        <f ca="1">+DR10</f>
        <v>149.1803904457505</v>
      </c>
      <c r="DT10" s="12">
        <f t="shared" ref="DT10" ca="1" si="444">+DS10</f>
        <v>149.1803904457505</v>
      </c>
      <c r="DU10" s="12">
        <f t="shared" ref="DU10" ca="1" si="445">+DT10</f>
        <v>149.1803904457505</v>
      </c>
      <c r="DV10" s="12">
        <f t="shared" ref="DV10" ca="1" si="446">+DU10</f>
        <v>149.1803904457505</v>
      </c>
      <c r="DW10" s="12">
        <f t="shared" ref="DW10" ca="1" si="447">+DV10</f>
        <v>149.1803904457505</v>
      </c>
      <c r="DX10" s="12">
        <f t="shared" ref="DX10" ca="1" si="448">+DW10</f>
        <v>149.1803904457505</v>
      </c>
      <c r="DY10" s="12">
        <f t="shared" ref="DY10" ca="1" si="449">+DX10</f>
        <v>149.1803904457505</v>
      </c>
      <c r="DZ10" s="12">
        <f t="shared" ref="DZ10" ca="1" si="450">+DY10</f>
        <v>149.1803904457505</v>
      </c>
      <c r="EA10" s="12">
        <f t="shared" ref="EA10" ca="1" si="451">+DZ10</f>
        <v>149.1803904457505</v>
      </c>
      <c r="EB10" s="12">
        <f t="shared" ref="EB10" ca="1" si="452">+EA10</f>
        <v>149.1803904457505</v>
      </c>
      <c r="EC10" s="12">
        <f t="shared" ref="EC10" ca="1" si="453">+EB10</f>
        <v>149.1803904457505</v>
      </c>
      <c r="ED10" s="12">
        <f ca="1">+EC10*(1+B2)</f>
        <v>153.65580215912303</v>
      </c>
      <c r="EE10" s="12">
        <f ca="1">+ED10</f>
        <v>153.65580215912303</v>
      </c>
      <c r="EF10" s="12">
        <f t="shared" ref="EF10" ca="1" si="454">+EE10</f>
        <v>153.65580215912303</v>
      </c>
      <c r="EG10" s="12">
        <f t="shared" ref="EG10" ca="1" si="455">+EF10</f>
        <v>153.65580215912303</v>
      </c>
      <c r="EH10" s="12">
        <f t="shared" ref="EH10" ca="1" si="456">+EG10</f>
        <v>153.65580215912303</v>
      </c>
      <c r="EI10" s="12">
        <f t="shared" ref="EI10" ca="1" si="457">+EH10</f>
        <v>153.65580215912303</v>
      </c>
      <c r="EJ10" s="12">
        <f t="shared" ref="EJ10" ca="1" si="458">+EI10</f>
        <v>153.65580215912303</v>
      </c>
      <c r="EK10" s="12">
        <f t="shared" ref="EK10" ca="1" si="459">+EJ10</f>
        <v>153.65580215912303</v>
      </c>
      <c r="EL10" s="12">
        <f t="shared" ref="EL10" ca="1" si="460">+EK10</f>
        <v>153.65580215912303</v>
      </c>
      <c r="EM10" s="12">
        <f t="shared" ref="EM10" ca="1" si="461">+EL10</f>
        <v>153.65580215912303</v>
      </c>
      <c r="EN10" s="12">
        <f t="shared" ref="EN10" ca="1" si="462">+EM10</f>
        <v>153.65580215912303</v>
      </c>
      <c r="EO10" s="12">
        <f t="shared" ref="EO10" ca="1" si="463">+EN10</f>
        <v>153.65580215912303</v>
      </c>
      <c r="EP10" s="12">
        <f ca="1">+EO10*(1+B2)</f>
        <v>158.26547622389671</v>
      </c>
      <c r="EQ10" s="12">
        <f ca="1">+EP10</f>
        <v>158.26547622389671</v>
      </c>
      <c r="ER10" s="12">
        <f t="shared" ref="ER10" ca="1" si="464">+EQ10</f>
        <v>158.26547622389671</v>
      </c>
      <c r="ES10" s="12">
        <f t="shared" ref="ES10" ca="1" si="465">+ER10</f>
        <v>158.26547622389671</v>
      </c>
      <c r="ET10" s="12">
        <f t="shared" ref="ET10" ca="1" si="466">+ES10</f>
        <v>158.26547622389671</v>
      </c>
      <c r="EU10" s="12">
        <f t="shared" ref="EU10" ca="1" si="467">+ET10</f>
        <v>158.26547622389671</v>
      </c>
      <c r="EV10" s="12">
        <f t="shared" ref="EV10" ca="1" si="468">+EU10</f>
        <v>158.26547622389671</v>
      </c>
      <c r="EW10" s="12">
        <f t="shared" ref="EW10" ca="1" si="469">+EV10</f>
        <v>158.26547622389671</v>
      </c>
      <c r="EX10" s="12">
        <f t="shared" ref="EX10" ca="1" si="470">+EW10</f>
        <v>158.26547622389671</v>
      </c>
      <c r="EY10" s="12">
        <f t="shared" ref="EY10" ca="1" si="471">+EX10</f>
        <v>158.26547622389671</v>
      </c>
      <c r="EZ10" s="12">
        <f t="shared" ref="EZ10" ca="1" si="472">+EY10</f>
        <v>158.26547622389671</v>
      </c>
      <c r="FA10" s="12">
        <f t="shared" ref="FA10" ca="1" si="473">+EZ10</f>
        <v>158.26547622389671</v>
      </c>
      <c r="FB10" s="12">
        <f ca="1">+FA10*(1+B2)</f>
        <v>163.01344051061361</v>
      </c>
      <c r="FC10" s="12">
        <f ca="1">+FB10</f>
        <v>163.01344051061361</v>
      </c>
      <c r="FD10" s="12">
        <f t="shared" ref="FD10" ca="1" si="474">+FC10</f>
        <v>163.01344051061361</v>
      </c>
      <c r="FE10" s="12">
        <f t="shared" ref="FE10" ca="1" si="475">+FD10</f>
        <v>163.01344051061361</v>
      </c>
      <c r="FF10" s="12">
        <f t="shared" ref="FF10" ca="1" si="476">+FE10</f>
        <v>163.01344051061361</v>
      </c>
      <c r="FG10" s="12">
        <f t="shared" ref="FG10" ca="1" si="477">+FF10</f>
        <v>163.01344051061361</v>
      </c>
      <c r="FH10" s="12">
        <f t="shared" ref="FH10" ca="1" si="478">+FG10</f>
        <v>163.01344051061361</v>
      </c>
      <c r="FI10" s="12">
        <f t="shared" ref="FI10" ca="1" si="479">+FH10</f>
        <v>163.01344051061361</v>
      </c>
      <c r="FJ10" s="12">
        <f t="shared" ref="FJ10" ca="1" si="480">+FI10</f>
        <v>163.01344051061361</v>
      </c>
      <c r="FK10" s="12">
        <f t="shared" ref="FK10" ca="1" si="481">+FJ10</f>
        <v>163.01344051061361</v>
      </c>
      <c r="FL10" s="12">
        <f t="shared" ref="FL10" ca="1" si="482">+FK10</f>
        <v>163.01344051061361</v>
      </c>
      <c r="FM10" s="12">
        <f t="shared" ref="FM10" ca="1" si="483">+FL10</f>
        <v>163.01344051061361</v>
      </c>
      <c r="FN10" s="12">
        <f ca="1">+FM10*(1+B2)</f>
        <v>167.90384372593201</v>
      </c>
      <c r="FO10" s="12">
        <f ca="1">+FN10</f>
        <v>167.90384372593201</v>
      </c>
      <c r="FP10" s="12">
        <f t="shared" ref="FP10" ca="1" si="484">+FO10</f>
        <v>167.90384372593201</v>
      </c>
      <c r="FQ10" s="12">
        <f t="shared" ref="FQ10" ca="1" si="485">+FP10</f>
        <v>167.90384372593201</v>
      </c>
      <c r="FR10" s="12">
        <f t="shared" ref="FR10" ca="1" si="486">+FQ10</f>
        <v>167.90384372593201</v>
      </c>
      <c r="FS10" s="12">
        <f t="shared" ref="FS10" ca="1" si="487">+FR10</f>
        <v>167.90384372593201</v>
      </c>
      <c r="FT10" s="12">
        <f t="shared" ref="FT10" ca="1" si="488">+FS10</f>
        <v>167.90384372593201</v>
      </c>
      <c r="FU10" s="12">
        <f t="shared" ref="FU10" ca="1" si="489">+FT10</f>
        <v>167.90384372593201</v>
      </c>
      <c r="FV10" s="12">
        <f t="shared" ref="FV10" ca="1" si="490">+FU10</f>
        <v>167.90384372593201</v>
      </c>
      <c r="FW10" s="12">
        <f t="shared" ref="FW10" ca="1" si="491">+FV10</f>
        <v>167.90384372593201</v>
      </c>
      <c r="FX10" s="12">
        <f t="shared" ref="FX10" ca="1" si="492">+FW10</f>
        <v>167.90384372593201</v>
      </c>
      <c r="FY10" s="12">
        <f ca="1">+FX10</f>
        <v>167.90384372593201</v>
      </c>
      <c r="FZ10" s="12">
        <f ca="1">+FY10*(1+B2)</f>
        <v>172.94095903770997</v>
      </c>
      <c r="GA10" s="12">
        <f ca="1">+FZ10</f>
        <v>172.94095903770997</v>
      </c>
      <c r="GB10" s="12">
        <f t="shared" ref="GB10" ca="1" si="493">+GA10</f>
        <v>172.94095903770997</v>
      </c>
      <c r="GC10" s="12">
        <f t="shared" ref="GC10" ca="1" si="494">+GB10</f>
        <v>172.94095903770997</v>
      </c>
      <c r="GD10" s="12">
        <f t="shared" ref="GD10" ca="1" si="495">+GC10</f>
        <v>172.94095903770997</v>
      </c>
      <c r="GE10" s="12">
        <f t="shared" ref="GE10" ca="1" si="496">+GD10</f>
        <v>172.94095903770997</v>
      </c>
      <c r="GF10" s="12">
        <f t="shared" ref="GF10" ca="1" si="497">+GE10</f>
        <v>172.94095903770997</v>
      </c>
      <c r="GG10" s="12">
        <f t="shared" ref="GG10" ca="1" si="498">+GF10</f>
        <v>172.94095903770997</v>
      </c>
      <c r="GH10" s="12">
        <f t="shared" ref="GH10" ca="1" si="499">+GG10</f>
        <v>172.94095903770997</v>
      </c>
      <c r="GI10" s="12">
        <f t="shared" ref="GI10" ca="1" si="500">+GH10</f>
        <v>172.94095903770997</v>
      </c>
      <c r="GJ10" s="12">
        <f t="shared" ref="GJ10" ca="1" si="501">+GI10</f>
        <v>172.94095903770997</v>
      </c>
      <c r="GK10" s="12">
        <f t="shared" ref="GK10" ca="1" si="502">+GJ10</f>
        <v>172.94095903770997</v>
      </c>
      <c r="GL10" s="12">
        <f ca="1">+GK10*(1+B2)</f>
        <v>178.12918780884127</v>
      </c>
      <c r="GM10" s="12">
        <f ca="1">+GL10</f>
        <v>178.12918780884127</v>
      </c>
      <c r="GN10" s="12">
        <f t="shared" ref="GN10" ca="1" si="503">+GM10</f>
        <v>178.12918780884127</v>
      </c>
      <c r="GO10" s="12">
        <f t="shared" ref="GO10" ca="1" si="504">+GN10</f>
        <v>178.12918780884127</v>
      </c>
      <c r="GP10" s="12">
        <f t="shared" ref="GP10" ca="1" si="505">+GO10</f>
        <v>178.12918780884127</v>
      </c>
      <c r="GQ10" s="12">
        <f t="shared" ref="GQ10" ca="1" si="506">+GP10</f>
        <v>178.12918780884127</v>
      </c>
      <c r="GR10" s="12">
        <f t="shared" ref="GR10" ca="1" si="507">+GQ10</f>
        <v>178.12918780884127</v>
      </c>
      <c r="GS10" s="12">
        <f t="shared" ref="GS10" ca="1" si="508">+GR10</f>
        <v>178.12918780884127</v>
      </c>
      <c r="GT10" s="12">
        <f t="shared" ref="GT10" ca="1" si="509">+GS10</f>
        <v>178.12918780884127</v>
      </c>
      <c r="GU10" s="12">
        <f t="shared" ref="GU10" ca="1" si="510">+GT10</f>
        <v>178.12918780884127</v>
      </c>
      <c r="GV10" s="12">
        <f t="shared" ref="GV10" ca="1" si="511">+GU10</f>
        <v>178.12918780884127</v>
      </c>
      <c r="GW10" s="12">
        <f t="shared" ref="GW10" ca="1" si="512">+GV10</f>
        <v>178.12918780884127</v>
      </c>
      <c r="GX10" s="12">
        <f ca="1">+GW10*(1+B2)</f>
        <v>183.4730634431065</v>
      </c>
      <c r="GY10" s="12">
        <f ca="1">+GX10</f>
        <v>183.4730634431065</v>
      </c>
      <c r="GZ10" s="12">
        <f t="shared" ref="GZ10" ca="1" si="513">+GY10</f>
        <v>183.4730634431065</v>
      </c>
      <c r="HA10" s="12">
        <f t="shared" ref="HA10" ca="1" si="514">+GZ10</f>
        <v>183.4730634431065</v>
      </c>
      <c r="HB10" s="12">
        <f t="shared" ref="HB10" ca="1" si="515">+HA10</f>
        <v>183.4730634431065</v>
      </c>
      <c r="HC10" s="12">
        <f t="shared" ref="HC10" ca="1" si="516">+HB10</f>
        <v>183.4730634431065</v>
      </c>
      <c r="HD10" s="12">
        <f t="shared" ref="HD10" ca="1" si="517">+HC10</f>
        <v>183.4730634431065</v>
      </c>
      <c r="HE10" s="12">
        <f t="shared" ref="HE10" ca="1" si="518">+HD10</f>
        <v>183.4730634431065</v>
      </c>
      <c r="HF10" s="12">
        <f t="shared" ref="HF10" ca="1" si="519">+HE10</f>
        <v>183.4730634431065</v>
      </c>
      <c r="HG10" s="12">
        <f t="shared" ref="HG10" ca="1" si="520">+HF10</f>
        <v>183.4730634431065</v>
      </c>
      <c r="HH10" s="12">
        <f t="shared" ref="HH10" ca="1" si="521">+HG10</f>
        <v>183.4730634431065</v>
      </c>
      <c r="HI10" s="12">
        <f t="shared" ref="HI10" ca="1" si="522">+HH10</f>
        <v>183.4730634431065</v>
      </c>
      <c r="HJ10" s="12">
        <f ca="1">+HI10*(1+B2)</f>
        <v>188.97725534639969</v>
      </c>
      <c r="HK10" s="12">
        <f ca="1">+HJ10</f>
        <v>188.97725534639969</v>
      </c>
      <c r="HL10" s="12">
        <f t="shared" ref="HL10" ca="1" si="523">+HK10</f>
        <v>188.97725534639969</v>
      </c>
      <c r="HM10" s="12">
        <f t="shared" ref="HM10" ca="1" si="524">+HL10</f>
        <v>188.97725534639969</v>
      </c>
      <c r="HN10" s="12">
        <f t="shared" ref="HN10" ca="1" si="525">+HM10</f>
        <v>188.97725534639969</v>
      </c>
      <c r="HO10" s="12">
        <f t="shared" ref="HO10" ca="1" si="526">+HN10</f>
        <v>188.97725534639969</v>
      </c>
      <c r="HP10" s="12">
        <f t="shared" ref="HP10" ca="1" si="527">+HO10</f>
        <v>188.97725534639969</v>
      </c>
      <c r="HQ10" s="12">
        <f t="shared" ref="HQ10" ca="1" si="528">+HP10</f>
        <v>188.97725534639969</v>
      </c>
      <c r="HR10" s="12">
        <f t="shared" ref="HR10" ca="1" si="529">+HQ10</f>
        <v>188.97725534639969</v>
      </c>
      <c r="HS10" s="12">
        <f t="shared" ref="HS10" ca="1" si="530">+HR10</f>
        <v>188.97725534639969</v>
      </c>
      <c r="HT10" s="12">
        <f t="shared" ref="HT10" ca="1" si="531">+HS10</f>
        <v>188.97725534639969</v>
      </c>
      <c r="HU10" s="12">
        <f t="shared" ref="HU10" ca="1" si="532">+HT10</f>
        <v>188.97725534639969</v>
      </c>
      <c r="HV10" s="12">
        <f ca="1">+HU10*(1+B2)</f>
        <v>194.64657300679167</v>
      </c>
      <c r="HW10" s="12">
        <f ca="1">+HV10</f>
        <v>194.64657300679167</v>
      </c>
      <c r="HX10" s="12">
        <f t="shared" ref="HX10" ca="1" si="533">+HW10</f>
        <v>194.64657300679167</v>
      </c>
      <c r="HY10" s="12">
        <f t="shared" ref="HY10" ca="1" si="534">+HX10</f>
        <v>194.64657300679167</v>
      </c>
      <c r="HZ10" s="12">
        <f t="shared" ref="HZ10" ca="1" si="535">+HY10</f>
        <v>194.64657300679167</v>
      </c>
      <c r="IA10" s="12">
        <f t="shared" ref="IA10" ca="1" si="536">+HZ10</f>
        <v>194.64657300679167</v>
      </c>
      <c r="IB10" s="12">
        <f t="shared" ref="IB10" ca="1" si="537">+IA10</f>
        <v>194.64657300679167</v>
      </c>
      <c r="IC10" s="12">
        <f t="shared" ref="IC10" ca="1" si="538">+IB10</f>
        <v>194.64657300679167</v>
      </c>
      <c r="ID10" s="12">
        <f t="shared" ref="ID10" ca="1" si="539">+IC10</f>
        <v>194.64657300679167</v>
      </c>
      <c r="IE10" s="12">
        <f t="shared" ref="IE10" ca="1" si="540">+ID10</f>
        <v>194.64657300679167</v>
      </c>
      <c r="IF10" s="12">
        <f t="shared" ref="IF10" ca="1" si="541">+IE10</f>
        <v>194.64657300679167</v>
      </c>
      <c r="IG10" s="12">
        <f t="shared" ref="IG10" ca="1" si="542">+IF10</f>
        <v>194.64657300679167</v>
      </c>
      <c r="IH10" s="12">
        <f ca="1">+IG10*(1+B2)</f>
        <v>200.48597019699542</v>
      </c>
      <c r="II10" s="12">
        <f ca="1">+IH10</f>
        <v>200.48597019699542</v>
      </c>
      <c r="IJ10" s="12">
        <f t="shared" ref="IJ10" ca="1" si="543">+II10</f>
        <v>200.48597019699542</v>
      </c>
      <c r="IK10" s="12">
        <f t="shared" ref="IK10" ca="1" si="544">+IJ10</f>
        <v>200.48597019699542</v>
      </c>
      <c r="IL10" s="12">
        <f t="shared" ref="IL10" ca="1" si="545">+IK10</f>
        <v>200.48597019699542</v>
      </c>
      <c r="IM10" s="12">
        <f t="shared" ref="IM10" ca="1" si="546">+IL10</f>
        <v>200.48597019699542</v>
      </c>
      <c r="IN10" s="12">
        <f t="shared" ref="IN10" ca="1" si="547">+IM10</f>
        <v>200.48597019699542</v>
      </c>
      <c r="IO10" s="12">
        <f t="shared" ref="IO10" ca="1" si="548">+IN10</f>
        <v>200.48597019699542</v>
      </c>
      <c r="IP10" s="12">
        <f t="shared" ref="IP10" ca="1" si="549">+IO10</f>
        <v>200.48597019699542</v>
      </c>
      <c r="IQ10" s="12">
        <f t="shared" ref="IQ10" ca="1" si="550">+IP10</f>
        <v>200.48597019699542</v>
      </c>
      <c r="IR10" s="12">
        <f t="shared" ref="IR10" ca="1" si="551">+IQ10</f>
        <v>200.48597019699542</v>
      </c>
      <c r="IS10" s="12">
        <f t="shared" ref="IS10" ca="1" si="552">+IR10</f>
        <v>200.48597019699542</v>
      </c>
      <c r="IT10" s="12">
        <f ca="1">+IS10*(1+B2)</f>
        <v>206.50054930290528</v>
      </c>
      <c r="IU10" s="12">
        <f ca="1">+IT10</f>
        <v>206.50054930290528</v>
      </c>
      <c r="IV10" s="12">
        <f t="shared" ref="IV10" ca="1" si="553">+IU10</f>
        <v>206.50054930290528</v>
      </c>
      <c r="IW10" s="12">
        <f t="shared" ref="IW10" ca="1" si="554">+IV10</f>
        <v>206.50054930290528</v>
      </c>
      <c r="IX10" s="12">
        <f t="shared" ref="IX10" ca="1" si="555">+IW10</f>
        <v>206.50054930290528</v>
      </c>
      <c r="IY10" s="12">
        <f t="shared" ref="IY10" ca="1" si="556">+IX10</f>
        <v>206.50054930290528</v>
      </c>
      <c r="IZ10" s="12">
        <f t="shared" ref="IZ10" ca="1" si="557">+IY10</f>
        <v>206.50054930290528</v>
      </c>
      <c r="JA10" s="12">
        <f t="shared" ref="JA10" ca="1" si="558">+IZ10</f>
        <v>206.50054930290528</v>
      </c>
      <c r="JB10" s="12">
        <f t="shared" ref="JB10" ca="1" si="559">+JA10</f>
        <v>206.50054930290528</v>
      </c>
      <c r="JC10" s="12">
        <f t="shared" ref="JC10" ca="1" si="560">+JB10</f>
        <v>206.50054930290528</v>
      </c>
      <c r="JD10" s="12">
        <f t="shared" ref="JD10" ca="1" si="561">+JC10</f>
        <v>206.50054930290528</v>
      </c>
      <c r="JE10" s="12">
        <f t="shared" ref="JE10" ca="1" si="562">+JD10</f>
        <v>206.50054930290528</v>
      </c>
    </row>
    <row r="11" spans="1:265" x14ac:dyDescent="0.3">
      <c r="A11" t="s">
        <v>847</v>
      </c>
      <c r="B11">
        <v>421</v>
      </c>
      <c r="C11">
        <v>607</v>
      </c>
      <c r="D11" s="30">
        <v>376</v>
      </c>
      <c r="E11" s="30">
        <v>277</v>
      </c>
      <c r="F11" s="30">
        <v>657</v>
      </c>
      <c r="G11" s="30">
        <v>574</v>
      </c>
      <c r="H11" s="30">
        <v>617</v>
      </c>
      <c r="I11" s="30">
        <v>719</v>
      </c>
      <c r="J11" s="30">
        <v>1036</v>
      </c>
      <c r="K11" s="30">
        <v>1178</v>
      </c>
      <c r="L11" s="30">
        <v>777</v>
      </c>
      <c r="M11" s="30">
        <v>708</v>
      </c>
      <c r="N11" s="30">
        <v>563.2689188897898</v>
      </c>
      <c r="O11" s="30">
        <v>571.78431020401501</v>
      </c>
      <c r="P11" s="30">
        <v>621.88625465141388</v>
      </c>
      <c r="Q11" s="30">
        <v>759.08611727990012</v>
      </c>
      <c r="R11" s="30">
        <v>297.15870483867525</v>
      </c>
      <c r="S11" s="30">
        <v>287.12492191645202</v>
      </c>
      <c r="T11" s="30">
        <v>291.63770588746024</v>
      </c>
      <c r="U11" s="30">
        <v>572.95334196097235</v>
      </c>
      <c r="V11" s="30">
        <v>872.37307894909748</v>
      </c>
      <c r="W11" s="30">
        <v>917.84675343819993</v>
      </c>
      <c r="X11" s="30">
        <v>918.48700596730043</v>
      </c>
      <c r="Y11" s="30">
        <v>759.5353879713183</v>
      </c>
      <c r="Z11" s="30">
        <v>410.97074948300434</v>
      </c>
      <c r="AA11" s="30">
        <v>502.7327297681133</v>
      </c>
      <c r="AB11" s="30">
        <v>400</v>
      </c>
      <c r="AC11" s="30">
        <v>400</v>
      </c>
      <c r="AD11" s="30">
        <v>400</v>
      </c>
      <c r="AE11" s="30">
        <v>400</v>
      </c>
      <c r="AF11" s="30">
        <v>400</v>
      </c>
      <c r="AG11" s="30">
        <v>422.83601609611441</v>
      </c>
      <c r="AH11" s="30">
        <v>716.06872268758036</v>
      </c>
      <c r="AI11" s="30">
        <v>750.52801906913862</v>
      </c>
      <c r="AJ11" s="30">
        <v>543.45884359233014</v>
      </c>
      <c r="AK11" s="30">
        <v>589.60375384170311</v>
      </c>
      <c r="AL11" s="30">
        <v>431.51928695715458</v>
      </c>
      <c r="AM11" s="30">
        <v>527.86936625651902</v>
      </c>
      <c r="AN11" s="30">
        <v>402.71224854145231</v>
      </c>
      <c r="AO11" s="30">
        <v>398.00436171042924</v>
      </c>
      <c r="AP11" s="30">
        <v>400</v>
      </c>
      <c r="AQ11" s="30">
        <v>400</v>
      </c>
      <c r="AR11" s="30">
        <v>400</v>
      </c>
      <c r="AS11" s="30">
        <v>443.97781690092012</v>
      </c>
      <c r="AT11" s="30">
        <v>751.87215882195937</v>
      </c>
      <c r="AU11" s="30">
        <v>788.05442002259554</v>
      </c>
      <c r="AV11" s="30">
        <v>570.63178577194662</v>
      </c>
      <c r="AW11" s="30">
        <v>619.08394153378833</v>
      </c>
      <c r="AX11" s="30">
        <v>453.09525130501231</v>
      </c>
      <c r="AY11" s="30">
        <v>554.26283456934505</v>
      </c>
      <c r="AZ11" s="30">
        <v>422.84786096852497</v>
      </c>
      <c r="BA11" s="30">
        <v>417.90457979595072</v>
      </c>
      <c r="BB11" s="30">
        <v>400</v>
      </c>
      <c r="BC11" s="30">
        <v>400</v>
      </c>
      <c r="BD11" s="30">
        <v>400</v>
      </c>
      <c r="BE11" s="30">
        <v>466.17670774596616</v>
      </c>
      <c r="BF11" s="30">
        <v>789.46576676305733</v>
      </c>
      <c r="BG11" s="30">
        <v>827.4571410237254</v>
      </c>
      <c r="BH11" s="30">
        <v>599.16337506054401</v>
      </c>
      <c r="BI11" s="30">
        <v>650.03813861047774</v>
      </c>
      <c r="BJ11" s="30">
        <v>475.75001387026293</v>
      </c>
      <c r="BK11" s="30">
        <v>581.97597629781228</v>
      </c>
      <c r="BL11" s="30">
        <v>443.99025401695121</v>
      </c>
      <c r="BM11" s="30">
        <v>438.79980878574827</v>
      </c>
      <c r="BN11" s="30">
        <v>400</v>
      </c>
      <c r="BO11" s="30">
        <v>400</v>
      </c>
      <c r="BP11" s="30">
        <v>400</v>
      </c>
      <c r="BQ11" s="30">
        <v>489.48554313326446</v>
      </c>
      <c r="BR11" s="30">
        <v>828.93905510121022</v>
      </c>
      <c r="BS11" s="30">
        <v>868.82999807491171</v>
      </c>
      <c r="BT11" s="30">
        <v>629.12154381357129</v>
      </c>
      <c r="BU11" s="30">
        <v>682.54004554100163</v>
      </c>
      <c r="BV11" s="30">
        <v>499.53751456377609</v>
      </c>
      <c r="BW11" s="30">
        <v>611.07477511270292</v>
      </c>
      <c r="BX11" s="30">
        <v>466.18976671779882</v>
      </c>
      <c r="BY11" s="30">
        <v>460.73979922503571</v>
      </c>
      <c r="BZ11" s="30">
        <v>400</v>
      </c>
      <c r="CA11" s="30">
        <v>400</v>
      </c>
      <c r="CB11" s="30">
        <v>400</v>
      </c>
      <c r="CC11" s="30">
        <v>513.95982028992773</v>
      </c>
      <c r="CD11" s="30">
        <v>870.38600785627079</v>
      </c>
      <c r="CE11" s="30">
        <v>912.27149797865729</v>
      </c>
      <c r="CF11" s="30">
        <v>660.57762100424986</v>
      </c>
      <c r="CG11" s="30">
        <v>716.66704781805174</v>
      </c>
      <c r="CH11" s="30">
        <v>524.5143902919649</v>
      </c>
      <c r="CI11" s="30">
        <v>641.62851386833813</v>
      </c>
      <c r="CJ11" s="30">
        <v>489.49925505368878</v>
      </c>
      <c r="CK11" s="30">
        <v>483.77678918628754</v>
      </c>
      <c r="CL11" s="30">
        <v>416.72686986338789</v>
      </c>
      <c r="CM11" s="30">
        <v>400</v>
      </c>
      <c r="CN11" s="30">
        <v>400</v>
      </c>
      <c r="CO11" s="30">
        <v>539.65781130442417</v>
      </c>
      <c r="CP11" s="30">
        <v>913.90530824908433</v>
      </c>
      <c r="CQ11" s="30">
        <v>957.88507287759023</v>
      </c>
      <c r="CR11" s="30">
        <v>693.60650205446234</v>
      </c>
      <c r="CS11" s="30">
        <v>752.50040020895437</v>
      </c>
      <c r="CT11" s="30">
        <v>550.74010980656317</v>
      </c>
      <c r="CU11" s="30">
        <v>673.70993956175505</v>
      </c>
      <c r="CV11" s="30">
        <v>513.97421780637319</v>
      </c>
      <c r="CW11" s="30">
        <v>507.96562864560195</v>
      </c>
      <c r="CX11" s="30">
        <v>437.5632133565573</v>
      </c>
      <c r="CY11" s="30">
        <v>400</v>
      </c>
      <c r="CZ11" s="30">
        <v>415.28082597768793</v>
      </c>
      <c r="DA11" s="30">
        <v>566.64070186964545</v>
      </c>
      <c r="DB11" s="30">
        <v>500</v>
      </c>
      <c r="DC11" s="30">
        <v>500</v>
      </c>
      <c r="DD11" s="30">
        <v>728.28682715718548</v>
      </c>
      <c r="DE11" s="30">
        <v>790.12542021940214</v>
      </c>
      <c r="DF11" s="30">
        <v>578.27711529689134</v>
      </c>
      <c r="DG11" s="30">
        <v>707.39543653984288</v>
      </c>
      <c r="DH11" s="30">
        <v>539.67292869669188</v>
      </c>
      <c r="DI11" s="30">
        <v>533.36391007788211</v>
      </c>
      <c r="DJ11" s="30">
        <v>459.4413740243852</v>
      </c>
      <c r="DK11" s="30">
        <v>404.50342374660408</v>
      </c>
      <c r="DL11" s="30">
        <v>436.04486727657235</v>
      </c>
      <c r="DM11" s="30">
        <v>594.97273696312777</v>
      </c>
      <c r="DN11" s="30">
        <v>500</v>
      </c>
      <c r="DO11" s="30">
        <v>500</v>
      </c>
      <c r="DP11" s="30">
        <v>764.70116851504474</v>
      </c>
      <c r="DQ11" s="30">
        <v>829.63169123037233</v>
      </c>
      <c r="DR11" s="30">
        <v>607.19097106173592</v>
      </c>
      <c r="DS11" s="30">
        <v>742.76520836683505</v>
      </c>
      <c r="DT11" s="30">
        <v>566.65657513152655</v>
      </c>
      <c r="DU11" s="30">
        <v>560.03210558177625</v>
      </c>
      <c r="DV11" s="30">
        <v>482.41344272560445</v>
      </c>
      <c r="DW11" s="30">
        <v>424.72859493393429</v>
      </c>
      <c r="DX11" s="30">
        <v>457.84711064040096</v>
      </c>
      <c r="DY11" s="30">
        <v>624.72137381128414</v>
      </c>
      <c r="DZ11" s="30">
        <v>500</v>
      </c>
      <c r="EA11" s="30">
        <v>500</v>
      </c>
      <c r="EB11" s="30">
        <v>802.93622694079704</v>
      </c>
      <c r="EC11" s="30">
        <v>871.11327579189094</v>
      </c>
      <c r="ED11" s="30">
        <v>637.55051961482275</v>
      </c>
      <c r="EE11" s="30">
        <v>779.90346878517687</v>
      </c>
      <c r="EF11" s="30">
        <v>594.98940388810286</v>
      </c>
      <c r="EG11" s="30">
        <v>588.03371086086509</v>
      </c>
      <c r="EH11" s="30">
        <v>506.53411486188469</v>
      </c>
      <c r="EI11" s="30">
        <v>445.96502468063102</v>
      </c>
      <c r="EJ11" s="30">
        <v>480.73946617242103</v>
      </c>
      <c r="EK11" s="30">
        <v>655.95744250184839</v>
      </c>
      <c r="EL11" s="30">
        <v>500</v>
      </c>
      <c r="EM11" s="30">
        <v>500</v>
      </c>
      <c r="EN11" s="30">
        <v>843.08303828783698</v>
      </c>
      <c r="EO11" s="30">
        <v>914.66893958148557</v>
      </c>
      <c r="EP11" s="30">
        <v>669.42804559556396</v>
      </c>
      <c r="EQ11" s="30">
        <v>818.89864222443578</v>
      </c>
      <c r="ER11" s="30">
        <v>624.738874082508</v>
      </c>
      <c r="ES11" s="30">
        <v>617.43539640390838</v>
      </c>
      <c r="ET11" s="30">
        <v>531.86082060497893</v>
      </c>
      <c r="EU11" s="30">
        <v>468.26327591466259</v>
      </c>
      <c r="EV11" s="30">
        <v>504.77643948104213</v>
      </c>
      <c r="EW11" s="30">
        <v>688.75531462694084</v>
      </c>
      <c r="EX11" s="30">
        <v>500</v>
      </c>
      <c r="EY11" s="30">
        <v>500</v>
      </c>
      <c r="EZ11" s="30">
        <v>885.23719020222882</v>
      </c>
      <c r="FA11" s="30">
        <v>500</v>
      </c>
      <c r="FB11" s="30">
        <v>702.89944787534216</v>
      </c>
      <c r="FC11" s="30">
        <v>859.84357433565765</v>
      </c>
      <c r="FD11" s="30">
        <v>655.97581778663346</v>
      </c>
      <c r="FE11" s="30">
        <v>648.30716622410387</v>
      </c>
      <c r="FF11" s="30">
        <v>558.4538616352279</v>
      </c>
      <c r="FG11" s="30">
        <v>491.67643971039575</v>
      </c>
      <c r="FH11" s="30">
        <v>530.01526145509422</v>
      </c>
      <c r="FI11" s="30">
        <v>723.19308035828794</v>
      </c>
      <c r="FJ11" s="30">
        <v>500</v>
      </c>
      <c r="FK11" s="30">
        <v>500</v>
      </c>
      <c r="FL11" s="30">
        <v>500</v>
      </c>
      <c r="FM11" s="30">
        <v>500</v>
      </c>
      <c r="FN11" s="30">
        <v>500</v>
      </c>
      <c r="FO11" s="30">
        <v>500</v>
      </c>
      <c r="FP11" s="30">
        <v>500</v>
      </c>
      <c r="FQ11" s="30">
        <v>500</v>
      </c>
      <c r="FR11" s="30">
        <v>500</v>
      </c>
      <c r="FS11" s="30">
        <v>500</v>
      </c>
      <c r="FT11" s="30">
        <v>500</v>
      </c>
      <c r="FU11" s="30">
        <v>500</v>
      </c>
      <c r="FV11" s="30">
        <v>500</v>
      </c>
      <c r="FW11" s="30">
        <v>500</v>
      </c>
      <c r="FX11" s="30">
        <v>500</v>
      </c>
      <c r="FY11" s="30">
        <v>500</v>
      </c>
      <c r="FZ11" s="30">
        <v>500</v>
      </c>
      <c r="GA11" s="30">
        <v>500</v>
      </c>
      <c r="GB11" s="30">
        <v>500</v>
      </c>
      <c r="GC11" s="30">
        <v>500</v>
      </c>
      <c r="GD11" s="30">
        <v>500</v>
      </c>
      <c r="GE11" s="30">
        <v>500</v>
      </c>
      <c r="GF11" s="30">
        <v>500</v>
      </c>
      <c r="GG11" s="30">
        <v>500</v>
      </c>
      <c r="GH11" s="30">
        <v>500</v>
      </c>
      <c r="GI11" s="30">
        <v>500</v>
      </c>
      <c r="GJ11" s="30">
        <v>500</v>
      </c>
      <c r="GK11" s="30">
        <v>500</v>
      </c>
      <c r="GL11" s="30">
        <v>500</v>
      </c>
      <c r="GM11" s="30">
        <v>500</v>
      </c>
      <c r="GN11" s="30">
        <v>500</v>
      </c>
      <c r="GO11" s="30">
        <v>500</v>
      </c>
      <c r="GP11" s="30">
        <v>500</v>
      </c>
      <c r="GQ11" s="30">
        <v>500</v>
      </c>
      <c r="GR11" s="30">
        <v>500</v>
      </c>
      <c r="GS11" s="30">
        <v>500</v>
      </c>
      <c r="GT11" s="30">
        <v>500</v>
      </c>
      <c r="GU11" s="30">
        <v>500</v>
      </c>
      <c r="GV11" s="30">
        <v>500</v>
      </c>
      <c r="GW11" s="30">
        <v>500</v>
      </c>
      <c r="GX11" s="30">
        <v>500</v>
      </c>
      <c r="GY11" s="30">
        <v>500</v>
      </c>
      <c r="GZ11" s="30">
        <v>500</v>
      </c>
      <c r="HA11" s="30">
        <v>500</v>
      </c>
      <c r="HB11" s="30">
        <v>500</v>
      </c>
      <c r="HC11" s="30">
        <v>500</v>
      </c>
      <c r="HD11" s="30">
        <v>500</v>
      </c>
      <c r="HE11" s="30">
        <v>500</v>
      </c>
      <c r="HF11" s="30">
        <v>500</v>
      </c>
      <c r="HG11" s="30">
        <v>500</v>
      </c>
      <c r="HH11" s="30">
        <v>500</v>
      </c>
      <c r="HI11" s="30">
        <v>500</v>
      </c>
      <c r="HJ11" s="30">
        <v>500</v>
      </c>
      <c r="HK11" s="30">
        <v>500</v>
      </c>
      <c r="HL11" s="30">
        <v>500</v>
      </c>
      <c r="HM11" s="30">
        <v>500</v>
      </c>
      <c r="HN11" s="30">
        <v>500</v>
      </c>
      <c r="HO11" s="30">
        <v>500</v>
      </c>
      <c r="HP11" s="30">
        <v>500</v>
      </c>
      <c r="HQ11" s="30">
        <v>500</v>
      </c>
      <c r="HR11" s="30">
        <v>500</v>
      </c>
      <c r="HS11" s="30">
        <v>500</v>
      </c>
      <c r="HT11" s="30">
        <v>500</v>
      </c>
      <c r="HU11" s="30">
        <v>500</v>
      </c>
      <c r="HV11" s="30">
        <v>500</v>
      </c>
      <c r="HW11" s="30">
        <v>500</v>
      </c>
      <c r="HX11" s="30">
        <v>500</v>
      </c>
      <c r="HY11" s="30">
        <v>500</v>
      </c>
      <c r="HZ11" s="30">
        <v>500</v>
      </c>
      <c r="IA11" s="30">
        <v>500</v>
      </c>
      <c r="IB11" s="30">
        <v>500</v>
      </c>
      <c r="IC11" s="30">
        <v>500</v>
      </c>
      <c r="ID11" s="30">
        <v>500</v>
      </c>
      <c r="IE11" s="30">
        <v>500</v>
      </c>
      <c r="IF11" s="30">
        <v>500</v>
      </c>
      <c r="IG11" s="30">
        <v>500</v>
      </c>
      <c r="IH11" s="30">
        <v>500</v>
      </c>
      <c r="II11" s="30">
        <v>500</v>
      </c>
      <c r="IJ11" s="30">
        <v>500</v>
      </c>
      <c r="IK11" s="30">
        <v>500</v>
      </c>
      <c r="IL11" s="30">
        <v>500</v>
      </c>
      <c r="IM11" s="30">
        <v>500</v>
      </c>
      <c r="IN11" s="30">
        <v>500</v>
      </c>
      <c r="IO11" s="30">
        <v>500</v>
      </c>
      <c r="IP11" s="30">
        <v>500</v>
      </c>
      <c r="IQ11" s="30">
        <v>500</v>
      </c>
      <c r="IR11" s="30">
        <v>500</v>
      </c>
      <c r="IS11" s="30">
        <v>500</v>
      </c>
      <c r="IT11" s="30">
        <v>500</v>
      </c>
      <c r="IU11" s="30">
        <v>500</v>
      </c>
      <c r="IV11" s="30">
        <v>500</v>
      </c>
      <c r="IW11" s="30">
        <v>500</v>
      </c>
      <c r="IX11" s="30">
        <v>500</v>
      </c>
      <c r="IY11" s="30">
        <v>500</v>
      </c>
      <c r="IZ11" s="30">
        <v>500</v>
      </c>
      <c r="JA11" s="30">
        <v>500</v>
      </c>
      <c r="JB11" s="30">
        <v>500</v>
      </c>
      <c r="JC11" s="30">
        <v>500</v>
      </c>
      <c r="JD11" s="30">
        <v>500</v>
      </c>
      <c r="JE11" s="30">
        <v>500</v>
      </c>
    </row>
    <row r="12" spans="1:265" x14ac:dyDescent="0.3">
      <c r="A12" t="s">
        <v>780</v>
      </c>
      <c r="C12" s="38"/>
      <c r="D12" s="38"/>
      <c r="E12" s="38"/>
      <c r="F12" s="38"/>
      <c r="G12" s="38"/>
      <c r="H12" s="38"/>
      <c r="I12" s="38"/>
      <c r="Q12" s="42"/>
      <c r="R12" s="38"/>
      <c r="U12" s="30">
        <f ca="1">+Producción!X40*1.2</f>
        <v>610945.51359714172</v>
      </c>
      <c r="V12" s="30">
        <f ca="1">+U12</f>
        <v>610945.51359714172</v>
      </c>
      <c r="W12" s="30">
        <f ca="1">+V12</f>
        <v>610945.51359714172</v>
      </c>
      <c r="X12" s="30">
        <f ca="1">+W12</f>
        <v>610945.51359714172</v>
      </c>
      <c r="Y12" s="30">
        <f t="shared" ref="Y12" ca="1" si="563">+X12</f>
        <v>610945.51359714172</v>
      </c>
      <c r="Z12" s="30">
        <f ca="1">+Y12*(1+B2)</f>
        <v>629273.87900505599</v>
      </c>
      <c r="AA12" s="30">
        <f ca="1">+Z12</f>
        <v>629273.87900505599</v>
      </c>
      <c r="AB12" s="30">
        <f t="shared" ca="1" si="346"/>
        <v>629273.87900505599</v>
      </c>
      <c r="AC12" s="30">
        <f t="shared" ca="1" si="346"/>
        <v>629273.87900505599</v>
      </c>
      <c r="AD12" s="30">
        <f t="shared" ca="1" si="346"/>
        <v>629273.87900505599</v>
      </c>
      <c r="AE12" s="30">
        <f t="shared" ca="1" si="346"/>
        <v>629273.87900505599</v>
      </c>
      <c r="AF12" s="30">
        <f t="shared" ca="1" si="346"/>
        <v>629273.87900505599</v>
      </c>
      <c r="AG12" s="30">
        <f t="shared" ca="1" si="346"/>
        <v>629273.87900505599</v>
      </c>
      <c r="AH12" s="30">
        <f t="shared" ca="1" si="346"/>
        <v>629273.87900505599</v>
      </c>
      <c r="AI12" s="30">
        <f t="shared" ca="1" si="346"/>
        <v>629273.87900505599</v>
      </c>
      <c r="AJ12" s="30">
        <f t="shared" ca="1" si="346"/>
        <v>629273.87900505599</v>
      </c>
      <c r="AK12" s="30">
        <f t="shared" ca="1" si="346"/>
        <v>629273.87900505599</v>
      </c>
      <c r="AL12" s="30">
        <f ca="1">+AK12*(1+B2)</f>
        <v>648152.09537520772</v>
      </c>
      <c r="AM12" s="30">
        <f ca="1">+AL12</f>
        <v>648152.09537520772</v>
      </c>
      <c r="AN12" s="30">
        <f t="shared" ref="AN12:AW12" ca="1" si="564">+AM12</f>
        <v>648152.09537520772</v>
      </c>
      <c r="AO12" s="30">
        <f t="shared" ca="1" si="564"/>
        <v>648152.09537520772</v>
      </c>
      <c r="AP12" s="30">
        <f t="shared" ca="1" si="564"/>
        <v>648152.09537520772</v>
      </c>
      <c r="AQ12" s="30">
        <f t="shared" ca="1" si="564"/>
        <v>648152.09537520772</v>
      </c>
      <c r="AR12" s="30">
        <f t="shared" ca="1" si="564"/>
        <v>648152.09537520772</v>
      </c>
      <c r="AS12" s="30">
        <f t="shared" ca="1" si="564"/>
        <v>648152.09537520772</v>
      </c>
      <c r="AT12" s="30">
        <f t="shared" ca="1" si="564"/>
        <v>648152.09537520772</v>
      </c>
      <c r="AU12" s="30">
        <f t="shared" ca="1" si="564"/>
        <v>648152.09537520772</v>
      </c>
      <c r="AV12" s="30">
        <f t="shared" ca="1" si="564"/>
        <v>648152.09537520772</v>
      </c>
      <c r="AW12" s="30">
        <f t="shared" ca="1" si="564"/>
        <v>648152.09537520772</v>
      </c>
      <c r="AX12" s="30">
        <f ca="1">+AW12*(1+B2)</f>
        <v>667596.65823646402</v>
      </c>
      <c r="AY12" s="30">
        <f ca="1">+AX12</f>
        <v>667596.65823646402</v>
      </c>
      <c r="AZ12" s="30">
        <f t="shared" ca="1" si="348"/>
        <v>667596.65823646402</v>
      </c>
      <c r="BA12" s="30">
        <f t="shared" ca="1" si="348"/>
        <v>667596.65823646402</v>
      </c>
      <c r="BB12" s="30">
        <f t="shared" ca="1" si="348"/>
        <v>667596.65823646402</v>
      </c>
      <c r="BC12" s="30">
        <f t="shared" ca="1" si="348"/>
        <v>667596.65823646402</v>
      </c>
      <c r="BD12" s="30">
        <f t="shared" ca="1" si="348"/>
        <v>667596.65823646402</v>
      </c>
      <c r="BE12" s="30">
        <f t="shared" ca="1" si="348"/>
        <v>667596.65823646402</v>
      </c>
      <c r="BF12" s="30">
        <f t="shared" ca="1" si="348"/>
        <v>667596.65823646402</v>
      </c>
      <c r="BG12" s="30">
        <f t="shared" ca="1" si="348"/>
        <v>667596.65823646402</v>
      </c>
      <c r="BH12" s="30">
        <f t="shared" ca="1" si="348"/>
        <v>667596.65823646402</v>
      </c>
      <c r="BI12" s="30">
        <f t="shared" ca="1" si="348"/>
        <v>667596.65823646402</v>
      </c>
      <c r="BJ12" s="30">
        <f ca="1">+BI12*(1+B2)</f>
        <v>687624.55798355793</v>
      </c>
      <c r="BK12" s="30">
        <f ca="1">+BJ12</f>
        <v>687624.55798355793</v>
      </c>
      <c r="BL12" s="30">
        <f t="shared" ca="1" si="349"/>
        <v>687624.55798355793</v>
      </c>
      <c r="BM12" s="30">
        <f t="shared" ca="1" si="349"/>
        <v>687624.55798355793</v>
      </c>
      <c r="BN12" s="30">
        <f t="shared" ca="1" si="349"/>
        <v>687624.55798355793</v>
      </c>
      <c r="BO12" s="30">
        <f t="shared" ca="1" si="349"/>
        <v>687624.55798355793</v>
      </c>
      <c r="BP12" s="30">
        <f t="shared" ca="1" si="349"/>
        <v>687624.55798355793</v>
      </c>
      <c r="BQ12" s="30">
        <f t="shared" ca="1" si="349"/>
        <v>687624.55798355793</v>
      </c>
      <c r="BR12" s="30">
        <f t="shared" ca="1" si="349"/>
        <v>687624.55798355793</v>
      </c>
      <c r="BS12" s="30">
        <f t="shared" ca="1" si="349"/>
        <v>687624.55798355793</v>
      </c>
      <c r="BT12" s="30">
        <f t="shared" ca="1" si="349"/>
        <v>687624.55798355793</v>
      </c>
      <c r="BU12" s="30">
        <f t="shared" ca="1" si="349"/>
        <v>687624.55798355793</v>
      </c>
      <c r="BV12" s="30">
        <f ca="1">+BU12*(1+B2)</f>
        <v>708253.29472306464</v>
      </c>
      <c r="BW12" s="30">
        <f ca="1">+BV12</f>
        <v>708253.29472306464</v>
      </c>
      <c r="BX12" s="30">
        <f t="shared" ca="1" si="350"/>
        <v>708253.29472306464</v>
      </c>
      <c r="BY12" s="30">
        <f t="shared" ca="1" si="350"/>
        <v>708253.29472306464</v>
      </c>
      <c r="BZ12" s="30">
        <f t="shared" ca="1" si="350"/>
        <v>708253.29472306464</v>
      </c>
      <c r="CA12" s="30">
        <f t="shared" ca="1" si="350"/>
        <v>708253.29472306464</v>
      </c>
      <c r="CB12" s="30">
        <f t="shared" ca="1" si="350"/>
        <v>708253.29472306464</v>
      </c>
      <c r="CC12" s="30">
        <f t="shared" ca="1" si="350"/>
        <v>708253.29472306464</v>
      </c>
      <c r="CD12" s="30">
        <f t="shared" ca="1" si="350"/>
        <v>708253.29472306464</v>
      </c>
      <c r="CE12" s="30">
        <f t="shared" ca="1" si="350"/>
        <v>708253.29472306464</v>
      </c>
      <c r="CF12" s="30">
        <f t="shared" ca="1" si="350"/>
        <v>708253.29472306464</v>
      </c>
      <c r="CG12" s="30">
        <f t="shared" ca="1" si="350"/>
        <v>708253.29472306464</v>
      </c>
      <c r="CH12" s="30">
        <f ca="1">+CG12*(1+$B$2)</f>
        <v>729500.89356475661</v>
      </c>
      <c r="CI12" s="30">
        <f ca="1">+CH12</f>
        <v>729500.89356475661</v>
      </c>
      <c r="CJ12" s="30">
        <f ca="1">+CI12</f>
        <v>729500.89356475661</v>
      </c>
      <c r="CK12" s="30">
        <f t="shared" ca="1" si="351"/>
        <v>729500.89356475661</v>
      </c>
      <c r="CL12" s="30">
        <f t="shared" ca="1" si="351"/>
        <v>729500.89356475661</v>
      </c>
      <c r="CM12" s="30">
        <f t="shared" ca="1" si="351"/>
        <v>729500.89356475661</v>
      </c>
      <c r="CN12" s="30">
        <f t="shared" ca="1" si="351"/>
        <v>729500.89356475661</v>
      </c>
      <c r="CO12" s="30">
        <f t="shared" ca="1" si="351"/>
        <v>729500.89356475661</v>
      </c>
      <c r="CP12" s="30">
        <f t="shared" ca="1" si="351"/>
        <v>729500.89356475661</v>
      </c>
      <c r="CQ12" s="30">
        <f t="shared" ca="1" si="351"/>
        <v>729500.89356475661</v>
      </c>
      <c r="CR12" s="30">
        <f t="shared" ca="1" si="351"/>
        <v>729500.89356475661</v>
      </c>
      <c r="CS12" s="30">
        <f t="shared" ca="1" si="351"/>
        <v>729500.89356475661</v>
      </c>
      <c r="CT12" s="30">
        <f ca="1">+CS12*(1+B2)</f>
        <v>751385.92037169938</v>
      </c>
      <c r="CU12" s="30">
        <f ca="1">+CT12</f>
        <v>751385.92037169938</v>
      </c>
      <c r="CV12" s="30">
        <f t="shared" ca="1" si="352"/>
        <v>751385.92037169938</v>
      </c>
      <c r="CW12" s="30">
        <f t="shared" ca="1" si="352"/>
        <v>751385.92037169938</v>
      </c>
      <c r="CX12" s="30">
        <f t="shared" ca="1" si="352"/>
        <v>751385.92037169938</v>
      </c>
      <c r="CY12" s="30">
        <f t="shared" ca="1" si="352"/>
        <v>751385.92037169938</v>
      </c>
      <c r="CZ12" s="30">
        <f t="shared" ca="1" si="352"/>
        <v>751385.92037169938</v>
      </c>
      <c r="DA12" s="30">
        <f t="shared" ca="1" si="352"/>
        <v>751385.92037169938</v>
      </c>
      <c r="DB12" s="30">
        <f t="shared" ca="1" si="352"/>
        <v>751385.92037169938</v>
      </c>
      <c r="DC12" s="30">
        <f t="shared" ca="1" si="352"/>
        <v>751385.92037169938</v>
      </c>
      <c r="DD12" s="30">
        <f t="shared" ca="1" si="352"/>
        <v>751385.92037169938</v>
      </c>
      <c r="DE12" s="30">
        <f t="shared" ca="1" si="352"/>
        <v>751385.92037169938</v>
      </c>
      <c r="DF12" s="30">
        <f ca="1">+DE12*(1+B2)</f>
        <v>773927.49798285041</v>
      </c>
      <c r="DG12" s="30">
        <f ca="1">+DF12</f>
        <v>773927.49798285041</v>
      </c>
      <c r="DH12" s="30">
        <f t="shared" ca="1" si="353"/>
        <v>773927.49798285041</v>
      </c>
      <c r="DI12" s="30">
        <f t="shared" ca="1" si="353"/>
        <v>773927.49798285041</v>
      </c>
      <c r="DJ12" s="30">
        <f t="shared" ca="1" si="353"/>
        <v>773927.49798285041</v>
      </c>
      <c r="DK12" s="30">
        <f t="shared" ca="1" si="353"/>
        <v>773927.49798285041</v>
      </c>
      <c r="DL12" s="30">
        <f t="shared" ca="1" si="353"/>
        <v>773927.49798285041</v>
      </c>
      <c r="DM12" s="30">
        <f t="shared" ca="1" si="353"/>
        <v>773927.49798285041</v>
      </c>
      <c r="DN12" s="30">
        <f t="shared" ca="1" si="353"/>
        <v>773927.49798285041</v>
      </c>
      <c r="DO12" s="30">
        <f t="shared" ca="1" si="353"/>
        <v>773927.49798285041</v>
      </c>
      <c r="DP12" s="30">
        <f t="shared" ca="1" si="353"/>
        <v>773927.49798285041</v>
      </c>
      <c r="DQ12" s="30">
        <f t="shared" ca="1" si="353"/>
        <v>773927.49798285041</v>
      </c>
      <c r="DR12" s="30">
        <f ca="1">+DQ12*(1+B2)</f>
        <v>797145.32292233594</v>
      </c>
      <c r="DS12" s="30">
        <f ca="1">+DR12</f>
        <v>797145.32292233594</v>
      </c>
      <c r="DT12" s="30">
        <f t="shared" ca="1" si="354"/>
        <v>797145.32292233594</v>
      </c>
      <c r="DU12" s="30">
        <f t="shared" ca="1" si="354"/>
        <v>797145.32292233594</v>
      </c>
      <c r="DV12" s="30">
        <f t="shared" ca="1" si="354"/>
        <v>797145.32292233594</v>
      </c>
      <c r="DW12" s="30">
        <f t="shared" ca="1" si="354"/>
        <v>797145.32292233594</v>
      </c>
      <c r="DX12" s="30">
        <f t="shared" ca="1" si="354"/>
        <v>797145.32292233594</v>
      </c>
      <c r="DY12" s="30">
        <f t="shared" ca="1" si="354"/>
        <v>797145.32292233594</v>
      </c>
      <c r="DZ12" s="30">
        <f t="shared" ca="1" si="354"/>
        <v>797145.32292233594</v>
      </c>
      <c r="EA12" s="30">
        <f t="shared" ca="1" si="354"/>
        <v>797145.32292233594</v>
      </c>
      <c r="EB12" s="30">
        <f t="shared" ca="1" si="354"/>
        <v>797145.32292233594</v>
      </c>
      <c r="EC12" s="30">
        <f t="shared" ca="1" si="354"/>
        <v>797145.32292233594</v>
      </c>
      <c r="ED12" s="30">
        <f ca="1">+EC12*(1+B2)</f>
        <v>821059.68261000607</v>
      </c>
      <c r="EE12" s="30">
        <f ca="1">+ED12</f>
        <v>821059.68261000607</v>
      </c>
      <c r="EF12" s="30">
        <f t="shared" ca="1" si="355"/>
        <v>821059.68261000607</v>
      </c>
      <c r="EG12" s="30">
        <f t="shared" ca="1" si="355"/>
        <v>821059.68261000607</v>
      </c>
      <c r="EH12" s="30">
        <f t="shared" ca="1" si="355"/>
        <v>821059.68261000607</v>
      </c>
      <c r="EI12" s="30">
        <f t="shared" ca="1" si="355"/>
        <v>821059.68261000607</v>
      </c>
      <c r="EJ12" s="30">
        <f t="shared" ca="1" si="355"/>
        <v>821059.68261000607</v>
      </c>
      <c r="EK12" s="30">
        <f t="shared" ca="1" si="355"/>
        <v>821059.68261000607</v>
      </c>
      <c r="EL12" s="30">
        <f t="shared" ca="1" si="355"/>
        <v>821059.68261000607</v>
      </c>
      <c r="EM12" s="30">
        <f t="shared" ca="1" si="355"/>
        <v>821059.68261000607</v>
      </c>
      <c r="EN12" s="30">
        <f t="shared" ca="1" si="355"/>
        <v>821059.68261000607</v>
      </c>
      <c r="EO12" s="30">
        <f t="shared" ca="1" si="355"/>
        <v>821059.68261000607</v>
      </c>
      <c r="EP12" s="30">
        <f ca="1">+EO12*(1+B2)</f>
        <v>845691.47308830626</v>
      </c>
      <c r="EQ12" s="30">
        <f ca="1">+EP12</f>
        <v>845691.47308830626</v>
      </c>
      <c r="ER12" s="30">
        <f t="shared" ca="1" si="356"/>
        <v>845691.47308830626</v>
      </c>
      <c r="ES12" s="30">
        <f t="shared" ca="1" si="356"/>
        <v>845691.47308830626</v>
      </c>
      <c r="ET12" s="30">
        <f t="shared" ca="1" si="356"/>
        <v>845691.47308830626</v>
      </c>
      <c r="EU12" s="30">
        <f t="shared" ca="1" si="356"/>
        <v>845691.47308830626</v>
      </c>
      <c r="EV12" s="30">
        <f t="shared" ca="1" si="356"/>
        <v>845691.47308830626</v>
      </c>
      <c r="EW12" s="30">
        <f t="shared" ca="1" si="356"/>
        <v>845691.47308830626</v>
      </c>
      <c r="EX12" s="30">
        <f t="shared" ca="1" si="356"/>
        <v>845691.47308830626</v>
      </c>
      <c r="EY12" s="30">
        <f t="shared" ca="1" si="356"/>
        <v>845691.47308830626</v>
      </c>
      <c r="EZ12" s="30">
        <f t="shared" ca="1" si="356"/>
        <v>845691.47308830626</v>
      </c>
      <c r="FA12" s="30">
        <f t="shared" ca="1" si="356"/>
        <v>845691.47308830626</v>
      </c>
      <c r="FB12" s="30">
        <f ca="1">+FA12*(1+B2)</f>
        <v>871062.21728095552</v>
      </c>
      <c r="FC12" s="30">
        <f ca="1">+FB12</f>
        <v>871062.21728095552</v>
      </c>
      <c r="FD12" s="30">
        <f t="shared" ca="1" si="357"/>
        <v>871062.21728095552</v>
      </c>
      <c r="FE12" s="30">
        <f t="shared" ca="1" si="357"/>
        <v>871062.21728095552</v>
      </c>
      <c r="FF12" s="30">
        <f t="shared" ca="1" si="357"/>
        <v>871062.21728095552</v>
      </c>
      <c r="FG12" s="30">
        <f t="shared" ca="1" si="357"/>
        <v>871062.21728095552</v>
      </c>
      <c r="FH12" s="30">
        <f t="shared" ca="1" si="357"/>
        <v>871062.21728095552</v>
      </c>
      <c r="FI12" s="30">
        <f t="shared" ca="1" si="357"/>
        <v>871062.21728095552</v>
      </c>
      <c r="FJ12" s="30">
        <f t="shared" ca="1" si="357"/>
        <v>871062.21728095552</v>
      </c>
      <c r="FK12" s="30">
        <f t="shared" ca="1" si="357"/>
        <v>871062.21728095552</v>
      </c>
      <c r="FL12" s="30">
        <f t="shared" ca="1" si="357"/>
        <v>871062.21728095552</v>
      </c>
      <c r="FM12" s="30">
        <f t="shared" ca="1" si="357"/>
        <v>871062.21728095552</v>
      </c>
      <c r="FN12" s="30">
        <f ca="1">+FM12*(1+B2)</f>
        <v>897194.08379938419</v>
      </c>
      <c r="FO12" s="30">
        <f ca="1">+FN12</f>
        <v>897194.08379938419</v>
      </c>
      <c r="FP12" s="30">
        <f t="shared" ca="1" si="358"/>
        <v>897194.08379938419</v>
      </c>
      <c r="FQ12" s="30">
        <f t="shared" ca="1" si="358"/>
        <v>897194.08379938419</v>
      </c>
      <c r="FR12" s="30">
        <f t="shared" ca="1" si="358"/>
        <v>897194.08379938419</v>
      </c>
      <c r="FS12" s="30">
        <f t="shared" ca="1" si="358"/>
        <v>897194.08379938419</v>
      </c>
      <c r="FT12" s="30">
        <f t="shared" ca="1" si="358"/>
        <v>897194.08379938419</v>
      </c>
      <c r="FU12" s="30">
        <f t="shared" ca="1" si="358"/>
        <v>897194.08379938419</v>
      </c>
      <c r="FV12" s="30">
        <f t="shared" ca="1" si="358"/>
        <v>897194.08379938419</v>
      </c>
      <c r="FW12" s="30">
        <f t="shared" ca="1" si="358"/>
        <v>897194.08379938419</v>
      </c>
      <c r="FX12" s="30">
        <f t="shared" ca="1" si="358"/>
        <v>897194.08379938419</v>
      </c>
      <c r="FY12" s="30">
        <f t="shared" ca="1" si="358"/>
        <v>897194.08379938419</v>
      </c>
      <c r="FZ12" s="30">
        <f ca="1">+FY12*(1+B2)</f>
        <v>924109.90631336579</v>
      </c>
      <c r="GA12" s="30">
        <f ca="1">+FZ12</f>
        <v>924109.90631336579</v>
      </c>
      <c r="GB12" s="30">
        <f t="shared" ca="1" si="359"/>
        <v>924109.90631336579</v>
      </c>
      <c r="GC12" s="30">
        <f t="shared" ca="1" si="359"/>
        <v>924109.90631336579</v>
      </c>
      <c r="GD12" s="30">
        <f t="shared" ca="1" si="359"/>
        <v>924109.90631336579</v>
      </c>
      <c r="GE12" s="30">
        <f t="shared" ca="1" si="359"/>
        <v>924109.90631336579</v>
      </c>
      <c r="GF12" s="30">
        <f t="shared" ca="1" si="359"/>
        <v>924109.90631336579</v>
      </c>
      <c r="GG12" s="30">
        <f t="shared" ca="1" si="359"/>
        <v>924109.90631336579</v>
      </c>
      <c r="GH12" s="30">
        <f t="shared" ca="1" si="359"/>
        <v>924109.90631336579</v>
      </c>
      <c r="GI12" s="30">
        <f t="shared" ca="1" si="359"/>
        <v>924109.90631336579</v>
      </c>
      <c r="GJ12" s="30">
        <f t="shared" ca="1" si="359"/>
        <v>924109.90631336579</v>
      </c>
      <c r="GK12" s="30">
        <f t="shared" ca="1" si="359"/>
        <v>924109.90631336579</v>
      </c>
      <c r="GL12" s="30">
        <f ca="1">+GK12*(1+B2)</f>
        <v>951833.20350276679</v>
      </c>
      <c r="GM12" s="30">
        <f ca="1">+GL12</f>
        <v>951833.20350276679</v>
      </c>
      <c r="GN12" s="30">
        <f t="shared" ca="1" si="360"/>
        <v>951833.20350276679</v>
      </c>
      <c r="GO12" s="30">
        <f t="shared" ca="1" si="360"/>
        <v>951833.20350276679</v>
      </c>
      <c r="GP12" s="30">
        <f t="shared" ca="1" si="360"/>
        <v>951833.20350276679</v>
      </c>
      <c r="GQ12" s="30">
        <f t="shared" ca="1" si="360"/>
        <v>951833.20350276679</v>
      </c>
      <c r="GR12" s="30">
        <f t="shared" ca="1" si="360"/>
        <v>951833.20350276679</v>
      </c>
      <c r="GS12" s="30">
        <f t="shared" ca="1" si="360"/>
        <v>951833.20350276679</v>
      </c>
      <c r="GT12" s="30">
        <f t="shared" ca="1" si="360"/>
        <v>951833.20350276679</v>
      </c>
      <c r="GU12" s="30">
        <f t="shared" ca="1" si="360"/>
        <v>951833.20350276679</v>
      </c>
      <c r="GV12" s="30">
        <f t="shared" ca="1" si="360"/>
        <v>951833.20350276679</v>
      </c>
      <c r="GW12" s="30">
        <f t="shared" ca="1" si="360"/>
        <v>951833.20350276679</v>
      </c>
      <c r="GX12" s="30">
        <f ca="1">+GW12*(1+B2)</f>
        <v>980388.19960784982</v>
      </c>
      <c r="GY12" s="30">
        <f ca="1">+GX12</f>
        <v>980388.19960784982</v>
      </c>
      <c r="GZ12" s="30">
        <f t="shared" ca="1" si="361"/>
        <v>980388.19960784982</v>
      </c>
      <c r="HA12" s="30">
        <f t="shared" ca="1" si="361"/>
        <v>980388.19960784982</v>
      </c>
      <c r="HB12" s="30">
        <f t="shared" ca="1" si="361"/>
        <v>980388.19960784982</v>
      </c>
      <c r="HC12" s="30">
        <f t="shared" ca="1" si="361"/>
        <v>980388.19960784982</v>
      </c>
      <c r="HD12" s="30">
        <f t="shared" ca="1" si="361"/>
        <v>980388.19960784982</v>
      </c>
      <c r="HE12" s="30">
        <f t="shared" ca="1" si="361"/>
        <v>980388.19960784982</v>
      </c>
      <c r="HF12" s="30">
        <f t="shared" ca="1" si="361"/>
        <v>980388.19960784982</v>
      </c>
      <c r="HG12" s="30">
        <f t="shared" ca="1" si="361"/>
        <v>980388.19960784982</v>
      </c>
      <c r="HH12" s="30">
        <f t="shared" ca="1" si="361"/>
        <v>980388.19960784982</v>
      </c>
      <c r="HI12" s="30">
        <f t="shared" ca="1" si="361"/>
        <v>980388.19960784982</v>
      </c>
      <c r="HJ12" s="30">
        <f ca="1">+HI12*(1+B2)</f>
        <v>1009799.8455960853</v>
      </c>
      <c r="HK12" s="33">
        <f ca="1">+HJ12</f>
        <v>1009799.8455960853</v>
      </c>
      <c r="HL12" s="33">
        <f t="shared" ref="HL12:HU12" ca="1" si="565">+HK12</f>
        <v>1009799.8455960853</v>
      </c>
      <c r="HM12" s="33">
        <f t="shared" ca="1" si="565"/>
        <v>1009799.8455960853</v>
      </c>
      <c r="HN12" s="33">
        <f t="shared" ca="1" si="565"/>
        <v>1009799.8455960853</v>
      </c>
      <c r="HO12" s="33">
        <f t="shared" ca="1" si="565"/>
        <v>1009799.8455960853</v>
      </c>
      <c r="HP12" s="33">
        <f t="shared" ca="1" si="565"/>
        <v>1009799.8455960853</v>
      </c>
      <c r="HQ12" s="33">
        <f t="shared" ca="1" si="565"/>
        <v>1009799.8455960853</v>
      </c>
      <c r="HR12" s="33">
        <f t="shared" ca="1" si="565"/>
        <v>1009799.8455960853</v>
      </c>
      <c r="HS12" s="33">
        <f t="shared" ca="1" si="565"/>
        <v>1009799.8455960853</v>
      </c>
      <c r="HT12" s="33">
        <f t="shared" ca="1" si="565"/>
        <v>1009799.8455960853</v>
      </c>
      <c r="HU12" s="33">
        <f t="shared" ca="1" si="565"/>
        <v>1009799.8455960853</v>
      </c>
      <c r="HV12" s="30">
        <f ca="1">+HU12*(1+B2)</f>
        <v>1040093.8409639678</v>
      </c>
      <c r="HW12" s="33">
        <f ca="1">+HV12</f>
        <v>1040093.8409639678</v>
      </c>
      <c r="HX12" s="33">
        <f t="shared" ref="HX12:IG12" ca="1" si="566">+HW12</f>
        <v>1040093.8409639678</v>
      </c>
      <c r="HY12" s="33">
        <f t="shared" ca="1" si="566"/>
        <v>1040093.8409639678</v>
      </c>
      <c r="HZ12" s="33">
        <f t="shared" ca="1" si="566"/>
        <v>1040093.8409639678</v>
      </c>
      <c r="IA12" s="33">
        <f t="shared" ca="1" si="566"/>
        <v>1040093.8409639678</v>
      </c>
      <c r="IB12" s="33">
        <f t="shared" ca="1" si="566"/>
        <v>1040093.8409639678</v>
      </c>
      <c r="IC12" s="33">
        <f t="shared" ca="1" si="566"/>
        <v>1040093.8409639678</v>
      </c>
      <c r="ID12" s="33">
        <f t="shared" ca="1" si="566"/>
        <v>1040093.8409639678</v>
      </c>
      <c r="IE12" s="33">
        <f t="shared" ca="1" si="566"/>
        <v>1040093.8409639678</v>
      </c>
      <c r="IF12" s="33">
        <f t="shared" ca="1" si="566"/>
        <v>1040093.8409639678</v>
      </c>
      <c r="IG12" s="33">
        <f t="shared" ca="1" si="566"/>
        <v>1040093.8409639678</v>
      </c>
      <c r="IH12" s="30">
        <f ca="1">+IG12*(1+B2)</f>
        <v>1071296.6561928869</v>
      </c>
      <c r="II12" s="30">
        <f ca="1">+IH12</f>
        <v>1071296.6561928869</v>
      </c>
      <c r="IJ12" s="30">
        <f t="shared" ref="IJ12:IS12" ca="1" si="567">+II12</f>
        <v>1071296.6561928869</v>
      </c>
      <c r="IK12" s="30">
        <f t="shared" ca="1" si="567"/>
        <v>1071296.6561928869</v>
      </c>
      <c r="IL12" s="30">
        <f t="shared" ca="1" si="567"/>
        <v>1071296.6561928869</v>
      </c>
      <c r="IM12" s="30">
        <f t="shared" ca="1" si="567"/>
        <v>1071296.6561928869</v>
      </c>
      <c r="IN12" s="30">
        <f t="shared" ca="1" si="567"/>
        <v>1071296.6561928869</v>
      </c>
      <c r="IO12" s="30">
        <f t="shared" ca="1" si="567"/>
        <v>1071296.6561928869</v>
      </c>
      <c r="IP12" s="30">
        <f t="shared" ca="1" si="567"/>
        <v>1071296.6561928869</v>
      </c>
      <c r="IQ12" s="30">
        <f t="shared" ca="1" si="567"/>
        <v>1071296.6561928869</v>
      </c>
      <c r="IR12" s="30">
        <f t="shared" ca="1" si="567"/>
        <v>1071296.6561928869</v>
      </c>
      <c r="IS12" s="30">
        <f t="shared" ca="1" si="567"/>
        <v>1071296.6561928869</v>
      </c>
      <c r="IT12" s="30">
        <f ca="1">+IS12*(1+B2)</f>
        <v>1103435.5558786734</v>
      </c>
      <c r="IU12" s="33">
        <f ca="1">+IT12</f>
        <v>1103435.5558786734</v>
      </c>
      <c r="IV12" s="33">
        <f t="shared" ref="IV12:JE12" ca="1" si="568">+IU12</f>
        <v>1103435.5558786734</v>
      </c>
      <c r="IW12" s="33">
        <f t="shared" ca="1" si="568"/>
        <v>1103435.5558786734</v>
      </c>
      <c r="IX12" s="33">
        <f t="shared" ca="1" si="568"/>
        <v>1103435.5558786734</v>
      </c>
      <c r="IY12" s="33">
        <f t="shared" ca="1" si="568"/>
        <v>1103435.5558786734</v>
      </c>
      <c r="IZ12" s="33">
        <f t="shared" ca="1" si="568"/>
        <v>1103435.5558786734</v>
      </c>
      <c r="JA12" s="33">
        <f t="shared" ca="1" si="568"/>
        <v>1103435.5558786734</v>
      </c>
      <c r="JB12" s="33">
        <f t="shared" ca="1" si="568"/>
        <v>1103435.5558786734</v>
      </c>
      <c r="JC12" s="33">
        <f t="shared" ca="1" si="568"/>
        <v>1103435.5558786734</v>
      </c>
      <c r="JD12" s="33">
        <f t="shared" ca="1" si="568"/>
        <v>1103435.5558786734</v>
      </c>
      <c r="JE12" s="33">
        <f t="shared" ca="1" si="568"/>
        <v>1103435.5558786734</v>
      </c>
    </row>
    <row r="14" spans="1:265" x14ac:dyDescent="0.3">
      <c r="B14">
        <v>2023</v>
      </c>
      <c r="C14">
        <v>2024</v>
      </c>
      <c r="D14">
        <v>2025</v>
      </c>
      <c r="E14">
        <v>2026</v>
      </c>
      <c r="F14">
        <v>2027</v>
      </c>
      <c r="G14">
        <v>2028</v>
      </c>
      <c r="H14">
        <v>2029</v>
      </c>
      <c r="I14">
        <v>2030</v>
      </c>
      <c r="J14">
        <v>2031</v>
      </c>
      <c r="K14">
        <v>2032</v>
      </c>
      <c r="L14">
        <v>2033</v>
      </c>
      <c r="M14">
        <v>2034</v>
      </c>
      <c r="N14">
        <v>2035</v>
      </c>
      <c r="O14">
        <v>2036</v>
      </c>
      <c r="P14">
        <v>2037</v>
      </c>
      <c r="Q14">
        <v>2038</v>
      </c>
      <c r="R14">
        <v>2039</v>
      </c>
      <c r="S14">
        <v>2040</v>
      </c>
      <c r="T14">
        <v>2041</v>
      </c>
      <c r="U14">
        <v>2042</v>
      </c>
      <c r="V14">
        <v>2043</v>
      </c>
      <c r="W14">
        <v>2044</v>
      </c>
    </row>
    <row r="15" spans="1:265" x14ac:dyDescent="0.3">
      <c r="A15" t="s">
        <v>888</v>
      </c>
      <c r="B15" s="28" t="e">
        <f t="shared" ref="B15:S15" si="569">+AVERAGEIFS(7:7,5:5,B14)</f>
        <v>#DIV/0!</v>
      </c>
      <c r="C15" s="28">
        <f t="shared" si="569"/>
        <v>909.96382500000016</v>
      </c>
      <c r="D15" s="28">
        <f t="shared" si="569"/>
        <v>881.04416666666668</v>
      </c>
      <c r="E15" s="28">
        <f t="shared" si="569"/>
        <v>881.28045833333329</v>
      </c>
      <c r="F15" s="28">
        <f t="shared" si="569"/>
        <v>907.71887208333339</v>
      </c>
      <c r="G15" s="28">
        <f t="shared" si="569"/>
        <v>934.95043824583354</v>
      </c>
      <c r="H15" s="28">
        <f t="shared" si="569"/>
        <v>962.99895139320836</v>
      </c>
      <c r="I15" s="28">
        <f t="shared" si="569"/>
        <v>991.88891993500465</v>
      </c>
      <c r="J15" s="28">
        <f t="shared" si="569"/>
        <v>1021.6455875330548</v>
      </c>
      <c r="K15" s="28">
        <f t="shared" si="569"/>
        <v>1052.2949551590468</v>
      </c>
      <c r="L15" s="28">
        <f t="shared" si="569"/>
        <v>1083.8638038138185</v>
      </c>
      <c r="M15" s="28">
        <f t="shared" si="569"/>
        <v>1116.3797179282328</v>
      </c>
      <c r="N15" s="28">
        <f t="shared" si="569"/>
        <v>1149.8711094660796</v>
      </c>
      <c r="O15" s="28">
        <f t="shared" si="569"/>
        <v>1184.3672427500619</v>
      </c>
      <c r="P15" s="28">
        <f t="shared" si="569"/>
        <v>1219.8982600325637</v>
      </c>
      <c r="Q15" s="28">
        <f t="shared" si="569"/>
        <v>1256.4952078335407</v>
      </c>
      <c r="R15" s="28">
        <f t="shared" si="569"/>
        <v>1294.1900640685469</v>
      </c>
      <c r="S15" s="28">
        <f t="shared" si="569"/>
        <v>1333.0157659906035</v>
      </c>
      <c r="T15" s="28">
        <f>+AVERAGEIFS(7:7,5:5,T14)</f>
        <v>1373.0062389703219</v>
      </c>
      <c r="U15" s="28">
        <f t="shared" ref="U15:V15" si="570">+AVERAGEIFS(7:7,5:5,U14)</f>
        <v>1414.1964261394314</v>
      </c>
      <c r="V15" s="28">
        <f t="shared" si="570"/>
        <v>1456.6223189236143</v>
      </c>
      <c r="W15" s="28">
        <f>+AVERAGEIFS(7:7,5:5,W14)</f>
        <v>1500.3209884913229</v>
      </c>
    </row>
    <row r="16" spans="1:265" x14ac:dyDescent="0.3">
      <c r="A16" t="s">
        <v>885</v>
      </c>
      <c r="B16" s="28" t="e">
        <f t="shared" ref="B16:S16" si="571">+AVERAGEIFS(8:8,5:5,B14)</f>
        <v>#DIV/0!</v>
      </c>
      <c r="C16" s="28">
        <f t="shared" si="571"/>
        <v>137.26926666666668</v>
      </c>
      <c r="D16" s="28">
        <f t="shared" si="571"/>
        <v>145.74615833333334</v>
      </c>
      <c r="E16" s="28">
        <f t="shared" si="571"/>
        <v>150.11854308333332</v>
      </c>
      <c r="F16" s="28">
        <f t="shared" si="571"/>
        <v>154.62209937583336</v>
      </c>
      <c r="G16" s="28">
        <f t="shared" si="571"/>
        <v>159.26076235710835</v>
      </c>
      <c r="H16" s="28">
        <f t="shared" si="571"/>
        <v>164.03858522782161</v>
      </c>
      <c r="I16" s="28">
        <f t="shared" si="571"/>
        <v>168.95974278465624</v>
      </c>
      <c r="J16" s="28">
        <f t="shared" si="571"/>
        <v>174.02853506819591</v>
      </c>
      <c r="K16" s="28">
        <f t="shared" si="571"/>
        <v>179.24939112024185</v>
      </c>
      <c r="L16" s="28">
        <f t="shared" si="571"/>
        <v>184.62687285384911</v>
      </c>
      <c r="M16" s="28">
        <f t="shared" si="571"/>
        <v>190.16567903946455</v>
      </c>
      <c r="N16" s="28">
        <f t="shared" si="571"/>
        <v>195.87064941064853</v>
      </c>
      <c r="O16" s="28">
        <f t="shared" si="571"/>
        <v>201.74676889296794</v>
      </c>
      <c r="P16" s="28">
        <f t="shared" si="571"/>
        <v>207.79917195975702</v>
      </c>
      <c r="Q16" s="28">
        <f t="shared" si="571"/>
        <v>214.03314711854975</v>
      </c>
      <c r="R16" s="28">
        <f t="shared" si="571"/>
        <v>220.45414153210626</v>
      </c>
      <c r="S16" s="28">
        <f t="shared" si="571"/>
        <v>227.06776577806943</v>
      </c>
      <c r="T16" s="28">
        <f t="shared" ref="T16:V16" si="572">+AVERAGEIFS(8:8,5:5,T14)</f>
        <v>233.87979875141153</v>
      </c>
      <c r="U16" s="28">
        <f t="shared" si="572"/>
        <v>240.89619271395387</v>
      </c>
      <c r="V16" s="28">
        <f t="shared" si="572"/>
        <v>248.12307849537243</v>
      </c>
      <c r="W16" s="28">
        <f t="shared" ref="W16" si="573">+AVERAGEIFS(8:8,5:5,W14)</f>
        <v>255.56677085023364</v>
      </c>
    </row>
    <row r="17" spans="1:23" x14ac:dyDescent="0.3">
      <c r="A17" t="s">
        <v>889</v>
      </c>
      <c r="C17" s="28" t="e">
        <f t="shared" ref="C17:S17" si="574">+AVERAGEIFS(9:9,5:5,C14)</f>
        <v>#DIV/0!</v>
      </c>
      <c r="D17" s="28">
        <f ca="1">+AVERAGEIFS(9:9,5:5,D14)</f>
        <v>117.76437779643382</v>
      </c>
      <c r="E17" s="28">
        <f t="shared" ca="1" si="574"/>
        <v>120.70848724134466</v>
      </c>
      <c r="F17" s="28">
        <f t="shared" ca="1" si="574"/>
        <v>124.32974185858502</v>
      </c>
      <c r="G17" s="28">
        <f t="shared" ca="1" si="574"/>
        <v>128.0596341143426</v>
      </c>
      <c r="H17" s="28">
        <f t="shared" ca="1" si="574"/>
        <v>131.90142313777287</v>
      </c>
      <c r="I17" s="28">
        <f t="shared" ca="1" si="574"/>
        <v>135.8584658319061</v>
      </c>
      <c r="J17" s="28">
        <f t="shared" ca="1" si="574"/>
        <v>139.93421980686321</v>
      </c>
      <c r="K17" s="28">
        <f t="shared" ca="1" si="574"/>
        <v>144.13224640106918</v>
      </c>
      <c r="L17" s="28">
        <f t="shared" ca="1" si="574"/>
        <v>148.45621379310126</v>
      </c>
      <c r="M17" s="28">
        <f t="shared" ca="1" si="574"/>
        <v>152.90990020689432</v>
      </c>
      <c r="N17" s="28">
        <f t="shared" ca="1" si="574"/>
        <v>157.49719721310109</v>
      </c>
      <c r="O17" s="28">
        <f t="shared" ca="1" si="574"/>
        <v>162.22211312949415</v>
      </c>
      <c r="P17" s="28">
        <f t="shared" ca="1" si="574"/>
        <v>167.0887765233789</v>
      </c>
      <c r="Q17" s="28">
        <f t="shared" ca="1" si="574"/>
        <v>172.1014398190803</v>
      </c>
      <c r="R17" s="28">
        <f t="shared" ca="1" si="574"/>
        <v>177.26448301365278</v>
      </c>
      <c r="S17" s="28">
        <f t="shared" ca="1" si="574"/>
        <v>182.58241750406228</v>
      </c>
      <c r="T17" s="28">
        <f t="shared" ref="T17:V17" ca="1" si="575">+AVERAGEIFS(9:9,5:5,T14)</f>
        <v>188.05989002918412</v>
      </c>
      <c r="U17" s="28">
        <f t="shared" ca="1" si="575"/>
        <v>193.70168673005966</v>
      </c>
      <c r="V17" s="28">
        <f t="shared" ca="1" si="575"/>
        <v>199.51273733196146</v>
      </c>
      <c r="W17" s="28">
        <f t="shared" ref="W17" ca="1" si="576">+AVERAGEIFS(9:9,5:5,W14)</f>
        <v>205.4981194519203</v>
      </c>
    </row>
    <row r="18" spans="1:23" x14ac:dyDescent="0.3">
      <c r="A18" t="s">
        <v>847</v>
      </c>
      <c r="B18" s="28" t="e">
        <f t="shared" ref="B18:S18" si="577">+AVERAGEIFS(11:11,5:5,B14)</f>
        <v>#DIV/0!</v>
      </c>
      <c r="C18" s="28">
        <f t="shared" si="577"/>
        <v>603.34334233466473</v>
      </c>
      <c r="D18" s="28">
        <f t="shared" si="577"/>
        <v>540.09655258688088</v>
      </c>
      <c r="E18" s="28">
        <f t="shared" si="577"/>
        <v>506.42268805375534</v>
      </c>
      <c r="F18" s="28">
        <f t="shared" si="577"/>
        <v>526.74382245644301</v>
      </c>
      <c r="G18" s="28">
        <f t="shared" si="577"/>
        <v>548.08101357926523</v>
      </c>
      <c r="H18" s="28">
        <f t="shared" si="577"/>
        <v>570.48506425822848</v>
      </c>
      <c r="I18" s="28">
        <f t="shared" si="577"/>
        <v>595.40322329308913</v>
      </c>
      <c r="J18" s="28">
        <f t="shared" si="577"/>
        <v>542.66512827396673</v>
      </c>
      <c r="K18" s="28">
        <f t="shared" si="577"/>
        <v>564.34033666654886</v>
      </c>
      <c r="L18" s="28">
        <f t="shared" si="577"/>
        <v>588.39068683320954</v>
      </c>
      <c r="M18" s="28">
        <f t="shared" si="577"/>
        <v>613.64355450820347</v>
      </c>
      <c r="N18" s="28">
        <f t="shared" si="577"/>
        <v>640.15906556694699</v>
      </c>
      <c r="O18" s="28">
        <f t="shared" si="577"/>
        <v>629.63348663191437</v>
      </c>
      <c r="P18" s="28">
        <f t="shared" si="577"/>
        <v>500</v>
      </c>
      <c r="Q18" s="28">
        <f t="shared" si="577"/>
        <v>500</v>
      </c>
      <c r="R18" s="28">
        <f t="shared" si="577"/>
        <v>500</v>
      </c>
      <c r="S18" s="28">
        <f t="shared" si="577"/>
        <v>500</v>
      </c>
      <c r="T18" s="28">
        <f t="shared" ref="T18:V18" si="578">+AVERAGEIFS(11:11,5:5,T14)</f>
        <v>500</v>
      </c>
      <c r="U18" s="28">
        <f t="shared" si="578"/>
        <v>500</v>
      </c>
      <c r="V18" s="28">
        <f t="shared" si="578"/>
        <v>500</v>
      </c>
      <c r="W18" s="28">
        <f>+AVERAGEIFS(11:11,5:5,W14)</f>
        <v>500</v>
      </c>
    </row>
    <row r="19" spans="1:23" x14ac:dyDescent="0.3">
      <c r="A19" t="s">
        <v>780</v>
      </c>
      <c r="C19" s="30">
        <f t="shared" ref="C19:S19" ca="1" si="579">+AVERAGEIFS(12:12,5:5,C14)</f>
        <v>610945.51359714172</v>
      </c>
      <c r="D19" s="30">
        <f t="shared" ca="1" si="579"/>
        <v>626219.15143707022</v>
      </c>
      <c r="E19" s="30">
        <f t="shared" ca="1" si="579"/>
        <v>645005.72598018264</v>
      </c>
      <c r="F19" s="30">
        <f t="shared" ca="1" si="579"/>
        <v>664355.89775958809</v>
      </c>
      <c r="G19" s="30">
        <f t="shared" ca="1" si="579"/>
        <v>684286.57469237549</v>
      </c>
      <c r="H19" s="30">
        <f t="shared" ca="1" si="579"/>
        <v>704815.17193314678</v>
      </c>
      <c r="I19" s="30">
        <f t="shared" ca="1" si="579"/>
        <v>725959.62709114142</v>
      </c>
      <c r="J19" s="30">
        <f t="shared" ca="1" si="579"/>
        <v>747738.41590387549</v>
      </c>
      <c r="K19" s="30">
        <f t="shared" ca="1" si="579"/>
        <v>770170.56838099193</v>
      </c>
      <c r="L19" s="30">
        <f t="shared" ca="1" si="579"/>
        <v>793275.68543242163</v>
      </c>
      <c r="M19" s="30">
        <f t="shared" ca="1" si="579"/>
        <v>817073.95599539427</v>
      </c>
      <c r="N19" s="30">
        <f t="shared" ca="1" si="579"/>
        <v>841586.17467525613</v>
      </c>
      <c r="O19" s="30">
        <f t="shared" ca="1" si="579"/>
        <v>866833.75991551427</v>
      </c>
      <c r="P19" s="30">
        <f t="shared" ca="1" si="579"/>
        <v>892838.77271297958</v>
      </c>
      <c r="Q19" s="30">
        <f t="shared" ca="1" si="579"/>
        <v>919623.93589436868</v>
      </c>
      <c r="R19" s="30">
        <f t="shared" ca="1" si="579"/>
        <v>947212.65397119988</v>
      </c>
      <c r="S19" s="30">
        <f t="shared" ca="1" si="579"/>
        <v>975629.03359033586</v>
      </c>
      <c r="T19" s="30">
        <f t="shared" ref="T19:V19" ca="1" si="580">+AVERAGEIFS(12:12,5:5,T14)</f>
        <v>1004897.9045980461</v>
      </c>
      <c r="U19" s="30">
        <f t="shared" ca="1" si="580"/>
        <v>1035044.8417359873</v>
      </c>
      <c r="V19" s="30">
        <f t="shared" ca="1" si="580"/>
        <v>1066096.1869880671</v>
      </c>
      <c r="W19" s="30">
        <f t="shared" ref="W19" ca="1" si="581">+AVERAGEIFS(12:12,5:5,W14)</f>
        <v>1098079.0725977088</v>
      </c>
    </row>
    <row r="20" spans="1:23" x14ac:dyDescent="0.3">
      <c r="A20" t="s">
        <v>890</v>
      </c>
      <c r="D20" s="28">
        <f ca="1">+AVERAGEIFS(10:10,5:5,D14)</f>
        <v>117.76437779643382</v>
      </c>
      <c r="E20" s="28">
        <f t="shared" ref="E20:S20" ca="1" si="582">+AVERAGEIFS(10:10,5:5,E14)</f>
        <v>120.70848724134466</v>
      </c>
      <c r="F20" s="28">
        <f t="shared" ca="1" si="582"/>
        <v>124.32974185858502</v>
      </c>
      <c r="G20" s="28">
        <f t="shared" ca="1" si="582"/>
        <v>128.0596341143426</v>
      </c>
      <c r="H20" s="28">
        <f t="shared" ca="1" si="582"/>
        <v>131.90142313777287</v>
      </c>
      <c r="I20" s="28">
        <f t="shared" ca="1" si="582"/>
        <v>135.8584658319061</v>
      </c>
      <c r="J20" s="28">
        <f t="shared" ca="1" si="582"/>
        <v>139.93421980686321</v>
      </c>
      <c r="K20" s="28">
        <f t="shared" ca="1" si="582"/>
        <v>144.13224640106918</v>
      </c>
      <c r="L20" s="28">
        <f t="shared" ca="1" si="582"/>
        <v>148.45621379310126</v>
      </c>
      <c r="M20" s="28">
        <f t="shared" ca="1" si="582"/>
        <v>152.90990020689432</v>
      </c>
      <c r="N20" s="28">
        <f t="shared" ca="1" si="582"/>
        <v>157.49719721310109</v>
      </c>
      <c r="O20" s="28">
        <f t="shared" ca="1" si="582"/>
        <v>162.22211312949415</v>
      </c>
      <c r="P20" s="28">
        <f t="shared" ca="1" si="582"/>
        <v>167.0887765233789</v>
      </c>
      <c r="Q20" s="28">
        <f t="shared" ca="1" si="582"/>
        <v>172.1014398190803</v>
      </c>
      <c r="R20" s="28">
        <f t="shared" ca="1" si="582"/>
        <v>177.26448301365278</v>
      </c>
      <c r="S20" s="28">
        <f t="shared" ca="1" si="582"/>
        <v>182.58241750406228</v>
      </c>
      <c r="T20" s="28">
        <f t="shared" ref="T20:V20" ca="1" si="583">+AVERAGEIFS(10:10,5:5,T14)</f>
        <v>188.05989002918412</v>
      </c>
      <c r="U20" s="28">
        <f t="shared" ca="1" si="583"/>
        <v>193.70168673005966</v>
      </c>
      <c r="V20" s="28">
        <f t="shared" ca="1" si="583"/>
        <v>199.51273733196146</v>
      </c>
      <c r="W20" s="28">
        <f t="shared" ref="W20" ca="1" si="584">+AVERAGEIFS(10:10,5:5,W14)</f>
        <v>205.4981194519203</v>
      </c>
    </row>
    <row r="21" spans="1:23" x14ac:dyDescent="0.3">
      <c r="A21" t="s">
        <v>891</v>
      </c>
      <c r="D21" s="28">
        <f ca="1">+D76</f>
        <v>98.972189850194368</v>
      </c>
      <c r="E21" s="28">
        <f t="shared" ref="E21:W21" ca="1" si="585">+E76</f>
        <v>103.92079934270411</v>
      </c>
      <c r="F21" s="28">
        <f t="shared" ca="1" si="585"/>
        <v>109.11683930983934</v>
      </c>
      <c r="G21" s="28">
        <f t="shared" ca="1" si="585"/>
        <v>112.39034448913451</v>
      </c>
      <c r="H21" s="28">
        <f t="shared" ca="1" si="585"/>
        <v>118.00986171359121</v>
      </c>
      <c r="I21" s="28">
        <f t="shared" ca="1" si="585"/>
        <v>121.55015756499894</v>
      </c>
      <c r="J21" s="28">
        <f t="shared" ca="1" si="585"/>
        <v>127.62766544324897</v>
      </c>
      <c r="K21" s="28">
        <f t="shared" ca="1" si="585"/>
        <v>134.00904871541138</v>
      </c>
      <c r="L21" s="28">
        <f t="shared" ca="1" si="585"/>
        <v>140.70950115118197</v>
      </c>
      <c r="M21" s="28">
        <f t="shared" ca="1" si="585"/>
        <v>147.74497620874106</v>
      </c>
      <c r="N21" s="28">
        <f t="shared" ca="1" si="585"/>
        <v>155.13222501917812</v>
      </c>
      <c r="O21" s="28">
        <f t="shared" ca="1" si="585"/>
        <v>162.88883627013703</v>
      </c>
      <c r="P21" s="28">
        <f t="shared" ca="1" si="585"/>
        <v>171.03327808364386</v>
      </c>
      <c r="Q21" s="28">
        <f t="shared" ca="1" si="585"/>
        <v>179.58494198782611</v>
      </c>
      <c r="R21" s="28">
        <f t="shared" ca="1" si="585"/>
        <v>188.56418908721739</v>
      </c>
      <c r="S21" s="28">
        <f t="shared" ca="1" si="585"/>
        <v>197.99239854157827</v>
      </c>
      <c r="T21" s="28">
        <f ca="1">+T76</f>
        <v>207.8920184686572</v>
      </c>
      <c r="U21" s="28">
        <f t="shared" ca="1" si="585"/>
        <v>218.28661939208999</v>
      </c>
      <c r="V21" s="28">
        <f t="shared" ca="1" si="585"/>
        <v>229.20095036169459</v>
      </c>
      <c r="W21" s="28">
        <f t="shared" ca="1" si="585"/>
        <v>240.6609978797793</v>
      </c>
    </row>
    <row r="23" spans="1:23" x14ac:dyDescent="0.3">
      <c r="A23" t="s">
        <v>892</v>
      </c>
    </row>
    <row r="24" spans="1:23" x14ac:dyDescent="0.3">
      <c r="B24" t="s">
        <v>773</v>
      </c>
      <c r="C24" s="16">
        <f>+B2</f>
        <v>0.03</v>
      </c>
    </row>
    <row r="27" spans="1:23" x14ac:dyDescent="0.3">
      <c r="B27">
        <v>2023</v>
      </c>
      <c r="C27">
        <v>2024</v>
      </c>
      <c r="D27">
        <v>2025</v>
      </c>
      <c r="E27">
        <v>2026</v>
      </c>
      <c r="F27">
        <v>2027</v>
      </c>
      <c r="G27">
        <v>2028</v>
      </c>
      <c r="H27">
        <v>2029</v>
      </c>
      <c r="I27">
        <v>2030</v>
      </c>
      <c r="J27">
        <v>2031</v>
      </c>
      <c r="K27">
        <v>2032</v>
      </c>
      <c r="L27">
        <v>2033</v>
      </c>
      <c r="M27">
        <v>2034</v>
      </c>
      <c r="N27">
        <v>2035</v>
      </c>
      <c r="O27">
        <v>2036</v>
      </c>
      <c r="P27">
        <v>2037</v>
      </c>
      <c r="Q27">
        <v>2038</v>
      </c>
      <c r="R27">
        <v>2039</v>
      </c>
      <c r="S27">
        <v>2040</v>
      </c>
      <c r="T27">
        <v>2041</v>
      </c>
      <c r="U27">
        <v>2042</v>
      </c>
      <c r="V27">
        <v>2043</v>
      </c>
      <c r="W27">
        <v>2044</v>
      </c>
    </row>
    <row r="28" spans="1:23" x14ac:dyDescent="0.3">
      <c r="A28" t="s">
        <v>893</v>
      </c>
      <c r="B28" s="68">
        <v>326.12440322580642</v>
      </c>
      <c r="C28" s="30">
        <f>+B28*(1+$C$24)</f>
        <v>335.90813532258062</v>
      </c>
      <c r="D28" s="30">
        <f t="shared" ref="D28:W30" si="586">+C28*(1+$C$24)</f>
        <v>345.98537938225803</v>
      </c>
      <c r="E28" s="30">
        <f t="shared" si="586"/>
        <v>356.36494076372577</v>
      </c>
      <c r="F28" s="30">
        <f t="shared" si="586"/>
        <v>367.05588898663757</v>
      </c>
      <c r="G28" s="30">
        <f t="shared" si="586"/>
        <v>378.0675656562367</v>
      </c>
      <c r="H28" s="30">
        <f t="shared" si="586"/>
        <v>389.40959262592378</v>
      </c>
      <c r="I28" s="30">
        <f t="shared" si="586"/>
        <v>401.0918804047015</v>
      </c>
      <c r="J28" s="30">
        <f t="shared" si="586"/>
        <v>413.12463681684255</v>
      </c>
      <c r="K28" s="30">
        <f t="shared" si="586"/>
        <v>425.51837592134785</v>
      </c>
      <c r="L28" s="30">
        <f t="shared" si="586"/>
        <v>438.28392719898829</v>
      </c>
      <c r="M28" s="30">
        <f t="shared" si="586"/>
        <v>451.43244501495798</v>
      </c>
      <c r="N28" s="30">
        <f t="shared" si="586"/>
        <v>464.97541836540671</v>
      </c>
      <c r="O28" s="30">
        <f t="shared" si="586"/>
        <v>478.92468091636891</v>
      </c>
      <c r="P28" s="30">
        <f t="shared" si="586"/>
        <v>493.29242134385998</v>
      </c>
      <c r="Q28" s="30">
        <f t="shared" si="586"/>
        <v>508.09119398417579</v>
      </c>
      <c r="R28" s="30">
        <f t="shared" si="586"/>
        <v>523.33392980370104</v>
      </c>
      <c r="S28" s="30">
        <f t="shared" si="586"/>
        <v>539.0339476978121</v>
      </c>
      <c r="T28" s="30">
        <f t="shared" si="586"/>
        <v>555.20496612874649</v>
      </c>
      <c r="U28" s="30">
        <f t="shared" si="586"/>
        <v>571.8611151126089</v>
      </c>
      <c r="V28" s="30">
        <f t="shared" si="586"/>
        <v>589.01694856598715</v>
      </c>
      <c r="W28" s="30">
        <f t="shared" si="586"/>
        <v>606.68745702296678</v>
      </c>
    </row>
    <row r="29" spans="1:23" x14ac:dyDescent="0.3">
      <c r="A29" t="s">
        <v>894</v>
      </c>
      <c r="B29" s="68">
        <v>924.62072580645167</v>
      </c>
      <c r="C29" s="30">
        <f t="shared" ref="C29:R30" si="587">+B29*(1+$C$24)</f>
        <v>952.35934758064525</v>
      </c>
      <c r="D29" s="30">
        <f t="shared" si="587"/>
        <v>980.93012800806468</v>
      </c>
      <c r="E29" s="30">
        <f t="shared" si="587"/>
        <v>1010.3580318483066</v>
      </c>
      <c r="F29" s="30">
        <f t="shared" si="587"/>
        <v>1040.6687728037559</v>
      </c>
      <c r="G29" s="30">
        <f t="shared" si="587"/>
        <v>1071.8888359878686</v>
      </c>
      <c r="H29" s="30">
        <f t="shared" si="587"/>
        <v>1104.0455010675046</v>
      </c>
      <c r="I29" s="30">
        <f t="shared" si="587"/>
        <v>1137.1668660995297</v>
      </c>
      <c r="J29" s="30">
        <f t="shared" si="587"/>
        <v>1171.2818720825155</v>
      </c>
      <c r="K29" s="30">
        <f t="shared" si="587"/>
        <v>1206.420328244991</v>
      </c>
      <c r="L29" s="30">
        <f t="shared" si="587"/>
        <v>1242.6129380923408</v>
      </c>
      <c r="M29" s="30">
        <f t="shared" si="587"/>
        <v>1279.8913262351109</v>
      </c>
      <c r="N29" s="30">
        <f t="shared" si="587"/>
        <v>1318.2880660221642</v>
      </c>
      <c r="O29" s="30">
        <f t="shared" si="587"/>
        <v>1357.8367080028293</v>
      </c>
      <c r="P29" s="30">
        <f t="shared" si="587"/>
        <v>1398.5718092429142</v>
      </c>
      <c r="Q29" s="30">
        <f t="shared" si="587"/>
        <v>1440.5289635202016</v>
      </c>
      <c r="R29" s="30">
        <f t="shared" si="587"/>
        <v>1483.7448324258078</v>
      </c>
      <c r="S29" s="30">
        <f t="shared" si="586"/>
        <v>1528.2571773985821</v>
      </c>
      <c r="T29" s="30">
        <f t="shared" si="586"/>
        <v>1574.1048927205397</v>
      </c>
      <c r="U29" s="30">
        <f t="shared" si="586"/>
        <v>1621.3280395021559</v>
      </c>
      <c r="V29" s="30">
        <f t="shared" si="586"/>
        <v>1669.9678806872207</v>
      </c>
      <c r="W29" s="30">
        <f t="shared" si="586"/>
        <v>1720.0669171078373</v>
      </c>
    </row>
    <row r="30" spans="1:23" x14ac:dyDescent="0.3">
      <c r="A30" t="s">
        <v>895</v>
      </c>
      <c r="B30" s="68">
        <v>599.32966833077319</v>
      </c>
      <c r="C30" s="30">
        <f t="shared" si="587"/>
        <v>617.30955838069644</v>
      </c>
      <c r="D30" s="30">
        <f t="shared" si="586"/>
        <v>635.82884513211741</v>
      </c>
      <c r="E30" s="30">
        <f t="shared" si="586"/>
        <v>654.90371048608097</v>
      </c>
      <c r="F30" s="30">
        <f t="shared" si="586"/>
        <v>674.55082180066347</v>
      </c>
      <c r="G30" s="30">
        <f t="shared" si="586"/>
        <v>694.78734645468342</v>
      </c>
      <c r="H30" s="30">
        <f t="shared" si="586"/>
        <v>715.63096684832396</v>
      </c>
      <c r="I30" s="30">
        <f t="shared" si="586"/>
        <v>737.09989585377366</v>
      </c>
      <c r="J30" s="30">
        <f t="shared" si="586"/>
        <v>759.21289272938691</v>
      </c>
      <c r="K30" s="30">
        <f t="shared" si="586"/>
        <v>781.98927951126859</v>
      </c>
      <c r="L30" s="30">
        <f t="shared" si="586"/>
        <v>805.44895789660666</v>
      </c>
      <c r="M30" s="30">
        <f t="shared" si="586"/>
        <v>829.61242663350492</v>
      </c>
      <c r="N30" s="30">
        <f t="shared" si="586"/>
        <v>854.50079943251012</v>
      </c>
      <c r="O30" s="30">
        <f t="shared" si="586"/>
        <v>880.13582341548545</v>
      </c>
      <c r="P30" s="30">
        <f t="shared" si="586"/>
        <v>906.53989811795009</v>
      </c>
      <c r="Q30" s="30">
        <f t="shared" si="586"/>
        <v>933.73609506148864</v>
      </c>
      <c r="R30" s="30">
        <f t="shared" si="586"/>
        <v>961.74817791333328</v>
      </c>
      <c r="S30" s="30">
        <f t="shared" si="586"/>
        <v>990.60062325073329</v>
      </c>
      <c r="T30" s="30">
        <f t="shared" si="586"/>
        <v>1020.3186419482553</v>
      </c>
      <c r="U30" s="30">
        <f t="shared" si="586"/>
        <v>1050.9282012067029</v>
      </c>
      <c r="V30" s="30">
        <f t="shared" si="586"/>
        <v>1082.4560472429039</v>
      </c>
      <c r="W30" s="30">
        <f t="shared" si="586"/>
        <v>1114.9297286601911</v>
      </c>
    </row>
    <row r="32" spans="1:23" x14ac:dyDescent="0.3">
      <c r="B32" t="s">
        <v>894</v>
      </c>
      <c r="C32" t="s">
        <v>893</v>
      </c>
      <c r="D32" t="s">
        <v>895</v>
      </c>
      <c r="E32" t="s">
        <v>895</v>
      </c>
      <c r="F32" t="s">
        <v>895</v>
      </c>
      <c r="G32" t="s">
        <v>894</v>
      </c>
      <c r="H32" t="s">
        <v>893</v>
      </c>
      <c r="I32" t="s">
        <v>895</v>
      </c>
      <c r="J32" t="s">
        <v>895</v>
      </c>
      <c r="K32" t="s">
        <v>895</v>
      </c>
      <c r="L32" t="s">
        <v>894</v>
      </c>
      <c r="M32" t="s">
        <v>893</v>
      </c>
      <c r="N32" t="s">
        <v>895</v>
      </c>
      <c r="O32" t="s">
        <v>895</v>
      </c>
      <c r="P32" t="s">
        <v>895</v>
      </c>
      <c r="Q32" t="s">
        <v>894</v>
      </c>
      <c r="R32" t="s">
        <v>893</v>
      </c>
      <c r="S32" t="s">
        <v>895</v>
      </c>
      <c r="T32" t="s">
        <v>895</v>
      </c>
      <c r="U32" t="s">
        <v>895</v>
      </c>
      <c r="V32" t="s">
        <v>894</v>
      </c>
      <c r="W32" t="s">
        <v>893</v>
      </c>
    </row>
    <row r="34" spans="1:265" x14ac:dyDescent="0.3">
      <c r="A34" s="78" t="s">
        <v>896</v>
      </c>
      <c r="B34" s="78" t="s">
        <v>754</v>
      </c>
      <c r="C34" s="78" t="s">
        <v>783</v>
      </c>
      <c r="D34" s="78" t="s">
        <v>897</v>
      </c>
      <c r="E34" s="78" t="s">
        <v>898</v>
      </c>
    </row>
    <row r="35" spans="1:265" ht="86.4" x14ac:dyDescent="0.3">
      <c r="A35" s="79">
        <v>5</v>
      </c>
      <c r="B35" s="79">
        <v>2024</v>
      </c>
      <c r="C35" s="62">
        <f ca="1">+Producción!B29*0.94</f>
        <v>117.76437779643383</v>
      </c>
      <c r="D35" s="53" t="s">
        <v>899</v>
      </c>
      <c r="E35" s="53" t="s">
        <v>900</v>
      </c>
    </row>
    <row r="36" spans="1:265" ht="86.4" x14ac:dyDescent="0.3">
      <c r="A36" s="79" t="s">
        <v>901</v>
      </c>
      <c r="B36" s="79">
        <v>2024</v>
      </c>
      <c r="C36" s="62">
        <f ca="1">+C35</f>
        <v>117.76437779643383</v>
      </c>
      <c r="D36" s="53" t="s">
        <v>899</v>
      </c>
      <c r="E36" s="53" t="s">
        <v>902</v>
      </c>
    </row>
    <row r="37" spans="1:265" ht="86.4" x14ac:dyDescent="0.3">
      <c r="A37" s="79">
        <v>15</v>
      </c>
      <c r="B37" s="79">
        <v>2024</v>
      </c>
      <c r="C37" s="62">
        <f ca="1">+Producción!B29*0.79</f>
        <v>98.972189850194397</v>
      </c>
      <c r="D37" s="53" t="s">
        <v>899</v>
      </c>
      <c r="E37" s="53" t="s">
        <v>903</v>
      </c>
    </row>
    <row r="38" spans="1:265" x14ac:dyDescent="0.3">
      <c r="A38" s="75"/>
      <c r="B38" s="75"/>
      <c r="C38" s="80"/>
      <c r="D38" s="81"/>
      <c r="E38" s="81"/>
    </row>
    <row r="40" spans="1:265" x14ac:dyDescent="0.3">
      <c r="A40" s="6" t="s">
        <v>741</v>
      </c>
    </row>
    <row r="42" spans="1:265" x14ac:dyDescent="0.3">
      <c r="A42" t="s">
        <v>773</v>
      </c>
      <c r="B42" s="40">
        <v>0.05</v>
      </c>
      <c r="D42" t="s">
        <v>882</v>
      </c>
      <c r="E42" s="30">
        <v>50</v>
      </c>
    </row>
    <row r="43" spans="1:265" x14ac:dyDescent="0.3">
      <c r="B43" s="40"/>
      <c r="E43" s="30"/>
    </row>
    <row r="44" spans="1:265" x14ac:dyDescent="0.3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 spans="1:265" x14ac:dyDescent="0.3">
      <c r="B45">
        <f>+YEAR(B46)</f>
        <v>2023</v>
      </c>
      <c r="C45">
        <f t="shared" ref="C45:BN45" si="588">+YEAR(C46)</f>
        <v>2023</v>
      </c>
      <c r="D45">
        <f t="shared" si="588"/>
        <v>2023</v>
      </c>
      <c r="E45">
        <f t="shared" si="588"/>
        <v>2023</v>
      </c>
      <c r="F45">
        <f t="shared" si="588"/>
        <v>2023</v>
      </c>
      <c r="G45">
        <f t="shared" si="588"/>
        <v>2023</v>
      </c>
      <c r="H45">
        <f t="shared" si="588"/>
        <v>2023</v>
      </c>
      <c r="I45">
        <f t="shared" si="588"/>
        <v>2023</v>
      </c>
      <c r="J45">
        <f t="shared" si="588"/>
        <v>2023</v>
      </c>
      <c r="K45">
        <f t="shared" si="588"/>
        <v>2023</v>
      </c>
      <c r="L45">
        <f t="shared" si="588"/>
        <v>2023</v>
      </c>
      <c r="M45">
        <f t="shared" si="588"/>
        <v>2023</v>
      </c>
      <c r="N45">
        <f t="shared" si="588"/>
        <v>2024</v>
      </c>
      <c r="O45">
        <f t="shared" si="588"/>
        <v>2024</v>
      </c>
      <c r="P45">
        <f t="shared" si="588"/>
        <v>2024</v>
      </c>
      <c r="Q45">
        <f t="shared" si="588"/>
        <v>2024</v>
      </c>
      <c r="R45">
        <f t="shared" si="588"/>
        <v>2024</v>
      </c>
      <c r="S45">
        <f t="shared" si="588"/>
        <v>2024</v>
      </c>
      <c r="T45">
        <f t="shared" si="588"/>
        <v>2024</v>
      </c>
      <c r="U45">
        <f t="shared" si="588"/>
        <v>2024</v>
      </c>
      <c r="V45">
        <f t="shared" si="588"/>
        <v>2024</v>
      </c>
      <c r="W45">
        <f t="shared" si="588"/>
        <v>2024</v>
      </c>
      <c r="X45">
        <f t="shared" si="588"/>
        <v>2024</v>
      </c>
      <c r="Y45">
        <f t="shared" si="588"/>
        <v>2024</v>
      </c>
      <c r="Z45">
        <f t="shared" si="588"/>
        <v>2025</v>
      </c>
      <c r="AA45">
        <f t="shared" si="588"/>
        <v>2025</v>
      </c>
      <c r="AB45">
        <f t="shared" si="588"/>
        <v>2025</v>
      </c>
      <c r="AC45">
        <f t="shared" si="588"/>
        <v>2025</v>
      </c>
      <c r="AD45">
        <f t="shared" si="588"/>
        <v>2025</v>
      </c>
      <c r="AE45">
        <f t="shared" si="588"/>
        <v>2025</v>
      </c>
      <c r="AF45">
        <f t="shared" si="588"/>
        <v>2025</v>
      </c>
      <c r="AG45">
        <f t="shared" si="588"/>
        <v>2025</v>
      </c>
      <c r="AH45">
        <f t="shared" si="588"/>
        <v>2025</v>
      </c>
      <c r="AI45">
        <f t="shared" si="588"/>
        <v>2025</v>
      </c>
      <c r="AJ45">
        <f t="shared" si="588"/>
        <v>2025</v>
      </c>
      <c r="AK45">
        <f t="shared" si="588"/>
        <v>2025</v>
      </c>
      <c r="AL45">
        <f t="shared" si="588"/>
        <v>2026</v>
      </c>
      <c r="AM45">
        <f t="shared" si="588"/>
        <v>2026</v>
      </c>
      <c r="AN45">
        <f t="shared" si="588"/>
        <v>2026</v>
      </c>
      <c r="AO45">
        <f t="shared" si="588"/>
        <v>2026</v>
      </c>
      <c r="AP45">
        <f t="shared" si="588"/>
        <v>2026</v>
      </c>
      <c r="AQ45">
        <f t="shared" si="588"/>
        <v>2026</v>
      </c>
      <c r="AR45">
        <f t="shared" si="588"/>
        <v>2026</v>
      </c>
      <c r="AS45">
        <f t="shared" si="588"/>
        <v>2026</v>
      </c>
      <c r="AT45">
        <f t="shared" si="588"/>
        <v>2026</v>
      </c>
      <c r="AU45">
        <f t="shared" si="588"/>
        <v>2026</v>
      </c>
      <c r="AV45">
        <f t="shared" si="588"/>
        <v>2026</v>
      </c>
      <c r="AW45">
        <f t="shared" si="588"/>
        <v>2026</v>
      </c>
      <c r="AX45">
        <f t="shared" si="588"/>
        <v>2027</v>
      </c>
      <c r="AY45">
        <f t="shared" si="588"/>
        <v>2027</v>
      </c>
      <c r="AZ45">
        <f t="shared" si="588"/>
        <v>2027</v>
      </c>
      <c r="BA45">
        <f t="shared" si="588"/>
        <v>2027</v>
      </c>
      <c r="BB45">
        <f t="shared" si="588"/>
        <v>2027</v>
      </c>
      <c r="BC45">
        <f t="shared" si="588"/>
        <v>2027</v>
      </c>
      <c r="BD45">
        <f t="shared" si="588"/>
        <v>2027</v>
      </c>
      <c r="BE45">
        <f t="shared" si="588"/>
        <v>2027</v>
      </c>
      <c r="BF45">
        <f t="shared" si="588"/>
        <v>2027</v>
      </c>
      <c r="BG45">
        <f t="shared" si="588"/>
        <v>2027</v>
      </c>
      <c r="BH45">
        <f t="shared" si="588"/>
        <v>2027</v>
      </c>
      <c r="BI45">
        <f t="shared" si="588"/>
        <v>2027</v>
      </c>
      <c r="BJ45">
        <f t="shared" si="588"/>
        <v>2028</v>
      </c>
      <c r="BK45">
        <f t="shared" si="588"/>
        <v>2028</v>
      </c>
      <c r="BL45">
        <f t="shared" si="588"/>
        <v>2028</v>
      </c>
      <c r="BM45">
        <f t="shared" si="588"/>
        <v>2028</v>
      </c>
      <c r="BN45">
        <f t="shared" si="588"/>
        <v>2028</v>
      </c>
      <c r="BO45">
        <f t="shared" ref="BO45:DZ45" si="589">+YEAR(BO46)</f>
        <v>2028</v>
      </c>
      <c r="BP45">
        <f t="shared" si="589"/>
        <v>2028</v>
      </c>
      <c r="BQ45">
        <f t="shared" si="589"/>
        <v>2028</v>
      </c>
      <c r="BR45">
        <f t="shared" si="589"/>
        <v>2028</v>
      </c>
      <c r="BS45">
        <f t="shared" si="589"/>
        <v>2028</v>
      </c>
      <c r="BT45">
        <f t="shared" si="589"/>
        <v>2028</v>
      </c>
      <c r="BU45">
        <f t="shared" si="589"/>
        <v>2028</v>
      </c>
      <c r="BV45">
        <f t="shared" si="589"/>
        <v>2029</v>
      </c>
      <c r="BW45">
        <f t="shared" si="589"/>
        <v>2029</v>
      </c>
      <c r="BX45">
        <f t="shared" si="589"/>
        <v>2029</v>
      </c>
      <c r="BY45">
        <f t="shared" si="589"/>
        <v>2029</v>
      </c>
      <c r="BZ45">
        <f t="shared" si="589"/>
        <v>2029</v>
      </c>
      <c r="CA45">
        <f t="shared" si="589"/>
        <v>2029</v>
      </c>
      <c r="CB45">
        <f t="shared" si="589"/>
        <v>2029</v>
      </c>
      <c r="CC45">
        <f t="shared" si="589"/>
        <v>2029</v>
      </c>
      <c r="CD45">
        <f t="shared" si="589"/>
        <v>2029</v>
      </c>
      <c r="CE45">
        <f t="shared" si="589"/>
        <v>2029</v>
      </c>
      <c r="CF45">
        <f t="shared" si="589"/>
        <v>2029</v>
      </c>
      <c r="CG45">
        <f t="shared" si="589"/>
        <v>2029</v>
      </c>
      <c r="CH45">
        <f t="shared" si="589"/>
        <v>2030</v>
      </c>
      <c r="CI45">
        <f t="shared" si="589"/>
        <v>2030</v>
      </c>
      <c r="CJ45">
        <f t="shared" si="589"/>
        <v>2030</v>
      </c>
      <c r="CK45">
        <f t="shared" si="589"/>
        <v>2030</v>
      </c>
      <c r="CL45">
        <f t="shared" si="589"/>
        <v>2030</v>
      </c>
      <c r="CM45">
        <f t="shared" si="589"/>
        <v>2030</v>
      </c>
      <c r="CN45">
        <f t="shared" si="589"/>
        <v>2030</v>
      </c>
      <c r="CO45">
        <f t="shared" si="589"/>
        <v>2030</v>
      </c>
      <c r="CP45">
        <f t="shared" si="589"/>
        <v>2030</v>
      </c>
      <c r="CQ45">
        <f t="shared" si="589"/>
        <v>2030</v>
      </c>
      <c r="CR45">
        <f t="shared" si="589"/>
        <v>2030</v>
      </c>
      <c r="CS45">
        <f t="shared" si="589"/>
        <v>2030</v>
      </c>
      <c r="CT45">
        <f t="shared" si="589"/>
        <v>2031</v>
      </c>
      <c r="CU45">
        <f t="shared" si="589"/>
        <v>2031</v>
      </c>
      <c r="CV45">
        <f t="shared" si="589"/>
        <v>2031</v>
      </c>
      <c r="CW45">
        <f t="shared" si="589"/>
        <v>2031</v>
      </c>
      <c r="CX45">
        <f t="shared" si="589"/>
        <v>2031</v>
      </c>
      <c r="CY45">
        <f t="shared" si="589"/>
        <v>2031</v>
      </c>
      <c r="CZ45">
        <f t="shared" si="589"/>
        <v>2031</v>
      </c>
      <c r="DA45">
        <f t="shared" si="589"/>
        <v>2031</v>
      </c>
      <c r="DB45">
        <f t="shared" si="589"/>
        <v>2031</v>
      </c>
      <c r="DC45">
        <f t="shared" si="589"/>
        <v>2031</v>
      </c>
      <c r="DD45">
        <f t="shared" si="589"/>
        <v>2031</v>
      </c>
      <c r="DE45">
        <f t="shared" si="589"/>
        <v>2031</v>
      </c>
      <c r="DF45">
        <f t="shared" si="589"/>
        <v>2032</v>
      </c>
      <c r="DG45">
        <f t="shared" si="589"/>
        <v>2032</v>
      </c>
      <c r="DH45">
        <f t="shared" si="589"/>
        <v>2032</v>
      </c>
      <c r="DI45">
        <f t="shared" si="589"/>
        <v>2032</v>
      </c>
      <c r="DJ45">
        <f t="shared" si="589"/>
        <v>2032</v>
      </c>
      <c r="DK45">
        <f t="shared" si="589"/>
        <v>2032</v>
      </c>
      <c r="DL45">
        <f t="shared" si="589"/>
        <v>2032</v>
      </c>
      <c r="DM45">
        <f t="shared" si="589"/>
        <v>2032</v>
      </c>
      <c r="DN45">
        <f t="shared" si="589"/>
        <v>2032</v>
      </c>
      <c r="DO45">
        <f t="shared" si="589"/>
        <v>2032</v>
      </c>
      <c r="DP45">
        <f t="shared" si="589"/>
        <v>2032</v>
      </c>
      <c r="DQ45">
        <f t="shared" si="589"/>
        <v>2032</v>
      </c>
      <c r="DR45">
        <f t="shared" si="589"/>
        <v>2033</v>
      </c>
      <c r="DS45">
        <f t="shared" si="589"/>
        <v>2033</v>
      </c>
      <c r="DT45">
        <f t="shared" si="589"/>
        <v>2033</v>
      </c>
      <c r="DU45">
        <f t="shared" si="589"/>
        <v>2033</v>
      </c>
      <c r="DV45">
        <f t="shared" si="589"/>
        <v>2033</v>
      </c>
      <c r="DW45">
        <f t="shared" si="589"/>
        <v>2033</v>
      </c>
      <c r="DX45">
        <f t="shared" si="589"/>
        <v>2033</v>
      </c>
      <c r="DY45">
        <f t="shared" si="589"/>
        <v>2033</v>
      </c>
      <c r="DZ45">
        <f t="shared" si="589"/>
        <v>2033</v>
      </c>
      <c r="EA45">
        <f t="shared" ref="EA45:GL45" si="590">+YEAR(EA46)</f>
        <v>2033</v>
      </c>
      <c r="EB45">
        <f t="shared" si="590"/>
        <v>2033</v>
      </c>
      <c r="EC45">
        <f t="shared" si="590"/>
        <v>2033</v>
      </c>
      <c r="ED45">
        <f t="shared" si="590"/>
        <v>2034</v>
      </c>
      <c r="EE45">
        <f t="shared" si="590"/>
        <v>2034</v>
      </c>
      <c r="EF45">
        <f t="shared" si="590"/>
        <v>2034</v>
      </c>
      <c r="EG45">
        <f t="shared" si="590"/>
        <v>2034</v>
      </c>
      <c r="EH45">
        <f t="shared" si="590"/>
        <v>2034</v>
      </c>
      <c r="EI45">
        <f t="shared" si="590"/>
        <v>2034</v>
      </c>
      <c r="EJ45">
        <f t="shared" si="590"/>
        <v>2034</v>
      </c>
      <c r="EK45">
        <f t="shared" si="590"/>
        <v>2034</v>
      </c>
      <c r="EL45">
        <f t="shared" si="590"/>
        <v>2034</v>
      </c>
      <c r="EM45">
        <f t="shared" si="590"/>
        <v>2034</v>
      </c>
      <c r="EN45">
        <f t="shared" si="590"/>
        <v>2034</v>
      </c>
      <c r="EO45">
        <f t="shared" si="590"/>
        <v>2034</v>
      </c>
      <c r="EP45">
        <f t="shared" si="590"/>
        <v>2035</v>
      </c>
      <c r="EQ45">
        <f t="shared" si="590"/>
        <v>2035</v>
      </c>
      <c r="ER45">
        <f t="shared" si="590"/>
        <v>2035</v>
      </c>
      <c r="ES45">
        <f t="shared" si="590"/>
        <v>2035</v>
      </c>
      <c r="ET45">
        <f t="shared" si="590"/>
        <v>2035</v>
      </c>
      <c r="EU45">
        <f t="shared" si="590"/>
        <v>2035</v>
      </c>
      <c r="EV45">
        <f t="shared" si="590"/>
        <v>2035</v>
      </c>
      <c r="EW45">
        <f t="shared" si="590"/>
        <v>2035</v>
      </c>
      <c r="EX45">
        <f t="shared" si="590"/>
        <v>2035</v>
      </c>
      <c r="EY45">
        <f t="shared" si="590"/>
        <v>2035</v>
      </c>
      <c r="EZ45">
        <f t="shared" si="590"/>
        <v>2035</v>
      </c>
      <c r="FA45">
        <f t="shared" si="590"/>
        <v>2035</v>
      </c>
      <c r="FB45">
        <f t="shared" si="590"/>
        <v>2036</v>
      </c>
      <c r="FC45">
        <f t="shared" si="590"/>
        <v>2036</v>
      </c>
      <c r="FD45">
        <f t="shared" si="590"/>
        <v>2036</v>
      </c>
      <c r="FE45">
        <f t="shared" si="590"/>
        <v>2036</v>
      </c>
      <c r="FF45">
        <f t="shared" si="590"/>
        <v>2036</v>
      </c>
      <c r="FG45">
        <f t="shared" si="590"/>
        <v>2036</v>
      </c>
      <c r="FH45">
        <f t="shared" si="590"/>
        <v>2036</v>
      </c>
      <c r="FI45">
        <f t="shared" si="590"/>
        <v>2036</v>
      </c>
      <c r="FJ45">
        <f t="shared" si="590"/>
        <v>2036</v>
      </c>
      <c r="FK45">
        <f t="shared" si="590"/>
        <v>2036</v>
      </c>
      <c r="FL45">
        <f t="shared" si="590"/>
        <v>2036</v>
      </c>
      <c r="FM45">
        <f t="shared" si="590"/>
        <v>2036</v>
      </c>
      <c r="FN45">
        <f t="shared" si="590"/>
        <v>2037</v>
      </c>
      <c r="FO45">
        <f t="shared" si="590"/>
        <v>2037</v>
      </c>
      <c r="FP45">
        <f t="shared" si="590"/>
        <v>2037</v>
      </c>
      <c r="FQ45">
        <f t="shared" si="590"/>
        <v>2037</v>
      </c>
      <c r="FR45">
        <f t="shared" si="590"/>
        <v>2037</v>
      </c>
      <c r="FS45">
        <f t="shared" si="590"/>
        <v>2037</v>
      </c>
      <c r="FT45">
        <f t="shared" si="590"/>
        <v>2037</v>
      </c>
      <c r="FU45">
        <f t="shared" si="590"/>
        <v>2037</v>
      </c>
      <c r="FV45">
        <f t="shared" si="590"/>
        <v>2037</v>
      </c>
      <c r="FW45">
        <f t="shared" si="590"/>
        <v>2037</v>
      </c>
      <c r="FX45">
        <f t="shared" si="590"/>
        <v>2037</v>
      </c>
      <c r="FY45">
        <f t="shared" si="590"/>
        <v>2037</v>
      </c>
      <c r="FZ45">
        <f t="shared" si="590"/>
        <v>2038</v>
      </c>
      <c r="GA45">
        <f t="shared" si="590"/>
        <v>2038</v>
      </c>
      <c r="GB45">
        <f t="shared" si="590"/>
        <v>2038</v>
      </c>
      <c r="GC45">
        <f t="shared" si="590"/>
        <v>2038</v>
      </c>
      <c r="GD45">
        <f t="shared" si="590"/>
        <v>2038</v>
      </c>
      <c r="GE45">
        <f t="shared" si="590"/>
        <v>2038</v>
      </c>
      <c r="GF45">
        <f t="shared" si="590"/>
        <v>2038</v>
      </c>
      <c r="GG45">
        <f t="shared" si="590"/>
        <v>2038</v>
      </c>
      <c r="GH45">
        <f t="shared" si="590"/>
        <v>2038</v>
      </c>
      <c r="GI45">
        <f t="shared" si="590"/>
        <v>2038</v>
      </c>
      <c r="GJ45">
        <f t="shared" si="590"/>
        <v>2038</v>
      </c>
      <c r="GK45">
        <f t="shared" si="590"/>
        <v>2038</v>
      </c>
      <c r="GL45">
        <f t="shared" si="590"/>
        <v>2039</v>
      </c>
      <c r="GM45">
        <f t="shared" ref="GM45:IX45" si="591">+YEAR(GM46)</f>
        <v>2039</v>
      </c>
      <c r="GN45">
        <f t="shared" si="591"/>
        <v>2039</v>
      </c>
      <c r="GO45">
        <f t="shared" si="591"/>
        <v>2039</v>
      </c>
      <c r="GP45">
        <f t="shared" si="591"/>
        <v>2039</v>
      </c>
      <c r="GQ45">
        <f t="shared" si="591"/>
        <v>2039</v>
      </c>
      <c r="GR45">
        <f t="shared" si="591"/>
        <v>2039</v>
      </c>
      <c r="GS45">
        <f t="shared" si="591"/>
        <v>2039</v>
      </c>
      <c r="GT45">
        <f t="shared" si="591"/>
        <v>2039</v>
      </c>
      <c r="GU45">
        <f t="shared" si="591"/>
        <v>2039</v>
      </c>
      <c r="GV45">
        <f t="shared" si="591"/>
        <v>2039</v>
      </c>
      <c r="GW45">
        <f t="shared" si="591"/>
        <v>2039</v>
      </c>
      <c r="GX45">
        <f t="shared" si="591"/>
        <v>2040</v>
      </c>
      <c r="GY45">
        <f t="shared" si="591"/>
        <v>2040</v>
      </c>
      <c r="GZ45">
        <f t="shared" si="591"/>
        <v>2040</v>
      </c>
      <c r="HA45">
        <f t="shared" si="591"/>
        <v>2040</v>
      </c>
      <c r="HB45">
        <f t="shared" si="591"/>
        <v>2040</v>
      </c>
      <c r="HC45">
        <f t="shared" si="591"/>
        <v>2040</v>
      </c>
      <c r="HD45">
        <f t="shared" si="591"/>
        <v>2040</v>
      </c>
      <c r="HE45">
        <f t="shared" si="591"/>
        <v>2040</v>
      </c>
      <c r="HF45">
        <f t="shared" si="591"/>
        <v>2040</v>
      </c>
      <c r="HG45">
        <f t="shared" si="591"/>
        <v>2040</v>
      </c>
      <c r="HH45">
        <f t="shared" si="591"/>
        <v>2040</v>
      </c>
      <c r="HI45">
        <f t="shared" si="591"/>
        <v>2040</v>
      </c>
      <c r="HJ45">
        <f t="shared" si="591"/>
        <v>2041</v>
      </c>
      <c r="HK45">
        <f t="shared" si="591"/>
        <v>2041</v>
      </c>
      <c r="HL45">
        <f t="shared" si="591"/>
        <v>2041</v>
      </c>
      <c r="HM45">
        <f t="shared" si="591"/>
        <v>2041</v>
      </c>
      <c r="HN45">
        <f t="shared" si="591"/>
        <v>2041</v>
      </c>
      <c r="HO45">
        <f t="shared" si="591"/>
        <v>2041</v>
      </c>
      <c r="HP45">
        <f t="shared" si="591"/>
        <v>2041</v>
      </c>
      <c r="HQ45">
        <f t="shared" si="591"/>
        <v>2041</v>
      </c>
      <c r="HR45">
        <f t="shared" si="591"/>
        <v>2041</v>
      </c>
      <c r="HS45">
        <f t="shared" si="591"/>
        <v>2041</v>
      </c>
      <c r="HT45">
        <f t="shared" si="591"/>
        <v>2041</v>
      </c>
      <c r="HU45">
        <f t="shared" si="591"/>
        <v>2041</v>
      </c>
      <c r="HV45">
        <f t="shared" si="591"/>
        <v>2042</v>
      </c>
      <c r="HW45">
        <f t="shared" si="591"/>
        <v>2042</v>
      </c>
      <c r="HX45">
        <f t="shared" si="591"/>
        <v>2042</v>
      </c>
      <c r="HY45">
        <f t="shared" si="591"/>
        <v>2042</v>
      </c>
      <c r="HZ45">
        <f t="shared" si="591"/>
        <v>2042</v>
      </c>
      <c r="IA45">
        <f t="shared" si="591"/>
        <v>2042</v>
      </c>
      <c r="IB45">
        <f t="shared" si="591"/>
        <v>2042</v>
      </c>
      <c r="IC45">
        <f t="shared" si="591"/>
        <v>2042</v>
      </c>
      <c r="ID45">
        <f t="shared" si="591"/>
        <v>2042</v>
      </c>
      <c r="IE45">
        <f t="shared" si="591"/>
        <v>2042</v>
      </c>
      <c r="IF45">
        <f t="shared" si="591"/>
        <v>2042</v>
      </c>
      <c r="IG45">
        <f t="shared" si="591"/>
        <v>2042</v>
      </c>
      <c r="IH45">
        <f t="shared" si="591"/>
        <v>2043</v>
      </c>
      <c r="II45">
        <f t="shared" si="591"/>
        <v>2043</v>
      </c>
      <c r="IJ45">
        <f t="shared" si="591"/>
        <v>2043</v>
      </c>
      <c r="IK45">
        <f t="shared" si="591"/>
        <v>2043</v>
      </c>
      <c r="IL45">
        <f t="shared" si="591"/>
        <v>2043</v>
      </c>
      <c r="IM45">
        <f t="shared" si="591"/>
        <v>2043</v>
      </c>
      <c r="IN45">
        <f t="shared" si="591"/>
        <v>2043</v>
      </c>
      <c r="IO45">
        <f t="shared" si="591"/>
        <v>2043</v>
      </c>
      <c r="IP45">
        <f t="shared" si="591"/>
        <v>2043</v>
      </c>
      <c r="IQ45">
        <f t="shared" si="591"/>
        <v>2043</v>
      </c>
      <c r="IR45">
        <f t="shared" si="591"/>
        <v>2043</v>
      </c>
      <c r="IS45">
        <f t="shared" si="591"/>
        <v>2043</v>
      </c>
      <c r="IT45">
        <f t="shared" si="591"/>
        <v>2044</v>
      </c>
      <c r="IU45">
        <f t="shared" si="591"/>
        <v>2044</v>
      </c>
      <c r="IV45">
        <f t="shared" si="591"/>
        <v>2044</v>
      </c>
      <c r="IW45">
        <f t="shared" si="591"/>
        <v>2044</v>
      </c>
      <c r="IX45">
        <f t="shared" si="591"/>
        <v>2044</v>
      </c>
      <c r="IY45">
        <f t="shared" ref="IY45:JE45" si="592">+YEAR(IY46)</f>
        <v>2044</v>
      </c>
      <c r="IZ45">
        <f t="shared" si="592"/>
        <v>2044</v>
      </c>
      <c r="JA45">
        <f t="shared" si="592"/>
        <v>2044</v>
      </c>
      <c r="JB45">
        <f t="shared" si="592"/>
        <v>2044</v>
      </c>
      <c r="JC45">
        <f t="shared" si="592"/>
        <v>2044</v>
      </c>
      <c r="JD45">
        <f t="shared" si="592"/>
        <v>2044</v>
      </c>
      <c r="JE45">
        <f t="shared" si="592"/>
        <v>2044</v>
      </c>
    </row>
    <row r="46" spans="1:265" x14ac:dyDescent="0.3">
      <c r="B46" s="39">
        <v>44927</v>
      </c>
      <c r="C46" s="39">
        <v>44958</v>
      </c>
      <c r="D46" s="39">
        <v>44986</v>
      </c>
      <c r="E46" s="39">
        <v>45017</v>
      </c>
      <c r="F46" s="39">
        <v>45047</v>
      </c>
      <c r="G46" s="39">
        <v>45078</v>
      </c>
      <c r="H46" s="39">
        <v>45108</v>
      </c>
      <c r="I46" s="39">
        <v>45139</v>
      </c>
      <c r="J46" s="39">
        <v>45170</v>
      </c>
      <c r="K46" s="39">
        <v>45200</v>
      </c>
      <c r="L46" s="39">
        <v>45231</v>
      </c>
      <c r="M46" s="39">
        <v>45261</v>
      </c>
      <c r="N46" s="39">
        <v>45292</v>
      </c>
      <c r="O46" s="39">
        <v>45323</v>
      </c>
      <c r="P46" s="39">
        <v>45352</v>
      </c>
      <c r="Q46" s="39">
        <v>45383</v>
      </c>
      <c r="R46" s="39">
        <v>45413</v>
      </c>
      <c r="S46" s="39">
        <v>45444</v>
      </c>
      <c r="T46" s="39">
        <v>45474</v>
      </c>
      <c r="U46" s="39">
        <v>45505</v>
      </c>
      <c r="V46" s="39">
        <v>45536</v>
      </c>
      <c r="W46" s="39">
        <v>45566</v>
      </c>
      <c r="X46" s="39">
        <v>45597</v>
      </c>
      <c r="Y46" s="39">
        <v>45627</v>
      </c>
      <c r="Z46" s="39">
        <v>45658</v>
      </c>
      <c r="AA46" s="39">
        <v>45689</v>
      </c>
      <c r="AB46" s="39">
        <v>45717</v>
      </c>
      <c r="AC46" s="39">
        <v>45748</v>
      </c>
      <c r="AD46" s="39">
        <v>45778</v>
      </c>
      <c r="AE46" s="39">
        <v>45809</v>
      </c>
      <c r="AF46" s="39">
        <v>45839</v>
      </c>
      <c r="AG46" s="39">
        <v>45870</v>
      </c>
      <c r="AH46" s="39">
        <v>45901</v>
      </c>
      <c r="AI46" s="39">
        <v>45931</v>
      </c>
      <c r="AJ46" s="39">
        <v>45962</v>
      </c>
      <c r="AK46" s="39">
        <v>45992</v>
      </c>
      <c r="AL46" s="39">
        <v>46023</v>
      </c>
      <c r="AM46" s="39">
        <v>46054</v>
      </c>
      <c r="AN46" s="39">
        <v>46082</v>
      </c>
      <c r="AO46" s="39">
        <v>46113</v>
      </c>
      <c r="AP46" s="39">
        <v>46143</v>
      </c>
      <c r="AQ46" s="39">
        <v>46174</v>
      </c>
      <c r="AR46" s="39">
        <v>46204</v>
      </c>
      <c r="AS46" s="39">
        <v>46235</v>
      </c>
      <c r="AT46" s="39">
        <v>46266</v>
      </c>
      <c r="AU46" s="39">
        <v>46296</v>
      </c>
      <c r="AV46" s="39">
        <v>46327</v>
      </c>
      <c r="AW46" s="39">
        <v>46357</v>
      </c>
      <c r="AX46" s="39">
        <v>46388</v>
      </c>
      <c r="AY46" s="39">
        <v>46419</v>
      </c>
      <c r="AZ46" s="39">
        <v>46447</v>
      </c>
      <c r="BA46" s="39">
        <v>46478</v>
      </c>
      <c r="BB46" s="39">
        <v>46508</v>
      </c>
      <c r="BC46" s="39">
        <v>46539</v>
      </c>
      <c r="BD46" s="39">
        <v>46569</v>
      </c>
      <c r="BE46" s="39">
        <v>46600</v>
      </c>
      <c r="BF46" s="39">
        <v>46631</v>
      </c>
      <c r="BG46" s="39">
        <v>46661</v>
      </c>
      <c r="BH46" s="39">
        <v>46692</v>
      </c>
      <c r="BI46" s="39">
        <v>46722</v>
      </c>
      <c r="BJ46" s="39">
        <v>46753</v>
      </c>
      <c r="BK46" s="39">
        <v>46784</v>
      </c>
      <c r="BL46" s="39">
        <v>46813</v>
      </c>
      <c r="BM46" s="39">
        <v>46844</v>
      </c>
      <c r="BN46" s="39">
        <v>46874</v>
      </c>
      <c r="BO46" s="39">
        <v>46905</v>
      </c>
      <c r="BP46" s="39">
        <v>46935</v>
      </c>
      <c r="BQ46" s="39">
        <v>46966</v>
      </c>
      <c r="BR46" s="39">
        <v>46997</v>
      </c>
      <c r="BS46" s="39">
        <v>47027</v>
      </c>
      <c r="BT46" s="39">
        <v>47058</v>
      </c>
      <c r="BU46" s="39">
        <v>47088</v>
      </c>
      <c r="BV46" s="39">
        <v>47119</v>
      </c>
      <c r="BW46" s="39">
        <v>47150</v>
      </c>
      <c r="BX46" s="39">
        <v>47178</v>
      </c>
      <c r="BY46" s="39">
        <v>47209</v>
      </c>
      <c r="BZ46" s="39">
        <v>47239</v>
      </c>
      <c r="CA46" s="39">
        <v>47270</v>
      </c>
      <c r="CB46" s="39">
        <v>47300</v>
      </c>
      <c r="CC46" s="39">
        <v>47331</v>
      </c>
      <c r="CD46" s="39">
        <v>47362</v>
      </c>
      <c r="CE46" s="39">
        <v>47392</v>
      </c>
      <c r="CF46" s="39">
        <v>47423</v>
      </c>
      <c r="CG46" s="39">
        <v>47453</v>
      </c>
      <c r="CH46" s="39">
        <v>47484</v>
      </c>
      <c r="CI46" s="39">
        <v>47515</v>
      </c>
      <c r="CJ46" s="39">
        <v>47543</v>
      </c>
      <c r="CK46" s="39">
        <v>47574</v>
      </c>
      <c r="CL46" s="39">
        <v>47604</v>
      </c>
      <c r="CM46" s="39">
        <v>47635</v>
      </c>
      <c r="CN46" s="39">
        <v>47665</v>
      </c>
      <c r="CO46" s="39">
        <v>47696</v>
      </c>
      <c r="CP46" s="39">
        <v>47727</v>
      </c>
      <c r="CQ46" s="39">
        <v>47757</v>
      </c>
      <c r="CR46" s="39">
        <v>47788</v>
      </c>
      <c r="CS46" s="39">
        <v>47818</v>
      </c>
      <c r="CT46" s="39">
        <v>47849</v>
      </c>
      <c r="CU46" s="39">
        <v>47880</v>
      </c>
      <c r="CV46" s="39">
        <v>47908</v>
      </c>
      <c r="CW46" s="39">
        <v>47939</v>
      </c>
      <c r="CX46" s="39">
        <v>47969</v>
      </c>
      <c r="CY46" s="39">
        <v>48000</v>
      </c>
      <c r="CZ46" s="39">
        <v>48030</v>
      </c>
      <c r="DA46" s="39">
        <v>48061</v>
      </c>
      <c r="DB46" s="39">
        <v>48092</v>
      </c>
      <c r="DC46" s="39">
        <v>48122</v>
      </c>
      <c r="DD46" s="39">
        <v>48153</v>
      </c>
      <c r="DE46" s="39">
        <v>48183</v>
      </c>
      <c r="DF46" s="39">
        <v>48214</v>
      </c>
      <c r="DG46" s="39">
        <v>48245</v>
      </c>
      <c r="DH46" s="39">
        <v>48274</v>
      </c>
      <c r="DI46" s="39">
        <v>48305</v>
      </c>
      <c r="DJ46" s="39">
        <v>48335</v>
      </c>
      <c r="DK46" s="39">
        <v>48366</v>
      </c>
      <c r="DL46" s="39">
        <v>48396</v>
      </c>
      <c r="DM46" s="39">
        <v>48427</v>
      </c>
      <c r="DN46" s="39">
        <v>48458</v>
      </c>
      <c r="DO46" s="39">
        <v>48488</v>
      </c>
      <c r="DP46" s="39">
        <v>48519</v>
      </c>
      <c r="DQ46" s="39">
        <v>48549</v>
      </c>
      <c r="DR46" s="39">
        <v>48580</v>
      </c>
      <c r="DS46" s="39">
        <v>48611</v>
      </c>
      <c r="DT46" s="39">
        <v>48639</v>
      </c>
      <c r="DU46" s="39">
        <v>48670</v>
      </c>
      <c r="DV46" s="39">
        <v>48700</v>
      </c>
      <c r="DW46" s="39">
        <v>48731</v>
      </c>
      <c r="DX46" s="39">
        <v>48761</v>
      </c>
      <c r="DY46" s="39">
        <v>48792</v>
      </c>
      <c r="DZ46" s="39">
        <v>48823</v>
      </c>
      <c r="EA46" s="39">
        <v>48853</v>
      </c>
      <c r="EB46" s="39">
        <v>48884</v>
      </c>
      <c r="EC46" s="39">
        <v>48914</v>
      </c>
      <c r="ED46" s="39">
        <v>48945</v>
      </c>
      <c r="EE46" s="39">
        <v>48976</v>
      </c>
      <c r="EF46" s="39">
        <v>49004</v>
      </c>
      <c r="EG46" s="39">
        <v>49035</v>
      </c>
      <c r="EH46" s="39">
        <v>49065</v>
      </c>
      <c r="EI46" s="39">
        <v>49096</v>
      </c>
      <c r="EJ46" s="39">
        <v>49126</v>
      </c>
      <c r="EK46" s="39">
        <v>49157</v>
      </c>
      <c r="EL46" s="39">
        <v>49188</v>
      </c>
      <c r="EM46" s="39">
        <v>49218</v>
      </c>
      <c r="EN46" s="39">
        <v>49249</v>
      </c>
      <c r="EO46" s="39">
        <v>49279</v>
      </c>
      <c r="EP46" s="39">
        <v>49310</v>
      </c>
      <c r="EQ46" s="39">
        <v>49341</v>
      </c>
      <c r="ER46" s="39">
        <v>49369</v>
      </c>
      <c r="ES46" s="39">
        <v>49400</v>
      </c>
      <c r="ET46" s="39">
        <v>49430</v>
      </c>
      <c r="EU46" s="39">
        <v>49461</v>
      </c>
      <c r="EV46" s="39">
        <v>49491</v>
      </c>
      <c r="EW46" s="39">
        <v>49522</v>
      </c>
      <c r="EX46" s="39">
        <v>49553</v>
      </c>
      <c r="EY46" s="39">
        <v>49583</v>
      </c>
      <c r="EZ46" s="39">
        <v>49614</v>
      </c>
      <c r="FA46" s="39">
        <v>49644</v>
      </c>
      <c r="FB46" s="39">
        <v>49675</v>
      </c>
      <c r="FC46" s="39">
        <v>49706</v>
      </c>
      <c r="FD46" s="39">
        <v>49735</v>
      </c>
      <c r="FE46" s="39">
        <v>49766</v>
      </c>
      <c r="FF46" s="39">
        <v>49796</v>
      </c>
      <c r="FG46" s="39">
        <v>49827</v>
      </c>
      <c r="FH46" s="39">
        <v>49857</v>
      </c>
      <c r="FI46" s="39">
        <v>49888</v>
      </c>
      <c r="FJ46" s="39">
        <v>49919</v>
      </c>
      <c r="FK46" s="39">
        <v>49949</v>
      </c>
      <c r="FL46" s="39">
        <v>49980</v>
      </c>
      <c r="FM46" s="39">
        <v>50010</v>
      </c>
      <c r="FN46" s="39">
        <v>50041</v>
      </c>
      <c r="FO46" s="39">
        <v>50072</v>
      </c>
      <c r="FP46" s="39">
        <v>50100</v>
      </c>
      <c r="FQ46" s="39">
        <v>50131</v>
      </c>
      <c r="FR46" s="39">
        <v>50161</v>
      </c>
      <c r="FS46" s="39">
        <v>50192</v>
      </c>
      <c r="FT46" s="39">
        <v>50222</v>
      </c>
      <c r="FU46" s="39">
        <v>50253</v>
      </c>
      <c r="FV46" s="39">
        <v>50284</v>
      </c>
      <c r="FW46" s="39">
        <v>50314</v>
      </c>
      <c r="FX46" s="39">
        <v>50345</v>
      </c>
      <c r="FY46" s="39">
        <v>50375</v>
      </c>
      <c r="FZ46" s="39">
        <v>50406</v>
      </c>
      <c r="GA46" s="39">
        <v>50437</v>
      </c>
      <c r="GB46" s="39">
        <v>50465</v>
      </c>
      <c r="GC46" s="39">
        <v>50496</v>
      </c>
      <c r="GD46" s="39">
        <v>50526</v>
      </c>
      <c r="GE46" s="39">
        <v>50557</v>
      </c>
      <c r="GF46" s="39">
        <v>50587</v>
      </c>
      <c r="GG46" s="39">
        <v>50618</v>
      </c>
      <c r="GH46" s="39">
        <v>50649</v>
      </c>
      <c r="GI46" s="39">
        <v>50679</v>
      </c>
      <c r="GJ46" s="39">
        <v>50710</v>
      </c>
      <c r="GK46" s="39">
        <v>50740</v>
      </c>
      <c r="GL46" s="39">
        <v>50771</v>
      </c>
      <c r="GM46" s="39">
        <v>50802</v>
      </c>
      <c r="GN46" s="39">
        <v>50830</v>
      </c>
      <c r="GO46" s="39">
        <v>50861</v>
      </c>
      <c r="GP46" s="39">
        <v>50891</v>
      </c>
      <c r="GQ46" s="39">
        <v>50922</v>
      </c>
      <c r="GR46" s="39">
        <v>50952</v>
      </c>
      <c r="GS46" s="39">
        <v>50983</v>
      </c>
      <c r="GT46" s="39">
        <v>51014</v>
      </c>
      <c r="GU46" s="39">
        <v>51044</v>
      </c>
      <c r="GV46" s="39">
        <v>51075</v>
      </c>
      <c r="GW46" s="39">
        <v>51105</v>
      </c>
      <c r="GX46" s="39">
        <v>51136</v>
      </c>
      <c r="GY46" s="39">
        <v>51167</v>
      </c>
      <c r="GZ46" s="39">
        <v>51196</v>
      </c>
      <c r="HA46" s="39">
        <v>51227</v>
      </c>
      <c r="HB46" s="39">
        <v>51257</v>
      </c>
      <c r="HC46" s="39">
        <v>51288</v>
      </c>
      <c r="HD46" s="39">
        <v>51318</v>
      </c>
      <c r="HE46" s="39">
        <v>51349</v>
      </c>
      <c r="HF46" s="39">
        <v>51380</v>
      </c>
      <c r="HG46" s="39">
        <v>51410</v>
      </c>
      <c r="HH46" s="39">
        <v>51441</v>
      </c>
      <c r="HI46" s="39">
        <v>51471</v>
      </c>
      <c r="HJ46" s="39">
        <v>51502</v>
      </c>
      <c r="HK46" s="39">
        <v>51533</v>
      </c>
      <c r="HL46" s="39">
        <v>51561</v>
      </c>
      <c r="HM46" s="39">
        <v>51592</v>
      </c>
      <c r="HN46" s="39">
        <v>51622</v>
      </c>
      <c r="HO46" s="39">
        <v>51653</v>
      </c>
      <c r="HP46" s="39">
        <v>51683</v>
      </c>
      <c r="HQ46" s="39">
        <v>51714</v>
      </c>
      <c r="HR46" s="39">
        <v>51745</v>
      </c>
      <c r="HS46" s="39">
        <v>51775</v>
      </c>
      <c r="HT46" s="39">
        <v>51806</v>
      </c>
      <c r="HU46" s="39">
        <v>51836</v>
      </c>
      <c r="HV46" s="39">
        <v>51867</v>
      </c>
      <c r="HW46" s="39">
        <v>51898</v>
      </c>
      <c r="HX46" s="39">
        <v>51926</v>
      </c>
      <c r="HY46" s="39">
        <v>51957</v>
      </c>
      <c r="HZ46" s="39">
        <v>51987</v>
      </c>
      <c r="IA46" s="39">
        <v>52018</v>
      </c>
      <c r="IB46" s="39">
        <v>52048</v>
      </c>
      <c r="IC46" s="39">
        <v>52079</v>
      </c>
      <c r="ID46" s="39">
        <v>52110</v>
      </c>
      <c r="IE46" s="39">
        <v>52140</v>
      </c>
      <c r="IF46" s="39">
        <v>52171</v>
      </c>
      <c r="IG46" s="39">
        <v>52201</v>
      </c>
      <c r="IH46" s="39">
        <v>52232</v>
      </c>
      <c r="II46" s="39">
        <v>52263</v>
      </c>
      <c r="IJ46" s="39">
        <v>52291</v>
      </c>
      <c r="IK46" s="39">
        <v>52322</v>
      </c>
      <c r="IL46" s="39">
        <v>52352</v>
      </c>
      <c r="IM46" s="39">
        <v>52383</v>
      </c>
      <c r="IN46" s="39">
        <v>52413</v>
      </c>
      <c r="IO46" s="39">
        <v>52444</v>
      </c>
      <c r="IP46" s="39">
        <v>52475</v>
      </c>
      <c r="IQ46" s="39">
        <v>52505</v>
      </c>
      <c r="IR46" s="39">
        <v>52536</v>
      </c>
      <c r="IS46" s="39">
        <v>52566</v>
      </c>
      <c r="IT46" s="39">
        <v>52597</v>
      </c>
      <c r="IU46" s="39">
        <v>52628</v>
      </c>
      <c r="IV46" s="39">
        <v>52657</v>
      </c>
      <c r="IW46" s="39">
        <v>52688</v>
      </c>
      <c r="IX46" s="39">
        <v>52718</v>
      </c>
      <c r="IY46" s="39">
        <v>52749</v>
      </c>
      <c r="IZ46" s="39">
        <v>52779</v>
      </c>
      <c r="JA46" s="39">
        <v>52810</v>
      </c>
      <c r="JB46" s="39">
        <v>52841</v>
      </c>
      <c r="JC46" s="39">
        <v>52871</v>
      </c>
      <c r="JD46" s="39">
        <v>52902</v>
      </c>
      <c r="JE46" s="39">
        <v>52932</v>
      </c>
    </row>
    <row r="47" spans="1:265" x14ac:dyDescent="0.3">
      <c r="A47" t="s">
        <v>884</v>
      </c>
      <c r="B47" s="12">
        <f t="shared" ref="B47:K47" si="593">+B7</f>
        <v>0</v>
      </c>
      <c r="C47" s="12">
        <f t="shared" si="593"/>
        <v>0</v>
      </c>
      <c r="D47" s="12">
        <f t="shared" si="593"/>
        <v>0</v>
      </c>
      <c r="E47" s="12">
        <f t="shared" si="593"/>
        <v>0</v>
      </c>
      <c r="F47" s="12">
        <f t="shared" si="593"/>
        <v>0</v>
      </c>
      <c r="G47" s="12">
        <f t="shared" si="593"/>
        <v>0</v>
      </c>
      <c r="H47" s="12">
        <f t="shared" si="593"/>
        <v>0</v>
      </c>
      <c r="I47" s="12">
        <f t="shared" si="593"/>
        <v>0</v>
      </c>
      <c r="J47" s="12">
        <f t="shared" si="593"/>
        <v>0</v>
      </c>
      <c r="K47" s="12">
        <f t="shared" si="593"/>
        <v>0</v>
      </c>
      <c r="L47" s="12" t="e">
        <f>+#REF!</f>
        <v>#REF!</v>
      </c>
      <c r="M47" s="12" t="e">
        <f>+#REF!</f>
        <v>#REF!</v>
      </c>
      <c r="N47" s="12">
        <f t="shared" ref="N47:W48" si="594">+L7</f>
        <v>972.47</v>
      </c>
      <c r="O47" s="12">
        <f t="shared" si="594"/>
        <v>975.85</v>
      </c>
      <c r="P47" s="12">
        <f t="shared" si="594"/>
        <v>1003.02</v>
      </c>
      <c r="Q47" s="12">
        <f t="shared" si="594"/>
        <v>945.96590000000003</v>
      </c>
      <c r="R47" s="12">
        <f t="shared" si="594"/>
        <v>949.84</v>
      </c>
      <c r="S47" s="12">
        <f t="shared" si="594"/>
        <v>881.59</v>
      </c>
      <c r="T47" s="12">
        <f t="shared" si="594"/>
        <v>859.24</v>
      </c>
      <c r="U47" s="12">
        <f t="shared" si="594"/>
        <v>807.28</v>
      </c>
      <c r="V47" s="12">
        <f t="shared" si="594"/>
        <v>855.04</v>
      </c>
      <c r="W47" s="12">
        <f t="shared" si="594"/>
        <v>854.84</v>
      </c>
      <c r="X47" s="12">
        <f t="shared" ref="X47:AG48" si="595">+V7</f>
        <v>907.23</v>
      </c>
      <c r="Y47" s="12">
        <f t="shared" si="595"/>
        <v>907.2</v>
      </c>
      <c r="Z47" s="12">
        <f t="shared" si="595"/>
        <v>907.22</v>
      </c>
      <c r="AA47" s="12">
        <f t="shared" si="595"/>
        <v>943.46</v>
      </c>
      <c r="AB47" s="12">
        <f t="shared" si="595"/>
        <v>943.5</v>
      </c>
      <c r="AC47" s="12">
        <f t="shared" si="595"/>
        <v>943.46</v>
      </c>
      <c r="AD47" s="12">
        <f t="shared" si="595"/>
        <v>943.46</v>
      </c>
      <c r="AE47" s="12">
        <f t="shared" si="595"/>
        <v>938.16</v>
      </c>
      <c r="AF47" s="12">
        <f t="shared" si="595"/>
        <v>885.71</v>
      </c>
      <c r="AG47" s="12">
        <f t="shared" si="595"/>
        <v>885.7</v>
      </c>
      <c r="AH47" s="12">
        <f t="shared" ref="AH47:AQ48" si="596">+AF7</f>
        <v>795</v>
      </c>
      <c r="AI47" s="12">
        <f t="shared" si="596"/>
        <v>795</v>
      </c>
      <c r="AJ47" s="12">
        <f t="shared" si="596"/>
        <v>795.93</v>
      </c>
      <c r="AK47" s="12">
        <f t="shared" si="596"/>
        <v>795.93</v>
      </c>
      <c r="AL47" s="12">
        <f t="shared" si="596"/>
        <v>795.93</v>
      </c>
      <c r="AM47" s="12">
        <f t="shared" si="596"/>
        <v>795.93</v>
      </c>
      <c r="AN47" s="12">
        <f t="shared" si="596"/>
        <v>971.80500000000006</v>
      </c>
      <c r="AO47" s="12">
        <f t="shared" si="596"/>
        <v>971.76380000000006</v>
      </c>
      <c r="AP47" s="12">
        <f t="shared" si="596"/>
        <v>971.76380000000006</v>
      </c>
      <c r="AQ47" s="12">
        <f t="shared" si="596"/>
        <v>966.3048</v>
      </c>
      <c r="AR47" s="12">
        <f t="shared" ref="AR47:BA48" si="597">+AP7</f>
        <v>912.2813000000001</v>
      </c>
      <c r="AS47" s="12">
        <f t="shared" si="597"/>
        <v>912.27100000000007</v>
      </c>
      <c r="AT47" s="12">
        <f t="shared" si="597"/>
        <v>818.85</v>
      </c>
      <c r="AU47" s="12">
        <f t="shared" si="597"/>
        <v>818.85</v>
      </c>
      <c r="AV47" s="12">
        <f t="shared" si="597"/>
        <v>819.80790000000002</v>
      </c>
      <c r="AW47" s="12">
        <f t="shared" si="597"/>
        <v>819.80790000000002</v>
      </c>
      <c r="AX47" s="12">
        <f t="shared" si="597"/>
        <v>819.80790000000002</v>
      </c>
      <c r="AY47" s="12">
        <f t="shared" si="597"/>
        <v>819.80790000000002</v>
      </c>
      <c r="AZ47" s="12">
        <f t="shared" si="597"/>
        <v>1000.9591500000001</v>
      </c>
      <c r="BA47" s="12">
        <f t="shared" si="597"/>
        <v>1000.9167140000001</v>
      </c>
      <c r="BB47" s="12">
        <f t="shared" ref="BB47:BK48" si="598">+AZ7</f>
        <v>1000.9167140000001</v>
      </c>
      <c r="BC47" s="12">
        <f t="shared" si="598"/>
        <v>995.29394400000001</v>
      </c>
      <c r="BD47" s="12">
        <f t="shared" si="598"/>
        <v>939.64973900000018</v>
      </c>
      <c r="BE47" s="12">
        <f t="shared" si="598"/>
        <v>939.63913000000014</v>
      </c>
      <c r="BF47" s="12">
        <f t="shared" si="598"/>
        <v>843.41550000000007</v>
      </c>
      <c r="BG47" s="12">
        <f t="shared" si="598"/>
        <v>843.41550000000007</v>
      </c>
      <c r="BH47" s="12">
        <f t="shared" si="598"/>
        <v>844.40213700000004</v>
      </c>
      <c r="BI47" s="12">
        <f t="shared" si="598"/>
        <v>844.40213700000004</v>
      </c>
      <c r="BJ47" s="12">
        <f t="shared" si="598"/>
        <v>844.40213700000004</v>
      </c>
      <c r="BK47" s="12">
        <f t="shared" si="598"/>
        <v>844.40213700000004</v>
      </c>
      <c r="BL47" s="12">
        <f t="shared" ref="BL47:BU48" si="599">+BJ7</f>
        <v>1030.9879245000002</v>
      </c>
      <c r="BM47" s="12">
        <f t="shared" si="599"/>
        <v>1030.9442154200001</v>
      </c>
      <c r="BN47" s="12">
        <f t="shared" si="599"/>
        <v>1030.9442154200001</v>
      </c>
      <c r="BO47" s="12">
        <f t="shared" si="599"/>
        <v>1025.15276232</v>
      </c>
      <c r="BP47" s="12">
        <f t="shared" si="599"/>
        <v>967.83923117000018</v>
      </c>
      <c r="BQ47" s="12">
        <f t="shared" si="599"/>
        <v>967.82830390000015</v>
      </c>
      <c r="BR47" s="12">
        <f t="shared" si="599"/>
        <v>868.71796500000005</v>
      </c>
      <c r="BS47" s="12">
        <f t="shared" si="599"/>
        <v>868.71796500000005</v>
      </c>
      <c r="BT47" s="12">
        <f t="shared" si="599"/>
        <v>869.73420111000007</v>
      </c>
      <c r="BU47" s="12">
        <f t="shared" si="599"/>
        <v>869.73420111000007</v>
      </c>
      <c r="BV47" s="12">
        <f t="shared" ref="BV47:CE48" si="600">+BT7</f>
        <v>869.73420111000007</v>
      </c>
      <c r="BW47" s="12">
        <f t="shared" si="600"/>
        <v>869.73420111000007</v>
      </c>
      <c r="BX47" s="12">
        <f t="shared" si="600"/>
        <v>1061.9175622350003</v>
      </c>
      <c r="BY47" s="12">
        <f t="shared" si="600"/>
        <v>1061.8725418826002</v>
      </c>
      <c r="BZ47" s="12">
        <f t="shared" si="600"/>
        <v>1061.8725418826002</v>
      </c>
      <c r="CA47" s="12">
        <f t="shared" si="600"/>
        <v>1055.9073451895999</v>
      </c>
      <c r="CB47" s="12">
        <f t="shared" si="600"/>
        <v>996.8744081051002</v>
      </c>
      <c r="CC47" s="12">
        <f t="shared" si="600"/>
        <v>996.86315301700017</v>
      </c>
      <c r="CD47" s="12">
        <f t="shared" si="600"/>
        <v>894.77950395000005</v>
      </c>
      <c r="CE47" s="12">
        <f t="shared" si="600"/>
        <v>894.77950395000005</v>
      </c>
      <c r="CF47" s="12">
        <f t="shared" ref="CF47:CO48" si="601">+CD7</f>
        <v>895.82622714330012</v>
      </c>
      <c r="CG47" s="12">
        <f t="shared" si="601"/>
        <v>895.82622714330012</v>
      </c>
      <c r="CH47" s="12">
        <f t="shared" si="601"/>
        <v>895.82622714330012</v>
      </c>
      <c r="CI47" s="12">
        <f t="shared" si="601"/>
        <v>895.82622714330012</v>
      </c>
      <c r="CJ47" s="12">
        <f t="shared" si="601"/>
        <v>1093.7750891020503</v>
      </c>
      <c r="CK47" s="12">
        <f t="shared" si="601"/>
        <v>1093.7287181390782</v>
      </c>
      <c r="CL47" s="12">
        <f t="shared" si="601"/>
        <v>1093.7287181390782</v>
      </c>
      <c r="CM47" s="12">
        <f t="shared" si="601"/>
        <v>1087.5845655452879</v>
      </c>
      <c r="CN47" s="12">
        <f t="shared" si="601"/>
        <v>1026.7806403482532</v>
      </c>
      <c r="CO47" s="12">
        <f t="shared" si="601"/>
        <v>1026.7690476075102</v>
      </c>
      <c r="CP47" s="12">
        <f t="shared" ref="CP47:CY48" si="602">+CN7</f>
        <v>921.62288906850006</v>
      </c>
      <c r="CQ47" s="12">
        <f t="shared" si="602"/>
        <v>921.62288906850006</v>
      </c>
      <c r="CR47" s="12">
        <f t="shared" si="602"/>
        <v>922.70101395759912</v>
      </c>
      <c r="CS47" s="12">
        <f t="shared" si="602"/>
        <v>922.70101395759912</v>
      </c>
      <c r="CT47" s="12">
        <f t="shared" si="602"/>
        <v>922.70101395759912</v>
      </c>
      <c r="CU47" s="12">
        <f t="shared" si="602"/>
        <v>922.70101395759912</v>
      </c>
      <c r="CV47" s="12">
        <f t="shared" si="602"/>
        <v>1126.5883417751118</v>
      </c>
      <c r="CW47" s="12">
        <f t="shared" si="602"/>
        <v>1126.5405796832506</v>
      </c>
      <c r="CX47" s="12">
        <f t="shared" si="602"/>
        <v>1126.5405796832506</v>
      </c>
      <c r="CY47" s="12">
        <f t="shared" si="602"/>
        <v>1120.2121025116467</v>
      </c>
      <c r="CZ47" s="12">
        <f t="shared" ref="CZ47:DI48" si="603">+CX7</f>
        <v>1057.5840595587008</v>
      </c>
      <c r="DA47" s="12">
        <f t="shared" si="603"/>
        <v>1057.5721190357356</v>
      </c>
      <c r="DB47" s="12">
        <f t="shared" si="603"/>
        <v>949.27157574055514</v>
      </c>
      <c r="DC47" s="12">
        <f t="shared" si="603"/>
        <v>949.27157574055514</v>
      </c>
      <c r="DD47" s="12">
        <f t="shared" si="603"/>
        <v>950.38204437632714</v>
      </c>
      <c r="DE47" s="12">
        <f t="shared" si="603"/>
        <v>950.38204437632714</v>
      </c>
      <c r="DF47" s="12">
        <f t="shared" si="603"/>
        <v>950.38204437632714</v>
      </c>
      <c r="DG47" s="12">
        <f t="shared" si="603"/>
        <v>950.38204437632714</v>
      </c>
      <c r="DH47" s="12">
        <f t="shared" si="603"/>
        <v>1160.3859920283651</v>
      </c>
      <c r="DI47" s="12">
        <f t="shared" si="603"/>
        <v>1160.3367970737481</v>
      </c>
      <c r="DJ47" s="12">
        <f t="shared" ref="DJ47:DS48" si="604">+DH7</f>
        <v>1160.3367970737481</v>
      </c>
      <c r="DK47" s="12">
        <f t="shared" si="604"/>
        <v>1153.8184655869961</v>
      </c>
      <c r="DL47" s="12">
        <f t="shared" si="604"/>
        <v>1089.3115813454619</v>
      </c>
      <c r="DM47" s="12">
        <f t="shared" si="604"/>
        <v>1089.2992826068078</v>
      </c>
      <c r="DN47" s="12">
        <f t="shared" si="604"/>
        <v>977.74972301277182</v>
      </c>
      <c r="DO47" s="12">
        <f t="shared" si="604"/>
        <v>977.74972301277182</v>
      </c>
      <c r="DP47" s="12">
        <f t="shared" si="604"/>
        <v>978.89350570761701</v>
      </c>
      <c r="DQ47" s="12">
        <f t="shared" si="604"/>
        <v>978.89350570761701</v>
      </c>
      <c r="DR47" s="12">
        <f t="shared" si="604"/>
        <v>978.89350570761701</v>
      </c>
      <c r="DS47" s="12">
        <f t="shared" si="604"/>
        <v>978.89350570761701</v>
      </c>
      <c r="DT47" s="12">
        <f t="shared" ref="DT47:EC48" si="605">+DR7</f>
        <v>1195.197571789216</v>
      </c>
      <c r="DU47" s="12">
        <f t="shared" si="605"/>
        <v>1195.1469009859607</v>
      </c>
      <c r="DV47" s="12">
        <f t="shared" si="605"/>
        <v>1195.1469009859607</v>
      </c>
      <c r="DW47" s="12">
        <f t="shared" si="605"/>
        <v>1188.4330195546061</v>
      </c>
      <c r="DX47" s="12">
        <f t="shared" si="605"/>
        <v>1121.9909287858259</v>
      </c>
      <c r="DY47" s="12">
        <f t="shared" si="605"/>
        <v>1121.978261085012</v>
      </c>
      <c r="DZ47" s="12">
        <f t="shared" si="605"/>
        <v>1007.082214703155</v>
      </c>
      <c r="EA47" s="12">
        <f t="shared" si="605"/>
        <v>1007.082214703155</v>
      </c>
      <c r="EB47" s="12">
        <f t="shared" si="605"/>
        <v>1008.2603108788455</v>
      </c>
      <c r="EC47" s="12">
        <f t="shared" si="605"/>
        <v>1008.2603108788455</v>
      </c>
      <c r="ED47" s="12">
        <f t="shared" ref="ED47:EM48" si="606">+EB7</f>
        <v>1008.2603108788455</v>
      </c>
      <c r="EE47" s="12">
        <f t="shared" si="606"/>
        <v>1008.2603108788455</v>
      </c>
      <c r="EF47" s="12">
        <f t="shared" si="606"/>
        <v>1231.0534989428925</v>
      </c>
      <c r="EG47" s="12">
        <f t="shared" si="606"/>
        <v>1231.0013080155395</v>
      </c>
      <c r="EH47" s="12">
        <f t="shared" si="606"/>
        <v>1231.0013080155395</v>
      </c>
      <c r="EI47" s="12">
        <f t="shared" si="606"/>
        <v>1224.0860101412443</v>
      </c>
      <c r="EJ47" s="12">
        <f t="shared" si="606"/>
        <v>1155.6506566494006</v>
      </c>
      <c r="EK47" s="12">
        <f t="shared" si="606"/>
        <v>1155.6376089175624</v>
      </c>
      <c r="EL47" s="12">
        <f t="shared" si="606"/>
        <v>1037.2946811442498</v>
      </c>
      <c r="EM47" s="12">
        <f t="shared" si="606"/>
        <v>1037.2946811442498</v>
      </c>
      <c r="EN47" s="12">
        <f t="shared" ref="EN47:EW48" si="607">+EL7</f>
        <v>1038.5081202052108</v>
      </c>
      <c r="EO47" s="12">
        <f t="shared" si="607"/>
        <v>1038.5081202052108</v>
      </c>
      <c r="EP47" s="12">
        <f t="shared" si="607"/>
        <v>1038.5081202052108</v>
      </c>
      <c r="EQ47" s="12">
        <f t="shared" si="607"/>
        <v>1038.5081202052108</v>
      </c>
      <c r="ER47" s="12">
        <f t="shared" si="607"/>
        <v>1267.9851039111793</v>
      </c>
      <c r="ES47" s="12">
        <f t="shared" si="607"/>
        <v>1267.9313472560057</v>
      </c>
      <c r="ET47" s="12">
        <f t="shared" si="607"/>
        <v>1267.9313472560057</v>
      </c>
      <c r="EU47" s="12">
        <f t="shared" si="607"/>
        <v>1260.8085904454817</v>
      </c>
      <c r="EV47" s="12">
        <f t="shared" si="607"/>
        <v>1190.3201763488826</v>
      </c>
      <c r="EW47" s="12">
        <f t="shared" si="607"/>
        <v>1190.3067371850893</v>
      </c>
      <c r="EX47" s="12">
        <f t="shared" ref="EX47:FG48" si="608">+EV7</f>
        <v>1068.4135215785773</v>
      </c>
      <c r="EY47" s="12">
        <f t="shared" si="608"/>
        <v>1068.4135215785773</v>
      </c>
      <c r="EZ47" s="12">
        <f t="shared" si="608"/>
        <v>1069.6633638113672</v>
      </c>
      <c r="FA47" s="12">
        <f t="shared" si="608"/>
        <v>1069.6633638113672</v>
      </c>
      <c r="FB47" s="12">
        <f t="shared" si="608"/>
        <v>1069.6633638113672</v>
      </c>
      <c r="FC47" s="12">
        <f t="shared" si="608"/>
        <v>1069.6633638113672</v>
      </c>
      <c r="FD47" s="12">
        <f t="shared" si="608"/>
        <v>1306.0246570285146</v>
      </c>
      <c r="FE47" s="12">
        <f t="shared" si="608"/>
        <v>1305.9692876736858</v>
      </c>
      <c r="FF47" s="12">
        <f t="shared" si="608"/>
        <v>1305.9692876736858</v>
      </c>
      <c r="FG47" s="12">
        <f t="shared" si="608"/>
        <v>1298.6328481588462</v>
      </c>
      <c r="FH47" s="12">
        <f t="shared" ref="FH47:FQ48" si="609">+FF7</f>
        <v>1226.029781639349</v>
      </c>
      <c r="FI47" s="12">
        <f t="shared" si="609"/>
        <v>1226.015939300642</v>
      </c>
      <c r="FJ47" s="12">
        <f t="shared" si="609"/>
        <v>1100.4659272259346</v>
      </c>
      <c r="FK47" s="12">
        <f t="shared" si="609"/>
        <v>1100.4659272259346</v>
      </c>
      <c r="FL47" s="12">
        <f t="shared" si="609"/>
        <v>1101.7532647257083</v>
      </c>
      <c r="FM47" s="12">
        <f t="shared" si="609"/>
        <v>1101.7532647257083</v>
      </c>
      <c r="FN47" s="12">
        <f t="shared" si="609"/>
        <v>1101.7532647257083</v>
      </c>
      <c r="FO47" s="12">
        <f t="shared" si="609"/>
        <v>1101.7532647257083</v>
      </c>
      <c r="FP47" s="12">
        <f t="shared" si="609"/>
        <v>1345.2053967393701</v>
      </c>
      <c r="FQ47" s="12">
        <f t="shared" si="609"/>
        <v>1345.1483663038964</v>
      </c>
      <c r="FR47" s="12">
        <f t="shared" ref="FR47:GA48" si="610">+FP7</f>
        <v>1345.1483663038964</v>
      </c>
      <c r="FS47" s="12">
        <f t="shared" si="610"/>
        <v>1337.5918336036116</v>
      </c>
      <c r="FT47" s="12">
        <f t="shared" si="610"/>
        <v>1262.8106750885295</v>
      </c>
      <c r="FU47" s="12">
        <f t="shared" si="610"/>
        <v>1262.7964174796614</v>
      </c>
      <c r="FV47" s="12">
        <f t="shared" si="610"/>
        <v>1133.4799050427127</v>
      </c>
      <c r="FW47" s="12">
        <f t="shared" si="610"/>
        <v>1133.4799050427127</v>
      </c>
      <c r="FX47" s="12">
        <f t="shared" si="610"/>
        <v>1134.8058626674795</v>
      </c>
      <c r="FY47" s="12">
        <f t="shared" si="610"/>
        <v>1134.8058626674795</v>
      </c>
      <c r="FZ47" s="12">
        <f t="shared" si="610"/>
        <v>1134.8058626674795</v>
      </c>
      <c r="GA47" s="12">
        <f t="shared" si="610"/>
        <v>1134.8058626674795</v>
      </c>
      <c r="GB47" s="12">
        <f t="shared" ref="GB47:GK48" si="611">+FZ7</f>
        <v>1385.5615586415513</v>
      </c>
      <c r="GC47" s="12">
        <f t="shared" si="611"/>
        <v>1385.5028172930133</v>
      </c>
      <c r="GD47" s="12">
        <f t="shared" si="611"/>
        <v>1385.5028172930133</v>
      </c>
      <c r="GE47" s="12">
        <f t="shared" si="611"/>
        <v>1377.7195886117199</v>
      </c>
      <c r="GF47" s="12">
        <f t="shared" si="611"/>
        <v>1300.6949953411854</v>
      </c>
      <c r="GG47" s="12">
        <f t="shared" si="611"/>
        <v>1300.6803100040513</v>
      </c>
      <c r="GH47" s="12">
        <f t="shared" si="611"/>
        <v>1167.4843021939942</v>
      </c>
      <c r="GI47" s="12">
        <f t="shared" si="611"/>
        <v>1167.4843021939942</v>
      </c>
      <c r="GJ47" s="12">
        <f t="shared" si="611"/>
        <v>1168.8500385475038</v>
      </c>
      <c r="GK47" s="12">
        <f t="shared" si="611"/>
        <v>1168.8500385475038</v>
      </c>
      <c r="GL47" s="12">
        <f t="shared" ref="GL47:GU48" si="612">+GJ7</f>
        <v>1168.8500385475038</v>
      </c>
      <c r="GM47" s="12">
        <f t="shared" si="612"/>
        <v>1168.8500385475038</v>
      </c>
      <c r="GN47" s="12">
        <f t="shared" si="612"/>
        <v>1427.1284054007979</v>
      </c>
      <c r="GO47" s="12">
        <f t="shared" si="612"/>
        <v>1427.0679018118037</v>
      </c>
      <c r="GP47" s="12">
        <f t="shared" si="612"/>
        <v>1427.0679018118037</v>
      </c>
      <c r="GQ47" s="12">
        <f t="shared" si="612"/>
        <v>1419.0511762700717</v>
      </c>
      <c r="GR47" s="12">
        <f t="shared" si="612"/>
        <v>1339.715845201421</v>
      </c>
      <c r="GS47" s="12">
        <f t="shared" si="612"/>
        <v>1339.7007193041729</v>
      </c>
      <c r="GT47" s="12">
        <f t="shared" si="612"/>
        <v>1202.5088312598141</v>
      </c>
      <c r="GU47" s="12">
        <f t="shared" si="612"/>
        <v>1202.5088312598141</v>
      </c>
      <c r="GV47" s="12">
        <f t="shared" ref="GV47:HE48" si="613">+GT7</f>
        <v>1203.915539703929</v>
      </c>
      <c r="GW47" s="12">
        <f t="shared" si="613"/>
        <v>1203.915539703929</v>
      </c>
      <c r="GX47" s="12">
        <f t="shared" si="613"/>
        <v>1203.915539703929</v>
      </c>
      <c r="GY47" s="12">
        <f t="shared" si="613"/>
        <v>1203.915539703929</v>
      </c>
      <c r="GZ47" s="12">
        <f t="shared" si="613"/>
        <v>1469.9422575628219</v>
      </c>
      <c r="HA47" s="12">
        <f t="shared" si="613"/>
        <v>1469.8799388661578</v>
      </c>
      <c r="HB47" s="12">
        <f t="shared" si="613"/>
        <v>1469.8799388661578</v>
      </c>
      <c r="HC47" s="12">
        <f t="shared" si="613"/>
        <v>1461.6227115581739</v>
      </c>
      <c r="HD47" s="12">
        <f t="shared" si="613"/>
        <v>1379.9073205574637</v>
      </c>
      <c r="HE47" s="12">
        <f t="shared" si="613"/>
        <v>1379.8917408832981</v>
      </c>
      <c r="HF47" s="12">
        <f t="shared" ref="HF47:HO48" si="614">+HD7</f>
        <v>1238.5840961976085</v>
      </c>
      <c r="HG47" s="12">
        <f t="shared" si="614"/>
        <v>1238.5840961976085</v>
      </c>
      <c r="HH47" s="12">
        <f t="shared" si="614"/>
        <v>1240.0330058950469</v>
      </c>
      <c r="HI47" s="12">
        <f t="shared" si="614"/>
        <v>1240.0330058950469</v>
      </c>
      <c r="HJ47" s="12">
        <f t="shared" si="614"/>
        <v>1240.0330058950469</v>
      </c>
      <c r="HK47" s="12">
        <f t="shared" si="614"/>
        <v>1240.0330058950469</v>
      </c>
      <c r="HL47" s="12">
        <f t="shared" si="614"/>
        <v>1514.0405252897065</v>
      </c>
      <c r="HM47" s="12">
        <f t="shared" si="614"/>
        <v>1513.9763370321425</v>
      </c>
      <c r="HN47" s="12">
        <f t="shared" si="614"/>
        <v>1513.9763370321425</v>
      </c>
      <c r="HO47" s="12">
        <f t="shared" si="614"/>
        <v>1505.4713929049192</v>
      </c>
      <c r="HP47" s="12">
        <f t="shared" ref="HP47:HY48" si="615">+HN7</f>
        <v>1421.3045401741877</v>
      </c>
      <c r="HQ47" s="12">
        <f t="shared" si="615"/>
        <v>1421.2884931097972</v>
      </c>
      <c r="HR47" s="12">
        <f t="shared" si="615"/>
        <v>1275.7416190835368</v>
      </c>
      <c r="HS47" s="12">
        <f t="shared" si="615"/>
        <v>1275.7416190835368</v>
      </c>
      <c r="HT47" s="12">
        <f t="shared" si="615"/>
        <v>1277.2339960718984</v>
      </c>
      <c r="HU47" s="12">
        <f t="shared" si="615"/>
        <v>1277.2339960718984</v>
      </c>
      <c r="HV47" s="12">
        <f t="shared" si="615"/>
        <v>1277.2339960718984</v>
      </c>
      <c r="HW47" s="12">
        <f t="shared" si="615"/>
        <v>1277.2339960718984</v>
      </c>
      <c r="HX47" s="12">
        <f t="shared" si="615"/>
        <v>1559.4617410483977</v>
      </c>
      <c r="HY47" s="12">
        <f t="shared" si="615"/>
        <v>1559.3956271431068</v>
      </c>
      <c r="HZ47" s="12">
        <f t="shared" ref="HZ47:II48" si="616">+HX7</f>
        <v>1559.3956271431068</v>
      </c>
      <c r="IA47" s="12">
        <f t="shared" si="616"/>
        <v>1550.6355346920668</v>
      </c>
      <c r="IB47" s="12">
        <f t="shared" si="616"/>
        <v>1463.9436763794133</v>
      </c>
      <c r="IC47" s="12">
        <f t="shared" si="616"/>
        <v>1463.9271479030911</v>
      </c>
      <c r="ID47" s="12">
        <f t="shared" si="616"/>
        <v>1314.013867656043</v>
      </c>
      <c r="IE47" s="12">
        <f t="shared" si="616"/>
        <v>1314.013867656043</v>
      </c>
      <c r="IF47" s="12">
        <f t="shared" si="616"/>
        <v>1315.5510159540554</v>
      </c>
      <c r="IG47" s="12">
        <f t="shared" si="616"/>
        <v>1315.5510159540554</v>
      </c>
      <c r="IH47" s="12">
        <f t="shared" si="616"/>
        <v>1315.5510159540554</v>
      </c>
      <c r="II47" s="12">
        <f t="shared" si="616"/>
        <v>1315.5510159540554</v>
      </c>
      <c r="IJ47" s="12">
        <f t="shared" ref="IJ47:IS48" si="617">+IH7</f>
        <v>1606.2455932798496</v>
      </c>
      <c r="IK47" s="12">
        <f t="shared" si="617"/>
        <v>1606.1774959574</v>
      </c>
      <c r="IL47" s="12">
        <f t="shared" si="617"/>
        <v>1606.1774959574</v>
      </c>
      <c r="IM47" s="12">
        <f t="shared" si="617"/>
        <v>1597.1546007328288</v>
      </c>
      <c r="IN47" s="12">
        <f t="shared" si="617"/>
        <v>1507.8619866707957</v>
      </c>
      <c r="IO47" s="12">
        <f t="shared" si="617"/>
        <v>1507.8449623401839</v>
      </c>
      <c r="IP47" s="12">
        <f t="shared" si="617"/>
        <v>1353.4342836857243</v>
      </c>
      <c r="IQ47" s="12">
        <f t="shared" si="617"/>
        <v>1353.4342836857243</v>
      </c>
      <c r="IR47" s="12">
        <f t="shared" si="617"/>
        <v>1355.0175464326771</v>
      </c>
      <c r="IS47" s="12">
        <f t="shared" si="617"/>
        <v>1355.0175464326771</v>
      </c>
      <c r="IT47" s="12">
        <f t="shared" ref="IT47:JC48" si="618">+IR7</f>
        <v>1355.0175464326771</v>
      </c>
      <c r="IU47" s="12">
        <f t="shared" si="618"/>
        <v>1355.0175464326771</v>
      </c>
      <c r="IV47" s="12">
        <f t="shared" si="618"/>
        <v>1654.4329610782452</v>
      </c>
      <c r="IW47" s="12">
        <f t="shared" si="618"/>
        <v>1654.362820836122</v>
      </c>
      <c r="IX47" s="12">
        <f t="shared" si="618"/>
        <v>1654.362820836122</v>
      </c>
      <c r="IY47" s="12">
        <f t="shared" si="618"/>
        <v>1645.0692387548138</v>
      </c>
      <c r="IZ47" s="12">
        <f t="shared" si="618"/>
        <v>1553.0978462709195</v>
      </c>
      <c r="JA47" s="12">
        <f t="shared" si="618"/>
        <v>1553.0803112103895</v>
      </c>
      <c r="JB47" s="12">
        <f t="shared" si="618"/>
        <v>1394.0373121962959</v>
      </c>
      <c r="JC47" s="12">
        <f t="shared" si="618"/>
        <v>1394.0373121962959</v>
      </c>
      <c r="JD47" s="12">
        <f t="shared" ref="JD47:JE48" si="619">+JB7</f>
        <v>1395.6680728256574</v>
      </c>
      <c r="JE47" s="12">
        <f t="shared" si="619"/>
        <v>1395.6680728256574</v>
      </c>
    </row>
    <row r="48" spans="1:265" x14ac:dyDescent="0.3">
      <c r="A48" t="s">
        <v>885</v>
      </c>
      <c r="B48" s="12">
        <f t="shared" ref="B48:K48" si="620">+B8</f>
        <v>0</v>
      </c>
      <c r="C48" s="12">
        <f t="shared" si="620"/>
        <v>0</v>
      </c>
      <c r="D48" s="12">
        <f t="shared" si="620"/>
        <v>0</v>
      </c>
      <c r="E48" s="12">
        <f t="shared" si="620"/>
        <v>0</v>
      </c>
      <c r="F48" s="12">
        <f t="shared" si="620"/>
        <v>0</v>
      </c>
      <c r="G48" s="12">
        <f t="shared" si="620"/>
        <v>0</v>
      </c>
      <c r="H48" s="12">
        <f t="shared" si="620"/>
        <v>0</v>
      </c>
      <c r="I48" s="12">
        <f t="shared" si="620"/>
        <v>0</v>
      </c>
      <c r="J48" s="12">
        <f t="shared" si="620"/>
        <v>0</v>
      </c>
      <c r="K48" s="12">
        <f t="shared" si="620"/>
        <v>0</v>
      </c>
      <c r="L48" s="12" t="e">
        <f>+#REF!</f>
        <v>#REF!</v>
      </c>
      <c r="M48" s="12" t="e">
        <f>+#REF!</f>
        <v>#REF!</v>
      </c>
      <c r="N48" s="12">
        <f t="shared" si="594"/>
        <v>137.38</v>
      </c>
      <c r="O48" s="12">
        <f t="shared" si="594"/>
        <v>136.72</v>
      </c>
      <c r="P48" s="12">
        <f t="shared" si="594"/>
        <v>145.76</v>
      </c>
      <c r="Q48" s="12">
        <f t="shared" si="594"/>
        <v>147.0412</v>
      </c>
      <c r="R48" s="12">
        <f t="shared" si="594"/>
        <v>139.18</v>
      </c>
      <c r="S48" s="12">
        <f t="shared" si="594"/>
        <v>135.94999999999999</v>
      </c>
      <c r="T48" s="12">
        <f t="shared" si="594"/>
        <v>128.91</v>
      </c>
      <c r="U48" s="12">
        <f t="shared" si="594"/>
        <v>125.95</v>
      </c>
      <c r="V48" s="12">
        <f t="shared" si="594"/>
        <v>128.91999999999999</v>
      </c>
      <c r="W48" s="12">
        <f t="shared" si="594"/>
        <v>135.29</v>
      </c>
      <c r="X48" s="12">
        <f t="shared" si="595"/>
        <v>139</v>
      </c>
      <c r="Y48" s="12">
        <f t="shared" si="595"/>
        <v>147.13</v>
      </c>
      <c r="Z48" s="12">
        <f t="shared" si="595"/>
        <v>154.19999999999999</v>
      </c>
      <c r="AA48" s="12">
        <f t="shared" si="595"/>
        <v>159.19</v>
      </c>
      <c r="AB48" s="12">
        <f t="shared" si="595"/>
        <v>156.6</v>
      </c>
      <c r="AC48" s="12">
        <f t="shared" si="595"/>
        <v>160.06</v>
      </c>
      <c r="AD48" s="12">
        <f t="shared" si="595"/>
        <v>154.88999999999999</v>
      </c>
      <c r="AE48" s="12">
        <f t="shared" si="595"/>
        <v>153.61000000000001</v>
      </c>
      <c r="AF48" s="12">
        <f t="shared" si="595"/>
        <v>151.97</v>
      </c>
      <c r="AG48" s="12">
        <f t="shared" si="595"/>
        <v>132.69999999999999</v>
      </c>
      <c r="AH48" s="12">
        <f t="shared" si="596"/>
        <v>133.16</v>
      </c>
      <c r="AI48" s="12">
        <f t="shared" si="596"/>
        <v>121.2</v>
      </c>
      <c r="AJ48" s="12">
        <f t="shared" si="596"/>
        <v>119.83</v>
      </c>
      <c r="AK48" s="12">
        <f t="shared" si="596"/>
        <v>151.54390000000001</v>
      </c>
      <c r="AL48" s="12">
        <f t="shared" si="596"/>
        <v>158.82599999999999</v>
      </c>
      <c r="AM48" s="12">
        <f t="shared" si="596"/>
        <v>163.9657</v>
      </c>
      <c r="AN48" s="12">
        <f t="shared" si="596"/>
        <v>161.298</v>
      </c>
      <c r="AO48" s="12">
        <f t="shared" si="596"/>
        <v>164.86180000000002</v>
      </c>
      <c r="AP48" s="12">
        <f t="shared" si="596"/>
        <v>159.5367</v>
      </c>
      <c r="AQ48" s="12">
        <f t="shared" si="596"/>
        <v>158.21830000000003</v>
      </c>
      <c r="AR48" s="12">
        <f t="shared" si="597"/>
        <v>156.5291</v>
      </c>
      <c r="AS48" s="12">
        <f t="shared" si="597"/>
        <v>136.68099999999998</v>
      </c>
      <c r="AT48" s="12">
        <f t="shared" si="597"/>
        <v>137.15479999999999</v>
      </c>
      <c r="AU48" s="12">
        <f t="shared" si="597"/>
        <v>124.83600000000001</v>
      </c>
      <c r="AV48" s="12">
        <f t="shared" si="597"/>
        <v>123.42490000000001</v>
      </c>
      <c r="AW48" s="12">
        <f t="shared" si="597"/>
        <v>156.09021700000002</v>
      </c>
      <c r="AX48" s="12">
        <f t="shared" si="597"/>
        <v>163.59078</v>
      </c>
      <c r="AY48" s="12">
        <f t="shared" si="597"/>
        <v>168.884671</v>
      </c>
      <c r="AZ48" s="12">
        <f t="shared" si="597"/>
        <v>166.13694000000001</v>
      </c>
      <c r="BA48" s="12">
        <f t="shared" si="597"/>
        <v>169.80765400000001</v>
      </c>
      <c r="BB48" s="12">
        <f t="shared" si="598"/>
        <v>164.322801</v>
      </c>
      <c r="BC48" s="12">
        <f t="shared" si="598"/>
        <v>162.96484900000004</v>
      </c>
      <c r="BD48" s="12">
        <f t="shared" si="598"/>
        <v>161.22497300000001</v>
      </c>
      <c r="BE48" s="12">
        <f t="shared" si="598"/>
        <v>140.78143</v>
      </c>
      <c r="BF48" s="12">
        <f t="shared" si="598"/>
        <v>141.26944399999999</v>
      </c>
      <c r="BG48" s="12">
        <f t="shared" si="598"/>
        <v>128.58108000000001</v>
      </c>
      <c r="BH48" s="12">
        <f t="shared" si="598"/>
        <v>127.12764700000001</v>
      </c>
      <c r="BI48" s="12">
        <f t="shared" si="598"/>
        <v>160.77292351000003</v>
      </c>
      <c r="BJ48" s="12">
        <f t="shared" si="598"/>
        <v>168.4985034</v>
      </c>
      <c r="BK48" s="12">
        <f t="shared" si="598"/>
        <v>173.95121112999999</v>
      </c>
      <c r="BL48" s="12">
        <f t="shared" si="599"/>
        <v>171.12104820000002</v>
      </c>
      <c r="BM48" s="12">
        <f t="shared" si="599"/>
        <v>174.90188362000001</v>
      </c>
      <c r="BN48" s="12">
        <f t="shared" si="599"/>
        <v>169.25248503</v>
      </c>
      <c r="BO48" s="12">
        <f t="shared" si="599"/>
        <v>167.85379447000005</v>
      </c>
      <c r="BP48" s="12">
        <f t="shared" si="599"/>
        <v>166.06172219000001</v>
      </c>
      <c r="BQ48" s="12">
        <f t="shared" si="599"/>
        <v>145.00487290000001</v>
      </c>
      <c r="BR48" s="12">
        <f t="shared" si="599"/>
        <v>145.50752732000001</v>
      </c>
      <c r="BS48" s="12">
        <f t="shared" si="599"/>
        <v>132.43851240000001</v>
      </c>
      <c r="BT48" s="12">
        <f t="shared" si="599"/>
        <v>130.94147641000001</v>
      </c>
      <c r="BU48" s="12">
        <f t="shared" si="599"/>
        <v>165.59611121530003</v>
      </c>
      <c r="BV48" s="12">
        <f t="shared" si="600"/>
        <v>173.55345850200001</v>
      </c>
      <c r="BW48" s="12">
        <f t="shared" si="600"/>
        <v>179.16974746389999</v>
      </c>
      <c r="BX48" s="12">
        <f t="shared" si="600"/>
        <v>176.25467964600003</v>
      </c>
      <c r="BY48" s="12">
        <f t="shared" si="600"/>
        <v>180.1489401286</v>
      </c>
      <c r="BZ48" s="12">
        <f t="shared" si="600"/>
        <v>174.33005958090001</v>
      </c>
      <c r="CA48" s="12">
        <f t="shared" si="600"/>
        <v>172.88940830410007</v>
      </c>
      <c r="CB48" s="12">
        <f t="shared" si="600"/>
        <v>171.0435738557</v>
      </c>
      <c r="CC48" s="12">
        <f t="shared" si="600"/>
        <v>149.35501908700002</v>
      </c>
      <c r="CD48" s="12">
        <f t="shared" si="600"/>
        <v>149.87275313960001</v>
      </c>
      <c r="CE48" s="12">
        <f t="shared" si="600"/>
        <v>136.41166777200002</v>
      </c>
      <c r="CF48" s="12">
        <f t="shared" si="601"/>
        <v>134.86972070230001</v>
      </c>
      <c r="CG48" s="12">
        <f t="shared" si="601"/>
        <v>170.56399455175904</v>
      </c>
      <c r="CH48" s="12">
        <f t="shared" si="601"/>
        <v>178.76006225706001</v>
      </c>
      <c r="CI48" s="12">
        <f t="shared" si="601"/>
        <v>184.54483988781701</v>
      </c>
      <c r="CJ48" s="12">
        <f t="shared" si="601"/>
        <v>181.54232003538004</v>
      </c>
      <c r="CK48" s="12">
        <f t="shared" si="601"/>
        <v>185.55340833245802</v>
      </c>
      <c r="CL48" s="12">
        <f t="shared" si="601"/>
        <v>179.55996136832701</v>
      </c>
      <c r="CM48" s="12">
        <f t="shared" si="601"/>
        <v>178.07609055322308</v>
      </c>
      <c r="CN48" s="12">
        <f t="shared" si="601"/>
        <v>176.174881071371</v>
      </c>
      <c r="CO48" s="12">
        <f t="shared" si="601"/>
        <v>153.83566965961003</v>
      </c>
      <c r="CP48" s="12">
        <f t="shared" si="602"/>
        <v>154.36893573378802</v>
      </c>
      <c r="CQ48" s="12">
        <f t="shared" si="602"/>
        <v>140.50401780516003</v>
      </c>
      <c r="CR48" s="12">
        <f t="shared" si="602"/>
        <v>138.91581232336901</v>
      </c>
      <c r="CS48" s="12">
        <f t="shared" si="602"/>
        <v>175.68091438831181</v>
      </c>
      <c r="CT48" s="12">
        <f t="shared" si="602"/>
        <v>184.12286412477181</v>
      </c>
      <c r="CU48" s="12">
        <f t="shared" si="602"/>
        <v>190.08118508445153</v>
      </c>
      <c r="CV48" s="12">
        <f t="shared" si="602"/>
        <v>186.98858963644145</v>
      </c>
      <c r="CW48" s="12">
        <f t="shared" si="602"/>
        <v>191.12001058243177</v>
      </c>
      <c r="CX48" s="12">
        <f t="shared" si="602"/>
        <v>184.94676020937683</v>
      </c>
      <c r="CY48" s="12">
        <f t="shared" si="602"/>
        <v>183.41837326981977</v>
      </c>
      <c r="CZ48" s="12">
        <f t="shared" si="603"/>
        <v>181.46012750351213</v>
      </c>
      <c r="DA48" s="12">
        <f t="shared" si="603"/>
        <v>158.45073974939834</v>
      </c>
      <c r="DB48" s="12">
        <f t="shared" si="603"/>
        <v>159.00000380580167</v>
      </c>
      <c r="DC48" s="12">
        <f t="shared" si="603"/>
        <v>144.71913833931484</v>
      </c>
      <c r="DD48" s="12">
        <f t="shared" si="603"/>
        <v>143.08328669307008</v>
      </c>
      <c r="DE48" s="12">
        <f t="shared" si="603"/>
        <v>180.95134181996116</v>
      </c>
      <c r="DF48" s="12">
        <f t="shared" si="603"/>
        <v>189.64655004851497</v>
      </c>
      <c r="DG48" s="12">
        <f t="shared" si="603"/>
        <v>195.78362063698509</v>
      </c>
      <c r="DH48" s="12">
        <f t="shared" si="603"/>
        <v>192.59824732553469</v>
      </c>
      <c r="DI48" s="12">
        <f t="shared" si="603"/>
        <v>196.85361089990474</v>
      </c>
      <c r="DJ48" s="12">
        <f t="shared" si="604"/>
        <v>190.49516301565814</v>
      </c>
      <c r="DK48" s="12">
        <f t="shared" si="604"/>
        <v>188.92092446791438</v>
      </c>
      <c r="DL48" s="12">
        <f t="shared" si="604"/>
        <v>186.90393132861749</v>
      </c>
      <c r="DM48" s="12">
        <f t="shared" si="604"/>
        <v>163.2042619418803</v>
      </c>
      <c r="DN48" s="12">
        <f t="shared" si="604"/>
        <v>163.77000391997572</v>
      </c>
      <c r="DO48" s="12">
        <f t="shared" si="604"/>
        <v>149.06071248949428</v>
      </c>
      <c r="DP48" s="12">
        <f t="shared" si="604"/>
        <v>147.37578529386218</v>
      </c>
      <c r="DQ48" s="12">
        <f t="shared" si="604"/>
        <v>186.37988207455999</v>
      </c>
      <c r="DR48" s="12">
        <f t="shared" si="604"/>
        <v>195.33594654997043</v>
      </c>
      <c r="DS48" s="12">
        <f t="shared" si="604"/>
        <v>201.65712925609466</v>
      </c>
      <c r="DT48" s="12">
        <f t="shared" si="605"/>
        <v>198.37619474530072</v>
      </c>
      <c r="DU48" s="12">
        <f t="shared" si="605"/>
        <v>202.75921922690188</v>
      </c>
      <c r="DV48" s="12">
        <f t="shared" si="605"/>
        <v>196.21001790612789</v>
      </c>
      <c r="DW48" s="12">
        <f t="shared" si="605"/>
        <v>194.58855220195181</v>
      </c>
      <c r="DX48" s="12">
        <f t="shared" si="605"/>
        <v>192.51104926847603</v>
      </c>
      <c r="DY48" s="12">
        <f t="shared" si="605"/>
        <v>168.10038980013672</v>
      </c>
      <c r="DZ48" s="12">
        <f t="shared" si="605"/>
        <v>168.68310403757499</v>
      </c>
      <c r="EA48" s="12">
        <f t="shared" si="605"/>
        <v>153.5325338641791</v>
      </c>
      <c r="EB48" s="12">
        <f t="shared" si="605"/>
        <v>151.79705885267805</v>
      </c>
      <c r="EC48" s="12">
        <f t="shared" si="605"/>
        <v>191.9712785367968</v>
      </c>
      <c r="ED48" s="12">
        <f t="shared" si="606"/>
        <v>201.19602494646955</v>
      </c>
      <c r="EE48" s="12">
        <f t="shared" si="606"/>
        <v>207.70684313377751</v>
      </c>
      <c r="EF48" s="12">
        <f t="shared" si="606"/>
        <v>204.32748058765975</v>
      </c>
      <c r="EG48" s="12">
        <f t="shared" si="606"/>
        <v>208.84199580370893</v>
      </c>
      <c r="EH48" s="12">
        <f t="shared" si="606"/>
        <v>202.09631844331173</v>
      </c>
      <c r="EI48" s="12">
        <f t="shared" si="606"/>
        <v>200.42620876801038</v>
      </c>
      <c r="EJ48" s="12">
        <f t="shared" si="606"/>
        <v>198.28638074653031</v>
      </c>
      <c r="EK48" s="12">
        <f t="shared" si="606"/>
        <v>173.14340149414082</v>
      </c>
      <c r="EL48" s="12">
        <f t="shared" si="606"/>
        <v>173.74359715870224</v>
      </c>
      <c r="EM48" s="12">
        <f t="shared" si="606"/>
        <v>158.13850988010446</v>
      </c>
      <c r="EN48" s="12">
        <f t="shared" si="607"/>
        <v>156.3509706182584</v>
      </c>
      <c r="EO48" s="12">
        <f t="shared" si="607"/>
        <v>197.73041689290071</v>
      </c>
      <c r="EP48" s="12">
        <f t="shared" si="607"/>
        <v>207.23190569486363</v>
      </c>
      <c r="EQ48" s="12">
        <f t="shared" si="607"/>
        <v>213.93804842779085</v>
      </c>
      <c r="ER48" s="12">
        <f t="shared" si="607"/>
        <v>210.45730500528956</v>
      </c>
      <c r="ES48" s="12">
        <f t="shared" si="607"/>
        <v>215.10725567782021</v>
      </c>
      <c r="ET48" s="12">
        <f t="shared" si="607"/>
        <v>208.15920799661109</v>
      </c>
      <c r="EU48" s="12">
        <f t="shared" si="607"/>
        <v>206.43899503105069</v>
      </c>
      <c r="EV48" s="12">
        <f t="shared" si="607"/>
        <v>204.23497216892622</v>
      </c>
      <c r="EW48" s="12">
        <f t="shared" si="607"/>
        <v>178.33770353896506</v>
      </c>
      <c r="EX48" s="12">
        <f t="shared" si="608"/>
        <v>178.95590507346333</v>
      </c>
      <c r="EY48" s="12">
        <f t="shared" si="608"/>
        <v>162.8826651765076</v>
      </c>
      <c r="EZ48" s="12">
        <f t="shared" si="608"/>
        <v>161.04149973680614</v>
      </c>
      <c r="FA48" s="12">
        <f t="shared" si="608"/>
        <v>203.66232939968774</v>
      </c>
      <c r="FB48" s="12">
        <f t="shared" si="608"/>
        <v>213.44886286570954</v>
      </c>
      <c r="FC48" s="12">
        <f t="shared" si="608"/>
        <v>220.35618988062458</v>
      </c>
      <c r="FD48" s="12">
        <f t="shared" si="608"/>
        <v>216.77102415544826</v>
      </c>
      <c r="FE48" s="12">
        <f t="shared" si="608"/>
        <v>221.56047334815483</v>
      </c>
      <c r="FF48" s="12">
        <f t="shared" si="608"/>
        <v>214.40398423650942</v>
      </c>
      <c r="FG48" s="12">
        <f t="shared" si="608"/>
        <v>212.63216488198222</v>
      </c>
      <c r="FH48" s="12">
        <f t="shared" si="609"/>
        <v>210.36202133399402</v>
      </c>
      <c r="FI48" s="12">
        <f t="shared" si="609"/>
        <v>183.68783464513402</v>
      </c>
      <c r="FJ48" s="12">
        <f t="shared" si="609"/>
        <v>184.32458222566723</v>
      </c>
      <c r="FK48" s="12">
        <f t="shared" si="609"/>
        <v>167.76914513180284</v>
      </c>
      <c r="FL48" s="12">
        <f t="shared" si="609"/>
        <v>165.87274472891033</v>
      </c>
      <c r="FM48" s="12">
        <f t="shared" si="609"/>
        <v>209.77219928167838</v>
      </c>
      <c r="FN48" s="12">
        <f t="shared" si="609"/>
        <v>219.85232875168083</v>
      </c>
      <c r="FO48" s="12">
        <f t="shared" si="609"/>
        <v>226.96687557704334</v>
      </c>
      <c r="FP48" s="12">
        <f t="shared" si="609"/>
        <v>223.27415488011172</v>
      </c>
      <c r="FQ48" s="12">
        <f t="shared" si="609"/>
        <v>228.20728754859948</v>
      </c>
      <c r="FR48" s="12">
        <f t="shared" si="610"/>
        <v>220.83610376360471</v>
      </c>
      <c r="FS48" s="12">
        <f t="shared" si="610"/>
        <v>219.01112982844168</v>
      </c>
      <c r="FT48" s="12">
        <f t="shared" si="610"/>
        <v>216.67288197401385</v>
      </c>
      <c r="FU48" s="12">
        <f t="shared" si="610"/>
        <v>189.19846968448803</v>
      </c>
      <c r="FV48" s="12">
        <f t="shared" si="610"/>
        <v>189.85431969243726</v>
      </c>
      <c r="FW48" s="12">
        <f t="shared" si="610"/>
        <v>172.80221948575692</v>
      </c>
      <c r="FX48" s="12">
        <f t="shared" si="610"/>
        <v>170.84892707077765</v>
      </c>
      <c r="FY48" s="12">
        <f t="shared" si="610"/>
        <v>216.06536526012874</v>
      </c>
      <c r="FZ48" s="12">
        <f t="shared" si="610"/>
        <v>226.44789861423126</v>
      </c>
      <c r="GA48" s="12">
        <f t="shared" si="610"/>
        <v>233.77588184435464</v>
      </c>
      <c r="GB48" s="12">
        <f t="shared" si="611"/>
        <v>229.97237952651508</v>
      </c>
      <c r="GC48" s="12">
        <f t="shared" si="611"/>
        <v>235.05350617505746</v>
      </c>
      <c r="GD48" s="12">
        <f t="shared" si="611"/>
        <v>227.46118687651287</v>
      </c>
      <c r="GE48" s="12">
        <f t="shared" si="611"/>
        <v>225.58146372329495</v>
      </c>
      <c r="GF48" s="12">
        <f t="shared" si="611"/>
        <v>223.17306843323428</v>
      </c>
      <c r="GG48" s="12">
        <f t="shared" si="611"/>
        <v>194.87442377502268</v>
      </c>
      <c r="GH48" s="12">
        <f t="shared" si="611"/>
        <v>195.54994928321037</v>
      </c>
      <c r="GI48" s="12">
        <f t="shared" si="611"/>
        <v>177.98628607032964</v>
      </c>
      <c r="GJ48" s="12">
        <f t="shared" si="611"/>
        <v>175.97439488290098</v>
      </c>
      <c r="GK48" s="12">
        <f t="shared" si="611"/>
        <v>222.54732621793261</v>
      </c>
      <c r="GL48" s="12">
        <f t="shared" si="612"/>
        <v>233.24133557265822</v>
      </c>
      <c r="GM48" s="12">
        <f t="shared" si="612"/>
        <v>240.78915829968528</v>
      </c>
      <c r="GN48" s="12">
        <f t="shared" si="612"/>
        <v>236.87155091231054</v>
      </c>
      <c r="GO48" s="12">
        <f t="shared" si="612"/>
        <v>242.10511136030919</v>
      </c>
      <c r="GP48" s="12">
        <f t="shared" si="612"/>
        <v>234.28502248280827</v>
      </c>
      <c r="GQ48" s="12">
        <f t="shared" si="612"/>
        <v>232.34890763499379</v>
      </c>
      <c r="GR48" s="12">
        <f t="shared" si="612"/>
        <v>229.86826048623132</v>
      </c>
      <c r="GS48" s="12">
        <f t="shared" si="612"/>
        <v>200.72065648827336</v>
      </c>
      <c r="GT48" s="12">
        <f t="shared" si="612"/>
        <v>201.41644776170668</v>
      </c>
      <c r="GU48" s="12">
        <f t="shared" si="612"/>
        <v>183.32587465243952</v>
      </c>
      <c r="GV48" s="12">
        <f t="shared" si="613"/>
        <v>181.253626729388</v>
      </c>
      <c r="GW48" s="12">
        <f t="shared" si="613"/>
        <v>229.2237460044706</v>
      </c>
      <c r="GX48" s="12">
        <f t="shared" si="613"/>
        <v>240.23857563983796</v>
      </c>
      <c r="GY48" s="12">
        <f t="shared" si="613"/>
        <v>248.01283304867584</v>
      </c>
      <c r="GZ48" s="12">
        <f t="shared" si="613"/>
        <v>243.97769743967987</v>
      </c>
      <c r="HA48" s="12">
        <f t="shared" si="613"/>
        <v>249.36826470111848</v>
      </c>
      <c r="HB48" s="12">
        <f t="shared" si="613"/>
        <v>241.31357315729252</v>
      </c>
      <c r="HC48" s="12">
        <f t="shared" si="613"/>
        <v>239.31937486404362</v>
      </c>
      <c r="HD48" s="12">
        <f t="shared" si="613"/>
        <v>236.76430830081827</v>
      </c>
      <c r="HE48" s="12">
        <f t="shared" si="613"/>
        <v>206.74227618292156</v>
      </c>
      <c r="HF48" s="12">
        <f t="shared" si="614"/>
        <v>207.45894119455789</v>
      </c>
      <c r="HG48" s="12">
        <f t="shared" si="614"/>
        <v>188.8256508920127</v>
      </c>
      <c r="HH48" s="12">
        <f t="shared" si="614"/>
        <v>186.69123553126965</v>
      </c>
      <c r="HI48" s="12">
        <f t="shared" si="614"/>
        <v>236.10045838460474</v>
      </c>
      <c r="HJ48" s="12">
        <f t="shared" si="614"/>
        <v>247.4457329090331</v>
      </c>
      <c r="HK48" s="12">
        <f t="shared" si="614"/>
        <v>255.45321804013614</v>
      </c>
      <c r="HL48" s="12">
        <f t="shared" si="614"/>
        <v>251.29702836287026</v>
      </c>
      <c r="HM48" s="12">
        <f t="shared" si="614"/>
        <v>256.84931264215203</v>
      </c>
      <c r="HN48" s="12">
        <f t="shared" si="614"/>
        <v>248.5529803520113</v>
      </c>
      <c r="HO48" s="12">
        <f t="shared" si="614"/>
        <v>246.49895610996495</v>
      </c>
      <c r="HP48" s="12">
        <f t="shared" si="615"/>
        <v>243.86723754984283</v>
      </c>
      <c r="HQ48" s="12">
        <f t="shared" si="615"/>
        <v>212.94454446840922</v>
      </c>
      <c r="HR48" s="12">
        <f t="shared" si="615"/>
        <v>213.68270943039462</v>
      </c>
      <c r="HS48" s="12">
        <f t="shared" si="615"/>
        <v>194.49042041877308</v>
      </c>
      <c r="HT48" s="12">
        <f t="shared" si="615"/>
        <v>192.29197259720775</v>
      </c>
      <c r="HU48" s="12">
        <f t="shared" si="615"/>
        <v>243.18347213614288</v>
      </c>
      <c r="HV48" s="12">
        <f t="shared" si="615"/>
        <v>254.86910489630409</v>
      </c>
      <c r="HW48" s="12">
        <f t="shared" si="615"/>
        <v>263.11681458134024</v>
      </c>
      <c r="HX48" s="12">
        <f t="shared" si="615"/>
        <v>258.83593921375638</v>
      </c>
      <c r="HY48" s="12">
        <f t="shared" si="615"/>
        <v>264.55479202141657</v>
      </c>
      <c r="HZ48" s="12">
        <f t="shared" si="616"/>
        <v>256.00956976257163</v>
      </c>
      <c r="IA48" s="12">
        <f t="shared" si="616"/>
        <v>253.89392479326389</v>
      </c>
      <c r="IB48" s="12">
        <f t="shared" si="616"/>
        <v>251.18325467633812</v>
      </c>
      <c r="IC48" s="12">
        <f t="shared" si="616"/>
        <v>219.33288080246149</v>
      </c>
      <c r="ID48" s="12">
        <f t="shared" si="616"/>
        <v>220.09319071330646</v>
      </c>
      <c r="IE48" s="12">
        <f t="shared" si="616"/>
        <v>200.32513303133629</v>
      </c>
      <c r="IF48" s="12">
        <f t="shared" si="616"/>
        <v>198.060731775124</v>
      </c>
      <c r="IG48" s="12">
        <f t="shared" si="616"/>
        <v>250.47897630022717</v>
      </c>
      <c r="IH48" s="12">
        <f t="shared" si="616"/>
        <v>262.5151780431932</v>
      </c>
      <c r="II48" s="12">
        <f t="shared" si="616"/>
        <v>271.01031901878048</v>
      </c>
      <c r="IJ48" s="12">
        <f t="shared" si="617"/>
        <v>266.60101739016909</v>
      </c>
      <c r="IK48" s="12">
        <f t="shared" si="617"/>
        <v>272.49143578205906</v>
      </c>
      <c r="IL48" s="12">
        <f t="shared" si="617"/>
        <v>263.6898568554488</v>
      </c>
      <c r="IM48" s="12">
        <f t="shared" si="617"/>
        <v>261.51074253706179</v>
      </c>
      <c r="IN48" s="12">
        <f t="shared" si="617"/>
        <v>258.7187523166283</v>
      </c>
      <c r="IO48" s="12">
        <f t="shared" si="617"/>
        <v>225.91286722653533</v>
      </c>
      <c r="IP48" s="12">
        <f t="shared" si="617"/>
        <v>226.69598643470565</v>
      </c>
      <c r="IQ48" s="12">
        <f t="shared" si="617"/>
        <v>206.33488702227638</v>
      </c>
      <c r="IR48" s="12">
        <f t="shared" si="617"/>
        <v>204.00255372837773</v>
      </c>
      <c r="IS48" s="12">
        <f t="shared" si="617"/>
        <v>257.99334558923397</v>
      </c>
      <c r="IT48" s="12">
        <f t="shared" si="618"/>
        <v>270.39063338448898</v>
      </c>
      <c r="IU48" s="12">
        <f t="shared" si="618"/>
        <v>279.14062858934392</v>
      </c>
      <c r="IV48" s="12">
        <f t="shared" si="618"/>
        <v>274.59904791187415</v>
      </c>
      <c r="IW48" s="12">
        <f t="shared" si="618"/>
        <v>280.66617885552085</v>
      </c>
      <c r="IX48" s="12">
        <f t="shared" si="618"/>
        <v>271.60055256111224</v>
      </c>
      <c r="IY48" s="12">
        <f t="shared" si="618"/>
        <v>269.35606481317365</v>
      </c>
      <c r="IZ48" s="12">
        <f t="shared" si="618"/>
        <v>266.48031488612713</v>
      </c>
      <c r="JA48" s="12">
        <f t="shared" si="618"/>
        <v>232.6902532433314</v>
      </c>
      <c r="JB48" s="12">
        <f t="shared" si="618"/>
        <v>233.49686602774682</v>
      </c>
      <c r="JC48" s="12">
        <f t="shared" si="618"/>
        <v>212.52493363294468</v>
      </c>
      <c r="JD48" s="12">
        <f t="shared" si="619"/>
        <v>210.12263034022908</v>
      </c>
      <c r="JE48" s="12">
        <f t="shared" si="619"/>
        <v>265.73314595691102</v>
      </c>
    </row>
    <row r="49" spans="1:265" x14ac:dyDescent="0.3">
      <c r="A49" t="s">
        <v>904</v>
      </c>
      <c r="C49" s="38"/>
      <c r="D49" s="38"/>
      <c r="E49" s="38"/>
      <c r="F49" s="38"/>
      <c r="G49" s="38"/>
      <c r="H49" s="38"/>
      <c r="I49" s="38"/>
      <c r="Q49" s="42"/>
      <c r="R49" s="38"/>
      <c r="U49" s="3"/>
      <c r="V49" s="12"/>
      <c r="W49" s="12"/>
      <c r="X49" s="12"/>
      <c r="Y49" s="12"/>
      <c r="Z49" s="12">
        <f ca="1">+C36</f>
        <v>117.76437779643383</v>
      </c>
      <c r="AA49" s="12">
        <f ca="1">+Z49</f>
        <v>117.76437779643383</v>
      </c>
      <c r="AB49" s="12">
        <f t="shared" ref="AB49" ca="1" si="621">+AA49</f>
        <v>117.76437779643383</v>
      </c>
      <c r="AC49" s="12">
        <f t="shared" ref="AC49" ca="1" si="622">+AB49</f>
        <v>117.76437779643383</v>
      </c>
      <c r="AD49" s="12">
        <f t="shared" ref="AD49" ca="1" si="623">+AC49</f>
        <v>117.76437779643383</v>
      </c>
      <c r="AE49" s="12">
        <f t="shared" ref="AE49" ca="1" si="624">+AD49</f>
        <v>117.76437779643383</v>
      </c>
      <c r="AF49" s="12">
        <f t="shared" ref="AF49" ca="1" si="625">+AE49</f>
        <v>117.76437779643383</v>
      </c>
      <c r="AG49" s="12">
        <f t="shared" ref="AG49" ca="1" si="626">+AF49</f>
        <v>117.76437779643383</v>
      </c>
      <c r="AH49" s="12">
        <f t="shared" ref="AH49" ca="1" si="627">+AG49</f>
        <v>117.76437779643383</v>
      </c>
      <c r="AI49" s="12">
        <f t="shared" ref="AI49" ca="1" si="628">+AH49</f>
        <v>117.76437779643383</v>
      </c>
      <c r="AJ49" s="12">
        <f t="shared" ref="AJ49" ca="1" si="629">+AI49</f>
        <v>117.76437779643383</v>
      </c>
      <c r="AK49" s="12">
        <f t="shared" ref="AK49" ca="1" si="630">+AJ49</f>
        <v>117.76437779643383</v>
      </c>
      <c r="AL49" s="12">
        <f ca="1">+AK49*(1+B42)</f>
        <v>123.65259668625554</v>
      </c>
      <c r="AM49" s="12">
        <f ca="1">+AL49</f>
        <v>123.65259668625554</v>
      </c>
      <c r="AN49" s="12">
        <f t="shared" ref="AN49" ca="1" si="631">+AM49</f>
        <v>123.65259668625554</v>
      </c>
      <c r="AO49" s="12">
        <f t="shared" ref="AO49" ca="1" si="632">+AN49</f>
        <v>123.65259668625554</v>
      </c>
      <c r="AP49" s="12">
        <f t="shared" ref="AP49" ca="1" si="633">+AO49</f>
        <v>123.65259668625554</v>
      </c>
      <c r="AQ49" s="12">
        <f t="shared" ref="AQ49" ca="1" si="634">+AP49</f>
        <v>123.65259668625554</v>
      </c>
      <c r="AR49" s="12">
        <f t="shared" ref="AR49" ca="1" si="635">+AQ49</f>
        <v>123.65259668625554</v>
      </c>
      <c r="AS49" s="12">
        <f t="shared" ref="AS49" ca="1" si="636">+AR49</f>
        <v>123.65259668625554</v>
      </c>
      <c r="AT49" s="12">
        <f t="shared" ref="AT49" ca="1" si="637">+AS49</f>
        <v>123.65259668625554</v>
      </c>
      <c r="AU49" s="12">
        <f t="shared" ref="AU49" ca="1" si="638">+AT49</f>
        <v>123.65259668625554</v>
      </c>
      <c r="AV49" s="12">
        <f t="shared" ref="AV49" ca="1" si="639">+AU49</f>
        <v>123.65259668625554</v>
      </c>
      <c r="AW49" s="12">
        <f t="shared" ref="AW49" ca="1" si="640">+AV49</f>
        <v>123.65259668625554</v>
      </c>
      <c r="AX49" s="12">
        <f ca="1">+AW49*(1+B42)</f>
        <v>129.83522652056831</v>
      </c>
      <c r="AY49" s="12">
        <f ca="1">+AX49</f>
        <v>129.83522652056831</v>
      </c>
      <c r="AZ49" s="12">
        <f t="shared" ref="AZ49" ca="1" si="641">+AY49</f>
        <v>129.83522652056831</v>
      </c>
      <c r="BA49" s="12">
        <f t="shared" ref="BA49" ca="1" si="642">+AZ49</f>
        <v>129.83522652056831</v>
      </c>
      <c r="BB49" s="12">
        <f t="shared" ref="BB49" ca="1" si="643">+BA49</f>
        <v>129.83522652056831</v>
      </c>
      <c r="BC49" s="12">
        <f t="shared" ref="BC49" ca="1" si="644">+BB49</f>
        <v>129.83522652056831</v>
      </c>
      <c r="BD49" s="12">
        <f t="shared" ref="BD49" ca="1" si="645">+BC49</f>
        <v>129.83522652056831</v>
      </c>
      <c r="BE49" s="12">
        <f ca="1">+BD49</f>
        <v>129.83522652056831</v>
      </c>
      <c r="BF49" s="12">
        <f t="shared" ref="BF49" ca="1" si="646">+BE49</f>
        <v>129.83522652056831</v>
      </c>
      <c r="BG49" s="12">
        <f t="shared" ref="BG49" ca="1" si="647">+BF49</f>
        <v>129.83522652056831</v>
      </c>
      <c r="BH49" s="12">
        <f t="shared" ref="BH49" ca="1" si="648">+BG49</f>
        <v>129.83522652056831</v>
      </c>
      <c r="BI49" s="12">
        <f t="shared" ref="BI49" ca="1" si="649">+BH49</f>
        <v>129.83522652056831</v>
      </c>
      <c r="BJ49" s="12">
        <f ca="1">+BI49*(1+$B$2)</f>
        <v>133.73028331618536</v>
      </c>
      <c r="BK49" s="12">
        <f ca="1">+BJ49</f>
        <v>133.73028331618536</v>
      </c>
      <c r="BL49" s="12">
        <f t="shared" ref="BL49" ca="1" si="650">+BK49</f>
        <v>133.73028331618536</v>
      </c>
      <c r="BM49" s="12">
        <f t="shared" ref="BM49" ca="1" si="651">+BL49</f>
        <v>133.73028331618536</v>
      </c>
      <c r="BN49" s="12">
        <f t="shared" ref="BN49" ca="1" si="652">+BM49</f>
        <v>133.73028331618536</v>
      </c>
      <c r="BO49" s="12">
        <f t="shared" ref="BO49" ca="1" si="653">+BN49</f>
        <v>133.73028331618536</v>
      </c>
      <c r="BP49" s="12">
        <f t="shared" ref="BP49" ca="1" si="654">+BO49</f>
        <v>133.73028331618536</v>
      </c>
      <c r="BQ49" s="12">
        <f t="shared" ref="BQ49" ca="1" si="655">+BP49</f>
        <v>133.73028331618536</v>
      </c>
      <c r="BR49" s="12">
        <f t="shared" ref="BR49" ca="1" si="656">+BQ49</f>
        <v>133.73028331618536</v>
      </c>
      <c r="BS49" s="12">
        <f t="shared" ref="BS49" ca="1" si="657">+BR49</f>
        <v>133.73028331618536</v>
      </c>
      <c r="BT49" s="12">
        <f t="shared" ref="BT49" ca="1" si="658">+BS49</f>
        <v>133.73028331618536</v>
      </c>
      <c r="BU49" s="12">
        <f t="shared" ref="BU49" ca="1" si="659">+BT49</f>
        <v>133.73028331618536</v>
      </c>
      <c r="BV49" s="12">
        <f ca="1">+BU49*(1+B42)</f>
        <v>140.41679748199465</v>
      </c>
      <c r="BW49" s="12">
        <f ca="1">+BV49</f>
        <v>140.41679748199465</v>
      </c>
      <c r="BX49" s="12">
        <f t="shared" ref="BX49" ca="1" si="660">+BW49</f>
        <v>140.41679748199465</v>
      </c>
      <c r="BY49" s="12">
        <f t="shared" ref="BY49" ca="1" si="661">+BX49</f>
        <v>140.41679748199465</v>
      </c>
      <c r="BZ49" s="12">
        <f t="shared" ref="BZ49" ca="1" si="662">+BY49</f>
        <v>140.41679748199465</v>
      </c>
      <c r="CA49" s="12">
        <f t="shared" ref="CA49" ca="1" si="663">+BZ49</f>
        <v>140.41679748199465</v>
      </c>
      <c r="CB49" s="12">
        <f t="shared" ref="CB49" ca="1" si="664">+CA49</f>
        <v>140.41679748199465</v>
      </c>
      <c r="CC49" s="12">
        <f t="shared" ref="CC49" ca="1" si="665">+CB49</f>
        <v>140.41679748199465</v>
      </c>
      <c r="CD49" s="12">
        <f t="shared" ref="CD49" ca="1" si="666">+CC49</f>
        <v>140.41679748199465</v>
      </c>
      <c r="CE49" s="12">
        <f t="shared" ref="CE49" ca="1" si="667">+CD49</f>
        <v>140.41679748199465</v>
      </c>
      <c r="CF49" s="12">
        <f t="shared" ref="CF49" ca="1" si="668">+CE49</f>
        <v>140.41679748199465</v>
      </c>
      <c r="CG49" s="12">
        <f t="shared" ref="CG49" ca="1" si="669">+CF49</f>
        <v>140.41679748199465</v>
      </c>
      <c r="CH49" s="30">
        <f ca="1">+CG49*(1+$B$2)</f>
        <v>144.62930140645449</v>
      </c>
      <c r="CI49" s="12">
        <f ca="1">+CH49</f>
        <v>144.62930140645449</v>
      </c>
      <c r="CJ49" s="12">
        <f ca="1">+CI49</f>
        <v>144.62930140645449</v>
      </c>
      <c r="CK49" s="12">
        <f t="shared" ref="CK49" ca="1" si="670">+CJ49</f>
        <v>144.62930140645449</v>
      </c>
      <c r="CL49" s="12">
        <f t="shared" ref="CL49" ca="1" si="671">+CK49</f>
        <v>144.62930140645449</v>
      </c>
      <c r="CM49" s="12">
        <f t="shared" ref="CM49" ca="1" si="672">+CL49</f>
        <v>144.62930140645449</v>
      </c>
      <c r="CN49" s="12">
        <f t="shared" ref="CN49" ca="1" si="673">+CM49</f>
        <v>144.62930140645449</v>
      </c>
      <c r="CO49" s="12">
        <f t="shared" ref="CO49" ca="1" si="674">+CN49</f>
        <v>144.62930140645449</v>
      </c>
      <c r="CP49" s="12">
        <f t="shared" ref="CP49" ca="1" si="675">+CO49</f>
        <v>144.62930140645449</v>
      </c>
      <c r="CQ49" s="12">
        <f t="shared" ref="CQ49" ca="1" si="676">+CP49</f>
        <v>144.62930140645449</v>
      </c>
      <c r="CR49" s="12">
        <f t="shared" ref="CR49" ca="1" si="677">+CQ49</f>
        <v>144.62930140645449</v>
      </c>
      <c r="CS49" s="12">
        <f t="shared" ref="CS49" ca="1" si="678">+CR49</f>
        <v>144.62930140645449</v>
      </c>
      <c r="CT49" s="12">
        <f ca="1">+CS49*(1+B42)</f>
        <v>151.86076647677723</v>
      </c>
      <c r="CU49" s="12">
        <f ca="1">+CT49</f>
        <v>151.86076647677723</v>
      </c>
      <c r="CV49" s="12">
        <f t="shared" ref="CV49" ca="1" si="679">+CU49</f>
        <v>151.86076647677723</v>
      </c>
      <c r="CW49" s="12">
        <f t="shared" ref="CW49" ca="1" si="680">+CV49</f>
        <v>151.86076647677723</v>
      </c>
      <c r="CX49" s="12">
        <f t="shared" ref="CX49" ca="1" si="681">+CW49</f>
        <v>151.86076647677723</v>
      </c>
      <c r="CY49" s="12">
        <f t="shared" ref="CY49" ca="1" si="682">+CX49</f>
        <v>151.86076647677723</v>
      </c>
      <c r="CZ49" s="12">
        <f t="shared" ref="CZ49" ca="1" si="683">+CY49</f>
        <v>151.86076647677723</v>
      </c>
      <c r="DA49" s="12">
        <f t="shared" ref="DA49" ca="1" si="684">+CZ49</f>
        <v>151.86076647677723</v>
      </c>
      <c r="DB49" s="12">
        <f t="shared" ref="DB49" ca="1" si="685">+DA49</f>
        <v>151.86076647677723</v>
      </c>
      <c r="DC49" s="12">
        <f t="shared" ref="DC49" ca="1" si="686">+DB49</f>
        <v>151.86076647677723</v>
      </c>
      <c r="DD49" s="12">
        <f t="shared" ref="DD49" ca="1" si="687">+DC49</f>
        <v>151.86076647677723</v>
      </c>
      <c r="DE49" s="12">
        <f t="shared" ref="DE49" ca="1" si="688">+DD49</f>
        <v>151.86076647677723</v>
      </c>
      <c r="DF49" s="12">
        <f ca="1">+DE49*(1+B42)</f>
        <v>159.4538048006161</v>
      </c>
      <c r="DG49" s="12">
        <f ca="1">+DF49</f>
        <v>159.4538048006161</v>
      </c>
      <c r="DH49" s="12">
        <f t="shared" ref="DH49" ca="1" si="689">+DG49</f>
        <v>159.4538048006161</v>
      </c>
      <c r="DI49" s="12">
        <f t="shared" ref="DI49" ca="1" si="690">+DH49</f>
        <v>159.4538048006161</v>
      </c>
      <c r="DJ49" s="12">
        <f t="shared" ref="DJ49" ca="1" si="691">+DI49</f>
        <v>159.4538048006161</v>
      </c>
      <c r="DK49" s="12">
        <f t="shared" ref="DK49" ca="1" si="692">+DJ49</f>
        <v>159.4538048006161</v>
      </c>
      <c r="DL49" s="12">
        <f t="shared" ref="DL49" ca="1" si="693">+DK49</f>
        <v>159.4538048006161</v>
      </c>
      <c r="DM49" s="12">
        <f t="shared" ref="DM49" ca="1" si="694">+DL49</f>
        <v>159.4538048006161</v>
      </c>
      <c r="DN49" s="12">
        <f t="shared" ref="DN49" ca="1" si="695">+DM49</f>
        <v>159.4538048006161</v>
      </c>
      <c r="DO49" s="12">
        <f t="shared" ref="DO49" ca="1" si="696">+DN49</f>
        <v>159.4538048006161</v>
      </c>
      <c r="DP49" s="12">
        <f t="shared" ref="DP49" ca="1" si="697">+DO49</f>
        <v>159.4538048006161</v>
      </c>
      <c r="DQ49" s="12">
        <f t="shared" ref="DQ49" ca="1" si="698">+DP49</f>
        <v>159.4538048006161</v>
      </c>
      <c r="DR49" s="12">
        <f ca="1">+DQ49*(1+B42)</f>
        <v>167.4264950406469</v>
      </c>
      <c r="DS49" s="12">
        <f ca="1">+DR49</f>
        <v>167.4264950406469</v>
      </c>
      <c r="DT49" s="12">
        <f t="shared" ref="DT49" ca="1" si="699">+DS49</f>
        <v>167.4264950406469</v>
      </c>
      <c r="DU49" s="12">
        <f t="shared" ref="DU49" ca="1" si="700">+DT49</f>
        <v>167.4264950406469</v>
      </c>
      <c r="DV49" s="12">
        <f t="shared" ref="DV49" ca="1" si="701">+DU49</f>
        <v>167.4264950406469</v>
      </c>
      <c r="DW49" s="12">
        <f t="shared" ref="DW49" ca="1" si="702">+DV49</f>
        <v>167.4264950406469</v>
      </c>
      <c r="DX49" s="12">
        <f t="shared" ref="DX49" ca="1" si="703">+DW49</f>
        <v>167.4264950406469</v>
      </c>
      <c r="DY49" s="12">
        <f t="shared" ref="DY49" ca="1" si="704">+DX49</f>
        <v>167.4264950406469</v>
      </c>
      <c r="DZ49" s="12">
        <f t="shared" ref="DZ49" ca="1" si="705">+DY49</f>
        <v>167.4264950406469</v>
      </c>
      <c r="EA49" s="12">
        <f t="shared" ref="EA49" ca="1" si="706">+DZ49</f>
        <v>167.4264950406469</v>
      </c>
      <c r="EB49" s="12">
        <f t="shared" ref="EB49" ca="1" si="707">+EA49</f>
        <v>167.4264950406469</v>
      </c>
      <c r="EC49" s="12">
        <f t="shared" ref="EC49" ca="1" si="708">+EB49</f>
        <v>167.4264950406469</v>
      </c>
      <c r="ED49" s="12">
        <f ca="1">+EC49*(1+B42)</f>
        <v>175.79781979267926</v>
      </c>
      <c r="EE49" s="12">
        <f ca="1">+ED49</f>
        <v>175.79781979267926</v>
      </c>
      <c r="EF49" s="12">
        <f t="shared" ref="EF49" ca="1" si="709">+EE49</f>
        <v>175.79781979267926</v>
      </c>
      <c r="EG49" s="12">
        <f t="shared" ref="EG49" ca="1" si="710">+EF49</f>
        <v>175.79781979267926</v>
      </c>
      <c r="EH49" s="12">
        <f t="shared" ref="EH49" ca="1" si="711">+EG49</f>
        <v>175.79781979267926</v>
      </c>
      <c r="EI49" s="12">
        <f t="shared" ref="EI49" ca="1" si="712">+EH49</f>
        <v>175.79781979267926</v>
      </c>
      <c r="EJ49" s="12">
        <f t="shared" ref="EJ49" ca="1" si="713">+EI49</f>
        <v>175.79781979267926</v>
      </c>
      <c r="EK49" s="12">
        <f t="shared" ref="EK49" ca="1" si="714">+EJ49</f>
        <v>175.79781979267926</v>
      </c>
      <c r="EL49" s="12">
        <f t="shared" ref="EL49" ca="1" si="715">+EK49</f>
        <v>175.79781979267926</v>
      </c>
      <c r="EM49" s="12">
        <f t="shared" ref="EM49" ca="1" si="716">+EL49</f>
        <v>175.79781979267926</v>
      </c>
      <c r="EN49" s="12">
        <f t="shared" ref="EN49" ca="1" si="717">+EM49</f>
        <v>175.79781979267926</v>
      </c>
      <c r="EO49" s="12">
        <f t="shared" ref="EO49" ca="1" si="718">+EN49</f>
        <v>175.79781979267926</v>
      </c>
      <c r="EP49" s="12">
        <f ca="1">+EO49*(1+B42)*0.7</f>
        <v>129.21139754761924</v>
      </c>
      <c r="EQ49" s="12">
        <f ca="1">+EP49</f>
        <v>129.21139754761924</v>
      </c>
      <c r="ER49" s="12">
        <f t="shared" ref="ER49" ca="1" si="719">+EQ49</f>
        <v>129.21139754761924</v>
      </c>
      <c r="ES49" s="12">
        <f t="shared" ref="ES49" ca="1" si="720">+ER49</f>
        <v>129.21139754761924</v>
      </c>
      <c r="ET49" s="12">
        <f t="shared" ref="ET49" ca="1" si="721">+ES49</f>
        <v>129.21139754761924</v>
      </c>
      <c r="EU49" s="12">
        <f t="shared" ref="EU49" ca="1" si="722">+ET49</f>
        <v>129.21139754761924</v>
      </c>
      <c r="EV49" s="12">
        <f t="shared" ref="EV49" ca="1" si="723">+EU49</f>
        <v>129.21139754761924</v>
      </c>
      <c r="EW49" s="12">
        <f t="shared" ref="EW49" ca="1" si="724">+EV49</f>
        <v>129.21139754761924</v>
      </c>
      <c r="EX49" s="12">
        <f t="shared" ref="EX49" ca="1" si="725">+EW49</f>
        <v>129.21139754761924</v>
      </c>
      <c r="EY49" s="12">
        <f t="shared" ref="EY49" ca="1" si="726">+EX49</f>
        <v>129.21139754761924</v>
      </c>
      <c r="EZ49" s="12">
        <f t="shared" ref="EZ49" ca="1" si="727">+EY49</f>
        <v>129.21139754761924</v>
      </c>
      <c r="FA49" s="12">
        <f t="shared" ref="FA49" ca="1" si="728">+EZ49</f>
        <v>129.21139754761924</v>
      </c>
      <c r="FB49" s="12">
        <f ca="1">+FA49*(1+B42)</f>
        <v>135.67196742500022</v>
      </c>
      <c r="FC49" s="12">
        <f ca="1">+FB49</f>
        <v>135.67196742500022</v>
      </c>
      <c r="FD49" s="12">
        <f t="shared" ref="FD49" ca="1" si="729">+FC49</f>
        <v>135.67196742500022</v>
      </c>
      <c r="FE49" s="12">
        <f t="shared" ref="FE49" ca="1" si="730">+FD49</f>
        <v>135.67196742500022</v>
      </c>
      <c r="FF49" s="12">
        <f t="shared" ref="FF49" ca="1" si="731">+FE49</f>
        <v>135.67196742500022</v>
      </c>
      <c r="FG49" s="12">
        <f t="shared" ref="FG49" ca="1" si="732">+FF49</f>
        <v>135.67196742500022</v>
      </c>
      <c r="FH49" s="12">
        <f t="shared" ref="FH49" ca="1" si="733">+FG49</f>
        <v>135.67196742500022</v>
      </c>
      <c r="FI49" s="12">
        <f t="shared" ref="FI49" ca="1" si="734">+FH49</f>
        <v>135.67196742500022</v>
      </c>
      <c r="FJ49" s="12">
        <f t="shared" ref="FJ49" ca="1" si="735">+FI49</f>
        <v>135.67196742500022</v>
      </c>
      <c r="FK49" s="12">
        <f t="shared" ref="FK49" ca="1" si="736">+FJ49</f>
        <v>135.67196742500022</v>
      </c>
      <c r="FL49" s="12">
        <f t="shared" ref="FL49" ca="1" si="737">+FK49</f>
        <v>135.67196742500022</v>
      </c>
      <c r="FM49" s="12">
        <f t="shared" ref="FM49" ca="1" si="738">+FL49</f>
        <v>135.67196742500022</v>
      </c>
      <c r="FN49" s="12">
        <f ca="1">+FM49*(1+B42)</f>
        <v>142.45556579625023</v>
      </c>
      <c r="FO49" s="12">
        <f ca="1">+FN49</f>
        <v>142.45556579625023</v>
      </c>
      <c r="FP49" s="12">
        <f t="shared" ref="FP49" ca="1" si="739">+FO49</f>
        <v>142.45556579625023</v>
      </c>
      <c r="FQ49" s="12">
        <f t="shared" ref="FQ49" ca="1" si="740">+FP49</f>
        <v>142.45556579625023</v>
      </c>
      <c r="FR49" s="12">
        <f t="shared" ref="FR49" ca="1" si="741">+FQ49</f>
        <v>142.45556579625023</v>
      </c>
      <c r="FS49" s="12">
        <f t="shared" ref="FS49" ca="1" si="742">+FR49</f>
        <v>142.45556579625023</v>
      </c>
      <c r="FT49" s="12">
        <f t="shared" ref="FT49" ca="1" si="743">+FS49</f>
        <v>142.45556579625023</v>
      </c>
      <c r="FU49" s="12">
        <f t="shared" ref="FU49" ca="1" si="744">+FT49</f>
        <v>142.45556579625023</v>
      </c>
      <c r="FV49" s="12">
        <f t="shared" ref="FV49" ca="1" si="745">+FU49</f>
        <v>142.45556579625023</v>
      </c>
      <c r="FW49" s="12">
        <f t="shared" ref="FW49" ca="1" si="746">+FV49</f>
        <v>142.45556579625023</v>
      </c>
      <c r="FX49" s="12">
        <f t="shared" ref="FX49" ca="1" si="747">+FW49</f>
        <v>142.45556579625023</v>
      </c>
      <c r="FY49" s="12">
        <f t="shared" ref="FY49" ca="1" si="748">+FX49</f>
        <v>142.45556579625023</v>
      </c>
      <c r="FZ49" s="12">
        <f ca="1">+FY49*(1+B42)</f>
        <v>149.57834408606274</v>
      </c>
      <c r="GA49" s="12">
        <f ca="1">+FZ49</f>
        <v>149.57834408606274</v>
      </c>
      <c r="GB49" s="12">
        <f t="shared" ref="GB49" ca="1" si="749">+GA49</f>
        <v>149.57834408606274</v>
      </c>
      <c r="GC49" s="12">
        <f t="shared" ref="GC49" ca="1" si="750">+GB49</f>
        <v>149.57834408606274</v>
      </c>
      <c r="GD49" s="12">
        <f t="shared" ref="GD49" ca="1" si="751">+GC49</f>
        <v>149.57834408606274</v>
      </c>
      <c r="GE49" s="12">
        <f t="shared" ref="GE49" ca="1" si="752">+GD49</f>
        <v>149.57834408606274</v>
      </c>
      <c r="GF49" s="12">
        <f t="shared" ref="GF49" ca="1" si="753">+GE49</f>
        <v>149.57834408606274</v>
      </c>
      <c r="GG49" s="12">
        <f t="shared" ref="GG49" ca="1" si="754">+GF49</f>
        <v>149.57834408606274</v>
      </c>
      <c r="GH49" s="12">
        <f t="shared" ref="GH49" ca="1" si="755">+GG49</f>
        <v>149.57834408606274</v>
      </c>
      <c r="GI49" s="12">
        <f t="shared" ref="GI49" ca="1" si="756">+GH49</f>
        <v>149.57834408606274</v>
      </c>
      <c r="GJ49" s="12">
        <f t="shared" ref="GJ49" ca="1" si="757">+GI49</f>
        <v>149.57834408606274</v>
      </c>
      <c r="GK49" s="12">
        <f t="shared" ref="GK49" ca="1" si="758">+GJ49</f>
        <v>149.57834408606274</v>
      </c>
      <c r="GL49" s="12">
        <f ca="1">+GK49*(1+B42)</f>
        <v>157.05726129036589</v>
      </c>
      <c r="GM49" s="12">
        <f ca="1">+GL49</f>
        <v>157.05726129036589</v>
      </c>
      <c r="GN49" s="12">
        <f t="shared" ref="GN49" ca="1" si="759">+GM49</f>
        <v>157.05726129036589</v>
      </c>
      <c r="GO49" s="12">
        <f t="shared" ref="GO49" ca="1" si="760">+GN49</f>
        <v>157.05726129036589</v>
      </c>
      <c r="GP49" s="12">
        <f t="shared" ref="GP49" ca="1" si="761">+GO49</f>
        <v>157.05726129036589</v>
      </c>
      <c r="GQ49" s="12">
        <f t="shared" ref="GQ49" ca="1" si="762">+GP49</f>
        <v>157.05726129036589</v>
      </c>
      <c r="GR49" s="12">
        <f t="shared" ref="GR49" ca="1" si="763">+GQ49</f>
        <v>157.05726129036589</v>
      </c>
      <c r="GS49" s="12">
        <f t="shared" ref="GS49" ca="1" si="764">+GR49</f>
        <v>157.05726129036589</v>
      </c>
      <c r="GT49" s="12">
        <f t="shared" ref="GT49" ca="1" si="765">+GS49</f>
        <v>157.05726129036589</v>
      </c>
      <c r="GU49" s="12">
        <f t="shared" ref="GU49" ca="1" si="766">+GT49</f>
        <v>157.05726129036589</v>
      </c>
      <c r="GV49" s="12">
        <f t="shared" ref="GV49" ca="1" si="767">+GU49</f>
        <v>157.05726129036589</v>
      </c>
      <c r="GW49" s="12">
        <f t="shared" ref="GW49" ca="1" si="768">+GV49</f>
        <v>157.05726129036589</v>
      </c>
      <c r="GX49" s="12">
        <f ca="1">+GW49*(1+B42)</f>
        <v>164.91012435488418</v>
      </c>
      <c r="GY49" s="12">
        <f ca="1">+GX49</f>
        <v>164.91012435488418</v>
      </c>
      <c r="GZ49" s="12">
        <f t="shared" ref="GZ49" ca="1" si="769">+GY49</f>
        <v>164.91012435488418</v>
      </c>
      <c r="HA49" s="12">
        <f t="shared" ref="HA49" ca="1" si="770">+GZ49</f>
        <v>164.91012435488418</v>
      </c>
      <c r="HB49" s="12">
        <f t="shared" ref="HB49" ca="1" si="771">+HA49</f>
        <v>164.91012435488418</v>
      </c>
      <c r="HC49" s="12">
        <f t="shared" ref="HC49" ca="1" si="772">+HB49</f>
        <v>164.91012435488418</v>
      </c>
      <c r="HD49" s="12">
        <f t="shared" ref="HD49" ca="1" si="773">+HC49</f>
        <v>164.91012435488418</v>
      </c>
      <c r="HE49" s="12">
        <f t="shared" ref="HE49" ca="1" si="774">+HD49</f>
        <v>164.91012435488418</v>
      </c>
      <c r="HF49" s="12">
        <f t="shared" ref="HF49" ca="1" si="775">+HE49</f>
        <v>164.91012435488418</v>
      </c>
      <c r="HG49" s="12">
        <f t="shared" ref="HG49" ca="1" si="776">+HF49</f>
        <v>164.91012435488418</v>
      </c>
      <c r="HH49" s="12">
        <f t="shared" ref="HH49" ca="1" si="777">+HG49</f>
        <v>164.91012435488418</v>
      </c>
      <c r="HI49" s="12">
        <f t="shared" ref="HI49" ca="1" si="778">+HH49</f>
        <v>164.91012435488418</v>
      </c>
      <c r="HJ49" s="12">
        <f ca="1">+HI49*(1+B42)</f>
        <v>173.15563057262838</v>
      </c>
      <c r="HK49" s="12">
        <f ca="1">+HJ49</f>
        <v>173.15563057262838</v>
      </c>
      <c r="HL49" s="12">
        <f t="shared" ref="HL49" ca="1" si="779">+HK49</f>
        <v>173.15563057262838</v>
      </c>
      <c r="HM49" s="12">
        <f t="shared" ref="HM49" ca="1" si="780">+HL49</f>
        <v>173.15563057262838</v>
      </c>
      <c r="HN49" s="12">
        <f t="shared" ref="HN49" ca="1" si="781">+HM49</f>
        <v>173.15563057262838</v>
      </c>
      <c r="HO49" s="12">
        <f t="shared" ref="HO49" ca="1" si="782">+HN49</f>
        <v>173.15563057262838</v>
      </c>
      <c r="HP49" s="12">
        <f t="shared" ref="HP49" ca="1" si="783">+HO49</f>
        <v>173.15563057262838</v>
      </c>
      <c r="HQ49" s="12">
        <f t="shared" ref="HQ49" ca="1" si="784">+HP49</f>
        <v>173.15563057262838</v>
      </c>
      <c r="HR49" s="12">
        <f t="shared" ref="HR49" ca="1" si="785">+HQ49</f>
        <v>173.15563057262838</v>
      </c>
      <c r="HS49" s="12">
        <f t="shared" ref="HS49" ca="1" si="786">+HR49</f>
        <v>173.15563057262838</v>
      </c>
      <c r="HT49" s="12">
        <f t="shared" ref="HT49" ca="1" si="787">+HS49</f>
        <v>173.15563057262838</v>
      </c>
      <c r="HU49" s="12">
        <f t="shared" ref="HU49" ca="1" si="788">+HT49</f>
        <v>173.15563057262838</v>
      </c>
      <c r="HV49" s="12">
        <f ca="1">+HU49*(1+B42)</f>
        <v>181.81341210125981</v>
      </c>
      <c r="HW49" s="12">
        <f ca="1">+HV49</f>
        <v>181.81341210125981</v>
      </c>
      <c r="HX49" s="12">
        <f t="shared" ref="HX49" ca="1" si="789">+HW49</f>
        <v>181.81341210125981</v>
      </c>
      <c r="HY49" s="12">
        <f t="shared" ref="HY49" ca="1" si="790">+HX49</f>
        <v>181.81341210125981</v>
      </c>
      <c r="HZ49" s="12">
        <f t="shared" ref="HZ49" ca="1" si="791">+HY49</f>
        <v>181.81341210125981</v>
      </c>
      <c r="IA49" s="12">
        <f t="shared" ref="IA49" ca="1" si="792">+HZ49</f>
        <v>181.81341210125981</v>
      </c>
      <c r="IB49" s="12">
        <f t="shared" ref="IB49" ca="1" si="793">+IA49</f>
        <v>181.81341210125981</v>
      </c>
      <c r="IC49" s="12">
        <f t="shared" ref="IC49" ca="1" si="794">+IB49</f>
        <v>181.81341210125981</v>
      </c>
      <c r="ID49" s="12">
        <f t="shared" ref="ID49" ca="1" si="795">+IC49</f>
        <v>181.81341210125981</v>
      </c>
      <c r="IE49" s="12">
        <f t="shared" ref="IE49" ca="1" si="796">+ID49</f>
        <v>181.81341210125981</v>
      </c>
      <c r="IF49" s="12">
        <f t="shared" ref="IF49" ca="1" si="797">+IE49</f>
        <v>181.81341210125981</v>
      </c>
      <c r="IG49" s="12">
        <f t="shared" ref="IG49" ca="1" si="798">+IF49</f>
        <v>181.81341210125981</v>
      </c>
      <c r="IH49" s="12">
        <f ca="1">+IG49*(1+B42)</f>
        <v>190.90408270632281</v>
      </c>
      <c r="II49" s="12">
        <f ca="1">+IH49</f>
        <v>190.90408270632281</v>
      </c>
      <c r="IJ49" s="12">
        <f t="shared" ref="IJ49" ca="1" si="799">+II49</f>
        <v>190.90408270632281</v>
      </c>
      <c r="IK49" s="12">
        <f t="shared" ref="IK49" ca="1" si="800">+IJ49</f>
        <v>190.90408270632281</v>
      </c>
      <c r="IL49" s="12">
        <f t="shared" ref="IL49" ca="1" si="801">+IK49</f>
        <v>190.90408270632281</v>
      </c>
      <c r="IM49" s="12">
        <f t="shared" ref="IM49" ca="1" si="802">+IL49</f>
        <v>190.90408270632281</v>
      </c>
      <c r="IN49" s="12">
        <f t="shared" ref="IN49" ca="1" si="803">+IM49</f>
        <v>190.90408270632281</v>
      </c>
      <c r="IO49" s="12">
        <f t="shared" ref="IO49" ca="1" si="804">+IN49</f>
        <v>190.90408270632281</v>
      </c>
      <c r="IP49" s="12">
        <f t="shared" ref="IP49" ca="1" si="805">+IO49</f>
        <v>190.90408270632281</v>
      </c>
      <c r="IQ49" s="12">
        <f t="shared" ref="IQ49" ca="1" si="806">+IP49</f>
        <v>190.90408270632281</v>
      </c>
      <c r="IR49" s="12">
        <f t="shared" ref="IR49" ca="1" si="807">+IQ49</f>
        <v>190.90408270632281</v>
      </c>
      <c r="IS49" s="12">
        <f t="shared" ref="IS49" ca="1" si="808">+IR49</f>
        <v>190.90408270632281</v>
      </c>
      <c r="IT49" s="12">
        <f ca="1">+IS49*(1+B42)</f>
        <v>200.44928684163895</v>
      </c>
      <c r="IU49" s="12">
        <f ca="1">+IT49</f>
        <v>200.44928684163895</v>
      </c>
      <c r="IV49" s="12">
        <f t="shared" ref="IV49" ca="1" si="809">+IU49</f>
        <v>200.44928684163895</v>
      </c>
      <c r="IW49" s="12">
        <f t="shared" ref="IW49" ca="1" si="810">+IV49</f>
        <v>200.44928684163895</v>
      </c>
      <c r="IX49" s="12">
        <f t="shared" ref="IX49" ca="1" si="811">+IW49</f>
        <v>200.44928684163895</v>
      </c>
      <c r="IY49" s="12">
        <f t="shared" ref="IY49" ca="1" si="812">+IX49</f>
        <v>200.44928684163895</v>
      </c>
      <c r="IZ49" s="12">
        <f t="shared" ref="IZ49" ca="1" si="813">+IY49</f>
        <v>200.44928684163895</v>
      </c>
      <c r="JA49" s="12">
        <f t="shared" ref="JA49" ca="1" si="814">+IZ49</f>
        <v>200.44928684163895</v>
      </c>
      <c r="JB49" s="12">
        <f t="shared" ref="JB49" ca="1" si="815">+JA49</f>
        <v>200.44928684163895</v>
      </c>
      <c r="JC49" s="12">
        <f t="shared" ref="JC49" ca="1" si="816">+JB49</f>
        <v>200.44928684163895</v>
      </c>
      <c r="JD49" s="12">
        <f t="shared" ref="JD49" ca="1" si="817">+JC49</f>
        <v>200.44928684163895</v>
      </c>
      <c r="JE49" s="12">
        <f t="shared" ref="JE49" ca="1" si="818">+JD49</f>
        <v>200.44928684163895</v>
      </c>
    </row>
    <row r="50" spans="1:265" x14ac:dyDescent="0.3">
      <c r="A50" t="s">
        <v>847</v>
      </c>
      <c r="B50" s="41">
        <f>+B11</f>
        <v>421</v>
      </c>
      <c r="C50" s="41">
        <f t="shared" ref="C50:BN50" si="819">+C11</f>
        <v>607</v>
      </c>
      <c r="D50" s="41">
        <f t="shared" si="819"/>
        <v>376</v>
      </c>
      <c r="E50" s="41">
        <f t="shared" si="819"/>
        <v>277</v>
      </c>
      <c r="F50" s="41">
        <f t="shared" si="819"/>
        <v>657</v>
      </c>
      <c r="G50" s="41">
        <f t="shared" si="819"/>
        <v>574</v>
      </c>
      <c r="H50" s="41">
        <f t="shared" si="819"/>
        <v>617</v>
      </c>
      <c r="I50" s="41">
        <f t="shared" si="819"/>
        <v>719</v>
      </c>
      <c r="J50" s="41">
        <f t="shared" si="819"/>
        <v>1036</v>
      </c>
      <c r="K50" s="41">
        <f t="shared" si="819"/>
        <v>1178</v>
      </c>
      <c r="L50" s="41">
        <f t="shared" si="819"/>
        <v>777</v>
      </c>
      <c r="M50" s="41">
        <f t="shared" si="819"/>
        <v>708</v>
      </c>
      <c r="N50" s="41">
        <f t="shared" si="819"/>
        <v>563.2689188897898</v>
      </c>
      <c r="O50" s="41">
        <f t="shared" si="819"/>
        <v>571.78431020401501</v>
      </c>
      <c r="P50" s="41">
        <f t="shared" si="819"/>
        <v>621.88625465141388</v>
      </c>
      <c r="Q50" s="41">
        <f t="shared" si="819"/>
        <v>759.08611727990012</v>
      </c>
      <c r="R50" s="41">
        <f t="shared" si="819"/>
        <v>297.15870483867525</v>
      </c>
      <c r="S50" s="41">
        <f t="shared" si="819"/>
        <v>287.12492191645202</v>
      </c>
      <c r="T50" s="41">
        <f t="shared" si="819"/>
        <v>291.63770588746024</v>
      </c>
      <c r="U50" s="41">
        <f t="shared" si="819"/>
        <v>572.95334196097235</v>
      </c>
      <c r="V50" s="41">
        <f t="shared" si="819"/>
        <v>872.37307894909748</v>
      </c>
      <c r="W50" s="41">
        <f t="shared" si="819"/>
        <v>917.84675343819993</v>
      </c>
      <c r="X50" s="41">
        <f t="shared" si="819"/>
        <v>918.48700596730043</v>
      </c>
      <c r="Y50" s="41">
        <f t="shared" si="819"/>
        <v>759.5353879713183</v>
      </c>
      <c r="Z50" s="41">
        <f t="shared" si="819"/>
        <v>410.97074948300434</v>
      </c>
      <c r="AA50" s="41">
        <f t="shared" si="819"/>
        <v>502.7327297681133</v>
      </c>
      <c r="AB50" s="41">
        <f t="shared" si="819"/>
        <v>400</v>
      </c>
      <c r="AC50" s="41">
        <f t="shared" si="819"/>
        <v>400</v>
      </c>
      <c r="AD50" s="41">
        <f t="shared" si="819"/>
        <v>400</v>
      </c>
      <c r="AE50" s="41">
        <f t="shared" si="819"/>
        <v>400</v>
      </c>
      <c r="AF50" s="41">
        <f t="shared" si="819"/>
        <v>400</v>
      </c>
      <c r="AG50" s="41">
        <f t="shared" si="819"/>
        <v>422.83601609611441</v>
      </c>
      <c r="AH50" s="41">
        <f t="shared" si="819"/>
        <v>716.06872268758036</v>
      </c>
      <c r="AI50" s="41">
        <f t="shared" si="819"/>
        <v>750.52801906913862</v>
      </c>
      <c r="AJ50" s="41">
        <f t="shared" si="819"/>
        <v>543.45884359233014</v>
      </c>
      <c r="AK50" s="41">
        <f t="shared" si="819"/>
        <v>589.60375384170311</v>
      </c>
      <c r="AL50" s="41">
        <f t="shared" si="819"/>
        <v>431.51928695715458</v>
      </c>
      <c r="AM50" s="41">
        <f t="shared" si="819"/>
        <v>527.86936625651902</v>
      </c>
      <c r="AN50" s="41">
        <f t="shared" si="819"/>
        <v>402.71224854145231</v>
      </c>
      <c r="AO50" s="41">
        <f t="shared" si="819"/>
        <v>398.00436171042924</v>
      </c>
      <c r="AP50" s="41">
        <f t="shared" si="819"/>
        <v>400</v>
      </c>
      <c r="AQ50" s="41">
        <f t="shared" si="819"/>
        <v>400</v>
      </c>
      <c r="AR50" s="41">
        <f t="shared" si="819"/>
        <v>400</v>
      </c>
      <c r="AS50" s="41">
        <f t="shared" si="819"/>
        <v>443.97781690092012</v>
      </c>
      <c r="AT50" s="41">
        <f t="shared" si="819"/>
        <v>751.87215882195937</v>
      </c>
      <c r="AU50" s="41">
        <f t="shared" si="819"/>
        <v>788.05442002259554</v>
      </c>
      <c r="AV50" s="41">
        <f t="shared" si="819"/>
        <v>570.63178577194662</v>
      </c>
      <c r="AW50" s="41">
        <f t="shared" si="819"/>
        <v>619.08394153378833</v>
      </c>
      <c r="AX50" s="41">
        <f t="shared" si="819"/>
        <v>453.09525130501231</v>
      </c>
      <c r="AY50" s="41">
        <f t="shared" si="819"/>
        <v>554.26283456934505</v>
      </c>
      <c r="AZ50" s="41">
        <f t="shared" si="819"/>
        <v>422.84786096852497</v>
      </c>
      <c r="BA50" s="41">
        <f t="shared" si="819"/>
        <v>417.90457979595072</v>
      </c>
      <c r="BB50" s="41">
        <f t="shared" si="819"/>
        <v>400</v>
      </c>
      <c r="BC50" s="41">
        <f t="shared" si="819"/>
        <v>400</v>
      </c>
      <c r="BD50" s="41">
        <f t="shared" si="819"/>
        <v>400</v>
      </c>
      <c r="BE50" s="41">
        <f t="shared" si="819"/>
        <v>466.17670774596616</v>
      </c>
      <c r="BF50" s="41">
        <f t="shared" si="819"/>
        <v>789.46576676305733</v>
      </c>
      <c r="BG50" s="41">
        <f t="shared" si="819"/>
        <v>827.4571410237254</v>
      </c>
      <c r="BH50" s="41">
        <f t="shared" si="819"/>
        <v>599.16337506054401</v>
      </c>
      <c r="BI50" s="41">
        <f t="shared" si="819"/>
        <v>650.03813861047774</v>
      </c>
      <c r="BJ50" s="41">
        <f t="shared" si="819"/>
        <v>475.75001387026293</v>
      </c>
      <c r="BK50" s="41">
        <f t="shared" si="819"/>
        <v>581.97597629781228</v>
      </c>
      <c r="BL50" s="41">
        <f t="shared" si="819"/>
        <v>443.99025401695121</v>
      </c>
      <c r="BM50" s="41">
        <f t="shared" si="819"/>
        <v>438.79980878574827</v>
      </c>
      <c r="BN50" s="41">
        <f t="shared" si="819"/>
        <v>400</v>
      </c>
      <c r="BO50" s="41">
        <f t="shared" ref="BO50:DZ50" si="820">+BO11</f>
        <v>400</v>
      </c>
      <c r="BP50" s="41">
        <f t="shared" si="820"/>
        <v>400</v>
      </c>
      <c r="BQ50" s="41">
        <f t="shared" si="820"/>
        <v>489.48554313326446</v>
      </c>
      <c r="BR50" s="41">
        <f t="shared" si="820"/>
        <v>828.93905510121022</v>
      </c>
      <c r="BS50" s="41">
        <f t="shared" si="820"/>
        <v>868.82999807491171</v>
      </c>
      <c r="BT50" s="41">
        <f t="shared" si="820"/>
        <v>629.12154381357129</v>
      </c>
      <c r="BU50" s="41">
        <f t="shared" si="820"/>
        <v>682.54004554100163</v>
      </c>
      <c r="BV50" s="41">
        <f t="shared" si="820"/>
        <v>499.53751456377609</v>
      </c>
      <c r="BW50" s="41">
        <f t="shared" si="820"/>
        <v>611.07477511270292</v>
      </c>
      <c r="BX50" s="41">
        <f t="shared" si="820"/>
        <v>466.18976671779882</v>
      </c>
      <c r="BY50" s="41">
        <f t="shared" si="820"/>
        <v>460.73979922503571</v>
      </c>
      <c r="BZ50" s="41">
        <f t="shared" si="820"/>
        <v>400</v>
      </c>
      <c r="CA50" s="41">
        <f t="shared" si="820"/>
        <v>400</v>
      </c>
      <c r="CB50" s="41">
        <f t="shared" si="820"/>
        <v>400</v>
      </c>
      <c r="CC50" s="41">
        <f t="shared" si="820"/>
        <v>513.95982028992773</v>
      </c>
      <c r="CD50" s="41">
        <f t="shared" si="820"/>
        <v>870.38600785627079</v>
      </c>
      <c r="CE50" s="41">
        <f t="shared" si="820"/>
        <v>912.27149797865729</v>
      </c>
      <c r="CF50" s="41">
        <f t="shared" si="820"/>
        <v>660.57762100424986</v>
      </c>
      <c r="CG50" s="41">
        <f t="shared" si="820"/>
        <v>716.66704781805174</v>
      </c>
      <c r="CH50" s="41">
        <f t="shared" si="820"/>
        <v>524.5143902919649</v>
      </c>
      <c r="CI50" s="41">
        <f t="shared" si="820"/>
        <v>641.62851386833813</v>
      </c>
      <c r="CJ50" s="41">
        <f t="shared" si="820"/>
        <v>489.49925505368878</v>
      </c>
      <c r="CK50" s="41">
        <f t="shared" si="820"/>
        <v>483.77678918628754</v>
      </c>
      <c r="CL50" s="41">
        <f t="shared" si="820"/>
        <v>416.72686986338789</v>
      </c>
      <c r="CM50" s="41">
        <f t="shared" si="820"/>
        <v>400</v>
      </c>
      <c r="CN50" s="41">
        <f t="shared" si="820"/>
        <v>400</v>
      </c>
      <c r="CO50" s="41">
        <f t="shared" si="820"/>
        <v>539.65781130442417</v>
      </c>
      <c r="CP50" s="41">
        <f t="shared" si="820"/>
        <v>913.90530824908433</v>
      </c>
      <c r="CQ50" s="41">
        <f t="shared" si="820"/>
        <v>957.88507287759023</v>
      </c>
      <c r="CR50" s="41">
        <f t="shared" si="820"/>
        <v>693.60650205446234</v>
      </c>
      <c r="CS50" s="41">
        <f t="shared" si="820"/>
        <v>752.50040020895437</v>
      </c>
      <c r="CT50" s="41">
        <f t="shared" si="820"/>
        <v>550.74010980656317</v>
      </c>
      <c r="CU50" s="41">
        <f t="shared" si="820"/>
        <v>673.70993956175505</v>
      </c>
      <c r="CV50" s="41">
        <f t="shared" si="820"/>
        <v>513.97421780637319</v>
      </c>
      <c r="CW50" s="41">
        <f t="shared" si="820"/>
        <v>507.96562864560195</v>
      </c>
      <c r="CX50" s="41">
        <f t="shared" si="820"/>
        <v>437.5632133565573</v>
      </c>
      <c r="CY50" s="41">
        <f t="shared" si="820"/>
        <v>400</v>
      </c>
      <c r="CZ50" s="41">
        <f t="shared" si="820"/>
        <v>415.28082597768793</v>
      </c>
      <c r="DA50" s="41">
        <f t="shared" si="820"/>
        <v>566.64070186964545</v>
      </c>
      <c r="DB50" s="41">
        <f t="shared" si="820"/>
        <v>500</v>
      </c>
      <c r="DC50" s="41">
        <f t="shared" si="820"/>
        <v>500</v>
      </c>
      <c r="DD50" s="41">
        <f t="shared" si="820"/>
        <v>728.28682715718548</v>
      </c>
      <c r="DE50" s="41">
        <f t="shared" si="820"/>
        <v>790.12542021940214</v>
      </c>
      <c r="DF50" s="41">
        <f t="shared" si="820"/>
        <v>578.27711529689134</v>
      </c>
      <c r="DG50" s="41">
        <f t="shared" si="820"/>
        <v>707.39543653984288</v>
      </c>
      <c r="DH50" s="41">
        <f t="shared" si="820"/>
        <v>539.67292869669188</v>
      </c>
      <c r="DI50" s="41">
        <f t="shared" si="820"/>
        <v>533.36391007788211</v>
      </c>
      <c r="DJ50" s="41">
        <f t="shared" si="820"/>
        <v>459.4413740243852</v>
      </c>
      <c r="DK50" s="41">
        <f t="shared" si="820"/>
        <v>404.50342374660408</v>
      </c>
      <c r="DL50" s="41">
        <f t="shared" si="820"/>
        <v>436.04486727657235</v>
      </c>
      <c r="DM50" s="41">
        <f t="shared" si="820"/>
        <v>594.97273696312777</v>
      </c>
      <c r="DN50" s="41">
        <f t="shared" si="820"/>
        <v>500</v>
      </c>
      <c r="DO50" s="41">
        <f t="shared" si="820"/>
        <v>500</v>
      </c>
      <c r="DP50" s="41">
        <f t="shared" si="820"/>
        <v>764.70116851504474</v>
      </c>
      <c r="DQ50" s="41">
        <f t="shared" si="820"/>
        <v>829.63169123037233</v>
      </c>
      <c r="DR50" s="41">
        <f t="shared" si="820"/>
        <v>607.19097106173592</v>
      </c>
      <c r="DS50" s="41">
        <f t="shared" si="820"/>
        <v>742.76520836683505</v>
      </c>
      <c r="DT50" s="41">
        <f t="shared" si="820"/>
        <v>566.65657513152655</v>
      </c>
      <c r="DU50" s="41">
        <f t="shared" si="820"/>
        <v>560.03210558177625</v>
      </c>
      <c r="DV50" s="41">
        <f t="shared" si="820"/>
        <v>482.41344272560445</v>
      </c>
      <c r="DW50" s="41">
        <f t="shared" si="820"/>
        <v>424.72859493393429</v>
      </c>
      <c r="DX50" s="41">
        <f t="shared" si="820"/>
        <v>457.84711064040096</v>
      </c>
      <c r="DY50" s="41">
        <f t="shared" si="820"/>
        <v>624.72137381128414</v>
      </c>
      <c r="DZ50" s="41">
        <f t="shared" si="820"/>
        <v>500</v>
      </c>
      <c r="EA50" s="41">
        <f t="shared" ref="EA50:GL50" si="821">+EA11</f>
        <v>500</v>
      </c>
      <c r="EB50" s="41">
        <f t="shared" si="821"/>
        <v>802.93622694079704</v>
      </c>
      <c r="EC50" s="41">
        <f t="shared" si="821"/>
        <v>871.11327579189094</v>
      </c>
      <c r="ED50" s="41">
        <f t="shared" si="821"/>
        <v>637.55051961482275</v>
      </c>
      <c r="EE50" s="41">
        <f t="shared" si="821"/>
        <v>779.90346878517687</v>
      </c>
      <c r="EF50" s="41">
        <f t="shared" si="821"/>
        <v>594.98940388810286</v>
      </c>
      <c r="EG50" s="41">
        <f t="shared" si="821"/>
        <v>588.03371086086509</v>
      </c>
      <c r="EH50" s="41">
        <f t="shared" si="821"/>
        <v>506.53411486188469</v>
      </c>
      <c r="EI50" s="41">
        <f t="shared" si="821"/>
        <v>445.96502468063102</v>
      </c>
      <c r="EJ50" s="41">
        <f t="shared" si="821"/>
        <v>480.73946617242103</v>
      </c>
      <c r="EK50" s="41">
        <f t="shared" si="821"/>
        <v>655.95744250184839</v>
      </c>
      <c r="EL50" s="41">
        <f t="shared" si="821"/>
        <v>500</v>
      </c>
      <c r="EM50" s="41">
        <f t="shared" si="821"/>
        <v>500</v>
      </c>
      <c r="EN50" s="41">
        <f t="shared" si="821"/>
        <v>843.08303828783698</v>
      </c>
      <c r="EO50" s="41">
        <f t="shared" si="821"/>
        <v>914.66893958148557</v>
      </c>
      <c r="EP50" s="41">
        <f t="shared" si="821"/>
        <v>669.42804559556396</v>
      </c>
      <c r="EQ50" s="41">
        <f t="shared" si="821"/>
        <v>818.89864222443578</v>
      </c>
      <c r="ER50" s="41">
        <f t="shared" si="821"/>
        <v>624.738874082508</v>
      </c>
      <c r="ES50" s="41">
        <f t="shared" si="821"/>
        <v>617.43539640390838</v>
      </c>
      <c r="ET50" s="41">
        <f t="shared" si="821"/>
        <v>531.86082060497893</v>
      </c>
      <c r="EU50" s="41">
        <f t="shared" si="821"/>
        <v>468.26327591466259</v>
      </c>
      <c r="EV50" s="41">
        <f t="shared" si="821"/>
        <v>504.77643948104213</v>
      </c>
      <c r="EW50" s="41">
        <f t="shared" si="821"/>
        <v>688.75531462694084</v>
      </c>
      <c r="EX50" s="41">
        <f t="shared" si="821"/>
        <v>500</v>
      </c>
      <c r="EY50" s="41">
        <f t="shared" si="821"/>
        <v>500</v>
      </c>
      <c r="EZ50" s="41">
        <f t="shared" si="821"/>
        <v>885.23719020222882</v>
      </c>
      <c r="FA50" s="41">
        <f t="shared" si="821"/>
        <v>500</v>
      </c>
      <c r="FB50" s="41">
        <f t="shared" si="821"/>
        <v>702.89944787534216</v>
      </c>
      <c r="FC50" s="41">
        <f t="shared" si="821"/>
        <v>859.84357433565765</v>
      </c>
      <c r="FD50" s="41">
        <f t="shared" si="821"/>
        <v>655.97581778663346</v>
      </c>
      <c r="FE50" s="41">
        <f t="shared" si="821"/>
        <v>648.30716622410387</v>
      </c>
      <c r="FF50" s="41">
        <f t="shared" si="821"/>
        <v>558.4538616352279</v>
      </c>
      <c r="FG50" s="41">
        <f t="shared" si="821"/>
        <v>491.67643971039575</v>
      </c>
      <c r="FH50" s="41">
        <f t="shared" si="821"/>
        <v>530.01526145509422</v>
      </c>
      <c r="FI50" s="41">
        <f t="shared" si="821"/>
        <v>723.19308035828794</v>
      </c>
      <c r="FJ50" s="41">
        <f t="shared" si="821"/>
        <v>500</v>
      </c>
      <c r="FK50" s="41">
        <f t="shared" si="821"/>
        <v>500</v>
      </c>
      <c r="FL50" s="41">
        <f t="shared" si="821"/>
        <v>500</v>
      </c>
      <c r="FM50" s="41">
        <f t="shared" si="821"/>
        <v>500</v>
      </c>
      <c r="FN50" s="41">
        <f t="shared" si="821"/>
        <v>500</v>
      </c>
      <c r="FO50" s="41">
        <f t="shared" si="821"/>
        <v>500</v>
      </c>
      <c r="FP50" s="41">
        <f t="shared" si="821"/>
        <v>500</v>
      </c>
      <c r="FQ50" s="41">
        <f t="shared" si="821"/>
        <v>500</v>
      </c>
      <c r="FR50" s="41">
        <f t="shared" si="821"/>
        <v>500</v>
      </c>
      <c r="FS50" s="41">
        <f t="shared" si="821"/>
        <v>500</v>
      </c>
      <c r="FT50" s="41">
        <f t="shared" si="821"/>
        <v>500</v>
      </c>
      <c r="FU50" s="41">
        <f t="shared" si="821"/>
        <v>500</v>
      </c>
      <c r="FV50" s="41">
        <f t="shared" si="821"/>
        <v>500</v>
      </c>
      <c r="FW50" s="41">
        <f t="shared" si="821"/>
        <v>500</v>
      </c>
      <c r="FX50" s="41">
        <f t="shared" si="821"/>
        <v>500</v>
      </c>
      <c r="FY50" s="41">
        <f t="shared" si="821"/>
        <v>500</v>
      </c>
      <c r="FZ50" s="41">
        <f t="shared" si="821"/>
        <v>500</v>
      </c>
      <c r="GA50" s="41">
        <f t="shared" si="821"/>
        <v>500</v>
      </c>
      <c r="GB50" s="41">
        <f t="shared" si="821"/>
        <v>500</v>
      </c>
      <c r="GC50" s="41">
        <f t="shared" si="821"/>
        <v>500</v>
      </c>
      <c r="GD50" s="41">
        <f t="shared" si="821"/>
        <v>500</v>
      </c>
      <c r="GE50" s="41">
        <f t="shared" si="821"/>
        <v>500</v>
      </c>
      <c r="GF50" s="41">
        <f t="shared" si="821"/>
        <v>500</v>
      </c>
      <c r="GG50" s="41">
        <f t="shared" si="821"/>
        <v>500</v>
      </c>
      <c r="GH50" s="41">
        <f t="shared" si="821"/>
        <v>500</v>
      </c>
      <c r="GI50" s="41">
        <f t="shared" si="821"/>
        <v>500</v>
      </c>
      <c r="GJ50" s="41">
        <f t="shared" si="821"/>
        <v>500</v>
      </c>
      <c r="GK50" s="41">
        <f t="shared" si="821"/>
        <v>500</v>
      </c>
      <c r="GL50" s="41">
        <f t="shared" si="821"/>
        <v>500</v>
      </c>
      <c r="GM50" s="41">
        <f t="shared" ref="GM50:IX50" si="822">+GM11</f>
        <v>500</v>
      </c>
      <c r="GN50" s="41">
        <f t="shared" si="822"/>
        <v>500</v>
      </c>
      <c r="GO50" s="41">
        <f t="shared" si="822"/>
        <v>500</v>
      </c>
      <c r="GP50" s="41">
        <f t="shared" si="822"/>
        <v>500</v>
      </c>
      <c r="GQ50" s="41">
        <f t="shared" si="822"/>
        <v>500</v>
      </c>
      <c r="GR50" s="41">
        <f t="shared" si="822"/>
        <v>500</v>
      </c>
      <c r="GS50" s="41">
        <f t="shared" si="822"/>
        <v>500</v>
      </c>
      <c r="GT50" s="41">
        <f t="shared" si="822"/>
        <v>500</v>
      </c>
      <c r="GU50" s="41">
        <f t="shared" si="822"/>
        <v>500</v>
      </c>
      <c r="GV50" s="41">
        <f t="shared" si="822"/>
        <v>500</v>
      </c>
      <c r="GW50" s="41">
        <f t="shared" si="822"/>
        <v>500</v>
      </c>
      <c r="GX50" s="41">
        <f t="shared" si="822"/>
        <v>500</v>
      </c>
      <c r="GY50" s="41">
        <f t="shared" si="822"/>
        <v>500</v>
      </c>
      <c r="GZ50" s="41">
        <f t="shared" si="822"/>
        <v>500</v>
      </c>
      <c r="HA50" s="41">
        <f t="shared" si="822"/>
        <v>500</v>
      </c>
      <c r="HB50" s="41">
        <f t="shared" si="822"/>
        <v>500</v>
      </c>
      <c r="HC50" s="41">
        <f t="shared" si="822"/>
        <v>500</v>
      </c>
      <c r="HD50" s="41">
        <f t="shared" si="822"/>
        <v>500</v>
      </c>
      <c r="HE50" s="41">
        <f t="shared" si="822"/>
        <v>500</v>
      </c>
      <c r="HF50" s="41">
        <f t="shared" si="822"/>
        <v>500</v>
      </c>
      <c r="HG50" s="41">
        <f t="shared" si="822"/>
        <v>500</v>
      </c>
      <c r="HH50" s="41">
        <f t="shared" si="822"/>
        <v>500</v>
      </c>
      <c r="HI50" s="41">
        <f t="shared" si="822"/>
        <v>500</v>
      </c>
      <c r="HJ50" s="41">
        <f t="shared" si="822"/>
        <v>500</v>
      </c>
      <c r="HK50" s="41">
        <f t="shared" si="822"/>
        <v>500</v>
      </c>
      <c r="HL50" s="41">
        <f t="shared" si="822"/>
        <v>500</v>
      </c>
      <c r="HM50" s="41">
        <f t="shared" si="822"/>
        <v>500</v>
      </c>
      <c r="HN50" s="41">
        <f t="shared" si="822"/>
        <v>500</v>
      </c>
      <c r="HO50" s="41">
        <f t="shared" si="822"/>
        <v>500</v>
      </c>
      <c r="HP50" s="41">
        <f t="shared" si="822"/>
        <v>500</v>
      </c>
      <c r="HQ50" s="41">
        <f t="shared" si="822"/>
        <v>500</v>
      </c>
      <c r="HR50" s="41">
        <f t="shared" si="822"/>
        <v>500</v>
      </c>
      <c r="HS50" s="41">
        <f t="shared" si="822"/>
        <v>500</v>
      </c>
      <c r="HT50" s="41">
        <f t="shared" si="822"/>
        <v>500</v>
      </c>
      <c r="HU50" s="41">
        <f t="shared" si="822"/>
        <v>500</v>
      </c>
      <c r="HV50" s="41">
        <f t="shared" si="822"/>
        <v>500</v>
      </c>
      <c r="HW50" s="41">
        <f t="shared" si="822"/>
        <v>500</v>
      </c>
      <c r="HX50" s="41">
        <f t="shared" si="822"/>
        <v>500</v>
      </c>
      <c r="HY50" s="41">
        <f t="shared" si="822"/>
        <v>500</v>
      </c>
      <c r="HZ50" s="41">
        <f t="shared" si="822"/>
        <v>500</v>
      </c>
      <c r="IA50" s="41">
        <f t="shared" si="822"/>
        <v>500</v>
      </c>
      <c r="IB50" s="41">
        <f t="shared" si="822"/>
        <v>500</v>
      </c>
      <c r="IC50" s="41">
        <f t="shared" si="822"/>
        <v>500</v>
      </c>
      <c r="ID50" s="41">
        <f t="shared" si="822"/>
        <v>500</v>
      </c>
      <c r="IE50" s="41">
        <f t="shared" si="822"/>
        <v>500</v>
      </c>
      <c r="IF50" s="41">
        <f t="shared" si="822"/>
        <v>500</v>
      </c>
      <c r="IG50" s="41">
        <f t="shared" si="822"/>
        <v>500</v>
      </c>
      <c r="IH50" s="41">
        <f t="shared" si="822"/>
        <v>500</v>
      </c>
      <c r="II50" s="41">
        <f t="shared" si="822"/>
        <v>500</v>
      </c>
      <c r="IJ50" s="41">
        <f t="shared" si="822"/>
        <v>500</v>
      </c>
      <c r="IK50" s="41">
        <f t="shared" si="822"/>
        <v>500</v>
      </c>
      <c r="IL50" s="41">
        <f t="shared" si="822"/>
        <v>500</v>
      </c>
      <c r="IM50" s="41">
        <f t="shared" si="822"/>
        <v>500</v>
      </c>
      <c r="IN50" s="41">
        <f t="shared" si="822"/>
        <v>500</v>
      </c>
      <c r="IO50" s="41">
        <f t="shared" si="822"/>
        <v>500</v>
      </c>
      <c r="IP50" s="41">
        <f t="shared" si="822"/>
        <v>500</v>
      </c>
      <c r="IQ50" s="41">
        <f t="shared" si="822"/>
        <v>500</v>
      </c>
      <c r="IR50" s="41">
        <f t="shared" si="822"/>
        <v>500</v>
      </c>
      <c r="IS50" s="41">
        <f t="shared" si="822"/>
        <v>500</v>
      </c>
      <c r="IT50" s="41">
        <f t="shared" si="822"/>
        <v>500</v>
      </c>
      <c r="IU50" s="41">
        <f t="shared" si="822"/>
        <v>500</v>
      </c>
      <c r="IV50" s="41">
        <f t="shared" si="822"/>
        <v>500</v>
      </c>
      <c r="IW50" s="41">
        <f t="shared" si="822"/>
        <v>500</v>
      </c>
      <c r="IX50" s="41">
        <f t="shared" si="822"/>
        <v>500</v>
      </c>
      <c r="IY50" s="41">
        <f t="shared" ref="IY50:JE50" si="823">+IY11</f>
        <v>500</v>
      </c>
      <c r="IZ50" s="41">
        <f t="shared" si="823"/>
        <v>500</v>
      </c>
      <c r="JA50" s="41">
        <f t="shared" si="823"/>
        <v>500</v>
      </c>
      <c r="JB50" s="41">
        <f t="shared" si="823"/>
        <v>500</v>
      </c>
      <c r="JC50" s="41">
        <f t="shared" si="823"/>
        <v>500</v>
      </c>
      <c r="JD50" s="41">
        <f t="shared" si="823"/>
        <v>500</v>
      </c>
      <c r="JE50" s="41">
        <f t="shared" si="823"/>
        <v>500</v>
      </c>
    </row>
    <row r="51" spans="1:265" x14ac:dyDescent="0.3">
      <c r="C51" s="38"/>
      <c r="D51" s="38"/>
      <c r="E51" s="38"/>
      <c r="F51" s="38"/>
      <c r="G51" s="38"/>
      <c r="H51" s="38"/>
      <c r="I51" s="38"/>
      <c r="Q51" s="42"/>
      <c r="R51" s="38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0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3"/>
      <c r="IV51" s="33"/>
      <c r="IW51" s="33"/>
      <c r="IX51" s="33"/>
      <c r="IY51" s="33"/>
      <c r="IZ51" s="33"/>
      <c r="JA51" s="33"/>
      <c r="JB51" s="33"/>
      <c r="JC51" s="33"/>
      <c r="JD51" s="33"/>
      <c r="JE51" s="33"/>
    </row>
    <row r="53" spans="1:265" x14ac:dyDescent="0.3">
      <c r="B53">
        <v>2023</v>
      </c>
      <c r="C53">
        <v>2024</v>
      </c>
      <c r="D53">
        <v>2025</v>
      </c>
      <c r="E53">
        <v>2026</v>
      </c>
      <c r="F53">
        <v>2027</v>
      </c>
      <c r="G53">
        <v>2028</v>
      </c>
      <c r="H53">
        <v>2029</v>
      </c>
      <c r="I53">
        <v>2030</v>
      </c>
      <c r="J53">
        <v>2031</v>
      </c>
      <c r="K53">
        <v>2032</v>
      </c>
      <c r="L53">
        <v>2033</v>
      </c>
      <c r="M53">
        <v>2034</v>
      </c>
      <c r="N53">
        <v>2035</v>
      </c>
      <c r="O53">
        <v>2036</v>
      </c>
      <c r="P53">
        <v>2037</v>
      </c>
      <c r="Q53">
        <v>2038</v>
      </c>
      <c r="R53">
        <v>2039</v>
      </c>
      <c r="S53">
        <v>2040</v>
      </c>
    </row>
    <row r="54" spans="1:265" x14ac:dyDescent="0.3">
      <c r="A54" t="s">
        <v>888</v>
      </c>
      <c r="B54" s="28" t="e">
        <f>+AVERAGEIFS(47:47,45:45,B53)</f>
        <v>#REF!</v>
      </c>
      <c r="C54" s="28">
        <f t="shared" ref="C54:S54" si="824">+AVERAGEIFS(47:47,45:45,C53)</f>
        <v>909.96382500000016</v>
      </c>
      <c r="D54" s="28">
        <f t="shared" si="824"/>
        <v>881.04416666666668</v>
      </c>
      <c r="E54" s="28">
        <f t="shared" si="824"/>
        <v>881.28045833333329</v>
      </c>
      <c r="F54" s="28">
        <f t="shared" si="824"/>
        <v>907.71887208333339</v>
      </c>
      <c r="G54" s="28">
        <f t="shared" si="824"/>
        <v>934.95043824583354</v>
      </c>
      <c r="H54" s="28">
        <f t="shared" si="824"/>
        <v>962.99895139320836</v>
      </c>
      <c r="I54" s="28">
        <f t="shared" si="824"/>
        <v>991.88891993500465</v>
      </c>
      <c r="J54" s="28">
        <f t="shared" si="824"/>
        <v>1021.6455875330548</v>
      </c>
      <c r="K54" s="28">
        <f t="shared" si="824"/>
        <v>1052.2949551590468</v>
      </c>
      <c r="L54" s="28">
        <f t="shared" si="824"/>
        <v>1083.8638038138185</v>
      </c>
      <c r="M54" s="28">
        <f t="shared" si="824"/>
        <v>1116.3797179282328</v>
      </c>
      <c r="N54" s="28">
        <f t="shared" si="824"/>
        <v>1149.8711094660796</v>
      </c>
      <c r="O54" s="28">
        <f t="shared" si="824"/>
        <v>1184.3672427500619</v>
      </c>
      <c r="P54" s="28">
        <f t="shared" si="824"/>
        <v>1219.8982600325637</v>
      </c>
      <c r="Q54" s="28">
        <f t="shared" si="824"/>
        <v>1256.4952078335407</v>
      </c>
      <c r="R54" s="28">
        <f t="shared" si="824"/>
        <v>1294.1900640685469</v>
      </c>
      <c r="S54" s="28">
        <f t="shared" si="824"/>
        <v>1333.0157659906035</v>
      </c>
    </row>
    <row r="55" spans="1:265" x14ac:dyDescent="0.3">
      <c r="A55" t="s">
        <v>885</v>
      </c>
      <c r="B55" s="28" t="e">
        <f>+AVERAGEIFS(48:48,45:45,B53)</f>
        <v>#REF!</v>
      </c>
      <c r="C55" s="28">
        <f>+AVERAGEIFS(48:48,45:45,C53)</f>
        <v>137.26926666666668</v>
      </c>
      <c r="D55" s="28">
        <f t="shared" ref="D55" si="825">+AVERAGEIFS(48:48,45:45,D53)</f>
        <v>145.74615833333334</v>
      </c>
      <c r="E55" s="28">
        <f>+AVERAGEIFS(48:48,45:45,E53)</f>
        <v>150.11854308333332</v>
      </c>
      <c r="F55" s="28">
        <f t="shared" ref="F55:S55" si="826">+AVERAGEIFS(48:48,45:45,F53)</f>
        <v>154.62209937583336</v>
      </c>
      <c r="G55" s="28">
        <f t="shared" si="826"/>
        <v>159.26076235710835</v>
      </c>
      <c r="H55" s="28">
        <f t="shared" si="826"/>
        <v>164.03858522782161</v>
      </c>
      <c r="I55" s="28">
        <f t="shared" si="826"/>
        <v>168.95974278465624</v>
      </c>
      <c r="J55" s="28">
        <f t="shared" si="826"/>
        <v>174.02853506819591</v>
      </c>
      <c r="K55" s="28">
        <f t="shared" si="826"/>
        <v>179.24939112024185</v>
      </c>
      <c r="L55" s="28">
        <f t="shared" si="826"/>
        <v>184.62687285384911</v>
      </c>
      <c r="M55" s="28">
        <f t="shared" si="826"/>
        <v>190.16567903946455</v>
      </c>
      <c r="N55" s="28">
        <f t="shared" si="826"/>
        <v>195.87064941064853</v>
      </c>
      <c r="O55" s="28">
        <f t="shared" si="826"/>
        <v>201.74676889296794</v>
      </c>
      <c r="P55" s="28">
        <f t="shared" si="826"/>
        <v>207.79917195975702</v>
      </c>
      <c r="Q55" s="28">
        <f t="shared" si="826"/>
        <v>214.03314711854975</v>
      </c>
      <c r="R55" s="28">
        <f t="shared" si="826"/>
        <v>220.45414153210626</v>
      </c>
      <c r="S55" s="28">
        <f t="shared" si="826"/>
        <v>227.06776577806943</v>
      </c>
    </row>
    <row r="56" spans="1:265" x14ac:dyDescent="0.3">
      <c r="A56" t="s">
        <v>904</v>
      </c>
      <c r="C56" s="28" t="e">
        <f>+AVERAGEIFS(49:49,45:45,C53)</f>
        <v>#DIV/0!</v>
      </c>
      <c r="D56" s="28">
        <f t="shared" ref="D56:S56" ca="1" si="827">+AVERAGEIFS(49:49,45:45,D53)</f>
        <v>117.76437779643381</v>
      </c>
      <c r="E56" s="28">
        <f t="shared" ca="1" si="827"/>
        <v>123.65259668625551</v>
      </c>
      <c r="F56" s="28">
        <f t="shared" ca="1" si="827"/>
        <v>129.83522652056831</v>
      </c>
      <c r="G56" s="28">
        <f t="shared" ca="1" si="827"/>
        <v>133.73028331618534</v>
      </c>
      <c r="H56" s="28">
        <f t="shared" ca="1" si="827"/>
        <v>140.41679748199468</v>
      </c>
      <c r="I56" s="28">
        <f t="shared" ca="1" si="827"/>
        <v>144.62930140645449</v>
      </c>
      <c r="J56" s="28">
        <f t="shared" ca="1" si="827"/>
        <v>151.8607664767772</v>
      </c>
      <c r="K56" s="28">
        <f t="shared" ca="1" si="827"/>
        <v>159.4538048006161</v>
      </c>
      <c r="L56" s="28">
        <f t="shared" ca="1" si="827"/>
        <v>167.42649504064687</v>
      </c>
      <c r="M56" s="28">
        <f t="shared" ca="1" si="827"/>
        <v>175.79781979267929</v>
      </c>
      <c r="N56" s="28">
        <f t="shared" ca="1" si="827"/>
        <v>129.21139754761927</v>
      </c>
      <c r="O56" s="28">
        <f t="shared" ca="1" si="827"/>
        <v>135.67196742500025</v>
      </c>
      <c r="P56" s="28">
        <f t="shared" ca="1" si="827"/>
        <v>142.45556579625026</v>
      </c>
      <c r="Q56" s="28">
        <f t="shared" ca="1" si="827"/>
        <v>149.57834408606274</v>
      </c>
      <c r="R56" s="28">
        <f t="shared" ca="1" si="827"/>
        <v>157.05726129036589</v>
      </c>
      <c r="S56" s="28">
        <f t="shared" ca="1" si="827"/>
        <v>164.91012435488418</v>
      </c>
    </row>
    <row r="57" spans="1:265" x14ac:dyDescent="0.3">
      <c r="A57" t="s">
        <v>847</v>
      </c>
      <c r="B57" s="28">
        <f>+AVERAGEIFS(50:50,45:45,B53)</f>
        <v>662.25</v>
      </c>
      <c r="C57" s="28">
        <f>+AVERAGEIFS(50:50,45:45,C53)</f>
        <v>619.42854182954954</v>
      </c>
      <c r="D57" s="28">
        <f>+AVERAGEIFS(50:50,45:45,D53)</f>
        <v>494.68323621149869</v>
      </c>
      <c r="E57" s="28">
        <f t="shared" ref="E57:S57" si="828">+AVERAGEIFS(50:50,45:45,E53)</f>
        <v>511.14378220973049</v>
      </c>
      <c r="F57" s="28">
        <f t="shared" si="828"/>
        <v>531.70097132021692</v>
      </c>
      <c r="G57" s="28">
        <f t="shared" si="828"/>
        <v>553.28601988622779</v>
      </c>
      <c r="H57" s="28">
        <f t="shared" si="828"/>
        <v>575.95032088053915</v>
      </c>
      <c r="I57" s="28">
        <f t="shared" si="828"/>
        <v>601.14174274651521</v>
      </c>
      <c r="J57" s="28">
        <f t="shared" si="828"/>
        <v>548.69057370006431</v>
      </c>
      <c r="K57" s="28">
        <f t="shared" si="828"/>
        <v>570.66705436395125</v>
      </c>
      <c r="L57" s="28">
        <f t="shared" si="828"/>
        <v>595.03374041548216</v>
      </c>
      <c r="M57" s="28">
        <f t="shared" si="828"/>
        <v>620.61876076958958</v>
      </c>
      <c r="N57" s="28">
        <f t="shared" si="828"/>
        <v>609.11616659468916</v>
      </c>
      <c r="O57" s="28">
        <f t="shared" si="828"/>
        <v>597.53038744839523</v>
      </c>
      <c r="P57" s="28">
        <f t="shared" si="828"/>
        <v>500</v>
      </c>
      <c r="Q57" s="28">
        <f t="shared" si="828"/>
        <v>500</v>
      </c>
      <c r="R57" s="28">
        <f t="shared" si="828"/>
        <v>500</v>
      </c>
      <c r="S57" s="28">
        <f t="shared" si="828"/>
        <v>500</v>
      </c>
    </row>
    <row r="58" spans="1:265" x14ac:dyDescent="0.3"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60" spans="1:265" x14ac:dyDescent="0.3">
      <c r="A60" s="6" t="s">
        <v>743</v>
      </c>
    </row>
    <row r="62" spans="1:265" x14ac:dyDescent="0.3">
      <c r="A62" t="s">
        <v>773</v>
      </c>
      <c r="B62" s="40">
        <v>0.05</v>
      </c>
      <c r="D62" t="s">
        <v>882</v>
      </c>
      <c r="E62" s="30">
        <v>50</v>
      </c>
    </row>
    <row r="63" spans="1:265" x14ac:dyDescent="0.3">
      <c r="B63" s="40"/>
      <c r="E63" s="30"/>
    </row>
    <row r="64" spans="1:265" x14ac:dyDescent="0.3"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 spans="1:265" x14ac:dyDescent="0.3">
      <c r="B65">
        <f>+YEAR(B66)</f>
        <v>2023</v>
      </c>
      <c r="C65">
        <f t="shared" ref="C65:BN65" si="829">+YEAR(C66)</f>
        <v>2023</v>
      </c>
      <c r="D65">
        <f t="shared" si="829"/>
        <v>2023</v>
      </c>
      <c r="E65">
        <f t="shared" si="829"/>
        <v>2023</v>
      </c>
      <c r="F65">
        <f t="shared" si="829"/>
        <v>2023</v>
      </c>
      <c r="G65">
        <f t="shared" si="829"/>
        <v>2023</v>
      </c>
      <c r="H65">
        <f t="shared" si="829"/>
        <v>2023</v>
      </c>
      <c r="I65">
        <f t="shared" si="829"/>
        <v>2023</v>
      </c>
      <c r="J65">
        <f t="shared" si="829"/>
        <v>2023</v>
      </c>
      <c r="K65">
        <f t="shared" si="829"/>
        <v>2023</v>
      </c>
      <c r="L65">
        <f t="shared" si="829"/>
        <v>2023</v>
      </c>
      <c r="M65">
        <f t="shared" si="829"/>
        <v>2023</v>
      </c>
      <c r="N65">
        <f t="shared" si="829"/>
        <v>2024</v>
      </c>
      <c r="O65">
        <f t="shared" si="829"/>
        <v>2024</v>
      </c>
      <c r="P65">
        <f t="shared" si="829"/>
        <v>2024</v>
      </c>
      <c r="Q65">
        <f t="shared" si="829"/>
        <v>2024</v>
      </c>
      <c r="R65">
        <f t="shared" si="829"/>
        <v>2024</v>
      </c>
      <c r="S65">
        <f t="shared" si="829"/>
        <v>2024</v>
      </c>
      <c r="T65">
        <f t="shared" si="829"/>
        <v>2024</v>
      </c>
      <c r="U65">
        <f t="shared" si="829"/>
        <v>2024</v>
      </c>
      <c r="V65">
        <f t="shared" si="829"/>
        <v>2024</v>
      </c>
      <c r="W65">
        <f t="shared" si="829"/>
        <v>2024</v>
      </c>
      <c r="X65">
        <f t="shared" si="829"/>
        <v>2024</v>
      </c>
      <c r="Y65">
        <f t="shared" si="829"/>
        <v>2024</v>
      </c>
      <c r="Z65">
        <f t="shared" si="829"/>
        <v>2025</v>
      </c>
      <c r="AA65">
        <f t="shared" si="829"/>
        <v>2025</v>
      </c>
      <c r="AB65">
        <f t="shared" si="829"/>
        <v>2025</v>
      </c>
      <c r="AC65">
        <f t="shared" si="829"/>
        <v>2025</v>
      </c>
      <c r="AD65">
        <f t="shared" si="829"/>
        <v>2025</v>
      </c>
      <c r="AE65">
        <f t="shared" si="829"/>
        <v>2025</v>
      </c>
      <c r="AF65">
        <f t="shared" si="829"/>
        <v>2025</v>
      </c>
      <c r="AG65">
        <f t="shared" si="829"/>
        <v>2025</v>
      </c>
      <c r="AH65">
        <f t="shared" si="829"/>
        <v>2025</v>
      </c>
      <c r="AI65">
        <f t="shared" si="829"/>
        <v>2025</v>
      </c>
      <c r="AJ65">
        <f t="shared" si="829"/>
        <v>2025</v>
      </c>
      <c r="AK65">
        <f t="shared" si="829"/>
        <v>2025</v>
      </c>
      <c r="AL65">
        <f t="shared" si="829"/>
        <v>2026</v>
      </c>
      <c r="AM65">
        <f t="shared" si="829"/>
        <v>2026</v>
      </c>
      <c r="AN65">
        <f t="shared" si="829"/>
        <v>2026</v>
      </c>
      <c r="AO65">
        <f t="shared" si="829"/>
        <v>2026</v>
      </c>
      <c r="AP65">
        <f t="shared" si="829"/>
        <v>2026</v>
      </c>
      <c r="AQ65">
        <f t="shared" si="829"/>
        <v>2026</v>
      </c>
      <c r="AR65">
        <f t="shared" si="829"/>
        <v>2026</v>
      </c>
      <c r="AS65">
        <f t="shared" si="829"/>
        <v>2026</v>
      </c>
      <c r="AT65">
        <f t="shared" si="829"/>
        <v>2026</v>
      </c>
      <c r="AU65">
        <f t="shared" si="829"/>
        <v>2026</v>
      </c>
      <c r="AV65">
        <f t="shared" si="829"/>
        <v>2026</v>
      </c>
      <c r="AW65">
        <f t="shared" si="829"/>
        <v>2026</v>
      </c>
      <c r="AX65">
        <f t="shared" si="829"/>
        <v>2027</v>
      </c>
      <c r="AY65">
        <f t="shared" si="829"/>
        <v>2027</v>
      </c>
      <c r="AZ65">
        <f t="shared" si="829"/>
        <v>2027</v>
      </c>
      <c r="BA65">
        <f t="shared" si="829"/>
        <v>2027</v>
      </c>
      <c r="BB65">
        <f t="shared" si="829"/>
        <v>2027</v>
      </c>
      <c r="BC65">
        <f t="shared" si="829"/>
        <v>2027</v>
      </c>
      <c r="BD65">
        <f t="shared" si="829"/>
        <v>2027</v>
      </c>
      <c r="BE65">
        <f t="shared" si="829"/>
        <v>2027</v>
      </c>
      <c r="BF65">
        <f t="shared" si="829"/>
        <v>2027</v>
      </c>
      <c r="BG65">
        <f t="shared" si="829"/>
        <v>2027</v>
      </c>
      <c r="BH65">
        <f t="shared" si="829"/>
        <v>2027</v>
      </c>
      <c r="BI65">
        <f t="shared" si="829"/>
        <v>2027</v>
      </c>
      <c r="BJ65">
        <f t="shared" si="829"/>
        <v>2028</v>
      </c>
      <c r="BK65">
        <f t="shared" si="829"/>
        <v>2028</v>
      </c>
      <c r="BL65">
        <f t="shared" si="829"/>
        <v>2028</v>
      </c>
      <c r="BM65">
        <f t="shared" si="829"/>
        <v>2028</v>
      </c>
      <c r="BN65">
        <f t="shared" si="829"/>
        <v>2028</v>
      </c>
      <c r="BO65">
        <f t="shared" ref="BO65:DZ65" si="830">+YEAR(BO66)</f>
        <v>2028</v>
      </c>
      <c r="BP65">
        <f t="shared" si="830"/>
        <v>2028</v>
      </c>
      <c r="BQ65">
        <f t="shared" si="830"/>
        <v>2028</v>
      </c>
      <c r="BR65">
        <f t="shared" si="830"/>
        <v>2028</v>
      </c>
      <c r="BS65">
        <f t="shared" si="830"/>
        <v>2028</v>
      </c>
      <c r="BT65">
        <f t="shared" si="830"/>
        <v>2028</v>
      </c>
      <c r="BU65">
        <f t="shared" si="830"/>
        <v>2028</v>
      </c>
      <c r="BV65">
        <f t="shared" si="830"/>
        <v>2029</v>
      </c>
      <c r="BW65">
        <f t="shared" si="830"/>
        <v>2029</v>
      </c>
      <c r="BX65">
        <f t="shared" si="830"/>
        <v>2029</v>
      </c>
      <c r="BY65">
        <f t="shared" si="830"/>
        <v>2029</v>
      </c>
      <c r="BZ65">
        <f t="shared" si="830"/>
        <v>2029</v>
      </c>
      <c r="CA65">
        <f t="shared" si="830"/>
        <v>2029</v>
      </c>
      <c r="CB65">
        <f t="shared" si="830"/>
        <v>2029</v>
      </c>
      <c r="CC65">
        <f t="shared" si="830"/>
        <v>2029</v>
      </c>
      <c r="CD65">
        <f t="shared" si="830"/>
        <v>2029</v>
      </c>
      <c r="CE65">
        <f t="shared" si="830"/>
        <v>2029</v>
      </c>
      <c r="CF65">
        <f t="shared" si="830"/>
        <v>2029</v>
      </c>
      <c r="CG65">
        <f t="shared" si="830"/>
        <v>2029</v>
      </c>
      <c r="CH65">
        <f t="shared" si="830"/>
        <v>2030</v>
      </c>
      <c r="CI65">
        <f t="shared" si="830"/>
        <v>2030</v>
      </c>
      <c r="CJ65">
        <f t="shared" si="830"/>
        <v>2030</v>
      </c>
      <c r="CK65">
        <f t="shared" si="830"/>
        <v>2030</v>
      </c>
      <c r="CL65">
        <f t="shared" si="830"/>
        <v>2030</v>
      </c>
      <c r="CM65">
        <f t="shared" si="830"/>
        <v>2030</v>
      </c>
      <c r="CN65">
        <f t="shared" si="830"/>
        <v>2030</v>
      </c>
      <c r="CO65">
        <f t="shared" si="830"/>
        <v>2030</v>
      </c>
      <c r="CP65">
        <f t="shared" si="830"/>
        <v>2030</v>
      </c>
      <c r="CQ65">
        <f t="shared" si="830"/>
        <v>2030</v>
      </c>
      <c r="CR65">
        <f t="shared" si="830"/>
        <v>2030</v>
      </c>
      <c r="CS65">
        <f t="shared" si="830"/>
        <v>2030</v>
      </c>
      <c r="CT65">
        <f t="shared" si="830"/>
        <v>2031</v>
      </c>
      <c r="CU65">
        <f t="shared" si="830"/>
        <v>2031</v>
      </c>
      <c r="CV65">
        <f t="shared" si="830"/>
        <v>2031</v>
      </c>
      <c r="CW65">
        <f t="shared" si="830"/>
        <v>2031</v>
      </c>
      <c r="CX65">
        <f t="shared" si="830"/>
        <v>2031</v>
      </c>
      <c r="CY65">
        <f t="shared" si="830"/>
        <v>2031</v>
      </c>
      <c r="CZ65">
        <f t="shared" si="830"/>
        <v>2031</v>
      </c>
      <c r="DA65">
        <f t="shared" si="830"/>
        <v>2031</v>
      </c>
      <c r="DB65">
        <f t="shared" si="830"/>
        <v>2031</v>
      </c>
      <c r="DC65">
        <f t="shared" si="830"/>
        <v>2031</v>
      </c>
      <c r="DD65">
        <f t="shared" si="830"/>
        <v>2031</v>
      </c>
      <c r="DE65">
        <f t="shared" si="830"/>
        <v>2031</v>
      </c>
      <c r="DF65">
        <f t="shared" si="830"/>
        <v>2032</v>
      </c>
      <c r="DG65">
        <f t="shared" si="830"/>
        <v>2032</v>
      </c>
      <c r="DH65">
        <f t="shared" si="830"/>
        <v>2032</v>
      </c>
      <c r="DI65">
        <f t="shared" si="830"/>
        <v>2032</v>
      </c>
      <c r="DJ65">
        <f t="shared" si="830"/>
        <v>2032</v>
      </c>
      <c r="DK65">
        <f t="shared" si="830"/>
        <v>2032</v>
      </c>
      <c r="DL65">
        <f t="shared" si="830"/>
        <v>2032</v>
      </c>
      <c r="DM65">
        <f t="shared" si="830"/>
        <v>2032</v>
      </c>
      <c r="DN65">
        <f t="shared" si="830"/>
        <v>2032</v>
      </c>
      <c r="DO65">
        <f t="shared" si="830"/>
        <v>2032</v>
      </c>
      <c r="DP65">
        <f t="shared" si="830"/>
        <v>2032</v>
      </c>
      <c r="DQ65">
        <f t="shared" si="830"/>
        <v>2032</v>
      </c>
      <c r="DR65">
        <f t="shared" si="830"/>
        <v>2033</v>
      </c>
      <c r="DS65">
        <f t="shared" si="830"/>
        <v>2033</v>
      </c>
      <c r="DT65">
        <f t="shared" si="830"/>
        <v>2033</v>
      </c>
      <c r="DU65">
        <f t="shared" si="830"/>
        <v>2033</v>
      </c>
      <c r="DV65">
        <f t="shared" si="830"/>
        <v>2033</v>
      </c>
      <c r="DW65">
        <f t="shared" si="830"/>
        <v>2033</v>
      </c>
      <c r="DX65">
        <f t="shared" si="830"/>
        <v>2033</v>
      </c>
      <c r="DY65">
        <f t="shared" si="830"/>
        <v>2033</v>
      </c>
      <c r="DZ65">
        <f t="shared" si="830"/>
        <v>2033</v>
      </c>
      <c r="EA65">
        <f t="shared" ref="EA65:GL65" si="831">+YEAR(EA66)</f>
        <v>2033</v>
      </c>
      <c r="EB65">
        <f t="shared" si="831"/>
        <v>2033</v>
      </c>
      <c r="EC65">
        <f t="shared" si="831"/>
        <v>2033</v>
      </c>
      <c r="ED65">
        <f t="shared" si="831"/>
        <v>2034</v>
      </c>
      <c r="EE65">
        <f t="shared" si="831"/>
        <v>2034</v>
      </c>
      <c r="EF65">
        <f t="shared" si="831"/>
        <v>2034</v>
      </c>
      <c r="EG65">
        <f t="shared" si="831"/>
        <v>2034</v>
      </c>
      <c r="EH65">
        <f t="shared" si="831"/>
        <v>2034</v>
      </c>
      <c r="EI65">
        <f t="shared" si="831"/>
        <v>2034</v>
      </c>
      <c r="EJ65">
        <f t="shared" si="831"/>
        <v>2034</v>
      </c>
      <c r="EK65">
        <f t="shared" si="831"/>
        <v>2034</v>
      </c>
      <c r="EL65">
        <f t="shared" si="831"/>
        <v>2034</v>
      </c>
      <c r="EM65">
        <f t="shared" si="831"/>
        <v>2034</v>
      </c>
      <c r="EN65">
        <f t="shared" si="831"/>
        <v>2034</v>
      </c>
      <c r="EO65">
        <f t="shared" si="831"/>
        <v>2034</v>
      </c>
      <c r="EP65">
        <f t="shared" si="831"/>
        <v>2035</v>
      </c>
      <c r="EQ65">
        <f t="shared" si="831"/>
        <v>2035</v>
      </c>
      <c r="ER65">
        <f t="shared" si="831"/>
        <v>2035</v>
      </c>
      <c r="ES65">
        <f t="shared" si="831"/>
        <v>2035</v>
      </c>
      <c r="ET65">
        <f t="shared" si="831"/>
        <v>2035</v>
      </c>
      <c r="EU65">
        <f t="shared" si="831"/>
        <v>2035</v>
      </c>
      <c r="EV65">
        <f t="shared" si="831"/>
        <v>2035</v>
      </c>
      <c r="EW65">
        <f t="shared" si="831"/>
        <v>2035</v>
      </c>
      <c r="EX65">
        <f t="shared" si="831"/>
        <v>2035</v>
      </c>
      <c r="EY65">
        <f t="shared" si="831"/>
        <v>2035</v>
      </c>
      <c r="EZ65">
        <f t="shared" si="831"/>
        <v>2035</v>
      </c>
      <c r="FA65">
        <f t="shared" si="831"/>
        <v>2035</v>
      </c>
      <c r="FB65">
        <f t="shared" si="831"/>
        <v>2036</v>
      </c>
      <c r="FC65">
        <f t="shared" si="831"/>
        <v>2036</v>
      </c>
      <c r="FD65">
        <f t="shared" si="831"/>
        <v>2036</v>
      </c>
      <c r="FE65">
        <f t="shared" si="831"/>
        <v>2036</v>
      </c>
      <c r="FF65">
        <f t="shared" si="831"/>
        <v>2036</v>
      </c>
      <c r="FG65">
        <f t="shared" si="831"/>
        <v>2036</v>
      </c>
      <c r="FH65">
        <f t="shared" si="831"/>
        <v>2036</v>
      </c>
      <c r="FI65">
        <f t="shared" si="831"/>
        <v>2036</v>
      </c>
      <c r="FJ65">
        <f t="shared" si="831"/>
        <v>2036</v>
      </c>
      <c r="FK65">
        <f t="shared" si="831"/>
        <v>2036</v>
      </c>
      <c r="FL65">
        <f t="shared" si="831"/>
        <v>2036</v>
      </c>
      <c r="FM65">
        <f t="shared" si="831"/>
        <v>2036</v>
      </c>
      <c r="FN65">
        <f t="shared" si="831"/>
        <v>2037</v>
      </c>
      <c r="FO65">
        <f t="shared" si="831"/>
        <v>2037</v>
      </c>
      <c r="FP65">
        <f t="shared" si="831"/>
        <v>2037</v>
      </c>
      <c r="FQ65">
        <f t="shared" si="831"/>
        <v>2037</v>
      </c>
      <c r="FR65">
        <f t="shared" si="831"/>
        <v>2037</v>
      </c>
      <c r="FS65">
        <f t="shared" si="831"/>
        <v>2037</v>
      </c>
      <c r="FT65">
        <f t="shared" si="831"/>
        <v>2037</v>
      </c>
      <c r="FU65">
        <f t="shared" si="831"/>
        <v>2037</v>
      </c>
      <c r="FV65">
        <f t="shared" si="831"/>
        <v>2037</v>
      </c>
      <c r="FW65">
        <f t="shared" si="831"/>
        <v>2037</v>
      </c>
      <c r="FX65">
        <f t="shared" si="831"/>
        <v>2037</v>
      </c>
      <c r="FY65">
        <f t="shared" si="831"/>
        <v>2037</v>
      </c>
      <c r="FZ65">
        <f t="shared" si="831"/>
        <v>2038</v>
      </c>
      <c r="GA65">
        <f t="shared" si="831"/>
        <v>2038</v>
      </c>
      <c r="GB65">
        <f t="shared" si="831"/>
        <v>2038</v>
      </c>
      <c r="GC65">
        <f t="shared" si="831"/>
        <v>2038</v>
      </c>
      <c r="GD65">
        <f t="shared" si="831"/>
        <v>2038</v>
      </c>
      <c r="GE65">
        <f t="shared" si="831"/>
        <v>2038</v>
      </c>
      <c r="GF65">
        <f t="shared" si="831"/>
        <v>2038</v>
      </c>
      <c r="GG65">
        <f t="shared" si="831"/>
        <v>2038</v>
      </c>
      <c r="GH65">
        <f t="shared" si="831"/>
        <v>2038</v>
      </c>
      <c r="GI65">
        <f t="shared" si="831"/>
        <v>2038</v>
      </c>
      <c r="GJ65">
        <f t="shared" si="831"/>
        <v>2038</v>
      </c>
      <c r="GK65">
        <f t="shared" si="831"/>
        <v>2038</v>
      </c>
      <c r="GL65">
        <f t="shared" si="831"/>
        <v>2039</v>
      </c>
      <c r="GM65">
        <f t="shared" ref="GM65:IX65" si="832">+YEAR(GM66)</f>
        <v>2039</v>
      </c>
      <c r="GN65">
        <f t="shared" si="832"/>
        <v>2039</v>
      </c>
      <c r="GO65">
        <f t="shared" si="832"/>
        <v>2039</v>
      </c>
      <c r="GP65">
        <f t="shared" si="832"/>
        <v>2039</v>
      </c>
      <c r="GQ65">
        <f t="shared" si="832"/>
        <v>2039</v>
      </c>
      <c r="GR65">
        <f t="shared" si="832"/>
        <v>2039</v>
      </c>
      <c r="GS65">
        <f t="shared" si="832"/>
        <v>2039</v>
      </c>
      <c r="GT65">
        <f t="shared" si="832"/>
        <v>2039</v>
      </c>
      <c r="GU65">
        <f t="shared" si="832"/>
        <v>2039</v>
      </c>
      <c r="GV65">
        <f t="shared" si="832"/>
        <v>2039</v>
      </c>
      <c r="GW65">
        <f t="shared" si="832"/>
        <v>2039</v>
      </c>
      <c r="GX65">
        <f t="shared" si="832"/>
        <v>2040</v>
      </c>
      <c r="GY65">
        <f t="shared" si="832"/>
        <v>2040</v>
      </c>
      <c r="GZ65">
        <f t="shared" si="832"/>
        <v>2040</v>
      </c>
      <c r="HA65">
        <f t="shared" si="832"/>
        <v>2040</v>
      </c>
      <c r="HB65">
        <f t="shared" si="832"/>
        <v>2040</v>
      </c>
      <c r="HC65">
        <f t="shared" si="832"/>
        <v>2040</v>
      </c>
      <c r="HD65">
        <f t="shared" si="832"/>
        <v>2040</v>
      </c>
      <c r="HE65">
        <f t="shared" si="832"/>
        <v>2040</v>
      </c>
      <c r="HF65">
        <f t="shared" si="832"/>
        <v>2040</v>
      </c>
      <c r="HG65">
        <f t="shared" si="832"/>
        <v>2040</v>
      </c>
      <c r="HH65">
        <f t="shared" si="832"/>
        <v>2040</v>
      </c>
      <c r="HI65">
        <f t="shared" si="832"/>
        <v>2040</v>
      </c>
      <c r="HJ65">
        <f t="shared" si="832"/>
        <v>2041</v>
      </c>
      <c r="HK65">
        <f t="shared" si="832"/>
        <v>2041</v>
      </c>
      <c r="HL65">
        <f t="shared" si="832"/>
        <v>2041</v>
      </c>
      <c r="HM65">
        <f t="shared" si="832"/>
        <v>2041</v>
      </c>
      <c r="HN65">
        <f t="shared" si="832"/>
        <v>2041</v>
      </c>
      <c r="HO65">
        <f t="shared" si="832"/>
        <v>2041</v>
      </c>
      <c r="HP65">
        <f t="shared" si="832"/>
        <v>2041</v>
      </c>
      <c r="HQ65">
        <f t="shared" si="832"/>
        <v>2041</v>
      </c>
      <c r="HR65">
        <f t="shared" si="832"/>
        <v>2041</v>
      </c>
      <c r="HS65">
        <f t="shared" si="832"/>
        <v>2041</v>
      </c>
      <c r="HT65">
        <f t="shared" si="832"/>
        <v>2041</v>
      </c>
      <c r="HU65">
        <f t="shared" si="832"/>
        <v>2041</v>
      </c>
      <c r="HV65">
        <f t="shared" si="832"/>
        <v>2042</v>
      </c>
      <c r="HW65">
        <f t="shared" si="832"/>
        <v>2042</v>
      </c>
      <c r="HX65">
        <f t="shared" si="832"/>
        <v>2042</v>
      </c>
      <c r="HY65">
        <f t="shared" si="832"/>
        <v>2042</v>
      </c>
      <c r="HZ65">
        <f t="shared" si="832"/>
        <v>2042</v>
      </c>
      <c r="IA65">
        <f t="shared" si="832"/>
        <v>2042</v>
      </c>
      <c r="IB65">
        <f t="shared" si="832"/>
        <v>2042</v>
      </c>
      <c r="IC65">
        <f t="shared" si="832"/>
        <v>2042</v>
      </c>
      <c r="ID65">
        <f t="shared" si="832"/>
        <v>2042</v>
      </c>
      <c r="IE65">
        <f t="shared" si="832"/>
        <v>2042</v>
      </c>
      <c r="IF65">
        <f t="shared" si="832"/>
        <v>2042</v>
      </c>
      <c r="IG65">
        <f t="shared" si="832"/>
        <v>2042</v>
      </c>
      <c r="IH65">
        <f t="shared" si="832"/>
        <v>2043</v>
      </c>
      <c r="II65">
        <f t="shared" si="832"/>
        <v>2043</v>
      </c>
      <c r="IJ65">
        <f t="shared" si="832"/>
        <v>2043</v>
      </c>
      <c r="IK65">
        <f t="shared" si="832"/>
        <v>2043</v>
      </c>
      <c r="IL65">
        <f t="shared" si="832"/>
        <v>2043</v>
      </c>
      <c r="IM65">
        <f t="shared" si="832"/>
        <v>2043</v>
      </c>
      <c r="IN65">
        <f t="shared" si="832"/>
        <v>2043</v>
      </c>
      <c r="IO65">
        <f t="shared" si="832"/>
        <v>2043</v>
      </c>
      <c r="IP65">
        <f t="shared" si="832"/>
        <v>2043</v>
      </c>
      <c r="IQ65">
        <f t="shared" si="832"/>
        <v>2043</v>
      </c>
      <c r="IR65">
        <f t="shared" si="832"/>
        <v>2043</v>
      </c>
      <c r="IS65">
        <f t="shared" si="832"/>
        <v>2043</v>
      </c>
      <c r="IT65">
        <f t="shared" si="832"/>
        <v>2044</v>
      </c>
      <c r="IU65">
        <f t="shared" si="832"/>
        <v>2044</v>
      </c>
      <c r="IV65">
        <f t="shared" si="832"/>
        <v>2044</v>
      </c>
      <c r="IW65">
        <f t="shared" si="832"/>
        <v>2044</v>
      </c>
      <c r="IX65">
        <f t="shared" si="832"/>
        <v>2044</v>
      </c>
      <c r="IY65">
        <f t="shared" ref="IY65:JE65" si="833">+YEAR(IY66)</f>
        <v>2044</v>
      </c>
      <c r="IZ65">
        <f t="shared" si="833"/>
        <v>2044</v>
      </c>
      <c r="JA65">
        <f t="shared" si="833"/>
        <v>2044</v>
      </c>
      <c r="JB65">
        <f t="shared" si="833"/>
        <v>2044</v>
      </c>
      <c r="JC65">
        <f t="shared" si="833"/>
        <v>2044</v>
      </c>
      <c r="JD65">
        <f t="shared" si="833"/>
        <v>2044</v>
      </c>
      <c r="JE65">
        <f t="shared" si="833"/>
        <v>2044</v>
      </c>
    </row>
    <row r="66" spans="1:265" x14ac:dyDescent="0.3">
      <c r="B66" s="39">
        <v>44927</v>
      </c>
      <c r="C66" s="39">
        <v>44958</v>
      </c>
      <c r="D66" s="39">
        <v>44986</v>
      </c>
      <c r="E66" s="39">
        <v>45017</v>
      </c>
      <c r="F66" s="39">
        <v>45047</v>
      </c>
      <c r="G66" s="39">
        <v>45078</v>
      </c>
      <c r="H66" s="39">
        <v>45108</v>
      </c>
      <c r="I66" s="39">
        <v>45139</v>
      </c>
      <c r="J66" s="39">
        <v>45170</v>
      </c>
      <c r="K66" s="39">
        <v>45200</v>
      </c>
      <c r="L66" s="39">
        <v>45231</v>
      </c>
      <c r="M66" s="39">
        <v>45261</v>
      </c>
      <c r="N66" s="39">
        <v>45292</v>
      </c>
      <c r="O66" s="39">
        <v>45323</v>
      </c>
      <c r="P66" s="39">
        <v>45352</v>
      </c>
      <c r="Q66" s="39">
        <v>45383</v>
      </c>
      <c r="R66" s="39">
        <v>45413</v>
      </c>
      <c r="S66" s="39">
        <v>45444</v>
      </c>
      <c r="T66" s="39">
        <v>45474</v>
      </c>
      <c r="U66" s="39">
        <v>45505</v>
      </c>
      <c r="V66" s="39">
        <v>45536</v>
      </c>
      <c r="W66" s="39">
        <v>45566</v>
      </c>
      <c r="X66" s="39">
        <v>45597</v>
      </c>
      <c r="Y66" s="39">
        <v>45627</v>
      </c>
      <c r="Z66" s="39">
        <v>45658</v>
      </c>
      <c r="AA66" s="39">
        <v>45689</v>
      </c>
      <c r="AB66" s="39">
        <v>45717</v>
      </c>
      <c r="AC66" s="39">
        <v>45748</v>
      </c>
      <c r="AD66" s="39">
        <v>45778</v>
      </c>
      <c r="AE66" s="39">
        <v>45809</v>
      </c>
      <c r="AF66" s="39">
        <v>45839</v>
      </c>
      <c r="AG66" s="39">
        <v>45870</v>
      </c>
      <c r="AH66" s="39">
        <v>45901</v>
      </c>
      <c r="AI66" s="39">
        <v>45931</v>
      </c>
      <c r="AJ66" s="39">
        <v>45962</v>
      </c>
      <c r="AK66" s="39">
        <v>45992</v>
      </c>
      <c r="AL66" s="39">
        <v>46023</v>
      </c>
      <c r="AM66" s="39">
        <v>46054</v>
      </c>
      <c r="AN66" s="39">
        <v>46082</v>
      </c>
      <c r="AO66" s="39">
        <v>46113</v>
      </c>
      <c r="AP66" s="39">
        <v>46143</v>
      </c>
      <c r="AQ66" s="39">
        <v>46174</v>
      </c>
      <c r="AR66" s="39">
        <v>46204</v>
      </c>
      <c r="AS66" s="39">
        <v>46235</v>
      </c>
      <c r="AT66" s="39">
        <v>46266</v>
      </c>
      <c r="AU66" s="39">
        <v>46296</v>
      </c>
      <c r="AV66" s="39">
        <v>46327</v>
      </c>
      <c r="AW66" s="39">
        <v>46357</v>
      </c>
      <c r="AX66" s="39">
        <v>46388</v>
      </c>
      <c r="AY66" s="39">
        <v>46419</v>
      </c>
      <c r="AZ66" s="39">
        <v>46447</v>
      </c>
      <c r="BA66" s="39">
        <v>46478</v>
      </c>
      <c r="BB66" s="39">
        <v>46508</v>
      </c>
      <c r="BC66" s="39">
        <v>46539</v>
      </c>
      <c r="BD66" s="39">
        <v>46569</v>
      </c>
      <c r="BE66" s="39">
        <v>46600</v>
      </c>
      <c r="BF66" s="39">
        <v>46631</v>
      </c>
      <c r="BG66" s="39">
        <v>46661</v>
      </c>
      <c r="BH66" s="39">
        <v>46692</v>
      </c>
      <c r="BI66" s="39">
        <v>46722</v>
      </c>
      <c r="BJ66" s="39">
        <v>46753</v>
      </c>
      <c r="BK66" s="39">
        <v>46784</v>
      </c>
      <c r="BL66" s="39">
        <v>46813</v>
      </c>
      <c r="BM66" s="39">
        <v>46844</v>
      </c>
      <c r="BN66" s="39">
        <v>46874</v>
      </c>
      <c r="BO66" s="39">
        <v>46905</v>
      </c>
      <c r="BP66" s="39">
        <v>46935</v>
      </c>
      <c r="BQ66" s="39">
        <v>46966</v>
      </c>
      <c r="BR66" s="39">
        <v>46997</v>
      </c>
      <c r="BS66" s="39">
        <v>47027</v>
      </c>
      <c r="BT66" s="39">
        <v>47058</v>
      </c>
      <c r="BU66" s="39">
        <v>47088</v>
      </c>
      <c r="BV66" s="39">
        <v>47119</v>
      </c>
      <c r="BW66" s="39">
        <v>47150</v>
      </c>
      <c r="BX66" s="39">
        <v>47178</v>
      </c>
      <c r="BY66" s="39">
        <v>47209</v>
      </c>
      <c r="BZ66" s="39">
        <v>47239</v>
      </c>
      <c r="CA66" s="39">
        <v>47270</v>
      </c>
      <c r="CB66" s="39">
        <v>47300</v>
      </c>
      <c r="CC66" s="39">
        <v>47331</v>
      </c>
      <c r="CD66" s="39">
        <v>47362</v>
      </c>
      <c r="CE66" s="39">
        <v>47392</v>
      </c>
      <c r="CF66" s="39">
        <v>47423</v>
      </c>
      <c r="CG66" s="39">
        <v>47453</v>
      </c>
      <c r="CH66" s="39">
        <v>47484</v>
      </c>
      <c r="CI66" s="39">
        <v>47515</v>
      </c>
      <c r="CJ66" s="39">
        <v>47543</v>
      </c>
      <c r="CK66" s="39">
        <v>47574</v>
      </c>
      <c r="CL66" s="39">
        <v>47604</v>
      </c>
      <c r="CM66" s="39">
        <v>47635</v>
      </c>
      <c r="CN66" s="39">
        <v>47665</v>
      </c>
      <c r="CO66" s="39">
        <v>47696</v>
      </c>
      <c r="CP66" s="39">
        <v>47727</v>
      </c>
      <c r="CQ66" s="39">
        <v>47757</v>
      </c>
      <c r="CR66" s="39">
        <v>47788</v>
      </c>
      <c r="CS66" s="39">
        <v>47818</v>
      </c>
      <c r="CT66" s="39">
        <v>47849</v>
      </c>
      <c r="CU66" s="39">
        <v>47880</v>
      </c>
      <c r="CV66" s="39">
        <v>47908</v>
      </c>
      <c r="CW66" s="39">
        <v>47939</v>
      </c>
      <c r="CX66" s="39">
        <v>47969</v>
      </c>
      <c r="CY66" s="39">
        <v>48000</v>
      </c>
      <c r="CZ66" s="39">
        <v>48030</v>
      </c>
      <c r="DA66" s="39">
        <v>48061</v>
      </c>
      <c r="DB66" s="39">
        <v>48092</v>
      </c>
      <c r="DC66" s="39">
        <v>48122</v>
      </c>
      <c r="DD66" s="39">
        <v>48153</v>
      </c>
      <c r="DE66" s="39">
        <v>48183</v>
      </c>
      <c r="DF66" s="39">
        <v>48214</v>
      </c>
      <c r="DG66" s="39">
        <v>48245</v>
      </c>
      <c r="DH66" s="39">
        <v>48274</v>
      </c>
      <c r="DI66" s="39">
        <v>48305</v>
      </c>
      <c r="DJ66" s="39">
        <v>48335</v>
      </c>
      <c r="DK66" s="39">
        <v>48366</v>
      </c>
      <c r="DL66" s="39">
        <v>48396</v>
      </c>
      <c r="DM66" s="39">
        <v>48427</v>
      </c>
      <c r="DN66" s="39">
        <v>48458</v>
      </c>
      <c r="DO66" s="39">
        <v>48488</v>
      </c>
      <c r="DP66" s="39">
        <v>48519</v>
      </c>
      <c r="DQ66" s="39">
        <v>48549</v>
      </c>
      <c r="DR66" s="39">
        <v>48580</v>
      </c>
      <c r="DS66" s="39">
        <v>48611</v>
      </c>
      <c r="DT66" s="39">
        <v>48639</v>
      </c>
      <c r="DU66" s="39">
        <v>48670</v>
      </c>
      <c r="DV66" s="39">
        <v>48700</v>
      </c>
      <c r="DW66" s="39">
        <v>48731</v>
      </c>
      <c r="DX66" s="39">
        <v>48761</v>
      </c>
      <c r="DY66" s="39">
        <v>48792</v>
      </c>
      <c r="DZ66" s="39">
        <v>48823</v>
      </c>
      <c r="EA66" s="39">
        <v>48853</v>
      </c>
      <c r="EB66" s="39">
        <v>48884</v>
      </c>
      <c r="EC66" s="39">
        <v>48914</v>
      </c>
      <c r="ED66" s="39">
        <v>48945</v>
      </c>
      <c r="EE66" s="39">
        <v>48976</v>
      </c>
      <c r="EF66" s="39">
        <v>49004</v>
      </c>
      <c r="EG66" s="39">
        <v>49035</v>
      </c>
      <c r="EH66" s="39">
        <v>49065</v>
      </c>
      <c r="EI66" s="39">
        <v>49096</v>
      </c>
      <c r="EJ66" s="39">
        <v>49126</v>
      </c>
      <c r="EK66" s="39">
        <v>49157</v>
      </c>
      <c r="EL66" s="39">
        <v>49188</v>
      </c>
      <c r="EM66" s="39">
        <v>49218</v>
      </c>
      <c r="EN66" s="39">
        <v>49249</v>
      </c>
      <c r="EO66" s="39">
        <v>49279</v>
      </c>
      <c r="EP66" s="39">
        <v>49310</v>
      </c>
      <c r="EQ66" s="39">
        <v>49341</v>
      </c>
      <c r="ER66" s="39">
        <v>49369</v>
      </c>
      <c r="ES66" s="39">
        <v>49400</v>
      </c>
      <c r="ET66" s="39">
        <v>49430</v>
      </c>
      <c r="EU66" s="39">
        <v>49461</v>
      </c>
      <c r="EV66" s="39">
        <v>49491</v>
      </c>
      <c r="EW66" s="39">
        <v>49522</v>
      </c>
      <c r="EX66" s="39">
        <v>49553</v>
      </c>
      <c r="EY66" s="39">
        <v>49583</v>
      </c>
      <c r="EZ66" s="39">
        <v>49614</v>
      </c>
      <c r="FA66" s="39">
        <v>49644</v>
      </c>
      <c r="FB66" s="39">
        <v>49675</v>
      </c>
      <c r="FC66" s="39">
        <v>49706</v>
      </c>
      <c r="FD66" s="39">
        <v>49735</v>
      </c>
      <c r="FE66" s="39">
        <v>49766</v>
      </c>
      <c r="FF66" s="39">
        <v>49796</v>
      </c>
      <c r="FG66" s="39">
        <v>49827</v>
      </c>
      <c r="FH66" s="39">
        <v>49857</v>
      </c>
      <c r="FI66" s="39">
        <v>49888</v>
      </c>
      <c r="FJ66" s="39">
        <v>49919</v>
      </c>
      <c r="FK66" s="39">
        <v>49949</v>
      </c>
      <c r="FL66" s="39">
        <v>49980</v>
      </c>
      <c r="FM66" s="39">
        <v>50010</v>
      </c>
      <c r="FN66" s="39">
        <v>50041</v>
      </c>
      <c r="FO66" s="39">
        <v>50072</v>
      </c>
      <c r="FP66" s="39">
        <v>50100</v>
      </c>
      <c r="FQ66" s="39">
        <v>50131</v>
      </c>
      <c r="FR66" s="39">
        <v>50161</v>
      </c>
      <c r="FS66" s="39">
        <v>50192</v>
      </c>
      <c r="FT66" s="39">
        <v>50222</v>
      </c>
      <c r="FU66" s="39">
        <v>50253</v>
      </c>
      <c r="FV66" s="39">
        <v>50284</v>
      </c>
      <c r="FW66" s="39">
        <v>50314</v>
      </c>
      <c r="FX66" s="39">
        <v>50345</v>
      </c>
      <c r="FY66" s="39">
        <v>50375</v>
      </c>
      <c r="FZ66" s="39">
        <v>50406</v>
      </c>
      <c r="GA66" s="39">
        <v>50437</v>
      </c>
      <c r="GB66" s="39">
        <v>50465</v>
      </c>
      <c r="GC66" s="39">
        <v>50496</v>
      </c>
      <c r="GD66" s="39">
        <v>50526</v>
      </c>
      <c r="GE66" s="39">
        <v>50557</v>
      </c>
      <c r="GF66" s="39">
        <v>50587</v>
      </c>
      <c r="GG66" s="39">
        <v>50618</v>
      </c>
      <c r="GH66" s="39">
        <v>50649</v>
      </c>
      <c r="GI66" s="39">
        <v>50679</v>
      </c>
      <c r="GJ66" s="39">
        <v>50710</v>
      </c>
      <c r="GK66" s="39">
        <v>50740</v>
      </c>
      <c r="GL66" s="39">
        <v>50771</v>
      </c>
      <c r="GM66" s="39">
        <v>50802</v>
      </c>
      <c r="GN66" s="39">
        <v>50830</v>
      </c>
      <c r="GO66" s="39">
        <v>50861</v>
      </c>
      <c r="GP66" s="39">
        <v>50891</v>
      </c>
      <c r="GQ66" s="39">
        <v>50922</v>
      </c>
      <c r="GR66" s="39">
        <v>50952</v>
      </c>
      <c r="GS66" s="39">
        <v>50983</v>
      </c>
      <c r="GT66" s="39">
        <v>51014</v>
      </c>
      <c r="GU66" s="39">
        <v>51044</v>
      </c>
      <c r="GV66" s="39">
        <v>51075</v>
      </c>
      <c r="GW66" s="39">
        <v>51105</v>
      </c>
      <c r="GX66" s="39">
        <v>51136</v>
      </c>
      <c r="GY66" s="39">
        <v>51167</v>
      </c>
      <c r="GZ66" s="39">
        <v>51196</v>
      </c>
      <c r="HA66" s="39">
        <v>51227</v>
      </c>
      <c r="HB66" s="39">
        <v>51257</v>
      </c>
      <c r="HC66" s="39">
        <v>51288</v>
      </c>
      <c r="HD66" s="39">
        <v>51318</v>
      </c>
      <c r="HE66" s="39">
        <v>51349</v>
      </c>
      <c r="HF66" s="39">
        <v>51380</v>
      </c>
      <c r="HG66" s="39">
        <v>51410</v>
      </c>
      <c r="HH66" s="39">
        <v>51441</v>
      </c>
      <c r="HI66" s="39">
        <v>51471</v>
      </c>
      <c r="HJ66" s="39">
        <v>51502</v>
      </c>
      <c r="HK66" s="39">
        <v>51533</v>
      </c>
      <c r="HL66" s="39">
        <v>51561</v>
      </c>
      <c r="HM66" s="39">
        <v>51592</v>
      </c>
      <c r="HN66" s="39">
        <v>51622</v>
      </c>
      <c r="HO66" s="39">
        <v>51653</v>
      </c>
      <c r="HP66" s="39">
        <v>51683</v>
      </c>
      <c r="HQ66" s="39">
        <v>51714</v>
      </c>
      <c r="HR66" s="39">
        <v>51745</v>
      </c>
      <c r="HS66" s="39">
        <v>51775</v>
      </c>
      <c r="HT66" s="39">
        <v>51806</v>
      </c>
      <c r="HU66" s="39">
        <v>51836</v>
      </c>
      <c r="HV66" s="39">
        <v>51867</v>
      </c>
      <c r="HW66" s="39">
        <v>51898</v>
      </c>
      <c r="HX66" s="39">
        <v>51926</v>
      </c>
      <c r="HY66" s="39">
        <v>51957</v>
      </c>
      <c r="HZ66" s="39">
        <v>51987</v>
      </c>
      <c r="IA66" s="39">
        <v>52018</v>
      </c>
      <c r="IB66" s="39">
        <v>52048</v>
      </c>
      <c r="IC66" s="39">
        <v>52079</v>
      </c>
      <c r="ID66" s="39">
        <v>52110</v>
      </c>
      <c r="IE66" s="39">
        <v>52140</v>
      </c>
      <c r="IF66" s="39">
        <v>52171</v>
      </c>
      <c r="IG66" s="39">
        <v>52201</v>
      </c>
      <c r="IH66" s="39">
        <v>52232</v>
      </c>
      <c r="II66" s="39">
        <v>52263</v>
      </c>
      <c r="IJ66" s="39">
        <v>52291</v>
      </c>
      <c r="IK66" s="39">
        <v>52322</v>
      </c>
      <c r="IL66" s="39">
        <v>52352</v>
      </c>
      <c r="IM66" s="39">
        <v>52383</v>
      </c>
      <c r="IN66" s="39">
        <v>52413</v>
      </c>
      <c r="IO66" s="39">
        <v>52444</v>
      </c>
      <c r="IP66" s="39">
        <v>52475</v>
      </c>
      <c r="IQ66" s="39">
        <v>52505</v>
      </c>
      <c r="IR66" s="39">
        <v>52536</v>
      </c>
      <c r="IS66" s="39">
        <v>52566</v>
      </c>
      <c r="IT66" s="39">
        <v>52597</v>
      </c>
      <c r="IU66" s="39">
        <v>52628</v>
      </c>
      <c r="IV66" s="39">
        <v>52657</v>
      </c>
      <c r="IW66" s="39">
        <v>52688</v>
      </c>
      <c r="IX66" s="39">
        <v>52718</v>
      </c>
      <c r="IY66" s="39">
        <v>52749</v>
      </c>
      <c r="IZ66" s="39">
        <v>52779</v>
      </c>
      <c r="JA66" s="39">
        <v>52810</v>
      </c>
      <c r="JB66" s="39">
        <v>52841</v>
      </c>
      <c r="JC66" s="39">
        <v>52871</v>
      </c>
      <c r="JD66" s="39">
        <v>52902</v>
      </c>
      <c r="JE66" s="39">
        <v>52932</v>
      </c>
    </row>
    <row r="67" spans="1:265" x14ac:dyDescent="0.3">
      <c r="A67" t="s">
        <v>884</v>
      </c>
      <c r="B67" s="12">
        <f>+B47</f>
        <v>0</v>
      </c>
      <c r="C67" s="12">
        <f t="shared" ref="C67:BN67" si="834">+C47</f>
        <v>0</v>
      </c>
      <c r="D67" s="12">
        <f t="shared" si="834"/>
        <v>0</v>
      </c>
      <c r="E67" s="12">
        <f t="shared" si="834"/>
        <v>0</v>
      </c>
      <c r="F67" s="12">
        <f t="shared" si="834"/>
        <v>0</v>
      </c>
      <c r="G67" s="12">
        <f t="shared" si="834"/>
        <v>0</v>
      </c>
      <c r="H67" s="12">
        <f t="shared" si="834"/>
        <v>0</v>
      </c>
      <c r="I67" s="12">
        <f t="shared" si="834"/>
        <v>0</v>
      </c>
      <c r="J67" s="12">
        <f t="shared" si="834"/>
        <v>0</v>
      </c>
      <c r="K67" s="12">
        <f t="shared" si="834"/>
        <v>0</v>
      </c>
      <c r="L67" s="12" t="e">
        <f t="shared" si="834"/>
        <v>#REF!</v>
      </c>
      <c r="M67" s="12" t="e">
        <f t="shared" si="834"/>
        <v>#REF!</v>
      </c>
      <c r="N67" s="12">
        <f t="shared" si="834"/>
        <v>972.47</v>
      </c>
      <c r="O67" s="12">
        <f t="shared" si="834"/>
        <v>975.85</v>
      </c>
      <c r="P67" s="12">
        <f t="shared" si="834"/>
        <v>1003.02</v>
      </c>
      <c r="Q67" s="12">
        <f t="shared" si="834"/>
        <v>945.96590000000003</v>
      </c>
      <c r="R67" s="12">
        <f t="shared" si="834"/>
        <v>949.84</v>
      </c>
      <c r="S67" s="12">
        <f t="shared" si="834"/>
        <v>881.59</v>
      </c>
      <c r="T67" s="12">
        <f t="shared" si="834"/>
        <v>859.24</v>
      </c>
      <c r="U67" s="12">
        <f t="shared" si="834"/>
        <v>807.28</v>
      </c>
      <c r="V67" s="12">
        <f t="shared" si="834"/>
        <v>855.04</v>
      </c>
      <c r="W67" s="12">
        <f t="shared" si="834"/>
        <v>854.84</v>
      </c>
      <c r="X67" s="12">
        <f t="shared" si="834"/>
        <v>907.23</v>
      </c>
      <c r="Y67" s="12">
        <f t="shared" si="834"/>
        <v>907.2</v>
      </c>
      <c r="Z67" s="12">
        <f t="shared" si="834"/>
        <v>907.22</v>
      </c>
      <c r="AA67" s="12">
        <f t="shared" si="834"/>
        <v>943.46</v>
      </c>
      <c r="AB67" s="12">
        <f t="shared" si="834"/>
        <v>943.5</v>
      </c>
      <c r="AC67" s="12">
        <f t="shared" si="834"/>
        <v>943.46</v>
      </c>
      <c r="AD67" s="12">
        <f t="shared" si="834"/>
        <v>943.46</v>
      </c>
      <c r="AE67" s="12">
        <f t="shared" si="834"/>
        <v>938.16</v>
      </c>
      <c r="AF67" s="12">
        <f t="shared" si="834"/>
        <v>885.71</v>
      </c>
      <c r="AG67" s="12">
        <f t="shared" si="834"/>
        <v>885.7</v>
      </c>
      <c r="AH67" s="12">
        <f t="shared" si="834"/>
        <v>795</v>
      </c>
      <c r="AI67" s="12">
        <f t="shared" si="834"/>
        <v>795</v>
      </c>
      <c r="AJ67" s="12">
        <f t="shared" si="834"/>
        <v>795.93</v>
      </c>
      <c r="AK67" s="12">
        <f t="shared" si="834"/>
        <v>795.93</v>
      </c>
      <c r="AL67" s="12">
        <f t="shared" si="834"/>
        <v>795.93</v>
      </c>
      <c r="AM67" s="12">
        <f t="shared" si="834"/>
        <v>795.93</v>
      </c>
      <c r="AN67" s="12">
        <f t="shared" si="834"/>
        <v>971.80500000000006</v>
      </c>
      <c r="AO67" s="12">
        <f t="shared" si="834"/>
        <v>971.76380000000006</v>
      </c>
      <c r="AP67" s="12">
        <f t="shared" si="834"/>
        <v>971.76380000000006</v>
      </c>
      <c r="AQ67" s="12">
        <f t="shared" si="834"/>
        <v>966.3048</v>
      </c>
      <c r="AR67" s="12">
        <f t="shared" si="834"/>
        <v>912.2813000000001</v>
      </c>
      <c r="AS67" s="12">
        <f t="shared" si="834"/>
        <v>912.27100000000007</v>
      </c>
      <c r="AT67" s="12">
        <f t="shared" si="834"/>
        <v>818.85</v>
      </c>
      <c r="AU67" s="12">
        <f t="shared" si="834"/>
        <v>818.85</v>
      </c>
      <c r="AV67" s="12">
        <f t="shared" si="834"/>
        <v>819.80790000000002</v>
      </c>
      <c r="AW67" s="12">
        <f t="shared" si="834"/>
        <v>819.80790000000002</v>
      </c>
      <c r="AX67" s="12">
        <f t="shared" si="834"/>
        <v>819.80790000000002</v>
      </c>
      <c r="AY67" s="12">
        <f t="shared" si="834"/>
        <v>819.80790000000002</v>
      </c>
      <c r="AZ67" s="12">
        <f t="shared" si="834"/>
        <v>1000.9591500000001</v>
      </c>
      <c r="BA67" s="12">
        <f t="shared" si="834"/>
        <v>1000.9167140000001</v>
      </c>
      <c r="BB67" s="12">
        <f t="shared" si="834"/>
        <v>1000.9167140000001</v>
      </c>
      <c r="BC67" s="12">
        <f t="shared" si="834"/>
        <v>995.29394400000001</v>
      </c>
      <c r="BD67" s="12">
        <f t="shared" si="834"/>
        <v>939.64973900000018</v>
      </c>
      <c r="BE67" s="12">
        <f t="shared" si="834"/>
        <v>939.63913000000014</v>
      </c>
      <c r="BF67" s="12">
        <f t="shared" si="834"/>
        <v>843.41550000000007</v>
      </c>
      <c r="BG67" s="12">
        <f t="shared" si="834"/>
        <v>843.41550000000007</v>
      </c>
      <c r="BH67" s="12">
        <f t="shared" si="834"/>
        <v>844.40213700000004</v>
      </c>
      <c r="BI67" s="12">
        <f t="shared" si="834"/>
        <v>844.40213700000004</v>
      </c>
      <c r="BJ67" s="12">
        <f t="shared" si="834"/>
        <v>844.40213700000004</v>
      </c>
      <c r="BK67" s="12">
        <f t="shared" si="834"/>
        <v>844.40213700000004</v>
      </c>
      <c r="BL67" s="12">
        <f t="shared" si="834"/>
        <v>1030.9879245000002</v>
      </c>
      <c r="BM67" s="12">
        <f t="shared" si="834"/>
        <v>1030.9442154200001</v>
      </c>
      <c r="BN67" s="12">
        <f t="shared" si="834"/>
        <v>1030.9442154200001</v>
      </c>
      <c r="BO67" s="12">
        <f t="shared" ref="BO67:DZ67" si="835">+BO47</f>
        <v>1025.15276232</v>
      </c>
      <c r="BP67" s="12">
        <f t="shared" si="835"/>
        <v>967.83923117000018</v>
      </c>
      <c r="BQ67" s="12">
        <f t="shared" si="835"/>
        <v>967.82830390000015</v>
      </c>
      <c r="BR67" s="12">
        <f t="shared" si="835"/>
        <v>868.71796500000005</v>
      </c>
      <c r="BS67" s="12">
        <f t="shared" si="835"/>
        <v>868.71796500000005</v>
      </c>
      <c r="BT67" s="12">
        <f t="shared" si="835"/>
        <v>869.73420111000007</v>
      </c>
      <c r="BU67" s="12">
        <f t="shared" si="835"/>
        <v>869.73420111000007</v>
      </c>
      <c r="BV67" s="12">
        <f t="shared" si="835"/>
        <v>869.73420111000007</v>
      </c>
      <c r="BW67" s="12">
        <f t="shared" si="835"/>
        <v>869.73420111000007</v>
      </c>
      <c r="BX67" s="12">
        <f t="shared" si="835"/>
        <v>1061.9175622350003</v>
      </c>
      <c r="BY67" s="12">
        <f t="shared" si="835"/>
        <v>1061.8725418826002</v>
      </c>
      <c r="BZ67" s="12">
        <f t="shared" si="835"/>
        <v>1061.8725418826002</v>
      </c>
      <c r="CA67" s="12">
        <f t="shared" si="835"/>
        <v>1055.9073451895999</v>
      </c>
      <c r="CB67" s="12">
        <f t="shared" si="835"/>
        <v>996.8744081051002</v>
      </c>
      <c r="CC67" s="12">
        <f t="shared" si="835"/>
        <v>996.86315301700017</v>
      </c>
      <c r="CD67" s="12">
        <f t="shared" si="835"/>
        <v>894.77950395000005</v>
      </c>
      <c r="CE67" s="12">
        <f t="shared" si="835"/>
        <v>894.77950395000005</v>
      </c>
      <c r="CF67" s="12">
        <f t="shared" si="835"/>
        <v>895.82622714330012</v>
      </c>
      <c r="CG67" s="12">
        <f t="shared" si="835"/>
        <v>895.82622714330012</v>
      </c>
      <c r="CH67" s="12">
        <f t="shared" si="835"/>
        <v>895.82622714330012</v>
      </c>
      <c r="CI67" s="12">
        <f t="shared" si="835"/>
        <v>895.82622714330012</v>
      </c>
      <c r="CJ67" s="12">
        <f t="shared" si="835"/>
        <v>1093.7750891020503</v>
      </c>
      <c r="CK67" s="12">
        <f t="shared" si="835"/>
        <v>1093.7287181390782</v>
      </c>
      <c r="CL67" s="12">
        <f t="shared" si="835"/>
        <v>1093.7287181390782</v>
      </c>
      <c r="CM67" s="12">
        <f t="shared" si="835"/>
        <v>1087.5845655452879</v>
      </c>
      <c r="CN67" s="12">
        <f t="shared" si="835"/>
        <v>1026.7806403482532</v>
      </c>
      <c r="CO67" s="12">
        <f t="shared" si="835"/>
        <v>1026.7690476075102</v>
      </c>
      <c r="CP67" s="12">
        <f t="shared" si="835"/>
        <v>921.62288906850006</v>
      </c>
      <c r="CQ67" s="12">
        <f t="shared" si="835"/>
        <v>921.62288906850006</v>
      </c>
      <c r="CR67" s="12">
        <f t="shared" si="835"/>
        <v>922.70101395759912</v>
      </c>
      <c r="CS67" s="12">
        <f t="shared" si="835"/>
        <v>922.70101395759912</v>
      </c>
      <c r="CT67" s="12">
        <f t="shared" si="835"/>
        <v>922.70101395759912</v>
      </c>
      <c r="CU67" s="12">
        <f t="shared" si="835"/>
        <v>922.70101395759912</v>
      </c>
      <c r="CV67" s="12">
        <f t="shared" si="835"/>
        <v>1126.5883417751118</v>
      </c>
      <c r="CW67" s="12">
        <f t="shared" si="835"/>
        <v>1126.5405796832506</v>
      </c>
      <c r="CX67" s="12">
        <f t="shared" si="835"/>
        <v>1126.5405796832506</v>
      </c>
      <c r="CY67" s="12">
        <f t="shared" si="835"/>
        <v>1120.2121025116467</v>
      </c>
      <c r="CZ67" s="12">
        <f t="shared" si="835"/>
        <v>1057.5840595587008</v>
      </c>
      <c r="DA67" s="12">
        <f t="shared" si="835"/>
        <v>1057.5721190357356</v>
      </c>
      <c r="DB67" s="12">
        <f t="shared" si="835"/>
        <v>949.27157574055514</v>
      </c>
      <c r="DC67" s="12">
        <f t="shared" si="835"/>
        <v>949.27157574055514</v>
      </c>
      <c r="DD67" s="12">
        <f t="shared" si="835"/>
        <v>950.38204437632714</v>
      </c>
      <c r="DE67" s="12">
        <f t="shared" si="835"/>
        <v>950.38204437632714</v>
      </c>
      <c r="DF67" s="12">
        <f t="shared" si="835"/>
        <v>950.38204437632714</v>
      </c>
      <c r="DG67" s="12">
        <f t="shared" si="835"/>
        <v>950.38204437632714</v>
      </c>
      <c r="DH67" s="12">
        <f t="shared" si="835"/>
        <v>1160.3859920283651</v>
      </c>
      <c r="DI67" s="12">
        <f t="shared" si="835"/>
        <v>1160.3367970737481</v>
      </c>
      <c r="DJ67" s="12">
        <f t="shared" si="835"/>
        <v>1160.3367970737481</v>
      </c>
      <c r="DK67" s="12">
        <f t="shared" si="835"/>
        <v>1153.8184655869961</v>
      </c>
      <c r="DL67" s="12">
        <f t="shared" si="835"/>
        <v>1089.3115813454619</v>
      </c>
      <c r="DM67" s="12">
        <f t="shared" si="835"/>
        <v>1089.2992826068078</v>
      </c>
      <c r="DN67" s="12">
        <f t="shared" si="835"/>
        <v>977.74972301277182</v>
      </c>
      <c r="DO67" s="12">
        <f t="shared" si="835"/>
        <v>977.74972301277182</v>
      </c>
      <c r="DP67" s="12">
        <f t="shared" si="835"/>
        <v>978.89350570761701</v>
      </c>
      <c r="DQ67" s="12">
        <f t="shared" si="835"/>
        <v>978.89350570761701</v>
      </c>
      <c r="DR67" s="12">
        <f t="shared" si="835"/>
        <v>978.89350570761701</v>
      </c>
      <c r="DS67" s="12">
        <f t="shared" si="835"/>
        <v>978.89350570761701</v>
      </c>
      <c r="DT67" s="12">
        <f t="shared" si="835"/>
        <v>1195.197571789216</v>
      </c>
      <c r="DU67" s="12">
        <f t="shared" si="835"/>
        <v>1195.1469009859607</v>
      </c>
      <c r="DV67" s="12">
        <f t="shared" si="835"/>
        <v>1195.1469009859607</v>
      </c>
      <c r="DW67" s="12">
        <f t="shared" si="835"/>
        <v>1188.4330195546061</v>
      </c>
      <c r="DX67" s="12">
        <f t="shared" si="835"/>
        <v>1121.9909287858259</v>
      </c>
      <c r="DY67" s="12">
        <f t="shared" si="835"/>
        <v>1121.978261085012</v>
      </c>
      <c r="DZ67" s="12">
        <f t="shared" si="835"/>
        <v>1007.082214703155</v>
      </c>
      <c r="EA67" s="12">
        <f t="shared" ref="EA67:GL67" si="836">+EA47</f>
        <v>1007.082214703155</v>
      </c>
      <c r="EB67" s="12">
        <f t="shared" si="836"/>
        <v>1008.2603108788455</v>
      </c>
      <c r="EC67" s="12">
        <f t="shared" si="836"/>
        <v>1008.2603108788455</v>
      </c>
      <c r="ED67" s="12">
        <f t="shared" si="836"/>
        <v>1008.2603108788455</v>
      </c>
      <c r="EE67" s="12">
        <f t="shared" si="836"/>
        <v>1008.2603108788455</v>
      </c>
      <c r="EF67" s="12">
        <f t="shared" si="836"/>
        <v>1231.0534989428925</v>
      </c>
      <c r="EG67" s="12">
        <f t="shared" si="836"/>
        <v>1231.0013080155395</v>
      </c>
      <c r="EH67" s="12">
        <f t="shared" si="836"/>
        <v>1231.0013080155395</v>
      </c>
      <c r="EI67" s="12">
        <f t="shared" si="836"/>
        <v>1224.0860101412443</v>
      </c>
      <c r="EJ67" s="12">
        <f t="shared" si="836"/>
        <v>1155.6506566494006</v>
      </c>
      <c r="EK67" s="12">
        <f t="shared" si="836"/>
        <v>1155.6376089175624</v>
      </c>
      <c r="EL67" s="12">
        <f t="shared" si="836"/>
        <v>1037.2946811442498</v>
      </c>
      <c r="EM67" s="12">
        <f t="shared" si="836"/>
        <v>1037.2946811442498</v>
      </c>
      <c r="EN67" s="12">
        <f t="shared" si="836"/>
        <v>1038.5081202052108</v>
      </c>
      <c r="EO67" s="12">
        <f t="shared" si="836"/>
        <v>1038.5081202052108</v>
      </c>
      <c r="EP67" s="12">
        <f t="shared" si="836"/>
        <v>1038.5081202052108</v>
      </c>
      <c r="EQ67" s="12">
        <f t="shared" si="836"/>
        <v>1038.5081202052108</v>
      </c>
      <c r="ER67" s="12">
        <f t="shared" si="836"/>
        <v>1267.9851039111793</v>
      </c>
      <c r="ES67" s="12">
        <f t="shared" si="836"/>
        <v>1267.9313472560057</v>
      </c>
      <c r="ET67" s="12">
        <f t="shared" si="836"/>
        <v>1267.9313472560057</v>
      </c>
      <c r="EU67" s="12">
        <f t="shared" si="836"/>
        <v>1260.8085904454817</v>
      </c>
      <c r="EV67" s="12">
        <f t="shared" si="836"/>
        <v>1190.3201763488826</v>
      </c>
      <c r="EW67" s="12">
        <f t="shared" si="836"/>
        <v>1190.3067371850893</v>
      </c>
      <c r="EX67" s="12">
        <f t="shared" si="836"/>
        <v>1068.4135215785773</v>
      </c>
      <c r="EY67" s="12">
        <f t="shared" si="836"/>
        <v>1068.4135215785773</v>
      </c>
      <c r="EZ67" s="12">
        <f t="shared" si="836"/>
        <v>1069.6633638113672</v>
      </c>
      <c r="FA67" s="12">
        <f t="shared" si="836"/>
        <v>1069.6633638113672</v>
      </c>
      <c r="FB67" s="12">
        <f t="shared" si="836"/>
        <v>1069.6633638113672</v>
      </c>
      <c r="FC67" s="12">
        <f t="shared" si="836"/>
        <v>1069.6633638113672</v>
      </c>
      <c r="FD67" s="12">
        <f t="shared" si="836"/>
        <v>1306.0246570285146</v>
      </c>
      <c r="FE67" s="12">
        <f t="shared" si="836"/>
        <v>1305.9692876736858</v>
      </c>
      <c r="FF67" s="12">
        <f t="shared" si="836"/>
        <v>1305.9692876736858</v>
      </c>
      <c r="FG67" s="12">
        <f t="shared" si="836"/>
        <v>1298.6328481588462</v>
      </c>
      <c r="FH67" s="12">
        <f t="shared" si="836"/>
        <v>1226.029781639349</v>
      </c>
      <c r="FI67" s="12">
        <f t="shared" si="836"/>
        <v>1226.015939300642</v>
      </c>
      <c r="FJ67" s="12">
        <f t="shared" si="836"/>
        <v>1100.4659272259346</v>
      </c>
      <c r="FK67" s="12">
        <f t="shared" si="836"/>
        <v>1100.4659272259346</v>
      </c>
      <c r="FL67" s="12">
        <f t="shared" si="836"/>
        <v>1101.7532647257083</v>
      </c>
      <c r="FM67" s="12">
        <f t="shared" si="836"/>
        <v>1101.7532647257083</v>
      </c>
      <c r="FN67" s="12">
        <f t="shared" si="836"/>
        <v>1101.7532647257083</v>
      </c>
      <c r="FO67" s="12">
        <f t="shared" si="836"/>
        <v>1101.7532647257083</v>
      </c>
      <c r="FP67" s="12">
        <f t="shared" si="836"/>
        <v>1345.2053967393701</v>
      </c>
      <c r="FQ67" s="12">
        <f t="shared" si="836"/>
        <v>1345.1483663038964</v>
      </c>
      <c r="FR67" s="12">
        <f t="shared" si="836"/>
        <v>1345.1483663038964</v>
      </c>
      <c r="FS67" s="12">
        <f t="shared" si="836"/>
        <v>1337.5918336036116</v>
      </c>
      <c r="FT67" s="12">
        <f t="shared" si="836"/>
        <v>1262.8106750885295</v>
      </c>
      <c r="FU67" s="12">
        <f t="shared" si="836"/>
        <v>1262.7964174796614</v>
      </c>
      <c r="FV67" s="12">
        <f t="shared" si="836"/>
        <v>1133.4799050427127</v>
      </c>
      <c r="FW67" s="12">
        <f t="shared" si="836"/>
        <v>1133.4799050427127</v>
      </c>
      <c r="FX67" s="12">
        <f t="shared" si="836"/>
        <v>1134.8058626674795</v>
      </c>
      <c r="FY67" s="12">
        <f t="shared" si="836"/>
        <v>1134.8058626674795</v>
      </c>
      <c r="FZ67" s="12">
        <f t="shared" si="836"/>
        <v>1134.8058626674795</v>
      </c>
      <c r="GA67" s="12">
        <f t="shared" si="836"/>
        <v>1134.8058626674795</v>
      </c>
      <c r="GB67" s="12">
        <f t="shared" si="836"/>
        <v>1385.5615586415513</v>
      </c>
      <c r="GC67" s="12">
        <f t="shared" si="836"/>
        <v>1385.5028172930133</v>
      </c>
      <c r="GD67" s="12">
        <f t="shared" si="836"/>
        <v>1385.5028172930133</v>
      </c>
      <c r="GE67" s="12">
        <f t="shared" si="836"/>
        <v>1377.7195886117199</v>
      </c>
      <c r="GF67" s="12">
        <f t="shared" si="836"/>
        <v>1300.6949953411854</v>
      </c>
      <c r="GG67" s="12">
        <f t="shared" si="836"/>
        <v>1300.6803100040513</v>
      </c>
      <c r="GH67" s="12">
        <f t="shared" si="836"/>
        <v>1167.4843021939942</v>
      </c>
      <c r="GI67" s="12">
        <f t="shared" si="836"/>
        <v>1167.4843021939942</v>
      </c>
      <c r="GJ67" s="12">
        <f t="shared" si="836"/>
        <v>1168.8500385475038</v>
      </c>
      <c r="GK67" s="12">
        <f t="shared" si="836"/>
        <v>1168.8500385475038</v>
      </c>
      <c r="GL67" s="12">
        <f t="shared" si="836"/>
        <v>1168.8500385475038</v>
      </c>
      <c r="GM67" s="12">
        <f t="shared" ref="GM67:IX67" si="837">+GM47</f>
        <v>1168.8500385475038</v>
      </c>
      <c r="GN67" s="12">
        <f t="shared" si="837"/>
        <v>1427.1284054007979</v>
      </c>
      <c r="GO67" s="12">
        <f t="shared" si="837"/>
        <v>1427.0679018118037</v>
      </c>
      <c r="GP67" s="12">
        <f t="shared" si="837"/>
        <v>1427.0679018118037</v>
      </c>
      <c r="GQ67" s="12">
        <f t="shared" si="837"/>
        <v>1419.0511762700717</v>
      </c>
      <c r="GR67" s="12">
        <f t="shared" si="837"/>
        <v>1339.715845201421</v>
      </c>
      <c r="GS67" s="12">
        <f t="shared" si="837"/>
        <v>1339.7007193041729</v>
      </c>
      <c r="GT67" s="12">
        <f t="shared" si="837"/>
        <v>1202.5088312598141</v>
      </c>
      <c r="GU67" s="12">
        <f t="shared" si="837"/>
        <v>1202.5088312598141</v>
      </c>
      <c r="GV67" s="12">
        <f t="shared" si="837"/>
        <v>1203.915539703929</v>
      </c>
      <c r="GW67" s="12">
        <f t="shared" si="837"/>
        <v>1203.915539703929</v>
      </c>
      <c r="GX67" s="12">
        <f t="shared" si="837"/>
        <v>1203.915539703929</v>
      </c>
      <c r="GY67" s="12">
        <f t="shared" si="837"/>
        <v>1203.915539703929</v>
      </c>
      <c r="GZ67" s="12">
        <f t="shared" si="837"/>
        <v>1469.9422575628219</v>
      </c>
      <c r="HA67" s="12">
        <f t="shared" si="837"/>
        <v>1469.8799388661578</v>
      </c>
      <c r="HB67" s="12">
        <f t="shared" si="837"/>
        <v>1469.8799388661578</v>
      </c>
      <c r="HC67" s="12">
        <f t="shared" si="837"/>
        <v>1461.6227115581739</v>
      </c>
      <c r="HD67" s="12">
        <f t="shared" si="837"/>
        <v>1379.9073205574637</v>
      </c>
      <c r="HE67" s="12">
        <f t="shared" si="837"/>
        <v>1379.8917408832981</v>
      </c>
      <c r="HF67" s="12">
        <f t="shared" si="837"/>
        <v>1238.5840961976085</v>
      </c>
      <c r="HG67" s="12">
        <f t="shared" si="837"/>
        <v>1238.5840961976085</v>
      </c>
      <c r="HH67" s="12">
        <f t="shared" si="837"/>
        <v>1240.0330058950469</v>
      </c>
      <c r="HI67" s="12">
        <f t="shared" si="837"/>
        <v>1240.0330058950469</v>
      </c>
      <c r="HJ67" s="12">
        <f t="shared" si="837"/>
        <v>1240.0330058950469</v>
      </c>
      <c r="HK67" s="12">
        <f t="shared" si="837"/>
        <v>1240.0330058950469</v>
      </c>
      <c r="HL67" s="12">
        <f t="shared" si="837"/>
        <v>1514.0405252897065</v>
      </c>
      <c r="HM67" s="12">
        <f t="shared" si="837"/>
        <v>1513.9763370321425</v>
      </c>
      <c r="HN67" s="12">
        <f t="shared" si="837"/>
        <v>1513.9763370321425</v>
      </c>
      <c r="HO67" s="12">
        <f t="shared" si="837"/>
        <v>1505.4713929049192</v>
      </c>
      <c r="HP67" s="12">
        <f t="shared" si="837"/>
        <v>1421.3045401741877</v>
      </c>
      <c r="HQ67" s="12">
        <f t="shared" si="837"/>
        <v>1421.2884931097972</v>
      </c>
      <c r="HR67" s="12">
        <f t="shared" si="837"/>
        <v>1275.7416190835368</v>
      </c>
      <c r="HS67" s="12">
        <f t="shared" si="837"/>
        <v>1275.7416190835368</v>
      </c>
      <c r="HT67" s="12">
        <f t="shared" si="837"/>
        <v>1277.2339960718984</v>
      </c>
      <c r="HU67" s="12">
        <f t="shared" si="837"/>
        <v>1277.2339960718984</v>
      </c>
      <c r="HV67" s="12">
        <f t="shared" si="837"/>
        <v>1277.2339960718984</v>
      </c>
      <c r="HW67" s="12">
        <f t="shared" si="837"/>
        <v>1277.2339960718984</v>
      </c>
      <c r="HX67" s="12">
        <f t="shared" si="837"/>
        <v>1559.4617410483977</v>
      </c>
      <c r="HY67" s="12">
        <f t="shared" si="837"/>
        <v>1559.3956271431068</v>
      </c>
      <c r="HZ67" s="12">
        <f t="shared" si="837"/>
        <v>1559.3956271431068</v>
      </c>
      <c r="IA67" s="12">
        <f t="shared" si="837"/>
        <v>1550.6355346920668</v>
      </c>
      <c r="IB67" s="12">
        <f t="shared" si="837"/>
        <v>1463.9436763794133</v>
      </c>
      <c r="IC67" s="12">
        <f t="shared" si="837"/>
        <v>1463.9271479030911</v>
      </c>
      <c r="ID67" s="12">
        <f t="shared" si="837"/>
        <v>1314.013867656043</v>
      </c>
      <c r="IE67" s="12">
        <f t="shared" si="837"/>
        <v>1314.013867656043</v>
      </c>
      <c r="IF67" s="12">
        <f t="shared" si="837"/>
        <v>1315.5510159540554</v>
      </c>
      <c r="IG67" s="12">
        <f t="shared" si="837"/>
        <v>1315.5510159540554</v>
      </c>
      <c r="IH67" s="12">
        <f t="shared" si="837"/>
        <v>1315.5510159540554</v>
      </c>
      <c r="II67" s="12">
        <f t="shared" si="837"/>
        <v>1315.5510159540554</v>
      </c>
      <c r="IJ67" s="12">
        <f t="shared" si="837"/>
        <v>1606.2455932798496</v>
      </c>
      <c r="IK67" s="12">
        <f t="shared" si="837"/>
        <v>1606.1774959574</v>
      </c>
      <c r="IL67" s="12">
        <f t="shared" si="837"/>
        <v>1606.1774959574</v>
      </c>
      <c r="IM67" s="12">
        <f t="shared" si="837"/>
        <v>1597.1546007328288</v>
      </c>
      <c r="IN67" s="12">
        <f t="shared" si="837"/>
        <v>1507.8619866707957</v>
      </c>
      <c r="IO67" s="12">
        <f t="shared" si="837"/>
        <v>1507.8449623401839</v>
      </c>
      <c r="IP67" s="12">
        <f t="shared" si="837"/>
        <v>1353.4342836857243</v>
      </c>
      <c r="IQ67" s="12">
        <f t="shared" si="837"/>
        <v>1353.4342836857243</v>
      </c>
      <c r="IR67" s="12">
        <f t="shared" si="837"/>
        <v>1355.0175464326771</v>
      </c>
      <c r="IS67" s="12">
        <f t="shared" si="837"/>
        <v>1355.0175464326771</v>
      </c>
      <c r="IT67" s="12">
        <f t="shared" si="837"/>
        <v>1355.0175464326771</v>
      </c>
      <c r="IU67" s="12">
        <f t="shared" si="837"/>
        <v>1355.0175464326771</v>
      </c>
      <c r="IV67" s="12">
        <f t="shared" si="837"/>
        <v>1654.4329610782452</v>
      </c>
      <c r="IW67" s="12">
        <f t="shared" si="837"/>
        <v>1654.362820836122</v>
      </c>
      <c r="IX67" s="12">
        <f t="shared" si="837"/>
        <v>1654.362820836122</v>
      </c>
      <c r="IY67" s="12">
        <f t="shared" ref="IY67:JE67" si="838">+IY47</f>
        <v>1645.0692387548138</v>
      </c>
      <c r="IZ67" s="12">
        <f t="shared" si="838"/>
        <v>1553.0978462709195</v>
      </c>
      <c r="JA67" s="12">
        <f t="shared" si="838"/>
        <v>1553.0803112103895</v>
      </c>
      <c r="JB67" s="12">
        <f t="shared" si="838"/>
        <v>1394.0373121962959</v>
      </c>
      <c r="JC67" s="12">
        <f t="shared" si="838"/>
        <v>1394.0373121962959</v>
      </c>
      <c r="JD67" s="12">
        <f t="shared" si="838"/>
        <v>1395.6680728256574</v>
      </c>
      <c r="JE67" s="12">
        <f t="shared" si="838"/>
        <v>1395.6680728256574</v>
      </c>
    </row>
    <row r="68" spans="1:265" x14ac:dyDescent="0.3">
      <c r="A68" t="s">
        <v>885</v>
      </c>
      <c r="B68" s="12">
        <f>+B48</f>
        <v>0</v>
      </c>
      <c r="C68" s="12">
        <f t="shared" ref="C68:BN68" si="839">+C48</f>
        <v>0</v>
      </c>
      <c r="D68" s="12">
        <f t="shared" si="839"/>
        <v>0</v>
      </c>
      <c r="E68" s="12">
        <f t="shared" si="839"/>
        <v>0</v>
      </c>
      <c r="F68" s="12">
        <f t="shared" si="839"/>
        <v>0</v>
      </c>
      <c r="G68" s="12">
        <f t="shared" si="839"/>
        <v>0</v>
      </c>
      <c r="H68" s="12">
        <f t="shared" si="839"/>
        <v>0</v>
      </c>
      <c r="I68" s="12">
        <f t="shared" si="839"/>
        <v>0</v>
      </c>
      <c r="J68" s="12">
        <f t="shared" si="839"/>
        <v>0</v>
      </c>
      <c r="K68" s="12">
        <f t="shared" si="839"/>
        <v>0</v>
      </c>
      <c r="L68" s="12" t="e">
        <f t="shared" si="839"/>
        <v>#REF!</v>
      </c>
      <c r="M68" s="12" t="e">
        <f t="shared" si="839"/>
        <v>#REF!</v>
      </c>
      <c r="N68" s="12">
        <f t="shared" si="839"/>
        <v>137.38</v>
      </c>
      <c r="O68" s="12">
        <f t="shared" si="839"/>
        <v>136.72</v>
      </c>
      <c r="P68" s="12">
        <f t="shared" si="839"/>
        <v>145.76</v>
      </c>
      <c r="Q68" s="12">
        <f t="shared" si="839"/>
        <v>147.0412</v>
      </c>
      <c r="R68" s="12">
        <f t="shared" si="839"/>
        <v>139.18</v>
      </c>
      <c r="S68" s="12">
        <f t="shared" si="839"/>
        <v>135.94999999999999</v>
      </c>
      <c r="T68" s="12">
        <f t="shared" si="839"/>
        <v>128.91</v>
      </c>
      <c r="U68" s="12">
        <f t="shared" si="839"/>
        <v>125.95</v>
      </c>
      <c r="V68" s="12">
        <f t="shared" si="839"/>
        <v>128.91999999999999</v>
      </c>
      <c r="W68" s="12">
        <f t="shared" si="839"/>
        <v>135.29</v>
      </c>
      <c r="X68" s="12">
        <f t="shared" si="839"/>
        <v>139</v>
      </c>
      <c r="Y68" s="12">
        <f t="shared" si="839"/>
        <v>147.13</v>
      </c>
      <c r="Z68" s="12">
        <f t="shared" si="839"/>
        <v>154.19999999999999</v>
      </c>
      <c r="AA68" s="12">
        <f t="shared" si="839"/>
        <v>159.19</v>
      </c>
      <c r="AB68" s="12">
        <f t="shared" si="839"/>
        <v>156.6</v>
      </c>
      <c r="AC68" s="12">
        <f t="shared" si="839"/>
        <v>160.06</v>
      </c>
      <c r="AD68" s="12">
        <f t="shared" si="839"/>
        <v>154.88999999999999</v>
      </c>
      <c r="AE68" s="12">
        <f t="shared" si="839"/>
        <v>153.61000000000001</v>
      </c>
      <c r="AF68" s="12">
        <f t="shared" si="839"/>
        <v>151.97</v>
      </c>
      <c r="AG68" s="12">
        <f t="shared" si="839"/>
        <v>132.69999999999999</v>
      </c>
      <c r="AH68" s="12">
        <f t="shared" si="839"/>
        <v>133.16</v>
      </c>
      <c r="AI68" s="12">
        <f t="shared" si="839"/>
        <v>121.2</v>
      </c>
      <c r="AJ68" s="12">
        <f t="shared" si="839"/>
        <v>119.83</v>
      </c>
      <c r="AK68" s="12">
        <f t="shared" si="839"/>
        <v>151.54390000000001</v>
      </c>
      <c r="AL68" s="12">
        <f t="shared" si="839"/>
        <v>158.82599999999999</v>
      </c>
      <c r="AM68" s="12">
        <f t="shared" si="839"/>
        <v>163.9657</v>
      </c>
      <c r="AN68" s="12">
        <f t="shared" si="839"/>
        <v>161.298</v>
      </c>
      <c r="AO68" s="12">
        <f t="shared" si="839"/>
        <v>164.86180000000002</v>
      </c>
      <c r="AP68" s="12">
        <f t="shared" si="839"/>
        <v>159.5367</v>
      </c>
      <c r="AQ68" s="12">
        <f t="shared" si="839"/>
        <v>158.21830000000003</v>
      </c>
      <c r="AR68" s="12">
        <f t="shared" si="839"/>
        <v>156.5291</v>
      </c>
      <c r="AS68" s="12">
        <f t="shared" si="839"/>
        <v>136.68099999999998</v>
      </c>
      <c r="AT68" s="12">
        <f t="shared" si="839"/>
        <v>137.15479999999999</v>
      </c>
      <c r="AU68" s="12">
        <f t="shared" si="839"/>
        <v>124.83600000000001</v>
      </c>
      <c r="AV68" s="12">
        <f t="shared" si="839"/>
        <v>123.42490000000001</v>
      </c>
      <c r="AW68" s="12">
        <f t="shared" si="839"/>
        <v>156.09021700000002</v>
      </c>
      <c r="AX68" s="12">
        <f t="shared" si="839"/>
        <v>163.59078</v>
      </c>
      <c r="AY68" s="12">
        <f t="shared" si="839"/>
        <v>168.884671</v>
      </c>
      <c r="AZ68" s="12">
        <f t="shared" si="839"/>
        <v>166.13694000000001</v>
      </c>
      <c r="BA68" s="12">
        <f t="shared" si="839"/>
        <v>169.80765400000001</v>
      </c>
      <c r="BB68" s="12">
        <f t="shared" si="839"/>
        <v>164.322801</v>
      </c>
      <c r="BC68" s="12">
        <f t="shared" si="839"/>
        <v>162.96484900000004</v>
      </c>
      <c r="BD68" s="12">
        <f t="shared" si="839"/>
        <v>161.22497300000001</v>
      </c>
      <c r="BE68" s="12">
        <f t="shared" si="839"/>
        <v>140.78143</v>
      </c>
      <c r="BF68" s="12">
        <f t="shared" si="839"/>
        <v>141.26944399999999</v>
      </c>
      <c r="BG68" s="12">
        <f t="shared" si="839"/>
        <v>128.58108000000001</v>
      </c>
      <c r="BH68" s="12">
        <f t="shared" si="839"/>
        <v>127.12764700000001</v>
      </c>
      <c r="BI68" s="12">
        <f t="shared" si="839"/>
        <v>160.77292351000003</v>
      </c>
      <c r="BJ68" s="12">
        <f t="shared" si="839"/>
        <v>168.4985034</v>
      </c>
      <c r="BK68" s="12">
        <f t="shared" si="839"/>
        <v>173.95121112999999</v>
      </c>
      <c r="BL68" s="12">
        <f t="shared" si="839"/>
        <v>171.12104820000002</v>
      </c>
      <c r="BM68" s="12">
        <f t="shared" si="839"/>
        <v>174.90188362000001</v>
      </c>
      <c r="BN68" s="12">
        <f t="shared" si="839"/>
        <v>169.25248503</v>
      </c>
      <c r="BO68" s="12">
        <f t="shared" ref="BO68:DZ68" si="840">+BO48</f>
        <v>167.85379447000005</v>
      </c>
      <c r="BP68" s="12">
        <f t="shared" si="840"/>
        <v>166.06172219000001</v>
      </c>
      <c r="BQ68" s="12">
        <f t="shared" si="840"/>
        <v>145.00487290000001</v>
      </c>
      <c r="BR68" s="12">
        <f t="shared" si="840"/>
        <v>145.50752732000001</v>
      </c>
      <c r="BS68" s="12">
        <f t="shared" si="840"/>
        <v>132.43851240000001</v>
      </c>
      <c r="BT68" s="12">
        <f t="shared" si="840"/>
        <v>130.94147641000001</v>
      </c>
      <c r="BU68" s="12">
        <f t="shared" si="840"/>
        <v>165.59611121530003</v>
      </c>
      <c r="BV68" s="12">
        <f t="shared" si="840"/>
        <v>173.55345850200001</v>
      </c>
      <c r="BW68" s="12">
        <f t="shared" si="840"/>
        <v>179.16974746389999</v>
      </c>
      <c r="BX68" s="12">
        <f t="shared" si="840"/>
        <v>176.25467964600003</v>
      </c>
      <c r="BY68" s="12">
        <f t="shared" si="840"/>
        <v>180.1489401286</v>
      </c>
      <c r="BZ68" s="12">
        <f t="shared" si="840"/>
        <v>174.33005958090001</v>
      </c>
      <c r="CA68" s="12">
        <f t="shared" si="840"/>
        <v>172.88940830410007</v>
      </c>
      <c r="CB68" s="12">
        <f t="shared" si="840"/>
        <v>171.0435738557</v>
      </c>
      <c r="CC68" s="12">
        <f t="shared" si="840"/>
        <v>149.35501908700002</v>
      </c>
      <c r="CD68" s="12">
        <f t="shared" si="840"/>
        <v>149.87275313960001</v>
      </c>
      <c r="CE68" s="12">
        <f t="shared" si="840"/>
        <v>136.41166777200002</v>
      </c>
      <c r="CF68" s="12">
        <f t="shared" si="840"/>
        <v>134.86972070230001</v>
      </c>
      <c r="CG68" s="12">
        <f t="shared" si="840"/>
        <v>170.56399455175904</v>
      </c>
      <c r="CH68" s="12">
        <f t="shared" si="840"/>
        <v>178.76006225706001</v>
      </c>
      <c r="CI68" s="12">
        <f t="shared" si="840"/>
        <v>184.54483988781701</v>
      </c>
      <c r="CJ68" s="12">
        <f t="shared" si="840"/>
        <v>181.54232003538004</v>
      </c>
      <c r="CK68" s="12">
        <f t="shared" si="840"/>
        <v>185.55340833245802</v>
      </c>
      <c r="CL68" s="12">
        <f t="shared" si="840"/>
        <v>179.55996136832701</v>
      </c>
      <c r="CM68" s="12">
        <f t="shared" si="840"/>
        <v>178.07609055322308</v>
      </c>
      <c r="CN68" s="12">
        <f t="shared" si="840"/>
        <v>176.174881071371</v>
      </c>
      <c r="CO68" s="12">
        <f t="shared" si="840"/>
        <v>153.83566965961003</v>
      </c>
      <c r="CP68" s="12">
        <f t="shared" si="840"/>
        <v>154.36893573378802</v>
      </c>
      <c r="CQ68" s="12">
        <f t="shared" si="840"/>
        <v>140.50401780516003</v>
      </c>
      <c r="CR68" s="12">
        <f t="shared" si="840"/>
        <v>138.91581232336901</v>
      </c>
      <c r="CS68" s="12">
        <f t="shared" si="840"/>
        <v>175.68091438831181</v>
      </c>
      <c r="CT68" s="12">
        <f t="shared" si="840"/>
        <v>184.12286412477181</v>
      </c>
      <c r="CU68" s="12">
        <f t="shared" si="840"/>
        <v>190.08118508445153</v>
      </c>
      <c r="CV68" s="12">
        <f t="shared" si="840"/>
        <v>186.98858963644145</v>
      </c>
      <c r="CW68" s="12">
        <f t="shared" si="840"/>
        <v>191.12001058243177</v>
      </c>
      <c r="CX68" s="12">
        <f t="shared" si="840"/>
        <v>184.94676020937683</v>
      </c>
      <c r="CY68" s="12">
        <f t="shared" si="840"/>
        <v>183.41837326981977</v>
      </c>
      <c r="CZ68" s="12">
        <f t="shared" si="840"/>
        <v>181.46012750351213</v>
      </c>
      <c r="DA68" s="12">
        <f t="shared" si="840"/>
        <v>158.45073974939834</v>
      </c>
      <c r="DB68" s="12">
        <f t="shared" si="840"/>
        <v>159.00000380580167</v>
      </c>
      <c r="DC68" s="12">
        <f t="shared" si="840"/>
        <v>144.71913833931484</v>
      </c>
      <c r="DD68" s="12">
        <f t="shared" si="840"/>
        <v>143.08328669307008</v>
      </c>
      <c r="DE68" s="12">
        <f t="shared" si="840"/>
        <v>180.95134181996116</v>
      </c>
      <c r="DF68" s="12">
        <f t="shared" si="840"/>
        <v>189.64655004851497</v>
      </c>
      <c r="DG68" s="12">
        <f t="shared" si="840"/>
        <v>195.78362063698509</v>
      </c>
      <c r="DH68" s="12">
        <f t="shared" si="840"/>
        <v>192.59824732553469</v>
      </c>
      <c r="DI68" s="12">
        <f t="shared" si="840"/>
        <v>196.85361089990474</v>
      </c>
      <c r="DJ68" s="12">
        <f t="shared" si="840"/>
        <v>190.49516301565814</v>
      </c>
      <c r="DK68" s="12">
        <f t="shared" si="840"/>
        <v>188.92092446791438</v>
      </c>
      <c r="DL68" s="12">
        <f t="shared" si="840"/>
        <v>186.90393132861749</v>
      </c>
      <c r="DM68" s="12">
        <f t="shared" si="840"/>
        <v>163.2042619418803</v>
      </c>
      <c r="DN68" s="12">
        <f t="shared" si="840"/>
        <v>163.77000391997572</v>
      </c>
      <c r="DO68" s="12">
        <f t="shared" si="840"/>
        <v>149.06071248949428</v>
      </c>
      <c r="DP68" s="12">
        <f t="shared" si="840"/>
        <v>147.37578529386218</v>
      </c>
      <c r="DQ68" s="12">
        <f t="shared" si="840"/>
        <v>186.37988207455999</v>
      </c>
      <c r="DR68" s="12">
        <f t="shared" si="840"/>
        <v>195.33594654997043</v>
      </c>
      <c r="DS68" s="12">
        <f t="shared" si="840"/>
        <v>201.65712925609466</v>
      </c>
      <c r="DT68" s="12">
        <f t="shared" si="840"/>
        <v>198.37619474530072</v>
      </c>
      <c r="DU68" s="12">
        <f t="shared" si="840"/>
        <v>202.75921922690188</v>
      </c>
      <c r="DV68" s="12">
        <f t="shared" si="840"/>
        <v>196.21001790612789</v>
      </c>
      <c r="DW68" s="12">
        <f t="shared" si="840"/>
        <v>194.58855220195181</v>
      </c>
      <c r="DX68" s="12">
        <f t="shared" si="840"/>
        <v>192.51104926847603</v>
      </c>
      <c r="DY68" s="12">
        <f t="shared" si="840"/>
        <v>168.10038980013672</v>
      </c>
      <c r="DZ68" s="12">
        <f t="shared" si="840"/>
        <v>168.68310403757499</v>
      </c>
      <c r="EA68" s="12">
        <f t="shared" ref="EA68:GL68" si="841">+EA48</f>
        <v>153.5325338641791</v>
      </c>
      <c r="EB68" s="12">
        <f t="shared" si="841"/>
        <v>151.79705885267805</v>
      </c>
      <c r="EC68" s="12">
        <f t="shared" si="841"/>
        <v>191.9712785367968</v>
      </c>
      <c r="ED68" s="12">
        <f t="shared" si="841"/>
        <v>201.19602494646955</v>
      </c>
      <c r="EE68" s="12">
        <f t="shared" si="841"/>
        <v>207.70684313377751</v>
      </c>
      <c r="EF68" s="12">
        <f t="shared" si="841"/>
        <v>204.32748058765975</v>
      </c>
      <c r="EG68" s="12">
        <f t="shared" si="841"/>
        <v>208.84199580370893</v>
      </c>
      <c r="EH68" s="12">
        <f t="shared" si="841"/>
        <v>202.09631844331173</v>
      </c>
      <c r="EI68" s="12">
        <f t="shared" si="841"/>
        <v>200.42620876801038</v>
      </c>
      <c r="EJ68" s="12">
        <f t="shared" si="841"/>
        <v>198.28638074653031</v>
      </c>
      <c r="EK68" s="12">
        <f t="shared" si="841"/>
        <v>173.14340149414082</v>
      </c>
      <c r="EL68" s="12">
        <f t="shared" si="841"/>
        <v>173.74359715870224</v>
      </c>
      <c r="EM68" s="12">
        <f t="shared" si="841"/>
        <v>158.13850988010446</v>
      </c>
      <c r="EN68" s="12">
        <f t="shared" si="841"/>
        <v>156.3509706182584</v>
      </c>
      <c r="EO68" s="12">
        <f t="shared" si="841"/>
        <v>197.73041689290071</v>
      </c>
      <c r="EP68" s="12">
        <f t="shared" si="841"/>
        <v>207.23190569486363</v>
      </c>
      <c r="EQ68" s="12">
        <f t="shared" si="841"/>
        <v>213.93804842779085</v>
      </c>
      <c r="ER68" s="12">
        <f t="shared" si="841"/>
        <v>210.45730500528956</v>
      </c>
      <c r="ES68" s="12">
        <f t="shared" si="841"/>
        <v>215.10725567782021</v>
      </c>
      <c r="ET68" s="12">
        <f t="shared" si="841"/>
        <v>208.15920799661109</v>
      </c>
      <c r="EU68" s="12">
        <f t="shared" si="841"/>
        <v>206.43899503105069</v>
      </c>
      <c r="EV68" s="12">
        <f t="shared" si="841"/>
        <v>204.23497216892622</v>
      </c>
      <c r="EW68" s="12">
        <f t="shared" si="841"/>
        <v>178.33770353896506</v>
      </c>
      <c r="EX68" s="12">
        <f t="shared" si="841"/>
        <v>178.95590507346333</v>
      </c>
      <c r="EY68" s="12">
        <f t="shared" si="841"/>
        <v>162.8826651765076</v>
      </c>
      <c r="EZ68" s="12">
        <f t="shared" si="841"/>
        <v>161.04149973680614</v>
      </c>
      <c r="FA68" s="12">
        <f t="shared" si="841"/>
        <v>203.66232939968774</v>
      </c>
      <c r="FB68" s="12">
        <f t="shared" si="841"/>
        <v>213.44886286570954</v>
      </c>
      <c r="FC68" s="12">
        <f t="shared" si="841"/>
        <v>220.35618988062458</v>
      </c>
      <c r="FD68" s="12">
        <f t="shared" si="841"/>
        <v>216.77102415544826</v>
      </c>
      <c r="FE68" s="12">
        <f t="shared" si="841"/>
        <v>221.56047334815483</v>
      </c>
      <c r="FF68" s="12">
        <f t="shared" si="841"/>
        <v>214.40398423650942</v>
      </c>
      <c r="FG68" s="12">
        <f t="shared" si="841"/>
        <v>212.63216488198222</v>
      </c>
      <c r="FH68" s="12">
        <f t="shared" si="841"/>
        <v>210.36202133399402</v>
      </c>
      <c r="FI68" s="12">
        <f t="shared" si="841"/>
        <v>183.68783464513402</v>
      </c>
      <c r="FJ68" s="12">
        <f t="shared" si="841"/>
        <v>184.32458222566723</v>
      </c>
      <c r="FK68" s="12">
        <f t="shared" si="841"/>
        <v>167.76914513180284</v>
      </c>
      <c r="FL68" s="12">
        <f t="shared" si="841"/>
        <v>165.87274472891033</v>
      </c>
      <c r="FM68" s="12">
        <f t="shared" si="841"/>
        <v>209.77219928167838</v>
      </c>
      <c r="FN68" s="12">
        <f t="shared" si="841"/>
        <v>219.85232875168083</v>
      </c>
      <c r="FO68" s="12">
        <f t="shared" si="841"/>
        <v>226.96687557704334</v>
      </c>
      <c r="FP68" s="12">
        <f t="shared" si="841"/>
        <v>223.27415488011172</v>
      </c>
      <c r="FQ68" s="12">
        <f t="shared" si="841"/>
        <v>228.20728754859948</v>
      </c>
      <c r="FR68" s="12">
        <f t="shared" si="841"/>
        <v>220.83610376360471</v>
      </c>
      <c r="FS68" s="12">
        <f t="shared" si="841"/>
        <v>219.01112982844168</v>
      </c>
      <c r="FT68" s="12">
        <f t="shared" si="841"/>
        <v>216.67288197401385</v>
      </c>
      <c r="FU68" s="12">
        <f t="shared" si="841"/>
        <v>189.19846968448803</v>
      </c>
      <c r="FV68" s="12">
        <f t="shared" si="841"/>
        <v>189.85431969243726</v>
      </c>
      <c r="FW68" s="12">
        <f t="shared" si="841"/>
        <v>172.80221948575692</v>
      </c>
      <c r="FX68" s="12">
        <f t="shared" si="841"/>
        <v>170.84892707077765</v>
      </c>
      <c r="FY68" s="12">
        <f t="shared" si="841"/>
        <v>216.06536526012874</v>
      </c>
      <c r="FZ68" s="12">
        <f t="shared" si="841"/>
        <v>226.44789861423126</v>
      </c>
      <c r="GA68" s="12">
        <f t="shared" si="841"/>
        <v>233.77588184435464</v>
      </c>
      <c r="GB68" s="12">
        <f t="shared" si="841"/>
        <v>229.97237952651508</v>
      </c>
      <c r="GC68" s="12">
        <f t="shared" si="841"/>
        <v>235.05350617505746</v>
      </c>
      <c r="GD68" s="12">
        <f t="shared" si="841"/>
        <v>227.46118687651287</v>
      </c>
      <c r="GE68" s="12">
        <f t="shared" si="841"/>
        <v>225.58146372329495</v>
      </c>
      <c r="GF68" s="12">
        <f t="shared" si="841"/>
        <v>223.17306843323428</v>
      </c>
      <c r="GG68" s="12">
        <f t="shared" si="841"/>
        <v>194.87442377502268</v>
      </c>
      <c r="GH68" s="12">
        <f t="shared" si="841"/>
        <v>195.54994928321037</v>
      </c>
      <c r="GI68" s="12">
        <f t="shared" si="841"/>
        <v>177.98628607032964</v>
      </c>
      <c r="GJ68" s="12">
        <f t="shared" si="841"/>
        <v>175.97439488290098</v>
      </c>
      <c r="GK68" s="12">
        <f t="shared" si="841"/>
        <v>222.54732621793261</v>
      </c>
      <c r="GL68" s="12">
        <f t="shared" si="841"/>
        <v>233.24133557265822</v>
      </c>
      <c r="GM68" s="12">
        <f t="shared" ref="GM68:IX68" si="842">+GM48</f>
        <v>240.78915829968528</v>
      </c>
      <c r="GN68" s="12">
        <f t="shared" si="842"/>
        <v>236.87155091231054</v>
      </c>
      <c r="GO68" s="12">
        <f t="shared" si="842"/>
        <v>242.10511136030919</v>
      </c>
      <c r="GP68" s="12">
        <f t="shared" si="842"/>
        <v>234.28502248280827</v>
      </c>
      <c r="GQ68" s="12">
        <f t="shared" si="842"/>
        <v>232.34890763499379</v>
      </c>
      <c r="GR68" s="12">
        <f t="shared" si="842"/>
        <v>229.86826048623132</v>
      </c>
      <c r="GS68" s="12">
        <f t="shared" si="842"/>
        <v>200.72065648827336</v>
      </c>
      <c r="GT68" s="12">
        <f t="shared" si="842"/>
        <v>201.41644776170668</v>
      </c>
      <c r="GU68" s="12">
        <f t="shared" si="842"/>
        <v>183.32587465243952</v>
      </c>
      <c r="GV68" s="12">
        <f t="shared" si="842"/>
        <v>181.253626729388</v>
      </c>
      <c r="GW68" s="12">
        <f t="shared" si="842"/>
        <v>229.2237460044706</v>
      </c>
      <c r="GX68" s="12">
        <f t="shared" si="842"/>
        <v>240.23857563983796</v>
      </c>
      <c r="GY68" s="12">
        <f t="shared" si="842"/>
        <v>248.01283304867584</v>
      </c>
      <c r="GZ68" s="12">
        <f t="shared" si="842"/>
        <v>243.97769743967987</v>
      </c>
      <c r="HA68" s="12">
        <f t="shared" si="842"/>
        <v>249.36826470111848</v>
      </c>
      <c r="HB68" s="12">
        <f t="shared" si="842"/>
        <v>241.31357315729252</v>
      </c>
      <c r="HC68" s="12">
        <f t="shared" si="842"/>
        <v>239.31937486404362</v>
      </c>
      <c r="HD68" s="12">
        <f t="shared" si="842"/>
        <v>236.76430830081827</v>
      </c>
      <c r="HE68" s="12">
        <f t="shared" si="842"/>
        <v>206.74227618292156</v>
      </c>
      <c r="HF68" s="12">
        <f t="shared" si="842"/>
        <v>207.45894119455789</v>
      </c>
      <c r="HG68" s="12">
        <f t="shared" si="842"/>
        <v>188.8256508920127</v>
      </c>
      <c r="HH68" s="12">
        <f t="shared" si="842"/>
        <v>186.69123553126965</v>
      </c>
      <c r="HI68" s="12">
        <f t="shared" si="842"/>
        <v>236.10045838460474</v>
      </c>
      <c r="HJ68" s="12">
        <f t="shared" si="842"/>
        <v>247.4457329090331</v>
      </c>
      <c r="HK68" s="12">
        <f t="shared" si="842"/>
        <v>255.45321804013614</v>
      </c>
      <c r="HL68" s="12">
        <f t="shared" si="842"/>
        <v>251.29702836287026</v>
      </c>
      <c r="HM68" s="12">
        <f t="shared" si="842"/>
        <v>256.84931264215203</v>
      </c>
      <c r="HN68" s="12">
        <f t="shared" si="842"/>
        <v>248.5529803520113</v>
      </c>
      <c r="HO68" s="12">
        <f t="shared" si="842"/>
        <v>246.49895610996495</v>
      </c>
      <c r="HP68" s="12">
        <f t="shared" si="842"/>
        <v>243.86723754984283</v>
      </c>
      <c r="HQ68" s="12">
        <f t="shared" si="842"/>
        <v>212.94454446840922</v>
      </c>
      <c r="HR68" s="12">
        <f t="shared" si="842"/>
        <v>213.68270943039462</v>
      </c>
      <c r="HS68" s="12">
        <f t="shared" si="842"/>
        <v>194.49042041877308</v>
      </c>
      <c r="HT68" s="12">
        <f t="shared" si="842"/>
        <v>192.29197259720775</v>
      </c>
      <c r="HU68" s="12">
        <f t="shared" si="842"/>
        <v>243.18347213614288</v>
      </c>
      <c r="HV68" s="12">
        <f t="shared" si="842"/>
        <v>254.86910489630409</v>
      </c>
      <c r="HW68" s="12">
        <f t="shared" si="842"/>
        <v>263.11681458134024</v>
      </c>
      <c r="HX68" s="12">
        <f t="shared" si="842"/>
        <v>258.83593921375638</v>
      </c>
      <c r="HY68" s="12">
        <f t="shared" si="842"/>
        <v>264.55479202141657</v>
      </c>
      <c r="HZ68" s="12">
        <f t="shared" si="842"/>
        <v>256.00956976257163</v>
      </c>
      <c r="IA68" s="12">
        <f t="shared" si="842"/>
        <v>253.89392479326389</v>
      </c>
      <c r="IB68" s="12">
        <f t="shared" si="842"/>
        <v>251.18325467633812</v>
      </c>
      <c r="IC68" s="12">
        <f t="shared" si="842"/>
        <v>219.33288080246149</v>
      </c>
      <c r="ID68" s="12">
        <f t="shared" si="842"/>
        <v>220.09319071330646</v>
      </c>
      <c r="IE68" s="12">
        <f t="shared" si="842"/>
        <v>200.32513303133629</v>
      </c>
      <c r="IF68" s="12">
        <f t="shared" si="842"/>
        <v>198.060731775124</v>
      </c>
      <c r="IG68" s="12">
        <f t="shared" si="842"/>
        <v>250.47897630022717</v>
      </c>
      <c r="IH68" s="12">
        <f t="shared" si="842"/>
        <v>262.5151780431932</v>
      </c>
      <c r="II68" s="12">
        <f t="shared" si="842"/>
        <v>271.01031901878048</v>
      </c>
      <c r="IJ68" s="12">
        <f t="shared" si="842"/>
        <v>266.60101739016909</v>
      </c>
      <c r="IK68" s="12">
        <f t="shared" si="842"/>
        <v>272.49143578205906</v>
      </c>
      <c r="IL68" s="12">
        <f t="shared" si="842"/>
        <v>263.6898568554488</v>
      </c>
      <c r="IM68" s="12">
        <f t="shared" si="842"/>
        <v>261.51074253706179</v>
      </c>
      <c r="IN68" s="12">
        <f t="shared" si="842"/>
        <v>258.7187523166283</v>
      </c>
      <c r="IO68" s="12">
        <f t="shared" si="842"/>
        <v>225.91286722653533</v>
      </c>
      <c r="IP68" s="12">
        <f t="shared" si="842"/>
        <v>226.69598643470565</v>
      </c>
      <c r="IQ68" s="12">
        <f t="shared" si="842"/>
        <v>206.33488702227638</v>
      </c>
      <c r="IR68" s="12">
        <f t="shared" si="842"/>
        <v>204.00255372837773</v>
      </c>
      <c r="IS68" s="12">
        <f t="shared" si="842"/>
        <v>257.99334558923397</v>
      </c>
      <c r="IT68" s="12">
        <f t="shared" si="842"/>
        <v>270.39063338448898</v>
      </c>
      <c r="IU68" s="12">
        <f t="shared" si="842"/>
        <v>279.14062858934392</v>
      </c>
      <c r="IV68" s="12">
        <f t="shared" si="842"/>
        <v>274.59904791187415</v>
      </c>
      <c r="IW68" s="12">
        <f t="shared" si="842"/>
        <v>280.66617885552085</v>
      </c>
      <c r="IX68" s="12">
        <f t="shared" si="842"/>
        <v>271.60055256111224</v>
      </c>
      <c r="IY68" s="12">
        <f t="shared" ref="IY68:JE68" si="843">+IY48</f>
        <v>269.35606481317365</v>
      </c>
      <c r="IZ68" s="12">
        <f t="shared" si="843"/>
        <v>266.48031488612713</v>
      </c>
      <c r="JA68" s="12">
        <f t="shared" si="843"/>
        <v>232.6902532433314</v>
      </c>
      <c r="JB68" s="12">
        <f t="shared" si="843"/>
        <v>233.49686602774682</v>
      </c>
      <c r="JC68" s="12">
        <f t="shared" si="843"/>
        <v>212.52493363294468</v>
      </c>
      <c r="JD68" s="12">
        <f t="shared" si="843"/>
        <v>210.12263034022908</v>
      </c>
      <c r="JE68" s="12">
        <f t="shared" si="843"/>
        <v>265.73314595691102</v>
      </c>
    </row>
    <row r="69" spans="1:265" x14ac:dyDescent="0.3">
      <c r="A69" t="s">
        <v>904</v>
      </c>
      <c r="C69" s="38"/>
      <c r="D69" s="38"/>
      <c r="E69" s="38"/>
      <c r="F69" s="38"/>
      <c r="G69" s="38"/>
      <c r="H69" s="38"/>
      <c r="I69" s="38"/>
      <c r="Q69" s="42"/>
      <c r="R69" s="38"/>
      <c r="U69" s="3"/>
      <c r="V69" s="12">
        <f>+U69</f>
        <v>0</v>
      </c>
      <c r="W69" s="12">
        <f>+V69</f>
        <v>0</v>
      </c>
      <c r="X69" s="12">
        <f>+W69</f>
        <v>0</v>
      </c>
      <c r="Y69" s="12">
        <f t="shared" ref="Y69" si="844">+X69</f>
        <v>0</v>
      </c>
      <c r="Z69" s="12">
        <f ca="1">+C37</f>
        <v>98.972189850194397</v>
      </c>
      <c r="AA69" s="12">
        <f ca="1">+Z69</f>
        <v>98.972189850194397</v>
      </c>
      <c r="AB69" s="12">
        <f t="shared" ref="AB69" ca="1" si="845">+AA69</f>
        <v>98.972189850194397</v>
      </c>
      <c r="AC69" s="12">
        <f t="shared" ref="AC69" ca="1" si="846">+AB69</f>
        <v>98.972189850194397</v>
      </c>
      <c r="AD69" s="12">
        <f t="shared" ref="AD69" ca="1" si="847">+AC69</f>
        <v>98.972189850194397</v>
      </c>
      <c r="AE69" s="12">
        <f t="shared" ref="AE69" ca="1" si="848">+AD69</f>
        <v>98.972189850194397</v>
      </c>
      <c r="AF69" s="12">
        <f t="shared" ref="AF69" ca="1" si="849">+AE69</f>
        <v>98.972189850194397</v>
      </c>
      <c r="AG69" s="12">
        <f t="shared" ref="AG69" ca="1" si="850">+AF69</f>
        <v>98.972189850194397</v>
      </c>
      <c r="AH69" s="12">
        <f t="shared" ref="AH69" ca="1" si="851">+AG69</f>
        <v>98.972189850194397</v>
      </c>
      <c r="AI69" s="12">
        <f t="shared" ref="AI69" ca="1" si="852">+AH69</f>
        <v>98.972189850194397</v>
      </c>
      <c r="AJ69" s="12">
        <f t="shared" ref="AJ69" ca="1" si="853">+AI69</f>
        <v>98.972189850194397</v>
      </c>
      <c r="AK69" s="12">
        <f t="shared" ref="AK69" ca="1" si="854">+AJ69</f>
        <v>98.972189850194397</v>
      </c>
      <c r="AL69" s="12">
        <f ca="1">+AK69*(1+B62)</f>
        <v>103.92079934270411</v>
      </c>
      <c r="AM69" s="12">
        <f ca="1">+AL69</f>
        <v>103.92079934270411</v>
      </c>
      <c r="AN69" s="12">
        <f t="shared" ref="AN69" ca="1" si="855">+AM69</f>
        <v>103.92079934270411</v>
      </c>
      <c r="AO69" s="12">
        <f t="shared" ref="AO69" ca="1" si="856">+AN69</f>
        <v>103.92079934270411</v>
      </c>
      <c r="AP69" s="12">
        <f t="shared" ref="AP69" ca="1" si="857">+AO69</f>
        <v>103.92079934270411</v>
      </c>
      <c r="AQ69" s="12">
        <f t="shared" ref="AQ69" ca="1" si="858">+AP69</f>
        <v>103.92079934270411</v>
      </c>
      <c r="AR69" s="12">
        <f t="shared" ref="AR69" ca="1" si="859">+AQ69</f>
        <v>103.92079934270411</v>
      </c>
      <c r="AS69" s="12">
        <f t="shared" ref="AS69" ca="1" si="860">+AR69</f>
        <v>103.92079934270411</v>
      </c>
      <c r="AT69" s="12">
        <f t="shared" ref="AT69" ca="1" si="861">+AS69</f>
        <v>103.92079934270411</v>
      </c>
      <c r="AU69" s="12">
        <f t="shared" ref="AU69" ca="1" si="862">+AT69</f>
        <v>103.92079934270411</v>
      </c>
      <c r="AV69" s="12">
        <f t="shared" ref="AV69" ca="1" si="863">+AU69</f>
        <v>103.92079934270411</v>
      </c>
      <c r="AW69" s="12">
        <f t="shared" ref="AW69" ca="1" si="864">+AV69</f>
        <v>103.92079934270411</v>
      </c>
      <c r="AX69" s="12">
        <f ca="1">+AW69*(1+B62)</f>
        <v>109.11683930983932</v>
      </c>
      <c r="AY69" s="12">
        <f ca="1">+AX69</f>
        <v>109.11683930983932</v>
      </c>
      <c r="AZ69" s="12">
        <f t="shared" ref="AZ69" ca="1" si="865">+AY69</f>
        <v>109.11683930983932</v>
      </c>
      <c r="BA69" s="12">
        <f t="shared" ref="BA69" ca="1" si="866">+AZ69</f>
        <v>109.11683930983932</v>
      </c>
      <c r="BB69" s="12">
        <f t="shared" ref="BB69" ca="1" si="867">+BA69</f>
        <v>109.11683930983932</v>
      </c>
      <c r="BC69" s="12">
        <f t="shared" ref="BC69" ca="1" si="868">+BB69</f>
        <v>109.11683930983932</v>
      </c>
      <c r="BD69" s="12">
        <f t="shared" ref="BD69" ca="1" si="869">+BC69</f>
        <v>109.11683930983932</v>
      </c>
      <c r="BE69" s="12">
        <f ca="1">+BD69</f>
        <v>109.11683930983932</v>
      </c>
      <c r="BF69" s="12">
        <f t="shared" ref="BF69" ca="1" si="870">+BE69</f>
        <v>109.11683930983932</v>
      </c>
      <c r="BG69" s="12">
        <f t="shared" ref="BG69" ca="1" si="871">+BF69</f>
        <v>109.11683930983932</v>
      </c>
      <c r="BH69" s="12">
        <f t="shared" ref="BH69" ca="1" si="872">+BG69</f>
        <v>109.11683930983932</v>
      </c>
      <c r="BI69" s="12">
        <f t="shared" ref="BI69" ca="1" si="873">+BH69</f>
        <v>109.11683930983932</v>
      </c>
      <c r="BJ69" s="12">
        <f ca="1">+BI69*(1+$B$2)</f>
        <v>112.39034448913451</v>
      </c>
      <c r="BK69" s="12">
        <f ca="1">+BJ69</f>
        <v>112.39034448913451</v>
      </c>
      <c r="BL69" s="12">
        <f t="shared" ref="BL69" ca="1" si="874">+BK69</f>
        <v>112.39034448913451</v>
      </c>
      <c r="BM69" s="12">
        <f t="shared" ref="BM69" ca="1" si="875">+BL69</f>
        <v>112.39034448913451</v>
      </c>
      <c r="BN69" s="12">
        <f t="shared" ref="BN69" ca="1" si="876">+BM69</f>
        <v>112.39034448913451</v>
      </c>
      <c r="BO69" s="12">
        <f t="shared" ref="BO69" ca="1" si="877">+BN69</f>
        <v>112.39034448913451</v>
      </c>
      <c r="BP69" s="12">
        <f t="shared" ref="BP69" ca="1" si="878">+BO69</f>
        <v>112.39034448913451</v>
      </c>
      <c r="BQ69" s="12">
        <f t="shared" ref="BQ69" ca="1" si="879">+BP69</f>
        <v>112.39034448913451</v>
      </c>
      <c r="BR69" s="12">
        <f t="shared" ref="BR69" ca="1" si="880">+BQ69</f>
        <v>112.39034448913451</v>
      </c>
      <c r="BS69" s="12">
        <f t="shared" ref="BS69" ca="1" si="881">+BR69</f>
        <v>112.39034448913451</v>
      </c>
      <c r="BT69" s="12">
        <f t="shared" ref="BT69" ca="1" si="882">+BS69</f>
        <v>112.39034448913451</v>
      </c>
      <c r="BU69" s="12">
        <f t="shared" ref="BU69" ca="1" si="883">+BT69</f>
        <v>112.39034448913451</v>
      </c>
      <c r="BV69" s="12">
        <f ca="1">+BU69*(1+B62)</f>
        <v>118.00986171359123</v>
      </c>
      <c r="BW69" s="12">
        <f ca="1">+BV69</f>
        <v>118.00986171359123</v>
      </c>
      <c r="BX69" s="12">
        <f t="shared" ref="BX69" ca="1" si="884">+BW69</f>
        <v>118.00986171359123</v>
      </c>
      <c r="BY69" s="12">
        <f t="shared" ref="BY69" ca="1" si="885">+BX69</f>
        <v>118.00986171359123</v>
      </c>
      <c r="BZ69" s="12">
        <f t="shared" ref="BZ69" ca="1" si="886">+BY69</f>
        <v>118.00986171359123</v>
      </c>
      <c r="CA69" s="12">
        <f t="shared" ref="CA69" ca="1" si="887">+BZ69</f>
        <v>118.00986171359123</v>
      </c>
      <c r="CB69" s="12">
        <f t="shared" ref="CB69" ca="1" si="888">+CA69</f>
        <v>118.00986171359123</v>
      </c>
      <c r="CC69" s="12">
        <f t="shared" ref="CC69" ca="1" si="889">+CB69</f>
        <v>118.00986171359123</v>
      </c>
      <c r="CD69" s="12">
        <f t="shared" ref="CD69" ca="1" si="890">+CC69</f>
        <v>118.00986171359123</v>
      </c>
      <c r="CE69" s="12">
        <f t="shared" ref="CE69" ca="1" si="891">+CD69</f>
        <v>118.00986171359123</v>
      </c>
      <c r="CF69" s="12">
        <f t="shared" ref="CF69" ca="1" si="892">+CE69</f>
        <v>118.00986171359123</v>
      </c>
      <c r="CG69" s="12">
        <f t="shared" ref="CG69" ca="1" si="893">+CF69</f>
        <v>118.00986171359123</v>
      </c>
      <c r="CH69" s="30">
        <f ca="1">+CG69*(1+$B$2)</f>
        <v>121.55015756499897</v>
      </c>
      <c r="CI69" s="12">
        <f ca="1">+CH69</f>
        <v>121.55015756499897</v>
      </c>
      <c r="CJ69" s="12">
        <f ca="1">+CI69</f>
        <v>121.55015756499897</v>
      </c>
      <c r="CK69" s="12">
        <f t="shared" ref="CK69" ca="1" si="894">+CJ69</f>
        <v>121.55015756499897</v>
      </c>
      <c r="CL69" s="12">
        <f t="shared" ref="CL69" ca="1" si="895">+CK69</f>
        <v>121.55015756499897</v>
      </c>
      <c r="CM69" s="12">
        <f t="shared" ref="CM69" ca="1" si="896">+CL69</f>
        <v>121.55015756499897</v>
      </c>
      <c r="CN69" s="12">
        <f t="shared" ref="CN69" ca="1" si="897">+CM69</f>
        <v>121.55015756499897</v>
      </c>
      <c r="CO69" s="12">
        <f t="shared" ref="CO69" ca="1" si="898">+CN69</f>
        <v>121.55015756499897</v>
      </c>
      <c r="CP69" s="12">
        <f t="shared" ref="CP69" ca="1" si="899">+CO69</f>
        <v>121.55015756499897</v>
      </c>
      <c r="CQ69" s="12">
        <f t="shared" ref="CQ69" ca="1" si="900">+CP69</f>
        <v>121.55015756499897</v>
      </c>
      <c r="CR69" s="12">
        <f t="shared" ref="CR69" ca="1" si="901">+CQ69</f>
        <v>121.55015756499897</v>
      </c>
      <c r="CS69" s="12">
        <f t="shared" ref="CS69" ca="1" si="902">+CR69</f>
        <v>121.55015756499897</v>
      </c>
      <c r="CT69" s="12">
        <f ca="1">+CS69*(1+B62)</f>
        <v>127.62766544324893</v>
      </c>
      <c r="CU69" s="12">
        <f ca="1">+CT69</f>
        <v>127.62766544324893</v>
      </c>
      <c r="CV69" s="12">
        <f t="shared" ref="CV69" ca="1" si="903">+CU69</f>
        <v>127.62766544324893</v>
      </c>
      <c r="CW69" s="12">
        <f t="shared" ref="CW69" ca="1" si="904">+CV69</f>
        <v>127.62766544324893</v>
      </c>
      <c r="CX69" s="12">
        <f t="shared" ref="CX69" ca="1" si="905">+CW69</f>
        <v>127.62766544324893</v>
      </c>
      <c r="CY69" s="12">
        <f t="shared" ref="CY69" ca="1" si="906">+CX69</f>
        <v>127.62766544324893</v>
      </c>
      <c r="CZ69" s="12">
        <f t="shared" ref="CZ69" ca="1" si="907">+CY69</f>
        <v>127.62766544324893</v>
      </c>
      <c r="DA69" s="12">
        <f t="shared" ref="DA69" ca="1" si="908">+CZ69</f>
        <v>127.62766544324893</v>
      </c>
      <c r="DB69" s="12">
        <f t="shared" ref="DB69" ca="1" si="909">+DA69</f>
        <v>127.62766544324893</v>
      </c>
      <c r="DC69" s="12">
        <f t="shared" ref="DC69" ca="1" si="910">+DB69</f>
        <v>127.62766544324893</v>
      </c>
      <c r="DD69" s="12">
        <f t="shared" ref="DD69" ca="1" si="911">+DC69</f>
        <v>127.62766544324893</v>
      </c>
      <c r="DE69" s="12">
        <f t="shared" ref="DE69" ca="1" si="912">+DD69</f>
        <v>127.62766544324893</v>
      </c>
      <c r="DF69" s="12">
        <f ca="1">+DE69*(1+B62)</f>
        <v>134.00904871541138</v>
      </c>
      <c r="DG69" s="12">
        <f ca="1">+DF69</f>
        <v>134.00904871541138</v>
      </c>
      <c r="DH69" s="12">
        <f t="shared" ref="DH69" ca="1" si="913">+DG69</f>
        <v>134.00904871541138</v>
      </c>
      <c r="DI69" s="12">
        <f t="shared" ref="DI69" ca="1" si="914">+DH69</f>
        <v>134.00904871541138</v>
      </c>
      <c r="DJ69" s="12">
        <f t="shared" ref="DJ69" ca="1" si="915">+DI69</f>
        <v>134.00904871541138</v>
      </c>
      <c r="DK69" s="12">
        <f t="shared" ref="DK69" ca="1" si="916">+DJ69</f>
        <v>134.00904871541138</v>
      </c>
      <c r="DL69" s="12">
        <f t="shared" ref="DL69" ca="1" si="917">+DK69</f>
        <v>134.00904871541138</v>
      </c>
      <c r="DM69" s="12">
        <f t="shared" ref="DM69" ca="1" si="918">+DL69</f>
        <v>134.00904871541138</v>
      </c>
      <c r="DN69" s="12">
        <f t="shared" ref="DN69" ca="1" si="919">+DM69</f>
        <v>134.00904871541138</v>
      </c>
      <c r="DO69" s="12">
        <f t="shared" ref="DO69" ca="1" si="920">+DN69</f>
        <v>134.00904871541138</v>
      </c>
      <c r="DP69" s="12">
        <f t="shared" ref="DP69" ca="1" si="921">+DO69</f>
        <v>134.00904871541138</v>
      </c>
      <c r="DQ69" s="12">
        <f t="shared" ref="DQ69" ca="1" si="922">+DP69</f>
        <v>134.00904871541138</v>
      </c>
      <c r="DR69" s="12">
        <f ca="1">+DQ69*(1+B62)</f>
        <v>140.70950115118197</v>
      </c>
      <c r="DS69" s="12">
        <f ca="1">+DR69</f>
        <v>140.70950115118197</v>
      </c>
      <c r="DT69" s="12">
        <f t="shared" ref="DT69" ca="1" si="923">+DS69</f>
        <v>140.70950115118197</v>
      </c>
      <c r="DU69" s="12">
        <f t="shared" ref="DU69" ca="1" si="924">+DT69</f>
        <v>140.70950115118197</v>
      </c>
      <c r="DV69" s="12">
        <f t="shared" ref="DV69" ca="1" si="925">+DU69</f>
        <v>140.70950115118197</v>
      </c>
      <c r="DW69" s="12">
        <f t="shared" ref="DW69" ca="1" si="926">+DV69</f>
        <v>140.70950115118197</v>
      </c>
      <c r="DX69" s="12">
        <f t="shared" ref="DX69" ca="1" si="927">+DW69</f>
        <v>140.70950115118197</v>
      </c>
      <c r="DY69" s="12">
        <f t="shared" ref="DY69" ca="1" si="928">+DX69</f>
        <v>140.70950115118197</v>
      </c>
      <c r="DZ69" s="12">
        <f t="shared" ref="DZ69" ca="1" si="929">+DY69</f>
        <v>140.70950115118197</v>
      </c>
      <c r="EA69" s="12">
        <f t="shared" ref="EA69" ca="1" si="930">+DZ69</f>
        <v>140.70950115118197</v>
      </c>
      <c r="EB69" s="12">
        <f t="shared" ref="EB69" ca="1" si="931">+EA69</f>
        <v>140.70950115118197</v>
      </c>
      <c r="EC69" s="12">
        <f t="shared" ref="EC69" ca="1" si="932">+EB69</f>
        <v>140.70950115118197</v>
      </c>
      <c r="ED69" s="12">
        <f ca="1">+EC69*(1+B62)</f>
        <v>147.74497620874106</v>
      </c>
      <c r="EE69" s="12">
        <f ca="1">+ED69</f>
        <v>147.74497620874106</v>
      </c>
      <c r="EF69" s="12">
        <f t="shared" ref="EF69" ca="1" si="933">+EE69</f>
        <v>147.74497620874106</v>
      </c>
      <c r="EG69" s="12">
        <f t="shared" ref="EG69" ca="1" si="934">+EF69</f>
        <v>147.74497620874106</v>
      </c>
      <c r="EH69" s="12">
        <f t="shared" ref="EH69" ca="1" si="935">+EG69</f>
        <v>147.74497620874106</v>
      </c>
      <c r="EI69" s="12">
        <f t="shared" ref="EI69" ca="1" si="936">+EH69</f>
        <v>147.74497620874106</v>
      </c>
      <c r="EJ69" s="12">
        <f t="shared" ref="EJ69" ca="1" si="937">+EI69</f>
        <v>147.74497620874106</v>
      </c>
      <c r="EK69" s="12">
        <f t="shared" ref="EK69" ca="1" si="938">+EJ69</f>
        <v>147.74497620874106</v>
      </c>
      <c r="EL69" s="12">
        <f t="shared" ref="EL69" ca="1" si="939">+EK69</f>
        <v>147.74497620874106</v>
      </c>
      <c r="EM69" s="12">
        <f t="shared" ref="EM69" ca="1" si="940">+EL69</f>
        <v>147.74497620874106</v>
      </c>
      <c r="EN69" s="12">
        <f t="shared" ref="EN69" ca="1" si="941">+EM69</f>
        <v>147.74497620874106</v>
      </c>
      <c r="EO69" s="12">
        <f t="shared" ref="EO69" ca="1" si="942">+EN69</f>
        <v>147.74497620874106</v>
      </c>
      <c r="EP69" s="12">
        <f ca="1">+EO69*(1+B62)</f>
        <v>155.13222501917812</v>
      </c>
      <c r="EQ69" s="12">
        <f ca="1">+EP69</f>
        <v>155.13222501917812</v>
      </c>
      <c r="ER69" s="12">
        <f t="shared" ref="ER69" ca="1" si="943">+EQ69</f>
        <v>155.13222501917812</v>
      </c>
      <c r="ES69" s="12">
        <f t="shared" ref="ES69" ca="1" si="944">+ER69</f>
        <v>155.13222501917812</v>
      </c>
      <c r="ET69" s="12">
        <f t="shared" ref="ET69" ca="1" si="945">+ES69</f>
        <v>155.13222501917812</v>
      </c>
      <c r="EU69" s="12">
        <f t="shared" ref="EU69" ca="1" si="946">+ET69</f>
        <v>155.13222501917812</v>
      </c>
      <c r="EV69" s="12">
        <f t="shared" ref="EV69" ca="1" si="947">+EU69</f>
        <v>155.13222501917812</v>
      </c>
      <c r="EW69" s="12">
        <f t="shared" ref="EW69" ca="1" si="948">+EV69</f>
        <v>155.13222501917812</v>
      </c>
      <c r="EX69" s="12">
        <f t="shared" ref="EX69" ca="1" si="949">+EW69</f>
        <v>155.13222501917812</v>
      </c>
      <c r="EY69" s="12">
        <f t="shared" ref="EY69" ca="1" si="950">+EX69</f>
        <v>155.13222501917812</v>
      </c>
      <c r="EZ69" s="12">
        <f t="shared" ref="EZ69" ca="1" si="951">+EY69</f>
        <v>155.13222501917812</v>
      </c>
      <c r="FA69" s="12">
        <f t="shared" ref="FA69" ca="1" si="952">+EZ69</f>
        <v>155.13222501917812</v>
      </c>
      <c r="FB69" s="12">
        <f ca="1">+FA69*(1+B62)</f>
        <v>162.88883627013703</v>
      </c>
      <c r="FC69" s="12">
        <f ca="1">+FB69</f>
        <v>162.88883627013703</v>
      </c>
      <c r="FD69" s="12">
        <f t="shared" ref="FD69" ca="1" si="953">+FC69</f>
        <v>162.88883627013703</v>
      </c>
      <c r="FE69" s="12">
        <f t="shared" ref="FE69" ca="1" si="954">+FD69</f>
        <v>162.88883627013703</v>
      </c>
      <c r="FF69" s="12">
        <f t="shared" ref="FF69" ca="1" si="955">+FE69</f>
        <v>162.88883627013703</v>
      </c>
      <c r="FG69" s="12">
        <f t="shared" ref="FG69" ca="1" si="956">+FF69</f>
        <v>162.88883627013703</v>
      </c>
      <c r="FH69" s="12">
        <f t="shared" ref="FH69" ca="1" si="957">+FG69</f>
        <v>162.88883627013703</v>
      </c>
      <c r="FI69" s="12">
        <f t="shared" ref="FI69" ca="1" si="958">+FH69</f>
        <v>162.88883627013703</v>
      </c>
      <c r="FJ69" s="12">
        <f t="shared" ref="FJ69" ca="1" si="959">+FI69</f>
        <v>162.88883627013703</v>
      </c>
      <c r="FK69" s="12">
        <f t="shared" ref="FK69" ca="1" si="960">+FJ69</f>
        <v>162.88883627013703</v>
      </c>
      <c r="FL69" s="12">
        <f t="shared" ref="FL69" ca="1" si="961">+FK69</f>
        <v>162.88883627013703</v>
      </c>
      <c r="FM69" s="12">
        <f t="shared" ref="FM69" ca="1" si="962">+FL69</f>
        <v>162.88883627013703</v>
      </c>
      <c r="FN69" s="12">
        <f ca="1">+FM69*(1+B62)</f>
        <v>171.03327808364389</v>
      </c>
      <c r="FO69" s="12">
        <f ca="1">+FN69</f>
        <v>171.03327808364389</v>
      </c>
      <c r="FP69" s="12">
        <f t="shared" ref="FP69" ca="1" si="963">+FO69</f>
        <v>171.03327808364389</v>
      </c>
      <c r="FQ69" s="12">
        <f t="shared" ref="FQ69" ca="1" si="964">+FP69</f>
        <v>171.03327808364389</v>
      </c>
      <c r="FR69" s="12">
        <f t="shared" ref="FR69" ca="1" si="965">+FQ69</f>
        <v>171.03327808364389</v>
      </c>
      <c r="FS69" s="12">
        <f t="shared" ref="FS69" ca="1" si="966">+FR69</f>
        <v>171.03327808364389</v>
      </c>
      <c r="FT69" s="12">
        <f t="shared" ref="FT69" ca="1" si="967">+FS69</f>
        <v>171.03327808364389</v>
      </c>
      <c r="FU69" s="12">
        <f t="shared" ref="FU69" ca="1" si="968">+FT69</f>
        <v>171.03327808364389</v>
      </c>
      <c r="FV69" s="12">
        <f t="shared" ref="FV69" ca="1" si="969">+FU69</f>
        <v>171.03327808364389</v>
      </c>
      <c r="FW69" s="12">
        <f t="shared" ref="FW69" ca="1" si="970">+FV69</f>
        <v>171.03327808364389</v>
      </c>
      <c r="FX69" s="12">
        <f t="shared" ref="FX69" ca="1" si="971">+FW69</f>
        <v>171.03327808364389</v>
      </c>
      <c r="FY69" s="12">
        <f t="shared" ref="FY69" ca="1" si="972">+FX69</f>
        <v>171.03327808364389</v>
      </c>
      <c r="FZ69" s="12">
        <f ca="1">+FY69*(1+B62)</f>
        <v>179.58494198782608</v>
      </c>
      <c r="GA69" s="12">
        <f ca="1">+FZ69</f>
        <v>179.58494198782608</v>
      </c>
      <c r="GB69" s="12">
        <f t="shared" ref="GB69" ca="1" si="973">+GA69</f>
        <v>179.58494198782608</v>
      </c>
      <c r="GC69" s="12">
        <f t="shared" ref="GC69" ca="1" si="974">+GB69</f>
        <v>179.58494198782608</v>
      </c>
      <c r="GD69" s="12">
        <f t="shared" ref="GD69" ca="1" si="975">+GC69</f>
        <v>179.58494198782608</v>
      </c>
      <c r="GE69" s="12">
        <f t="shared" ref="GE69" ca="1" si="976">+GD69</f>
        <v>179.58494198782608</v>
      </c>
      <c r="GF69" s="12">
        <f t="shared" ref="GF69" ca="1" si="977">+GE69</f>
        <v>179.58494198782608</v>
      </c>
      <c r="GG69" s="12">
        <f t="shared" ref="GG69" ca="1" si="978">+GF69</f>
        <v>179.58494198782608</v>
      </c>
      <c r="GH69" s="12">
        <f t="shared" ref="GH69" ca="1" si="979">+GG69</f>
        <v>179.58494198782608</v>
      </c>
      <c r="GI69" s="12">
        <f t="shared" ref="GI69" ca="1" si="980">+GH69</f>
        <v>179.58494198782608</v>
      </c>
      <c r="GJ69" s="12">
        <f t="shared" ref="GJ69" ca="1" si="981">+GI69</f>
        <v>179.58494198782608</v>
      </c>
      <c r="GK69" s="12">
        <f t="shared" ref="GK69" ca="1" si="982">+GJ69</f>
        <v>179.58494198782608</v>
      </c>
      <c r="GL69" s="12">
        <f ca="1">+GK69*(1+B62)</f>
        <v>188.56418908721739</v>
      </c>
      <c r="GM69" s="12">
        <f ca="1">+GL69</f>
        <v>188.56418908721739</v>
      </c>
      <c r="GN69" s="12">
        <f t="shared" ref="GN69" ca="1" si="983">+GM69</f>
        <v>188.56418908721739</v>
      </c>
      <c r="GO69" s="12">
        <f t="shared" ref="GO69" ca="1" si="984">+GN69</f>
        <v>188.56418908721739</v>
      </c>
      <c r="GP69" s="12">
        <f t="shared" ref="GP69" ca="1" si="985">+GO69</f>
        <v>188.56418908721739</v>
      </c>
      <c r="GQ69" s="12">
        <f t="shared" ref="GQ69" ca="1" si="986">+GP69</f>
        <v>188.56418908721739</v>
      </c>
      <c r="GR69" s="12">
        <f t="shared" ref="GR69" ca="1" si="987">+GQ69</f>
        <v>188.56418908721739</v>
      </c>
      <c r="GS69" s="12">
        <f t="shared" ref="GS69" ca="1" si="988">+GR69</f>
        <v>188.56418908721739</v>
      </c>
      <c r="GT69" s="12">
        <f t="shared" ref="GT69" ca="1" si="989">+GS69</f>
        <v>188.56418908721739</v>
      </c>
      <c r="GU69" s="12">
        <f t="shared" ref="GU69" ca="1" si="990">+GT69</f>
        <v>188.56418908721739</v>
      </c>
      <c r="GV69" s="12">
        <f t="shared" ref="GV69" ca="1" si="991">+GU69</f>
        <v>188.56418908721739</v>
      </c>
      <c r="GW69" s="12">
        <f t="shared" ref="GW69" ca="1" si="992">+GV69</f>
        <v>188.56418908721739</v>
      </c>
      <c r="GX69" s="12">
        <f ca="1">+GW69*(1+B62)</f>
        <v>197.99239854157827</v>
      </c>
      <c r="GY69" s="12">
        <f ca="1">+GX69</f>
        <v>197.99239854157827</v>
      </c>
      <c r="GZ69" s="12">
        <f t="shared" ref="GZ69" ca="1" si="993">+GY69</f>
        <v>197.99239854157827</v>
      </c>
      <c r="HA69" s="12">
        <f t="shared" ref="HA69" ca="1" si="994">+GZ69</f>
        <v>197.99239854157827</v>
      </c>
      <c r="HB69" s="12">
        <f t="shared" ref="HB69" ca="1" si="995">+HA69</f>
        <v>197.99239854157827</v>
      </c>
      <c r="HC69" s="12">
        <f t="shared" ref="HC69" ca="1" si="996">+HB69</f>
        <v>197.99239854157827</v>
      </c>
      <c r="HD69" s="12">
        <f t="shared" ref="HD69" ca="1" si="997">+HC69</f>
        <v>197.99239854157827</v>
      </c>
      <c r="HE69" s="12">
        <f t="shared" ref="HE69" ca="1" si="998">+HD69</f>
        <v>197.99239854157827</v>
      </c>
      <c r="HF69" s="12">
        <f t="shared" ref="HF69" ca="1" si="999">+HE69</f>
        <v>197.99239854157827</v>
      </c>
      <c r="HG69" s="12">
        <f t="shared" ref="HG69" ca="1" si="1000">+HF69</f>
        <v>197.99239854157827</v>
      </c>
      <c r="HH69" s="12">
        <f t="shared" ref="HH69" ca="1" si="1001">+HG69</f>
        <v>197.99239854157827</v>
      </c>
      <c r="HI69" s="12">
        <f t="shared" ref="HI69" ca="1" si="1002">+HH69</f>
        <v>197.99239854157827</v>
      </c>
      <c r="HJ69" s="12">
        <f ca="1">+HI69*(1+B62)</f>
        <v>207.8920184686572</v>
      </c>
      <c r="HK69" s="12">
        <f ca="1">+HJ69</f>
        <v>207.8920184686572</v>
      </c>
      <c r="HL69" s="12">
        <f t="shared" ref="HL69" ca="1" si="1003">+HK69</f>
        <v>207.8920184686572</v>
      </c>
      <c r="HM69" s="12">
        <f t="shared" ref="HM69" ca="1" si="1004">+HL69</f>
        <v>207.8920184686572</v>
      </c>
      <c r="HN69" s="12">
        <f t="shared" ref="HN69" ca="1" si="1005">+HM69</f>
        <v>207.8920184686572</v>
      </c>
      <c r="HO69" s="12">
        <f t="shared" ref="HO69" ca="1" si="1006">+HN69</f>
        <v>207.8920184686572</v>
      </c>
      <c r="HP69" s="12">
        <f t="shared" ref="HP69" ca="1" si="1007">+HO69</f>
        <v>207.8920184686572</v>
      </c>
      <c r="HQ69" s="12">
        <f t="shared" ref="HQ69" ca="1" si="1008">+HP69</f>
        <v>207.8920184686572</v>
      </c>
      <c r="HR69" s="12">
        <f t="shared" ref="HR69" ca="1" si="1009">+HQ69</f>
        <v>207.8920184686572</v>
      </c>
      <c r="HS69" s="12">
        <f t="shared" ref="HS69" ca="1" si="1010">+HR69</f>
        <v>207.8920184686572</v>
      </c>
      <c r="HT69" s="12">
        <f t="shared" ref="HT69" ca="1" si="1011">+HS69</f>
        <v>207.8920184686572</v>
      </c>
      <c r="HU69" s="12">
        <f t="shared" ref="HU69" ca="1" si="1012">+HT69</f>
        <v>207.8920184686572</v>
      </c>
      <c r="HV69" s="12">
        <f ca="1">+HU69*(1+B62)</f>
        <v>218.28661939209007</v>
      </c>
      <c r="HW69" s="12">
        <f ca="1">+HV69</f>
        <v>218.28661939209007</v>
      </c>
      <c r="HX69" s="12">
        <f t="shared" ref="HX69" ca="1" si="1013">+HW69</f>
        <v>218.28661939209007</v>
      </c>
      <c r="HY69" s="12">
        <f t="shared" ref="HY69" ca="1" si="1014">+HX69</f>
        <v>218.28661939209007</v>
      </c>
      <c r="HZ69" s="12">
        <f t="shared" ref="HZ69" ca="1" si="1015">+HY69</f>
        <v>218.28661939209007</v>
      </c>
      <c r="IA69" s="12">
        <f t="shared" ref="IA69" ca="1" si="1016">+HZ69</f>
        <v>218.28661939209007</v>
      </c>
      <c r="IB69" s="12">
        <f t="shared" ref="IB69" ca="1" si="1017">+IA69</f>
        <v>218.28661939209007</v>
      </c>
      <c r="IC69" s="12">
        <f t="shared" ref="IC69" ca="1" si="1018">+IB69</f>
        <v>218.28661939209007</v>
      </c>
      <c r="ID69" s="12">
        <f t="shared" ref="ID69" ca="1" si="1019">+IC69</f>
        <v>218.28661939209007</v>
      </c>
      <c r="IE69" s="12">
        <f t="shared" ref="IE69" ca="1" si="1020">+ID69</f>
        <v>218.28661939209007</v>
      </c>
      <c r="IF69" s="12">
        <f t="shared" ref="IF69" ca="1" si="1021">+IE69</f>
        <v>218.28661939209007</v>
      </c>
      <c r="IG69" s="12">
        <f t="shared" ref="IG69" ca="1" si="1022">+IF69</f>
        <v>218.28661939209007</v>
      </c>
      <c r="IH69" s="12">
        <f ca="1">+IG69*(1+B62)</f>
        <v>229.20095036169459</v>
      </c>
      <c r="II69" s="12">
        <f ca="1">+IH69</f>
        <v>229.20095036169459</v>
      </c>
      <c r="IJ69" s="12">
        <f t="shared" ref="IJ69" ca="1" si="1023">+II69</f>
        <v>229.20095036169459</v>
      </c>
      <c r="IK69" s="12">
        <f t="shared" ref="IK69" ca="1" si="1024">+IJ69</f>
        <v>229.20095036169459</v>
      </c>
      <c r="IL69" s="12">
        <f t="shared" ref="IL69" ca="1" si="1025">+IK69</f>
        <v>229.20095036169459</v>
      </c>
      <c r="IM69" s="12">
        <f t="shared" ref="IM69" ca="1" si="1026">+IL69</f>
        <v>229.20095036169459</v>
      </c>
      <c r="IN69" s="12">
        <f t="shared" ref="IN69" ca="1" si="1027">+IM69</f>
        <v>229.20095036169459</v>
      </c>
      <c r="IO69" s="12">
        <f t="shared" ref="IO69" ca="1" si="1028">+IN69</f>
        <v>229.20095036169459</v>
      </c>
      <c r="IP69" s="12">
        <f t="shared" ref="IP69" ca="1" si="1029">+IO69</f>
        <v>229.20095036169459</v>
      </c>
      <c r="IQ69" s="12">
        <f t="shared" ref="IQ69" ca="1" si="1030">+IP69</f>
        <v>229.20095036169459</v>
      </c>
      <c r="IR69" s="12">
        <f t="shared" ref="IR69" ca="1" si="1031">+IQ69</f>
        <v>229.20095036169459</v>
      </c>
      <c r="IS69" s="12">
        <f t="shared" ref="IS69" ca="1" si="1032">+IR69</f>
        <v>229.20095036169459</v>
      </c>
      <c r="IT69" s="12">
        <f ca="1">+IS69*(1+B62)</f>
        <v>240.66099787977933</v>
      </c>
      <c r="IU69" s="12">
        <f ca="1">+IT69</f>
        <v>240.66099787977933</v>
      </c>
      <c r="IV69" s="12">
        <f t="shared" ref="IV69" ca="1" si="1033">+IU69</f>
        <v>240.66099787977933</v>
      </c>
      <c r="IW69" s="12">
        <f t="shared" ref="IW69" ca="1" si="1034">+IV69</f>
        <v>240.66099787977933</v>
      </c>
      <c r="IX69" s="12">
        <f t="shared" ref="IX69" ca="1" si="1035">+IW69</f>
        <v>240.66099787977933</v>
      </c>
      <c r="IY69" s="12">
        <f t="shared" ref="IY69" ca="1" si="1036">+IX69</f>
        <v>240.66099787977933</v>
      </c>
      <c r="IZ69" s="12">
        <f t="shared" ref="IZ69" ca="1" si="1037">+IY69</f>
        <v>240.66099787977933</v>
      </c>
      <c r="JA69" s="12">
        <f t="shared" ref="JA69" ca="1" si="1038">+IZ69</f>
        <v>240.66099787977933</v>
      </c>
      <c r="JB69" s="12">
        <f t="shared" ref="JB69" ca="1" si="1039">+JA69</f>
        <v>240.66099787977933</v>
      </c>
      <c r="JC69" s="12">
        <f t="shared" ref="JC69" ca="1" si="1040">+JB69</f>
        <v>240.66099787977933</v>
      </c>
      <c r="JD69" s="12">
        <f t="shared" ref="JD69" ca="1" si="1041">+JC69</f>
        <v>240.66099787977933</v>
      </c>
      <c r="JE69" s="12">
        <f t="shared" ref="JE69" ca="1" si="1042">+JD69</f>
        <v>240.66099787977933</v>
      </c>
    </row>
    <row r="70" spans="1:265" x14ac:dyDescent="0.3">
      <c r="A70" t="s">
        <v>847</v>
      </c>
      <c r="B70" s="33">
        <f>+B50</f>
        <v>421</v>
      </c>
      <c r="C70" s="33">
        <f t="shared" ref="C70:BN70" si="1043">+C50</f>
        <v>607</v>
      </c>
      <c r="D70" s="33">
        <f t="shared" si="1043"/>
        <v>376</v>
      </c>
      <c r="E70" s="33">
        <f t="shared" si="1043"/>
        <v>277</v>
      </c>
      <c r="F70" s="33">
        <f t="shared" si="1043"/>
        <v>657</v>
      </c>
      <c r="G70" s="33">
        <f t="shared" si="1043"/>
        <v>574</v>
      </c>
      <c r="H70" s="33">
        <f t="shared" si="1043"/>
        <v>617</v>
      </c>
      <c r="I70" s="33">
        <f t="shared" si="1043"/>
        <v>719</v>
      </c>
      <c r="J70" s="33">
        <f t="shared" si="1043"/>
        <v>1036</v>
      </c>
      <c r="K70" s="33">
        <f t="shared" si="1043"/>
        <v>1178</v>
      </c>
      <c r="L70" s="33">
        <f t="shared" si="1043"/>
        <v>777</v>
      </c>
      <c r="M70" s="33">
        <f t="shared" si="1043"/>
        <v>708</v>
      </c>
      <c r="N70" s="33">
        <f t="shared" si="1043"/>
        <v>563.2689188897898</v>
      </c>
      <c r="O70" s="33">
        <f t="shared" si="1043"/>
        <v>571.78431020401501</v>
      </c>
      <c r="P70" s="33">
        <f t="shared" si="1043"/>
        <v>621.88625465141388</v>
      </c>
      <c r="Q70" s="33">
        <f t="shared" si="1043"/>
        <v>759.08611727990012</v>
      </c>
      <c r="R70" s="33">
        <f t="shared" si="1043"/>
        <v>297.15870483867525</v>
      </c>
      <c r="S70" s="33">
        <f t="shared" si="1043"/>
        <v>287.12492191645202</v>
      </c>
      <c r="T70" s="33">
        <f t="shared" si="1043"/>
        <v>291.63770588746024</v>
      </c>
      <c r="U70" s="33">
        <f t="shared" si="1043"/>
        <v>572.95334196097235</v>
      </c>
      <c r="V70" s="33">
        <f t="shared" si="1043"/>
        <v>872.37307894909748</v>
      </c>
      <c r="W70" s="33">
        <f t="shared" si="1043"/>
        <v>917.84675343819993</v>
      </c>
      <c r="X70" s="33">
        <f t="shared" si="1043"/>
        <v>918.48700596730043</v>
      </c>
      <c r="Y70" s="33">
        <f t="shared" si="1043"/>
        <v>759.5353879713183</v>
      </c>
      <c r="Z70" s="33">
        <f t="shared" si="1043"/>
        <v>410.97074948300434</v>
      </c>
      <c r="AA70" s="33">
        <f t="shared" si="1043"/>
        <v>502.7327297681133</v>
      </c>
      <c r="AB70" s="33">
        <f t="shared" si="1043"/>
        <v>400</v>
      </c>
      <c r="AC70" s="33">
        <f t="shared" si="1043"/>
        <v>400</v>
      </c>
      <c r="AD70" s="33">
        <f t="shared" si="1043"/>
        <v>400</v>
      </c>
      <c r="AE70" s="33">
        <f t="shared" si="1043"/>
        <v>400</v>
      </c>
      <c r="AF70" s="33">
        <f t="shared" si="1043"/>
        <v>400</v>
      </c>
      <c r="AG70" s="33">
        <f t="shared" si="1043"/>
        <v>422.83601609611441</v>
      </c>
      <c r="AH70" s="33">
        <f t="shared" si="1043"/>
        <v>716.06872268758036</v>
      </c>
      <c r="AI70" s="33">
        <f t="shared" si="1043"/>
        <v>750.52801906913862</v>
      </c>
      <c r="AJ70" s="33">
        <f t="shared" si="1043"/>
        <v>543.45884359233014</v>
      </c>
      <c r="AK70" s="33">
        <f t="shared" si="1043"/>
        <v>589.60375384170311</v>
      </c>
      <c r="AL70" s="33">
        <f t="shared" si="1043"/>
        <v>431.51928695715458</v>
      </c>
      <c r="AM70" s="33">
        <f t="shared" si="1043"/>
        <v>527.86936625651902</v>
      </c>
      <c r="AN70" s="33">
        <f t="shared" si="1043"/>
        <v>402.71224854145231</v>
      </c>
      <c r="AO70" s="33">
        <f t="shared" si="1043"/>
        <v>398.00436171042924</v>
      </c>
      <c r="AP70" s="33">
        <f t="shared" si="1043"/>
        <v>400</v>
      </c>
      <c r="AQ70" s="33">
        <f t="shared" si="1043"/>
        <v>400</v>
      </c>
      <c r="AR70" s="33">
        <f t="shared" si="1043"/>
        <v>400</v>
      </c>
      <c r="AS70" s="33">
        <f t="shared" si="1043"/>
        <v>443.97781690092012</v>
      </c>
      <c r="AT70" s="33">
        <f t="shared" si="1043"/>
        <v>751.87215882195937</v>
      </c>
      <c r="AU70" s="33">
        <f t="shared" si="1043"/>
        <v>788.05442002259554</v>
      </c>
      <c r="AV70" s="33">
        <f t="shared" si="1043"/>
        <v>570.63178577194662</v>
      </c>
      <c r="AW70" s="33">
        <f t="shared" si="1043"/>
        <v>619.08394153378833</v>
      </c>
      <c r="AX70" s="33">
        <f t="shared" si="1043"/>
        <v>453.09525130501231</v>
      </c>
      <c r="AY70" s="33">
        <f t="shared" si="1043"/>
        <v>554.26283456934505</v>
      </c>
      <c r="AZ70" s="33">
        <f t="shared" si="1043"/>
        <v>422.84786096852497</v>
      </c>
      <c r="BA70" s="33">
        <f t="shared" si="1043"/>
        <v>417.90457979595072</v>
      </c>
      <c r="BB70" s="33">
        <f t="shared" si="1043"/>
        <v>400</v>
      </c>
      <c r="BC70" s="33">
        <f t="shared" si="1043"/>
        <v>400</v>
      </c>
      <c r="BD70" s="33">
        <f t="shared" si="1043"/>
        <v>400</v>
      </c>
      <c r="BE70" s="33">
        <f t="shared" si="1043"/>
        <v>466.17670774596616</v>
      </c>
      <c r="BF70" s="33">
        <f t="shared" si="1043"/>
        <v>789.46576676305733</v>
      </c>
      <c r="BG70" s="33">
        <f t="shared" si="1043"/>
        <v>827.4571410237254</v>
      </c>
      <c r="BH70" s="33">
        <f t="shared" si="1043"/>
        <v>599.16337506054401</v>
      </c>
      <c r="BI70" s="33">
        <f t="shared" si="1043"/>
        <v>650.03813861047774</v>
      </c>
      <c r="BJ70" s="33">
        <f t="shared" si="1043"/>
        <v>475.75001387026293</v>
      </c>
      <c r="BK70" s="33">
        <f t="shared" si="1043"/>
        <v>581.97597629781228</v>
      </c>
      <c r="BL70" s="33">
        <f t="shared" si="1043"/>
        <v>443.99025401695121</v>
      </c>
      <c r="BM70" s="33">
        <f t="shared" si="1043"/>
        <v>438.79980878574827</v>
      </c>
      <c r="BN70" s="33">
        <f t="shared" si="1043"/>
        <v>400</v>
      </c>
      <c r="BO70" s="33">
        <f t="shared" ref="BO70:DZ70" si="1044">+BO50</f>
        <v>400</v>
      </c>
      <c r="BP70" s="33">
        <f t="shared" si="1044"/>
        <v>400</v>
      </c>
      <c r="BQ70" s="33">
        <f t="shared" si="1044"/>
        <v>489.48554313326446</v>
      </c>
      <c r="BR70" s="33">
        <f t="shared" si="1044"/>
        <v>828.93905510121022</v>
      </c>
      <c r="BS70" s="33">
        <f t="shared" si="1044"/>
        <v>868.82999807491171</v>
      </c>
      <c r="BT70" s="33">
        <f t="shared" si="1044"/>
        <v>629.12154381357129</v>
      </c>
      <c r="BU70" s="33">
        <f t="shared" si="1044"/>
        <v>682.54004554100163</v>
      </c>
      <c r="BV70" s="33">
        <f t="shared" si="1044"/>
        <v>499.53751456377609</v>
      </c>
      <c r="BW70" s="33">
        <f t="shared" si="1044"/>
        <v>611.07477511270292</v>
      </c>
      <c r="BX70" s="33">
        <f t="shared" si="1044"/>
        <v>466.18976671779882</v>
      </c>
      <c r="BY70" s="33">
        <f t="shared" si="1044"/>
        <v>460.73979922503571</v>
      </c>
      <c r="BZ70" s="33">
        <f t="shared" si="1044"/>
        <v>400</v>
      </c>
      <c r="CA70" s="33">
        <f t="shared" si="1044"/>
        <v>400</v>
      </c>
      <c r="CB70" s="33">
        <f t="shared" si="1044"/>
        <v>400</v>
      </c>
      <c r="CC70" s="33">
        <f t="shared" si="1044"/>
        <v>513.95982028992773</v>
      </c>
      <c r="CD70" s="33">
        <f t="shared" si="1044"/>
        <v>870.38600785627079</v>
      </c>
      <c r="CE70" s="33">
        <f t="shared" si="1044"/>
        <v>912.27149797865729</v>
      </c>
      <c r="CF70" s="33">
        <f t="shared" si="1044"/>
        <v>660.57762100424986</v>
      </c>
      <c r="CG70" s="33">
        <f t="shared" si="1044"/>
        <v>716.66704781805174</v>
      </c>
      <c r="CH70" s="33">
        <f t="shared" si="1044"/>
        <v>524.5143902919649</v>
      </c>
      <c r="CI70" s="33">
        <f t="shared" si="1044"/>
        <v>641.62851386833813</v>
      </c>
      <c r="CJ70" s="33">
        <f t="shared" si="1044"/>
        <v>489.49925505368878</v>
      </c>
      <c r="CK70" s="33">
        <f t="shared" si="1044"/>
        <v>483.77678918628754</v>
      </c>
      <c r="CL70" s="33">
        <f t="shared" si="1044"/>
        <v>416.72686986338789</v>
      </c>
      <c r="CM70" s="33">
        <f t="shared" si="1044"/>
        <v>400</v>
      </c>
      <c r="CN70" s="33">
        <f t="shared" si="1044"/>
        <v>400</v>
      </c>
      <c r="CO70" s="33">
        <f t="shared" si="1044"/>
        <v>539.65781130442417</v>
      </c>
      <c r="CP70" s="33">
        <f t="shared" si="1044"/>
        <v>913.90530824908433</v>
      </c>
      <c r="CQ70" s="33">
        <f t="shared" si="1044"/>
        <v>957.88507287759023</v>
      </c>
      <c r="CR70" s="33">
        <f t="shared" si="1044"/>
        <v>693.60650205446234</v>
      </c>
      <c r="CS70" s="33">
        <f t="shared" si="1044"/>
        <v>752.50040020895437</v>
      </c>
      <c r="CT70" s="33">
        <f t="shared" si="1044"/>
        <v>550.74010980656317</v>
      </c>
      <c r="CU70" s="33">
        <f t="shared" si="1044"/>
        <v>673.70993956175505</v>
      </c>
      <c r="CV70" s="33">
        <f t="shared" si="1044"/>
        <v>513.97421780637319</v>
      </c>
      <c r="CW70" s="33">
        <f t="shared" si="1044"/>
        <v>507.96562864560195</v>
      </c>
      <c r="CX70" s="33">
        <f t="shared" si="1044"/>
        <v>437.5632133565573</v>
      </c>
      <c r="CY70" s="33">
        <f t="shared" si="1044"/>
        <v>400</v>
      </c>
      <c r="CZ70" s="33">
        <f t="shared" si="1044"/>
        <v>415.28082597768793</v>
      </c>
      <c r="DA70" s="33">
        <f t="shared" si="1044"/>
        <v>566.64070186964545</v>
      </c>
      <c r="DB70" s="33">
        <f t="shared" si="1044"/>
        <v>500</v>
      </c>
      <c r="DC70" s="33">
        <f t="shared" si="1044"/>
        <v>500</v>
      </c>
      <c r="DD70" s="33">
        <f t="shared" si="1044"/>
        <v>728.28682715718548</v>
      </c>
      <c r="DE70" s="33">
        <f t="shared" si="1044"/>
        <v>790.12542021940214</v>
      </c>
      <c r="DF70" s="33">
        <f t="shared" si="1044"/>
        <v>578.27711529689134</v>
      </c>
      <c r="DG70" s="33">
        <f t="shared" si="1044"/>
        <v>707.39543653984288</v>
      </c>
      <c r="DH70" s="33">
        <f t="shared" si="1044"/>
        <v>539.67292869669188</v>
      </c>
      <c r="DI70" s="33">
        <f t="shared" si="1044"/>
        <v>533.36391007788211</v>
      </c>
      <c r="DJ70" s="33">
        <f t="shared" si="1044"/>
        <v>459.4413740243852</v>
      </c>
      <c r="DK70" s="33">
        <f t="shared" si="1044"/>
        <v>404.50342374660408</v>
      </c>
      <c r="DL70" s="33">
        <f t="shared" si="1044"/>
        <v>436.04486727657235</v>
      </c>
      <c r="DM70" s="33">
        <f t="shared" si="1044"/>
        <v>594.97273696312777</v>
      </c>
      <c r="DN70" s="33">
        <f t="shared" si="1044"/>
        <v>500</v>
      </c>
      <c r="DO70" s="33">
        <f t="shared" si="1044"/>
        <v>500</v>
      </c>
      <c r="DP70" s="33">
        <f t="shared" si="1044"/>
        <v>764.70116851504474</v>
      </c>
      <c r="DQ70" s="33">
        <f t="shared" si="1044"/>
        <v>829.63169123037233</v>
      </c>
      <c r="DR70" s="33">
        <f t="shared" si="1044"/>
        <v>607.19097106173592</v>
      </c>
      <c r="DS70" s="33">
        <f t="shared" si="1044"/>
        <v>742.76520836683505</v>
      </c>
      <c r="DT70" s="33">
        <f t="shared" si="1044"/>
        <v>566.65657513152655</v>
      </c>
      <c r="DU70" s="33">
        <f t="shared" si="1044"/>
        <v>560.03210558177625</v>
      </c>
      <c r="DV70" s="33">
        <f t="shared" si="1044"/>
        <v>482.41344272560445</v>
      </c>
      <c r="DW70" s="33">
        <f t="shared" si="1044"/>
        <v>424.72859493393429</v>
      </c>
      <c r="DX70" s="33">
        <f t="shared" si="1044"/>
        <v>457.84711064040096</v>
      </c>
      <c r="DY70" s="33">
        <f t="shared" si="1044"/>
        <v>624.72137381128414</v>
      </c>
      <c r="DZ70" s="33">
        <f t="shared" si="1044"/>
        <v>500</v>
      </c>
      <c r="EA70" s="33">
        <f t="shared" ref="EA70:GL70" si="1045">+EA50</f>
        <v>500</v>
      </c>
      <c r="EB70" s="33">
        <f t="shared" si="1045"/>
        <v>802.93622694079704</v>
      </c>
      <c r="EC70" s="33">
        <f t="shared" si="1045"/>
        <v>871.11327579189094</v>
      </c>
      <c r="ED70" s="33">
        <f t="shared" si="1045"/>
        <v>637.55051961482275</v>
      </c>
      <c r="EE70" s="33">
        <f t="shared" si="1045"/>
        <v>779.90346878517687</v>
      </c>
      <c r="EF70" s="33">
        <f t="shared" si="1045"/>
        <v>594.98940388810286</v>
      </c>
      <c r="EG70" s="33">
        <f t="shared" si="1045"/>
        <v>588.03371086086509</v>
      </c>
      <c r="EH70" s="33">
        <f t="shared" si="1045"/>
        <v>506.53411486188469</v>
      </c>
      <c r="EI70" s="33">
        <f t="shared" si="1045"/>
        <v>445.96502468063102</v>
      </c>
      <c r="EJ70" s="33">
        <f t="shared" si="1045"/>
        <v>480.73946617242103</v>
      </c>
      <c r="EK70" s="33">
        <f t="shared" si="1045"/>
        <v>655.95744250184839</v>
      </c>
      <c r="EL70" s="33">
        <f t="shared" si="1045"/>
        <v>500</v>
      </c>
      <c r="EM70" s="33">
        <f t="shared" si="1045"/>
        <v>500</v>
      </c>
      <c r="EN70" s="33">
        <f t="shared" si="1045"/>
        <v>843.08303828783698</v>
      </c>
      <c r="EO70" s="33">
        <f t="shared" si="1045"/>
        <v>914.66893958148557</v>
      </c>
      <c r="EP70" s="33">
        <f t="shared" si="1045"/>
        <v>669.42804559556396</v>
      </c>
      <c r="EQ70" s="33">
        <f t="shared" si="1045"/>
        <v>818.89864222443578</v>
      </c>
      <c r="ER70" s="33">
        <f t="shared" si="1045"/>
        <v>624.738874082508</v>
      </c>
      <c r="ES70" s="33">
        <f t="shared" si="1045"/>
        <v>617.43539640390838</v>
      </c>
      <c r="ET70" s="33">
        <f t="shared" si="1045"/>
        <v>531.86082060497893</v>
      </c>
      <c r="EU70" s="33">
        <f t="shared" si="1045"/>
        <v>468.26327591466259</v>
      </c>
      <c r="EV70" s="33">
        <f t="shared" si="1045"/>
        <v>504.77643948104213</v>
      </c>
      <c r="EW70" s="33">
        <f t="shared" si="1045"/>
        <v>688.75531462694084</v>
      </c>
      <c r="EX70" s="33">
        <f t="shared" si="1045"/>
        <v>500</v>
      </c>
      <c r="EY70" s="33">
        <f t="shared" si="1045"/>
        <v>500</v>
      </c>
      <c r="EZ70" s="33">
        <f t="shared" si="1045"/>
        <v>885.23719020222882</v>
      </c>
      <c r="FA70" s="33">
        <f t="shared" si="1045"/>
        <v>500</v>
      </c>
      <c r="FB70" s="33">
        <f t="shared" si="1045"/>
        <v>702.89944787534216</v>
      </c>
      <c r="FC70" s="33">
        <f t="shared" si="1045"/>
        <v>859.84357433565765</v>
      </c>
      <c r="FD70" s="33">
        <f t="shared" si="1045"/>
        <v>655.97581778663346</v>
      </c>
      <c r="FE70" s="33">
        <f t="shared" si="1045"/>
        <v>648.30716622410387</v>
      </c>
      <c r="FF70" s="33">
        <f t="shared" si="1045"/>
        <v>558.4538616352279</v>
      </c>
      <c r="FG70" s="33">
        <f t="shared" si="1045"/>
        <v>491.67643971039575</v>
      </c>
      <c r="FH70" s="33">
        <f t="shared" si="1045"/>
        <v>530.01526145509422</v>
      </c>
      <c r="FI70" s="33">
        <f t="shared" si="1045"/>
        <v>723.19308035828794</v>
      </c>
      <c r="FJ70" s="33">
        <f t="shared" si="1045"/>
        <v>500</v>
      </c>
      <c r="FK70" s="33">
        <f t="shared" si="1045"/>
        <v>500</v>
      </c>
      <c r="FL70" s="33">
        <f t="shared" si="1045"/>
        <v>500</v>
      </c>
      <c r="FM70" s="33">
        <f t="shared" si="1045"/>
        <v>500</v>
      </c>
      <c r="FN70" s="33">
        <f t="shared" si="1045"/>
        <v>500</v>
      </c>
      <c r="FO70" s="33">
        <f t="shared" si="1045"/>
        <v>500</v>
      </c>
      <c r="FP70" s="33">
        <f t="shared" si="1045"/>
        <v>500</v>
      </c>
      <c r="FQ70" s="33">
        <f t="shared" si="1045"/>
        <v>500</v>
      </c>
      <c r="FR70" s="33">
        <f t="shared" si="1045"/>
        <v>500</v>
      </c>
      <c r="FS70" s="33">
        <f t="shared" si="1045"/>
        <v>500</v>
      </c>
      <c r="FT70" s="33">
        <f t="shared" si="1045"/>
        <v>500</v>
      </c>
      <c r="FU70" s="33">
        <f t="shared" si="1045"/>
        <v>500</v>
      </c>
      <c r="FV70" s="33">
        <f t="shared" si="1045"/>
        <v>500</v>
      </c>
      <c r="FW70" s="33">
        <f t="shared" si="1045"/>
        <v>500</v>
      </c>
      <c r="FX70" s="33">
        <f t="shared" si="1045"/>
        <v>500</v>
      </c>
      <c r="FY70" s="33">
        <f t="shared" si="1045"/>
        <v>500</v>
      </c>
      <c r="FZ70" s="33">
        <f t="shared" si="1045"/>
        <v>500</v>
      </c>
      <c r="GA70" s="33">
        <f t="shared" si="1045"/>
        <v>500</v>
      </c>
      <c r="GB70" s="33">
        <f t="shared" si="1045"/>
        <v>500</v>
      </c>
      <c r="GC70" s="33">
        <f t="shared" si="1045"/>
        <v>500</v>
      </c>
      <c r="GD70" s="33">
        <f t="shared" si="1045"/>
        <v>500</v>
      </c>
      <c r="GE70" s="33">
        <f t="shared" si="1045"/>
        <v>500</v>
      </c>
      <c r="GF70" s="33">
        <f t="shared" si="1045"/>
        <v>500</v>
      </c>
      <c r="GG70" s="33">
        <f t="shared" si="1045"/>
        <v>500</v>
      </c>
      <c r="GH70" s="33">
        <f t="shared" si="1045"/>
        <v>500</v>
      </c>
      <c r="GI70" s="33">
        <f t="shared" si="1045"/>
        <v>500</v>
      </c>
      <c r="GJ70" s="33">
        <f t="shared" si="1045"/>
        <v>500</v>
      </c>
      <c r="GK70" s="33">
        <f t="shared" si="1045"/>
        <v>500</v>
      </c>
      <c r="GL70" s="33">
        <f t="shared" si="1045"/>
        <v>500</v>
      </c>
      <c r="GM70" s="33">
        <f t="shared" ref="GM70:IX70" si="1046">+GM50</f>
        <v>500</v>
      </c>
      <c r="GN70" s="33">
        <f t="shared" si="1046"/>
        <v>500</v>
      </c>
      <c r="GO70" s="33">
        <f t="shared" si="1046"/>
        <v>500</v>
      </c>
      <c r="GP70" s="33">
        <f t="shared" si="1046"/>
        <v>500</v>
      </c>
      <c r="GQ70" s="33">
        <f t="shared" si="1046"/>
        <v>500</v>
      </c>
      <c r="GR70" s="33">
        <f t="shared" si="1046"/>
        <v>500</v>
      </c>
      <c r="GS70" s="33">
        <f t="shared" si="1046"/>
        <v>500</v>
      </c>
      <c r="GT70" s="33">
        <f t="shared" si="1046"/>
        <v>500</v>
      </c>
      <c r="GU70" s="33">
        <f t="shared" si="1046"/>
        <v>500</v>
      </c>
      <c r="GV70" s="33">
        <f t="shared" si="1046"/>
        <v>500</v>
      </c>
      <c r="GW70" s="33">
        <f t="shared" si="1046"/>
        <v>500</v>
      </c>
      <c r="GX70" s="33">
        <f t="shared" si="1046"/>
        <v>500</v>
      </c>
      <c r="GY70" s="33">
        <f t="shared" si="1046"/>
        <v>500</v>
      </c>
      <c r="GZ70" s="33">
        <f t="shared" si="1046"/>
        <v>500</v>
      </c>
      <c r="HA70" s="33">
        <f t="shared" si="1046"/>
        <v>500</v>
      </c>
      <c r="HB70" s="33">
        <f t="shared" si="1046"/>
        <v>500</v>
      </c>
      <c r="HC70" s="33">
        <f t="shared" si="1046"/>
        <v>500</v>
      </c>
      <c r="HD70" s="33">
        <f t="shared" si="1046"/>
        <v>500</v>
      </c>
      <c r="HE70" s="33">
        <f t="shared" si="1046"/>
        <v>500</v>
      </c>
      <c r="HF70" s="33">
        <f t="shared" si="1046"/>
        <v>500</v>
      </c>
      <c r="HG70" s="33">
        <f t="shared" si="1046"/>
        <v>500</v>
      </c>
      <c r="HH70" s="33">
        <f t="shared" si="1046"/>
        <v>500</v>
      </c>
      <c r="HI70" s="33">
        <f t="shared" si="1046"/>
        <v>500</v>
      </c>
      <c r="HJ70" s="33">
        <f t="shared" si="1046"/>
        <v>500</v>
      </c>
      <c r="HK70" s="33">
        <f t="shared" si="1046"/>
        <v>500</v>
      </c>
      <c r="HL70" s="33">
        <f t="shared" si="1046"/>
        <v>500</v>
      </c>
      <c r="HM70" s="33">
        <f t="shared" si="1046"/>
        <v>500</v>
      </c>
      <c r="HN70" s="33">
        <f t="shared" si="1046"/>
        <v>500</v>
      </c>
      <c r="HO70" s="33">
        <f t="shared" si="1046"/>
        <v>500</v>
      </c>
      <c r="HP70" s="33">
        <f t="shared" si="1046"/>
        <v>500</v>
      </c>
      <c r="HQ70" s="33">
        <f t="shared" si="1046"/>
        <v>500</v>
      </c>
      <c r="HR70" s="33">
        <f t="shared" si="1046"/>
        <v>500</v>
      </c>
      <c r="HS70" s="33">
        <f t="shared" si="1046"/>
        <v>500</v>
      </c>
      <c r="HT70" s="33">
        <f t="shared" si="1046"/>
        <v>500</v>
      </c>
      <c r="HU70" s="33">
        <f t="shared" si="1046"/>
        <v>500</v>
      </c>
      <c r="HV70" s="33">
        <f t="shared" si="1046"/>
        <v>500</v>
      </c>
      <c r="HW70" s="33">
        <f t="shared" si="1046"/>
        <v>500</v>
      </c>
      <c r="HX70" s="33">
        <f t="shared" si="1046"/>
        <v>500</v>
      </c>
      <c r="HY70" s="33">
        <f t="shared" si="1046"/>
        <v>500</v>
      </c>
      <c r="HZ70" s="33">
        <f t="shared" si="1046"/>
        <v>500</v>
      </c>
      <c r="IA70" s="33">
        <f t="shared" si="1046"/>
        <v>500</v>
      </c>
      <c r="IB70" s="33">
        <f t="shared" si="1046"/>
        <v>500</v>
      </c>
      <c r="IC70" s="33">
        <f t="shared" si="1046"/>
        <v>500</v>
      </c>
      <c r="ID70" s="33">
        <f t="shared" si="1046"/>
        <v>500</v>
      </c>
      <c r="IE70" s="33">
        <f t="shared" si="1046"/>
        <v>500</v>
      </c>
      <c r="IF70" s="33">
        <f t="shared" si="1046"/>
        <v>500</v>
      </c>
      <c r="IG70" s="33">
        <f t="shared" si="1046"/>
        <v>500</v>
      </c>
      <c r="IH70" s="33">
        <f t="shared" si="1046"/>
        <v>500</v>
      </c>
      <c r="II70" s="33">
        <f t="shared" si="1046"/>
        <v>500</v>
      </c>
      <c r="IJ70" s="33">
        <f t="shared" si="1046"/>
        <v>500</v>
      </c>
      <c r="IK70" s="33">
        <f t="shared" si="1046"/>
        <v>500</v>
      </c>
      <c r="IL70" s="33">
        <f t="shared" si="1046"/>
        <v>500</v>
      </c>
      <c r="IM70" s="33">
        <f t="shared" si="1046"/>
        <v>500</v>
      </c>
      <c r="IN70" s="33">
        <f t="shared" si="1046"/>
        <v>500</v>
      </c>
      <c r="IO70" s="33">
        <f t="shared" si="1046"/>
        <v>500</v>
      </c>
      <c r="IP70" s="33">
        <f t="shared" si="1046"/>
        <v>500</v>
      </c>
      <c r="IQ70" s="33">
        <f t="shared" si="1046"/>
        <v>500</v>
      </c>
      <c r="IR70" s="33">
        <f t="shared" si="1046"/>
        <v>500</v>
      </c>
      <c r="IS70" s="33">
        <f t="shared" si="1046"/>
        <v>500</v>
      </c>
      <c r="IT70" s="33">
        <f t="shared" si="1046"/>
        <v>500</v>
      </c>
      <c r="IU70" s="33">
        <f t="shared" si="1046"/>
        <v>500</v>
      </c>
      <c r="IV70" s="33">
        <f t="shared" si="1046"/>
        <v>500</v>
      </c>
      <c r="IW70" s="33">
        <f t="shared" si="1046"/>
        <v>500</v>
      </c>
      <c r="IX70" s="33">
        <f t="shared" si="1046"/>
        <v>500</v>
      </c>
      <c r="IY70" s="33">
        <f t="shared" ref="IY70:JE70" si="1047">+IY50</f>
        <v>500</v>
      </c>
      <c r="IZ70" s="33">
        <f t="shared" si="1047"/>
        <v>500</v>
      </c>
      <c r="JA70" s="33">
        <f t="shared" si="1047"/>
        <v>500</v>
      </c>
      <c r="JB70" s="33">
        <f t="shared" si="1047"/>
        <v>500</v>
      </c>
      <c r="JC70" s="33">
        <f t="shared" si="1047"/>
        <v>500</v>
      </c>
      <c r="JD70" s="33">
        <f t="shared" si="1047"/>
        <v>500</v>
      </c>
      <c r="JE70" s="33">
        <f t="shared" si="1047"/>
        <v>500</v>
      </c>
    </row>
    <row r="71" spans="1:265" x14ac:dyDescent="0.3">
      <c r="C71" s="38"/>
      <c r="D71" s="38"/>
      <c r="E71" s="38"/>
      <c r="F71" s="38"/>
      <c r="G71" s="38"/>
      <c r="H71" s="38"/>
      <c r="I71" s="38"/>
      <c r="Q71" s="42"/>
      <c r="R71" s="38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3"/>
      <c r="HL71" s="33"/>
      <c r="HM71" s="33"/>
      <c r="HN71" s="33"/>
      <c r="HO71" s="33"/>
      <c r="HP71" s="33"/>
      <c r="HQ71" s="33"/>
      <c r="HR71" s="33"/>
      <c r="HS71" s="33"/>
      <c r="HT71" s="33"/>
      <c r="HU71" s="33"/>
      <c r="HV71" s="30"/>
      <c r="HW71" s="33"/>
      <c r="HX71" s="33"/>
      <c r="HY71" s="33"/>
      <c r="HZ71" s="33"/>
      <c r="IA71" s="33"/>
      <c r="IB71" s="33"/>
      <c r="IC71" s="33"/>
      <c r="ID71" s="33"/>
      <c r="IE71" s="33"/>
      <c r="IF71" s="33"/>
      <c r="IG71" s="33"/>
      <c r="IH71" s="30"/>
      <c r="II71" s="30"/>
      <c r="IJ71" s="30"/>
      <c r="IK71" s="30"/>
      <c r="IL71" s="30"/>
      <c r="IM71" s="30"/>
      <c r="IN71" s="30"/>
      <c r="IO71" s="30"/>
      <c r="IP71" s="30"/>
      <c r="IQ71" s="30"/>
      <c r="IR71" s="30"/>
      <c r="IS71" s="30"/>
      <c r="IT71" s="30"/>
      <c r="IU71" s="33"/>
      <c r="IV71" s="33"/>
      <c r="IW71" s="33"/>
      <c r="IX71" s="33"/>
      <c r="IY71" s="33"/>
      <c r="IZ71" s="33"/>
      <c r="JA71" s="33"/>
      <c r="JB71" s="33"/>
      <c r="JC71" s="33"/>
      <c r="JD71" s="33"/>
      <c r="JE71" s="33"/>
    </row>
    <row r="73" spans="1:265" x14ac:dyDescent="0.3">
      <c r="B73">
        <v>2023</v>
      </c>
      <c r="C73">
        <v>2024</v>
      </c>
      <c r="D73">
        <v>2025</v>
      </c>
      <c r="E73">
        <v>2026</v>
      </c>
      <c r="F73">
        <v>2027</v>
      </c>
      <c r="G73">
        <v>2028</v>
      </c>
      <c r="H73">
        <v>2029</v>
      </c>
      <c r="I73">
        <v>2030</v>
      </c>
      <c r="J73">
        <v>2031</v>
      </c>
      <c r="K73">
        <v>2032</v>
      </c>
      <c r="L73">
        <v>2033</v>
      </c>
      <c r="M73">
        <v>2034</v>
      </c>
      <c r="N73">
        <v>2035</v>
      </c>
      <c r="O73">
        <v>2036</v>
      </c>
      <c r="P73">
        <v>2037</v>
      </c>
      <c r="Q73">
        <v>2038</v>
      </c>
      <c r="R73">
        <v>2039</v>
      </c>
      <c r="S73">
        <v>2040</v>
      </c>
      <c r="T73">
        <v>2041</v>
      </c>
      <c r="U73">
        <v>2042</v>
      </c>
      <c r="V73">
        <v>2043</v>
      </c>
      <c r="W73">
        <v>2044</v>
      </c>
    </row>
    <row r="74" spans="1:265" x14ac:dyDescent="0.3">
      <c r="A74" t="s">
        <v>888</v>
      </c>
      <c r="B74" s="28" t="e">
        <f>+AVERAGEIFS(67:67,65:65,B73)</f>
        <v>#REF!</v>
      </c>
      <c r="C74" s="28">
        <f t="shared" ref="C74:S74" si="1048">+AVERAGEIFS(67:67,65:65,C73)</f>
        <v>909.96382500000016</v>
      </c>
      <c r="D74" s="28">
        <f t="shared" si="1048"/>
        <v>881.04416666666668</v>
      </c>
      <c r="E74" s="28">
        <f t="shared" si="1048"/>
        <v>881.28045833333329</v>
      </c>
      <c r="F74" s="28">
        <f t="shared" si="1048"/>
        <v>907.71887208333339</v>
      </c>
      <c r="G74" s="28">
        <f t="shared" si="1048"/>
        <v>934.95043824583354</v>
      </c>
      <c r="H74" s="28">
        <f t="shared" si="1048"/>
        <v>962.99895139320836</v>
      </c>
      <c r="I74" s="28">
        <f t="shared" si="1048"/>
        <v>991.88891993500465</v>
      </c>
      <c r="J74" s="28">
        <f t="shared" si="1048"/>
        <v>1021.6455875330548</v>
      </c>
      <c r="K74" s="28">
        <f t="shared" si="1048"/>
        <v>1052.2949551590468</v>
      </c>
      <c r="L74" s="28">
        <f t="shared" si="1048"/>
        <v>1083.8638038138185</v>
      </c>
      <c r="M74" s="28">
        <f t="shared" si="1048"/>
        <v>1116.3797179282328</v>
      </c>
      <c r="N74" s="28">
        <f t="shared" si="1048"/>
        <v>1149.8711094660796</v>
      </c>
      <c r="O74" s="28">
        <f t="shared" si="1048"/>
        <v>1184.3672427500619</v>
      </c>
      <c r="P74" s="28">
        <f t="shared" si="1048"/>
        <v>1219.8982600325637</v>
      </c>
      <c r="Q74" s="28">
        <f t="shared" si="1048"/>
        <v>1256.4952078335407</v>
      </c>
      <c r="R74" s="28">
        <f t="shared" si="1048"/>
        <v>1294.1900640685469</v>
      </c>
      <c r="S74" s="28">
        <f t="shared" si="1048"/>
        <v>1333.0157659906035</v>
      </c>
      <c r="T74" s="28">
        <f t="shared" ref="T74:W74" si="1049">+AVERAGEIFS(67:67,65:65,T73)</f>
        <v>1373.0062389703219</v>
      </c>
      <c r="U74" s="28">
        <f t="shared" si="1049"/>
        <v>1414.1964261394314</v>
      </c>
      <c r="V74" s="28">
        <f t="shared" si="1049"/>
        <v>1456.6223189236143</v>
      </c>
      <c r="W74" s="28">
        <f t="shared" si="1049"/>
        <v>1500.3209884913229</v>
      </c>
    </row>
    <row r="75" spans="1:265" x14ac:dyDescent="0.3">
      <c r="A75" t="s">
        <v>885</v>
      </c>
      <c r="B75" s="28" t="e">
        <f>+AVERAGEIFS(68:68,65:65,B73)</f>
        <v>#REF!</v>
      </c>
      <c r="C75" s="28">
        <f>+AVERAGEIFS(68:68,65:65,C73)</f>
        <v>137.26926666666668</v>
      </c>
      <c r="D75" s="28">
        <f t="shared" ref="D75" si="1050">+AVERAGEIFS(68:68,65:65,D73)</f>
        <v>145.74615833333334</v>
      </c>
      <c r="E75" s="28">
        <f>+AVERAGEIFS(68:68,65:65,E73)</f>
        <v>150.11854308333332</v>
      </c>
      <c r="F75" s="28">
        <f t="shared" ref="F75:S75" si="1051">+AVERAGEIFS(68:68,65:65,F73)</f>
        <v>154.62209937583336</v>
      </c>
      <c r="G75" s="28">
        <f t="shared" si="1051"/>
        <v>159.26076235710835</v>
      </c>
      <c r="H75" s="28">
        <f t="shared" si="1051"/>
        <v>164.03858522782161</v>
      </c>
      <c r="I75" s="28">
        <f t="shared" si="1051"/>
        <v>168.95974278465624</v>
      </c>
      <c r="J75" s="28">
        <f t="shared" si="1051"/>
        <v>174.02853506819591</v>
      </c>
      <c r="K75" s="28">
        <f t="shared" si="1051"/>
        <v>179.24939112024185</v>
      </c>
      <c r="L75" s="28">
        <f t="shared" si="1051"/>
        <v>184.62687285384911</v>
      </c>
      <c r="M75" s="28">
        <f t="shared" si="1051"/>
        <v>190.16567903946455</v>
      </c>
      <c r="N75" s="28">
        <f t="shared" si="1051"/>
        <v>195.87064941064853</v>
      </c>
      <c r="O75" s="28">
        <f t="shared" si="1051"/>
        <v>201.74676889296794</v>
      </c>
      <c r="P75" s="28">
        <f t="shared" si="1051"/>
        <v>207.79917195975702</v>
      </c>
      <c r="Q75" s="28">
        <f t="shared" si="1051"/>
        <v>214.03314711854975</v>
      </c>
      <c r="R75" s="28">
        <f t="shared" si="1051"/>
        <v>220.45414153210626</v>
      </c>
      <c r="S75" s="28">
        <f t="shared" si="1051"/>
        <v>227.06776577806943</v>
      </c>
      <c r="T75" s="28">
        <f t="shared" ref="T75:W75" si="1052">+AVERAGEIFS(68:68,65:65,T73)</f>
        <v>233.87979875141153</v>
      </c>
      <c r="U75" s="28">
        <f t="shared" si="1052"/>
        <v>240.89619271395387</v>
      </c>
      <c r="V75" s="28">
        <f t="shared" si="1052"/>
        <v>248.12307849537243</v>
      </c>
      <c r="W75" s="28">
        <f t="shared" si="1052"/>
        <v>255.56677085023364</v>
      </c>
    </row>
    <row r="76" spans="1:265" x14ac:dyDescent="0.3">
      <c r="A76" t="s">
        <v>904</v>
      </c>
      <c r="C76" s="28">
        <f>+AVERAGEIFS(69:69,65:65,C73)</f>
        <v>0</v>
      </c>
      <c r="D76" s="28">
        <f t="shared" ref="D76:S76" ca="1" si="1053">+AVERAGEIFS(69:69,65:65,D73)</f>
        <v>98.972189850194368</v>
      </c>
      <c r="E76" s="28">
        <f t="shared" ca="1" si="1053"/>
        <v>103.92079934270411</v>
      </c>
      <c r="F76" s="28">
        <f t="shared" ca="1" si="1053"/>
        <v>109.11683930983934</v>
      </c>
      <c r="G76" s="28">
        <f t="shared" ca="1" si="1053"/>
        <v>112.39034448913451</v>
      </c>
      <c r="H76" s="28">
        <f t="shared" ca="1" si="1053"/>
        <v>118.00986171359121</v>
      </c>
      <c r="I76" s="28">
        <f t="shared" ca="1" si="1053"/>
        <v>121.55015756499894</v>
      </c>
      <c r="J76" s="28">
        <f t="shared" ca="1" si="1053"/>
        <v>127.62766544324897</v>
      </c>
      <c r="K76" s="28">
        <f t="shared" ca="1" si="1053"/>
        <v>134.00904871541138</v>
      </c>
      <c r="L76" s="28">
        <f t="shared" ca="1" si="1053"/>
        <v>140.70950115118197</v>
      </c>
      <c r="M76" s="28">
        <f t="shared" ca="1" si="1053"/>
        <v>147.74497620874106</v>
      </c>
      <c r="N76" s="28">
        <f t="shared" ca="1" si="1053"/>
        <v>155.13222501917812</v>
      </c>
      <c r="O76" s="28">
        <f t="shared" ca="1" si="1053"/>
        <v>162.88883627013703</v>
      </c>
      <c r="P76" s="28">
        <f t="shared" ca="1" si="1053"/>
        <v>171.03327808364386</v>
      </c>
      <c r="Q76" s="28">
        <f t="shared" ca="1" si="1053"/>
        <v>179.58494198782611</v>
      </c>
      <c r="R76" s="28">
        <f t="shared" ca="1" si="1053"/>
        <v>188.56418908721739</v>
      </c>
      <c r="S76" s="28">
        <f t="shared" ca="1" si="1053"/>
        <v>197.99239854157827</v>
      </c>
      <c r="T76" s="28">
        <f t="shared" ref="T76:W76" ca="1" si="1054">+AVERAGEIFS(69:69,65:65,T73)</f>
        <v>207.8920184686572</v>
      </c>
      <c r="U76" s="28">
        <f t="shared" ca="1" si="1054"/>
        <v>218.28661939208999</v>
      </c>
      <c r="V76" s="28">
        <f t="shared" ca="1" si="1054"/>
        <v>229.20095036169459</v>
      </c>
      <c r="W76" s="28">
        <f t="shared" ca="1" si="1054"/>
        <v>240.6609978797793</v>
      </c>
    </row>
    <row r="77" spans="1:265" x14ac:dyDescent="0.3">
      <c r="A77" t="s">
        <v>847</v>
      </c>
      <c r="B77" s="28">
        <f>+AVERAGEIFS(70:70,65:65,B73)</f>
        <v>662.25</v>
      </c>
      <c r="C77" s="28">
        <f>+AVERAGEIFS(70:70,65:65,C73)</f>
        <v>619.42854182954954</v>
      </c>
      <c r="D77" s="28">
        <f>+AVERAGEIFS(70:70,65:65,D73)</f>
        <v>494.68323621149869</v>
      </c>
      <c r="E77" s="28">
        <f t="shared" ref="E77:S77" si="1055">+AVERAGEIFS(70:70,65:65,E73)</f>
        <v>511.14378220973049</v>
      </c>
      <c r="F77" s="28">
        <f t="shared" si="1055"/>
        <v>531.70097132021692</v>
      </c>
      <c r="G77" s="28">
        <f t="shared" si="1055"/>
        <v>553.28601988622779</v>
      </c>
      <c r="H77" s="28">
        <f t="shared" si="1055"/>
        <v>575.95032088053915</v>
      </c>
      <c r="I77" s="28">
        <f t="shared" si="1055"/>
        <v>601.14174274651521</v>
      </c>
      <c r="J77" s="28">
        <f t="shared" si="1055"/>
        <v>548.69057370006431</v>
      </c>
      <c r="K77" s="28">
        <f t="shared" si="1055"/>
        <v>570.66705436395125</v>
      </c>
      <c r="L77" s="28">
        <f t="shared" si="1055"/>
        <v>595.03374041548216</v>
      </c>
      <c r="M77" s="28">
        <f t="shared" si="1055"/>
        <v>620.61876076958958</v>
      </c>
      <c r="N77" s="28">
        <f t="shared" si="1055"/>
        <v>609.11616659468916</v>
      </c>
      <c r="O77" s="28">
        <f t="shared" si="1055"/>
        <v>597.53038744839523</v>
      </c>
      <c r="P77" s="28">
        <f t="shared" si="1055"/>
        <v>500</v>
      </c>
      <c r="Q77" s="28">
        <f t="shared" si="1055"/>
        <v>500</v>
      </c>
      <c r="R77" s="28">
        <f t="shared" si="1055"/>
        <v>500</v>
      </c>
      <c r="S77" s="28">
        <f t="shared" si="1055"/>
        <v>500</v>
      </c>
      <c r="T77" s="28">
        <f t="shared" ref="T77:W77" si="1056">+AVERAGEIFS(70:70,65:65,T73)</f>
        <v>500</v>
      </c>
      <c r="U77" s="28">
        <f t="shared" si="1056"/>
        <v>500</v>
      </c>
      <c r="V77" s="28">
        <f t="shared" si="1056"/>
        <v>500</v>
      </c>
      <c r="W77" s="28">
        <f t="shared" si="1056"/>
        <v>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C972-633B-4E60-A297-4AADD62AA7F7}">
  <dimension ref="A1:IN67"/>
  <sheetViews>
    <sheetView topLeftCell="A40" workbookViewId="0">
      <selection activeCell="A63" sqref="A63:D67"/>
    </sheetView>
  </sheetViews>
  <sheetFormatPr baseColWidth="10" defaultColWidth="11.44140625" defaultRowHeight="14.4" x14ac:dyDescent="0.3"/>
  <cols>
    <col min="1" max="1" width="22.77734375" customWidth="1"/>
    <col min="2" max="2" width="15.44140625" bestFit="1" customWidth="1"/>
    <col min="3" max="3" width="14.44140625" hidden="1" customWidth="1"/>
    <col min="4" max="4" width="16.21875" bestFit="1" customWidth="1"/>
    <col min="5" max="14" width="13.5546875" bestFit="1" customWidth="1"/>
    <col min="15" max="25" width="15.44140625" bestFit="1" customWidth="1"/>
    <col min="26" max="120" width="12.5546875" bestFit="1" customWidth="1"/>
    <col min="121" max="247" width="14" bestFit="1" customWidth="1"/>
  </cols>
  <sheetData>
    <row r="1" spans="1:248" x14ac:dyDescent="0.3">
      <c r="A1" t="s">
        <v>905</v>
      </c>
      <c r="B1" s="9">
        <v>0.2</v>
      </c>
    </row>
    <row r="2" spans="1:248" x14ac:dyDescent="0.3">
      <c r="A2" s="6" t="s">
        <v>906</v>
      </c>
    </row>
    <row r="4" spans="1:248" x14ac:dyDescent="0.3">
      <c r="B4" s="14">
        <v>45474</v>
      </c>
      <c r="C4" s="14">
        <f>+Tarifas!S6</f>
        <v>45505</v>
      </c>
      <c r="D4" s="14">
        <f>+Tarifas!T6</f>
        <v>45536</v>
      </c>
      <c r="E4" s="14">
        <f>+Tarifas!U6</f>
        <v>45566</v>
      </c>
      <c r="F4" s="14">
        <f>+Tarifas!V6</f>
        <v>45597</v>
      </c>
      <c r="G4" s="14">
        <f>+Tarifas!W6</f>
        <v>45627</v>
      </c>
      <c r="H4" s="14">
        <f>+Tarifas!X6</f>
        <v>45658</v>
      </c>
      <c r="I4" s="14">
        <f>+Tarifas!Y6</f>
        <v>45689</v>
      </c>
      <c r="J4" s="14">
        <f>+Tarifas!Z6</f>
        <v>45717</v>
      </c>
      <c r="K4" s="14">
        <f>+Tarifas!AA6</f>
        <v>45748</v>
      </c>
      <c r="L4" s="14">
        <f>+Tarifas!AB6</f>
        <v>45778</v>
      </c>
      <c r="M4" s="14">
        <f>+Tarifas!AC6</f>
        <v>45809</v>
      </c>
      <c r="N4" s="14">
        <f>+Tarifas!AD6</f>
        <v>45839</v>
      </c>
      <c r="O4" s="14">
        <f>+Tarifas!AE6</f>
        <v>45870</v>
      </c>
      <c r="P4" s="14">
        <f>+Tarifas!AF6</f>
        <v>45901</v>
      </c>
      <c r="Q4" s="14">
        <f>+Tarifas!AG6</f>
        <v>45931</v>
      </c>
      <c r="R4" s="14">
        <f>+Tarifas!AH6</f>
        <v>45962</v>
      </c>
      <c r="S4" s="14">
        <f>+Tarifas!AI6</f>
        <v>45992</v>
      </c>
      <c r="T4" s="14">
        <f>+Tarifas!AJ6</f>
        <v>46023</v>
      </c>
      <c r="U4" s="14">
        <f>+Tarifas!AK6</f>
        <v>46054</v>
      </c>
      <c r="V4" s="14">
        <f>+Tarifas!AL6</f>
        <v>46082</v>
      </c>
      <c r="W4" s="14">
        <f>+Tarifas!AM6</f>
        <v>46113</v>
      </c>
      <c r="X4" s="14">
        <f>+Tarifas!AN6</f>
        <v>46143</v>
      </c>
      <c r="Y4" s="14">
        <f>+Tarifas!AO6</f>
        <v>46174</v>
      </c>
      <c r="Z4" s="14">
        <f>+Tarifas!AP6</f>
        <v>46204</v>
      </c>
      <c r="AA4" s="14">
        <f>+Tarifas!AQ6</f>
        <v>46235</v>
      </c>
      <c r="AB4" s="14">
        <f>+Tarifas!AR6</f>
        <v>46266</v>
      </c>
      <c r="AC4" s="14">
        <f>+Tarifas!AS6</f>
        <v>46296</v>
      </c>
      <c r="AD4" s="14">
        <f>+Tarifas!AT6</f>
        <v>46327</v>
      </c>
      <c r="AE4" s="14">
        <f>+Tarifas!AU6</f>
        <v>46357</v>
      </c>
      <c r="AF4" s="14">
        <f>+Tarifas!AV6</f>
        <v>46388</v>
      </c>
      <c r="AG4" s="14">
        <f>+Tarifas!AW6</f>
        <v>46419</v>
      </c>
      <c r="AH4" s="14">
        <f>+Tarifas!AX6</f>
        <v>46447</v>
      </c>
      <c r="AI4" s="14">
        <f>+Tarifas!AY6</f>
        <v>46478</v>
      </c>
      <c r="AJ4" s="14">
        <f>+Tarifas!AZ6</f>
        <v>46508</v>
      </c>
      <c r="AK4" s="14">
        <f>+Tarifas!BA6</f>
        <v>46539</v>
      </c>
      <c r="AL4" s="14">
        <f>+Tarifas!BB6</f>
        <v>46569</v>
      </c>
      <c r="AM4" s="14">
        <f>+Tarifas!BC6</f>
        <v>46600</v>
      </c>
      <c r="AN4" s="14">
        <f>+Tarifas!BD6</f>
        <v>46631</v>
      </c>
      <c r="AO4" s="14">
        <f>+Tarifas!BE6</f>
        <v>46661</v>
      </c>
      <c r="AP4" s="14">
        <f>+Tarifas!BF6</f>
        <v>46692</v>
      </c>
      <c r="AQ4" s="14">
        <f>+Tarifas!BG6</f>
        <v>46722</v>
      </c>
      <c r="AR4" s="14">
        <f>+Tarifas!BH6</f>
        <v>46753</v>
      </c>
      <c r="AS4" s="14">
        <f>+Tarifas!BI6</f>
        <v>46784</v>
      </c>
      <c r="AT4" s="14">
        <f>+Tarifas!BJ6</f>
        <v>46813</v>
      </c>
      <c r="AU4" s="14">
        <f>+Tarifas!BK6</f>
        <v>46844</v>
      </c>
      <c r="AV4" s="14">
        <f>+Tarifas!BL6</f>
        <v>46874</v>
      </c>
      <c r="AW4" s="14">
        <f>+Tarifas!BM6</f>
        <v>46905</v>
      </c>
      <c r="AX4" s="14">
        <f>+Tarifas!BN6</f>
        <v>46935</v>
      </c>
      <c r="AY4" s="14">
        <f>+Tarifas!BO6</f>
        <v>46966</v>
      </c>
      <c r="AZ4" s="14">
        <f>+Tarifas!BP6</f>
        <v>46997</v>
      </c>
      <c r="BA4" s="14">
        <f>+Tarifas!BQ6</f>
        <v>47027</v>
      </c>
      <c r="BB4" s="14">
        <f>+Tarifas!BR6</f>
        <v>47058</v>
      </c>
      <c r="BC4" s="14">
        <f>+Tarifas!BS6</f>
        <v>47088</v>
      </c>
      <c r="BD4" s="14">
        <f>+Tarifas!BT6</f>
        <v>47119</v>
      </c>
      <c r="BE4" s="14">
        <f>+Tarifas!BU6</f>
        <v>47150</v>
      </c>
      <c r="BF4" s="14">
        <f>+Tarifas!BV6</f>
        <v>47178</v>
      </c>
      <c r="BG4" s="14">
        <f>+Tarifas!BW6</f>
        <v>47209</v>
      </c>
      <c r="BH4" s="14">
        <f>+Tarifas!BX6</f>
        <v>47239</v>
      </c>
      <c r="BI4" s="14">
        <f>+Tarifas!BY6</f>
        <v>47270</v>
      </c>
      <c r="BJ4" s="14">
        <f>+Tarifas!BZ6</f>
        <v>47300</v>
      </c>
      <c r="BK4" s="14">
        <f>+Tarifas!CA6</f>
        <v>47331</v>
      </c>
      <c r="BL4" s="14">
        <f>+Tarifas!CB6</f>
        <v>47362</v>
      </c>
      <c r="BM4" s="14">
        <f>+Tarifas!CC6</f>
        <v>47392</v>
      </c>
      <c r="BN4" s="14">
        <f>+Tarifas!CD6</f>
        <v>47423</v>
      </c>
      <c r="BO4" s="14">
        <f>+Tarifas!CE6</f>
        <v>47453</v>
      </c>
      <c r="BP4" s="14">
        <f>+Tarifas!CF6</f>
        <v>47484</v>
      </c>
      <c r="BQ4" s="14">
        <f>+Tarifas!CG6</f>
        <v>47515</v>
      </c>
      <c r="BR4" s="14">
        <f>+Tarifas!CH6</f>
        <v>47543</v>
      </c>
      <c r="BS4" s="14">
        <f>+Tarifas!CI6</f>
        <v>47574</v>
      </c>
      <c r="BT4" s="14">
        <f>+Tarifas!CJ6</f>
        <v>47604</v>
      </c>
      <c r="BU4" s="14">
        <f>+Tarifas!CK6</f>
        <v>47635</v>
      </c>
      <c r="BV4" s="14">
        <f>+Tarifas!CL6</f>
        <v>47665</v>
      </c>
      <c r="BW4" s="14">
        <f>+Tarifas!CM6</f>
        <v>47696</v>
      </c>
      <c r="BX4" s="14">
        <f>+Tarifas!CN6</f>
        <v>47727</v>
      </c>
      <c r="BY4" s="14">
        <f>+Tarifas!CO6</f>
        <v>47757</v>
      </c>
      <c r="BZ4" s="14">
        <f>+Tarifas!CP6</f>
        <v>47788</v>
      </c>
      <c r="CA4" s="14">
        <f>+Tarifas!CQ6</f>
        <v>47818</v>
      </c>
      <c r="CB4" s="14">
        <f>+Tarifas!CR6</f>
        <v>47849</v>
      </c>
      <c r="CC4" s="14">
        <f>+Tarifas!CS6</f>
        <v>47880</v>
      </c>
      <c r="CD4" s="14">
        <f>+Tarifas!CT6</f>
        <v>47908</v>
      </c>
      <c r="CE4" s="14">
        <f>+Tarifas!CU6</f>
        <v>47939</v>
      </c>
      <c r="CF4" s="14">
        <f>+Tarifas!CV6</f>
        <v>47969</v>
      </c>
      <c r="CG4" s="14">
        <f>+Tarifas!CW6</f>
        <v>48000</v>
      </c>
      <c r="CH4" s="14">
        <f>+Tarifas!CX6</f>
        <v>48030</v>
      </c>
      <c r="CI4" s="14">
        <f>+Tarifas!CY6</f>
        <v>48061</v>
      </c>
      <c r="CJ4" s="14">
        <f>+Tarifas!CZ6</f>
        <v>48092</v>
      </c>
      <c r="CK4" s="14">
        <f>+Tarifas!DA6</f>
        <v>48122</v>
      </c>
      <c r="CL4" s="14">
        <f>+Tarifas!DB6</f>
        <v>48153</v>
      </c>
      <c r="CM4" s="14">
        <f>+Tarifas!DC6</f>
        <v>48183</v>
      </c>
      <c r="CN4" s="14">
        <f>+Tarifas!DD6</f>
        <v>48214</v>
      </c>
      <c r="CO4" s="14">
        <f>+Tarifas!DE6</f>
        <v>48245</v>
      </c>
      <c r="CP4" s="14">
        <f>+Tarifas!DF6</f>
        <v>48274</v>
      </c>
      <c r="CQ4" s="14">
        <f>+Tarifas!DG6</f>
        <v>48305</v>
      </c>
      <c r="CR4" s="14">
        <f>+Tarifas!DH6</f>
        <v>48335</v>
      </c>
      <c r="CS4" s="14">
        <f>+Tarifas!DI6</f>
        <v>48366</v>
      </c>
      <c r="CT4" s="14">
        <f>+Tarifas!DJ6</f>
        <v>48396</v>
      </c>
      <c r="CU4" s="14">
        <f>+Tarifas!DK6</f>
        <v>48427</v>
      </c>
      <c r="CV4" s="14">
        <f>+Tarifas!DL6</f>
        <v>48458</v>
      </c>
      <c r="CW4" s="14">
        <f>+Tarifas!DM6</f>
        <v>48488</v>
      </c>
      <c r="CX4" s="14">
        <f>+Tarifas!DN6</f>
        <v>48519</v>
      </c>
      <c r="CY4" s="14">
        <f>+Tarifas!DO6</f>
        <v>48549</v>
      </c>
      <c r="CZ4" s="14">
        <f>+Tarifas!DP6</f>
        <v>48580</v>
      </c>
      <c r="DA4" s="14">
        <f>+Tarifas!DQ6</f>
        <v>48611</v>
      </c>
      <c r="DB4" s="14">
        <f>+Tarifas!DR6</f>
        <v>48639</v>
      </c>
      <c r="DC4" s="14">
        <f>+Tarifas!DS6</f>
        <v>48670</v>
      </c>
      <c r="DD4" s="14">
        <f>+Tarifas!DT6</f>
        <v>48700</v>
      </c>
      <c r="DE4" s="14">
        <f>+Tarifas!DU6</f>
        <v>48731</v>
      </c>
      <c r="DF4" s="14">
        <f>+Tarifas!DV6</f>
        <v>48761</v>
      </c>
      <c r="DG4" s="14">
        <f>+Tarifas!DW6</f>
        <v>48792</v>
      </c>
      <c r="DH4" s="14">
        <f>+Tarifas!DX6</f>
        <v>48823</v>
      </c>
      <c r="DI4" s="14">
        <f>+Tarifas!DY6</f>
        <v>48853</v>
      </c>
      <c r="DJ4" s="14">
        <f>+Tarifas!DZ6</f>
        <v>48884</v>
      </c>
      <c r="DK4" s="14">
        <f>+Tarifas!EA6</f>
        <v>48914</v>
      </c>
      <c r="DL4" s="14">
        <f>+Tarifas!EB6</f>
        <v>48945</v>
      </c>
      <c r="DM4" s="14">
        <f>+Tarifas!EC6</f>
        <v>48976</v>
      </c>
      <c r="DN4" s="14">
        <f>+Tarifas!ED6</f>
        <v>49004</v>
      </c>
      <c r="DO4" s="14">
        <f>+Tarifas!EE6</f>
        <v>49035</v>
      </c>
      <c r="DP4" s="14">
        <f>+Tarifas!EF6</f>
        <v>49065</v>
      </c>
      <c r="DQ4" s="14">
        <f>+Tarifas!EG6</f>
        <v>49096</v>
      </c>
      <c r="DR4" s="14">
        <f>+Tarifas!EH6</f>
        <v>49126</v>
      </c>
      <c r="DS4" s="14">
        <f>+Tarifas!EI6</f>
        <v>49157</v>
      </c>
      <c r="DT4" s="14">
        <f>+Tarifas!EJ6</f>
        <v>49188</v>
      </c>
      <c r="DU4" s="14">
        <f>+Tarifas!EK6</f>
        <v>49218</v>
      </c>
      <c r="DV4" s="14">
        <f>+Tarifas!EL6</f>
        <v>49249</v>
      </c>
      <c r="DW4" s="14">
        <f>+Tarifas!EM6</f>
        <v>49279</v>
      </c>
      <c r="DX4" s="14">
        <f>+Tarifas!EN6</f>
        <v>49310</v>
      </c>
      <c r="DY4" s="14">
        <f>+Tarifas!EO6</f>
        <v>49341</v>
      </c>
      <c r="DZ4" s="14">
        <f>+Tarifas!EP6</f>
        <v>49369</v>
      </c>
      <c r="EA4" s="14">
        <f>+Tarifas!EQ6</f>
        <v>49400</v>
      </c>
      <c r="EB4" s="14">
        <f>+Tarifas!ER6</f>
        <v>49430</v>
      </c>
      <c r="EC4" s="14">
        <f>+Tarifas!ES6</f>
        <v>49461</v>
      </c>
      <c r="ED4" s="14">
        <f>+Tarifas!ET6</f>
        <v>49491</v>
      </c>
      <c r="EE4" s="14">
        <f>+Tarifas!EU6</f>
        <v>49522</v>
      </c>
      <c r="EF4" s="14">
        <f>+Tarifas!EV6</f>
        <v>49553</v>
      </c>
      <c r="EG4" s="14">
        <f>+Tarifas!EW6</f>
        <v>49583</v>
      </c>
      <c r="EH4" s="14">
        <f>+Tarifas!EX6</f>
        <v>49614</v>
      </c>
      <c r="EI4" s="14">
        <f>+Tarifas!EY6</f>
        <v>49644</v>
      </c>
      <c r="EJ4" s="14">
        <f>+Tarifas!EZ6</f>
        <v>49675</v>
      </c>
      <c r="EK4" s="14">
        <f>+Tarifas!FA6</f>
        <v>49706</v>
      </c>
      <c r="EL4" s="14">
        <f>+Tarifas!FB6</f>
        <v>49735</v>
      </c>
      <c r="EM4" s="14">
        <f>+Tarifas!FC6</f>
        <v>49766</v>
      </c>
      <c r="EN4" s="14">
        <f>+Tarifas!FD6</f>
        <v>49796</v>
      </c>
      <c r="EO4" s="14">
        <f>+Tarifas!FE6</f>
        <v>49827</v>
      </c>
      <c r="EP4" s="14">
        <f>+Tarifas!FF6</f>
        <v>49857</v>
      </c>
      <c r="EQ4" s="14">
        <f>+Tarifas!FG6</f>
        <v>49888</v>
      </c>
      <c r="ER4" s="14">
        <f>+Tarifas!FH6</f>
        <v>49919</v>
      </c>
      <c r="ES4" s="14">
        <f>+Tarifas!FI6</f>
        <v>49949</v>
      </c>
      <c r="ET4" s="14">
        <f>+Tarifas!FJ6</f>
        <v>49980</v>
      </c>
      <c r="EU4" s="14">
        <f>+Tarifas!FK6</f>
        <v>50010</v>
      </c>
      <c r="EV4" s="14">
        <f>+Tarifas!FL6</f>
        <v>50041</v>
      </c>
      <c r="EW4" s="14">
        <f>+Tarifas!FM6</f>
        <v>50072</v>
      </c>
      <c r="EX4" s="14">
        <f>+Tarifas!FN6</f>
        <v>50100</v>
      </c>
      <c r="EY4" s="14">
        <f>+Tarifas!FO6</f>
        <v>50131</v>
      </c>
      <c r="EZ4" s="14">
        <f>+Tarifas!FP6</f>
        <v>50161</v>
      </c>
      <c r="FA4" s="14">
        <f>+Tarifas!FQ6</f>
        <v>50192</v>
      </c>
      <c r="FB4" s="14">
        <f>+Tarifas!FR6</f>
        <v>50222</v>
      </c>
      <c r="FC4" s="14">
        <f>+Tarifas!FS6</f>
        <v>50253</v>
      </c>
      <c r="FD4" s="14">
        <f>+Tarifas!FT6</f>
        <v>50284</v>
      </c>
      <c r="FE4" s="14">
        <f>+Tarifas!FU6</f>
        <v>50314</v>
      </c>
      <c r="FF4" s="14">
        <f>+Tarifas!FV6</f>
        <v>50345</v>
      </c>
      <c r="FG4" s="14">
        <f>+Tarifas!FW6</f>
        <v>50375</v>
      </c>
      <c r="FH4" s="14">
        <f>+Tarifas!FX6</f>
        <v>50406</v>
      </c>
      <c r="FI4" s="14">
        <f>+Tarifas!FY6</f>
        <v>50437</v>
      </c>
      <c r="FJ4" s="14">
        <f>+Tarifas!FZ6</f>
        <v>50465</v>
      </c>
      <c r="FK4" s="14">
        <f>+Tarifas!GA6</f>
        <v>50496</v>
      </c>
      <c r="FL4" s="14">
        <f>+Tarifas!GB6</f>
        <v>50526</v>
      </c>
      <c r="FM4" s="14">
        <f>+Tarifas!GC6</f>
        <v>50557</v>
      </c>
      <c r="FN4" s="14">
        <f>+Tarifas!GD6</f>
        <v>50587</v>
      </c>
      <c r="FO4" s="14">
        <f>+Tarifas!GE6</f>
        <v>50618</v>
      </c>
      <c r="FP4" s="14">
        <f>+Tarifas!GF6</f>
        <v>50649</v>
      </c>
      <c r="FQ4" s="14">
        <f>+Tarifas!GG6</f>
        <v>50679</v>
      </c>
      <c r="FR4" s="14">
        <f>+Tarifas!GH6</f>
        <v>50710</v>
      </c>
      <c r="FS4" s="14">
        <f>+Tarifas!GI6</f>
        <v>50740</v>
      </c>
      <c r="FT4" s="14">
        <f>+Tarifas!GJ6</f>
        <v>50771</v>
      </c>
      <c r="FU4" s="14">
        <f>+Tarifas!GK6</f>
        <v>50802</v>
      </c>
      <c r="FV4" s="14">
        <f>+Tarifas!GL6</f>
        <v>50830</v>
      </c>
      <c r="FW4" s="14">
        <f>+Tarifas!GM6</f>
        <v>50861</v>
      </c>
      <c r="FX4" s="14">
        <f>+Tarifas!GN6</f>
        <v>50891</v>
      </c>
      <c r="FY4" s="14">
        <f>+Tarifas!GO6</f>
        <v>50922</v>
      </c>
      <c r="FZ4" s="14">
        <f>+Tarifas!GP6</f>
        <v>50952</v>
      </c>
      <c r="GA4" s="14">
        <f>+Tarifas!GQ6</f>
        <v>50983</v>
      </c>
      <c r="GB4" s="14">
        <f>+Tarifas!GR6</f>
        <v>51014</v>
      </c>
      <c r="GC4" s="14">
        <f>+Tarifas!GS6</f>
        <v>51044</v>
      </c>
      <c r="GD4" s="14">
        <f>+Tarifas!GT6</f>
        <v>51075</v>
      </c>
      <c r="GE4" s="14">
        <f>+Tarifas!GU6</f>
        <v>51105</v>
      </c>
      <c r="GF4" s="14">
        <f>+Tarifas!GV6</f>
        <v>51136</v>
      </c>
      <c r="GG4" s="14">
        <f>+Tarifas!GW6</f>
        <v>51167</v>
      </c>
      <c r="GH4" s="14">
        <f>+Tarifas!GX6</f>
        <v>51196</v>
      </c>
      <c r="GI4" s="14">
        <f>+Tarifas!GY6</f>
        <v>51227</v>
      </c>
      <c r="GJ4" s="14">
        <f>+Tarifas!GZ6</f>
        <v>51257</v>
      </c>
      <c r="GK4" s="14">
        <f>+Tarifas!HA6</f>
        <v>51288</v>
      </c>
      <c r="GL4" s="14">
        <f>+Tarifas!HB6</f>
        <v>51318</v>
      </c>
      <c r="GM4" s="14">
        <f>+Tarifas!HC6</f>
        <v>51349</v>
      </c>
      <c r="GN4" s="14">
        <f>+Tarifas!HD6</f>
        <v>51380</v>
      </c>
      <c r="GO4" s="14">
        <f>+Tarifas!HE6</f>
        <v>51410</v>
      </c>
      <c r="GP4" s="14">
        <f>+Tarifas!HF6</f>
        <v>51441</v>
      </c>
      <c r="GQ4" s="14">
        <f>+Tarifas!HG6</f>
        <v>51471</v>
      </c>
      <c r="GR4" s="14">
        <f>+Tarifas!HH6</f>
        <v>51502</v>
      </c>
      <c r="GS4" s="14">
        <f>+Tarifas!HI6</f>
        <v>51533</v>
      </c>
      <c r="GT4" s="14">
        <f>+Tarifas!HJ6</f>
        <v>51561</v>
      </c>
      <c r="GU4" s="14">
        <f>+Tarifas!HK6</f>
        <v>51592</v>
      </c>
      <c r="GV4" s="14">
        <f>+Tarifas!HL6</f>
        <v>51622</v>
      </c>
      <c r="GW4" s="14">
        <f>+Tarifas!HM6</f>
        <v>51653</v>
      </c>
      <c r="GX4" s="14">
        <f>+Tarifas!HN6</f>
        <v>51683</v>
      </c>
      <c r="GY4" s="14">
        <f>+Tarifas!HO6</f>
        <v>51714</v>
      </c>
      <c r="GZ4" s="14">
        <f>+Tarifas!HP6</f>
        <v>51745</v>
      </c>
      <c r="HA4" s="14">
        <f>+Tarifas!HQ6</f>
        <v>51775</v>
      </c>
      <c r="HB4" s="14">
        <f>+Tarifas!HR6</f>
        <v>51806</v>
      </c>
      <c r="HC4" s="14">
        <f>+Tarifas!HS6</f>
        <v>51836</v>
      </c>
      <c r="HD4" s="14">
        <f>+Tarifas!HT6</f>
        <v>51867</v>
      </c>
      <c r="HE4" s="14">
        <f>+Tarifas!HU6</f>
        <v>51898</v>
      </c>
      <c r="HF4" s="14">
        <f>+Tarifas!HV6</f>
        <v>51926</v>
      </c>
      <c r="HG4" s="14">
        <f>+Tarifas!HW6</f>
        <v>51957</v>
      </c>
      <c r="HH4" s="14">
        <f>+Tarifas!HX6</f>
        <v>51987</v>
      </c>
      <c r="HI4" s="14">
        <f>+Tarifas!HY6</f>
        <v>52018</v>
      </c>
      <c r="HJ4" s="14">
        <f>+Tarifas!HZ6</f>
        <v>52048</v>
      </c>
      <c r="HK4" s="14">
        <f>+Tarifas!IA6</f>
        <v>52079</v>
      </c>
      <c r="HL4" s="14">
        <f>+Tarifas!IB6</f>
        <v>52110</v>
      </c>
      <c r="HM4" s="14">
        <f>+Tarifas!IC6</f>
        <v>52140</v>
      </c>
      <c r="HN4" s="14">
        <f>+Tarifas!ID6</f>
        <v>52171</v>
      </c>
      <c r="HO4" s="14">
        <f>+Tarifas!IE6</f>
        <v>52201</v>
      </c>
      <c r="HP4" s="14">
        <f>+Tarifas!IF6</f>
        <v>52232</v>
      </c>
      <c r="HQ4" s="14">
        <f>+Tarifas!IG6</f>
        <v>52263</v>
      </c>
      <c r="HR4" s="14">
        <f>+Tarifas!IH6</f>
        <v>52291</v>
      </c>
      <c r="HS4" s="14">
        <f>+Tarifas!II6</f>
        <v>52322</v>
      </c>
      <c r="HT4" s="14">
        <f>+Tarifas!IJ6</f>
        <v>52352</v>
      </c>
      <c r="HU4" s="14">
        <f>+Tarifas!IK6</f>
        <v>52383</v>
      </c>
      <c r="HV4" s="14">
        <f>+Tarifas!IL6</f>
        <v>52413</v>
      </c>
      <c r="HW4" s="14">
        <f>+Tarifas!IM6</f>
        <v>52444</v>
      </c>
      <c r="HX4" s="14">
        <f>+Tarifas!IN6</f>
        <v>52475</v>
      </c>
      <c r="HY4" s="14">
        <f>+Tarifas!IO6</f>
        <v>52505</v>
      </c>
      <c r="HZ4" s="14">
        <f>+Tarifas!IP6</f>
        <v>52536</v>
      </c>
      <c r="IA4" s="14">
        <f>+Tarifas!IQ6</f>
        <v>52566</v>
      </c>
      <c r="IB4" s="14">
        <f>+Tarifas!IR6</f>
        <v>52597</v>
      </c>
      <c r="IC4" s="14">
        <f>+Tarifas!IS6</f>
        <v>52628</v>
      </c>
      <c r="ID4" s="14">
        <f>+Tarifas!IT6</f>
        <v>52657</v>
      </c>
      <c r="IE4" s="14">
        <f>+Tarifas!IU6</f>
        <v>52688</v>
      </c>
      <c r="IF4" s="14">
        <f>+Tarifas!IV6</f>
        <v>52718</v>
      </c>
      <c r="IG4" s="14">
        <f>+Tarifas!IW6</f>
        <v>52749</v>
      </c>
      <c r="IH4" s="14">
        <f>+Tarifas!IX6</f>
        <v>52779</v>
      </c>
      <c r="II4" s="14">
        <f>+Tarifas!IY6</f>
        <v>52810</v>
      </c>
      <c r="IJ4" s="14">
        <f>+Tarifas!IZ6</f>
        <v>52841</v>
      </c>
      <c r="IK4" s="14">
        <f>+Tarifas!JA6</f>
        <v>52871</v>
      </c>
      <c r="IL4" s="14">
        <f>+Tarifas!JB6</f>
        <v>52902</v>
      </c>
      <c r="IM4" s="14">
        <f>+Tarifas!JC6</f>
        <v>52932</v>
      </c>
      <c r="IN4" s="14"/>
    </row>
    <row r="5" spans="1:248" x14ac:dyDescent="0.3">
      <c r="A5" t="s">
        <v>888</v>
      </c>
      <c r="B5" s="30">
        <f>+Tarifas!R7</f>
        <v>859.24</v>
      </c>
      <c r="C5" s="30">
        <f>+Tarifas!S7</f>
        <v>807.28</v>
      </c>
      <c r="D5" s="30">
        <f>+Tarifas!T7</f>
        <v>855.04</v>
      </c>
      <c r="E5" s="30">
        <f>+Tarifas!U7</f>
        <v>854.84</v>
      </c>
      <c r="F5" s="30">
        <f>+Tarifas!V7</f>
        <v>907.23</v>
      </c>
      <c r="G5" s="30">
        <f>+Tarifas!W7</f>
        <v>907.2</v>
      </c>
      <c r="H5" s="30">
        <f>+Tarifas!X7</f>
        <v>907.22</v>
      </c>
      <c r="I5" s="30">
        <f>+Tarifas!Y7</f>
        <v>943.46</v>
      </c>
      <c r="J5" s="30">
        <f>+Tarifas!Z7</f>
        <v>943.5</v>
      </c>
      <c r="K5" s="30">
        <f>+Tarifas!AA7</f>
        <v>943.46</v>
      </c>
      <c r="L5" s="30">
        <f>+Tarifas!AB7</f>
        <v>943.46</v>
      </c>
      <c r="M5" s="30">
        <f>+Tarifas!AC7</f>
        <v>938.16</v>
      </c>
      <c r="N5" s="30">
        <f>+Tarifas!AD7</f>
        <v>885.71</v>
      </c>
      <c r="O5" s="30">
        <f>+Tarifas!AE7</f>
        <v>885.7</v>
      </c>
      <c r="P5" s="30">
        <f>+Tarifas!AF7</f>
        <v>795</v>
      </c>
      <c r="Q5" s="30">
        <f>+Tarifas!AG7</f>
        <v>795</v>
      </c>
      <c r="R5" s="30">
        <f>+Tarifas!AH7</f>
        <v>795.93</v>
      </c>
      <c r="S5" s="30">
        <f>+Tarifas!AI7</f>
        <v>795.93</v>
      </c>
      <c r="T5" s="30">
        <f>+Tarifas!AJ7</f>
        <v>795.93</v>
      </c>
      <c r="U5" s="30">
        <f>+Tarifas!AK7</f>
        <v>795.93</v>
      </c>
      <c r="V5" s="30">
        <f>+Tarifas!AL7</f>
        <v>971.80500000000006</v>
      </c>
      <c r="W5" s="30">
        <f>+Tarifas!AM7</f>
        <v>971.76380000000006</v>
      </c>
      <c r="X5" s="30">
        <f>+Tarifas!AN7</f>
        <v>971.76380000000006</v>
      </c>
      <c r="Y5" s="30">
        <f>+Tarifas!AO7</f>
        <v>966.3048</v>
      </c>
      <c r="Z5" s="30">
        <f>+Tarifas!AP7</f>
        <v>912.2813000000001</v>
      </c>
      <c r="AA5" s="30">
        <f>+Tarifas!AQ7</f>
        <v>912.27100000000007</v>
      </c>
      <c r="AB5" s="30">
        <f>+Tarifas!AR7</f>
        <v>818.85</v>
      </c>
      <c r="AC5" s="30">
        <f>+Tarifas!AS7</f>
        <v>818.85</v>
      </c>
      <c r="AD5" s="30">
        <f>+Tarifas!AT7</f>
        <v>819.80790000000002</v>
      </c>
      <c r="AE5" s="30">
        <f>+Tarifas!AU7</f>
        <v>819.80790000000002</v>
      </c>
      <c r="AF5" s="30">
        <f>+Tarifas!AV7</f>
        <v>819.80790000000002</v>
      </c>
      <c r="AG5" s="30">
        <f>+Tarifas!AW7</f>
        <v>819.80790000000002</v>
      </c>
      <c r="AH5" s="30">
        <f>+Tarifas!AX7</f>
        <v>1000.9591500000001</v>
      </c>
      <c r="AI5" s="30">
        <f>+Tarifas!AY7</f>
        <v>1000.9167140000001</v>
      </c>
      <c r="AJ5" s="30">
        <f>+Tarifas!AZ7</f>
        <v>1000.9167140000001</v>
      </c>
      <c r="AK5" s="30">
        <f>+Tarifas!BA7</f>
        <v>995.29394400000001</v>
      </c>
      <c r="AL5" s="30">
        <f>+Tarifas!BB7</f>
        <v>939.64973900000018</v>
      </c>
      <c r="AM5" s="30">
        <f>+Tarifas!BC7</f>
        <v>939.63913000000014</v>
      </c>
      <c r="AN5" s="30">
        <f>+Tarifas!BD7</f>
        <v>843.41550000000007</v>
      </c>
      <c r="AO5" s="30">
        <f>+Tarifas!BE7</f>
        <v>843.41550000000007</v>
      </c>
      <c r="AP5" s="30">
        <f>+Tarifas!BF7</f>
        <v>844.40213700000004</v>
      </c>
      <c r="AQ5" s="30">
        <f>+Tarifas!BG7</f>
        <v>844.40213700000004</v>
      </c>
      <c r="AR5" s="30">
        <f>+Tarifas!BH7</f>
        <v>844.40213700000004</v>
      </c>
      <c r="AS5" s="30">
        <f>+Tarifas!BI7</f>
        <v>844.40213700000004</v>
      </c>
      <c r="AT5" s="30">
        <f>+Tarifas!BJ7</f>
        <v>1030.9879245000002</v>
      </c>
      <c r="AU5" s="30">
        <f>+Tarifas!BK7</f>
        <v>1030.9442154200001</v>
      </c>
      <c r="AV5" s="30">
        <f>+Tarifas!BL7</f>
        <v>1030.9442154200001</v>
      </c>
      <c r="AW5" s="30">
        <f>+Tarifas!BM7</f>
        <v>1025.15276232</v>
      </c>
      <c r="AX5" s="30">
        <f>+Tarifas!BN7</f>
        <v>967.83923117000018</v>
      </c>
      <c r="AY5" s="30">
        <f>+Tarifas!BO7</f>
        <v>967.82830390000015</v>
      </c>
      <c r="AZ5" s="30">
        <f>+Tarifas!BP7</f>
        <v>868.71796500000005</v>
      </c>
      <c r="BA5" s="30">
        <f>+Tarifas!BQ7</f>
        <v>868.71796500000005</v>
      </c>
      <c r="BB5" s="30">
        <f>+Tarifas!BR7</f>
        <v>869.73420111000007</v>
      </c>
      <c r="BC5" s="30">
        <f>+Tarifas!BS7</f>
        <v>869.73420111000007</v>
      </c>
      <c r="BD5" s="30">
        <f>+Tarifas!BT7</f>
        <v>869.73420111000007</v>
      </c>
      <c r="BE5" s="30">
        <f>+Tarifas!BU7</f>
        <v>869.73420111000007</v>
      </c>
      <c r="BF5" s="30">
        <f>+Tarifas!BV7</f>
        <v>1061.9175622350003</v>
      </c>
      <c r="BG5" s="30">
        <f>+Tarifas!BW7</f>
        <v>1061.8725418826002</v>
      </c>
      <c r="BH5" s="30">
        <f>+Tarifas!BX7</f>
        <v>1061.8725418826002</v>
      </c>
      <c r="BI5" s="30">
        <f>+Tarifas!BY7</f>
        <v>1055.9073451895999</v>
      </c>
      <c r="BJ5" s="30">
        <f>+Tarifas!BZ7</f>
        <v>996.8744081051002</v>
      </c>
      <c r="BK5" s="30">
        <f>+Tarifas!CA7</f>
        <v>996.86315301700017</v>
      </c>
      <c r="BL5" s="30">
        <f>+Tarifas!CB7</f>
        <v>894.77950395000005</v>
      </c>
      <c r="BM5" s="30">
        <f>+Tarifas!CC7</f>
        <v>894.77950395000005</v>
      </c>
      <c r="BN5" s="30">
        <f>+Tarifas!CD7</f>
        <v>895.82622714330012</v>
      </c>
      <c r="BO5" s="30">
        <f>+Tarifas!CE7</f>
        <v>895.82622714330012</v>
      </c>
      <c r="BP5" s="30">
        <f>+Tarifas!CF7</f>
        <v>895.82622714330012</v>
      </c>
      <c r="BQ5" s="30">
        <f>+Tarifas!CG7</f>
        <v>895.82622714330012</v>
      </c>
      <c r="BR5" s="30">
        <f>+Tarifas!CH7</f>
        <v>1093.7750891020503</v>
      </c>
      <c r="BS5" s="30">
        <f>+Tarifas!CI7</f>
        <v>1093.7287181390782</v>
      </c>
      <c r="BT5" s="30">
        <f>+Tarifas!CJ7</f>
        <v>1093.7287181390782</v>
      </c>
      <c r="BU5" s="30">
        <f>+Tarifas!CK7</f>
        <v>1087.5845655452879</v>
      </c>
      <c r="BV5" s="30">
        <f>+Tarifas!CL7</f>
        <v>1026.7806403482532</v>
      </c>
      <c r="BW5" s="30">
        <f>+Tarifas!CM7</f>
        <v>1026.7690476075102</v>
      </c>
      <c r="BX5" s="30">
        <f>+Tarifas!CN7</f>
        <v>921.62288906850006</v>
      </c>
      <c r="BY5" s="30">
        <f>+Tarifas!CO7</f>
        <v>921.62288906850006</v>
      </c>
      <c r="BZ5" s="30">
        <f>+Tarifas!CP7</f>
        <v>922.70101395759912</v>
      </c>
      <c r="CA5" s="30">
        <f>+Tarifas!CQ7</f>
        <v>922.70101395759912</v>
      </c>
      <c r="CB5" s="30">
        <f>+Tarifas!CR7</f>
        <v>922.70101395759912</v>
      </c>
      <c r="CC5" s="30">
        <f>+Tarifas!CS7</f>
        <v>922.70101395759912</v>
      </c>
      <c r="CD5" s="30">
        <f>+Tarifas!CT7</f>
        <v>1126.5883417751118</v>
      </c>
      <c r="CE5" s="30">
        <f>+Tarifas!CU7</f>
        <v>1126.5405796832506</v>
      </c>
      <c r="CF5" s="30">
        <f>+Tarifas!CV7</f>
        <v>1126.5405796832506</v>
      </c>
      <c r="CG5" s="30">
        <f>+Tarifas!CW7</f>
        <v>1120.2121025116467</v>
      </c>
      <c r="CH5" s="30">
        <f>+Tarifas!CX7</f>
        <v>1057.5840595587008</v>
      </c>
      <c r="CI5" s="30">
        <f>+Tarifas!CY7</f>
        <v>1057.5721190357356</v>
      </c>
      <c r="CJ5" s="30">
        <f>+Tarifas!CZ7</f>
        <v>949.27157574055514</v>
      </c>
      <c r="CK5" s="30">
        <f>+Tarifas!DA7</f>
        <v>949.27157574055514</v>
      </c>
      <c r="CL5" s="30">
        <f>+Tarifas!DB7</f>
        <v>950.38204437632714</v>
      </c>
      <c r="CM5" s="30">
        <f>+Tarifas!DC7</f>
        <v>950.38204437632714</v>
      </c>
      <c r="CN5" s="30">
        <f>+Tarifas!DD7</f>
        <v>950.38204437632714</v>
      </c>
      <c r="CO5" s="30">
        <f>+Tarifas!DE7</f>
        <v>950.38204437632714</v>
      </c>
      <c r="CP5" s="30">
        <f>+Tarifas!DF7</f>
        <v>1160.3859920283651</v>
      </c>
      <c r="CQ5" s="30">
        <f>+Tarifas!DG7</f>
        <v>1160.3367970737481</v>
      </c>
      <c r="CR5" s="30">
        <f>+Tarifas!DH7</f>
        <v>1160.3367970737481</v>
      </c>
      <c r="CS5" s="30">
        <f>+Tarifas!DI7</f>
        <v>1153.8184655869961</v>
      </c>
      <c r="CT5" s="30">
        <f>+Tarifas!DJ7</f>
        <v>1089.3115813454619</v>
      </c>
      <c r="CU5" s="30">
        <f>+Tarifas!DK7</f>
        <v>1089.2992826068078</v>
      </c>
      <c r="CV5" s="30">
        <f>+Tarifas!DL7</f>
        <v>977.74972301277182</v>
      </c>
      <c r="CW5" s="30">
        <f>+Tarifas!DM7</f>
        <v>977.74972301277182</v>
      </c>
      <c r="CX5" s="30">
        <f>+Tarifas!DN7</f>
        <v>978.89350570761701</v>
      </c>
      <c r="CY5" s="30">
        <f>+Tarifas!DO7</f>
        <v>978.89350570761701</v>
      </c>
      <c r="CZ5" s="30">
        <f>+Tarifas!DP7</f>
        <v>978.89350570761701</v>
      </c>
      <c r="DA5" s="30">
        <f>+Tarifas!DQ7</f>
        <v>978.89350570761701</v>
      </c>
      <c r="DB5" s="30">
        <f>+Tarifas!DR7</f>
        <v>1195.197571789216</v>
      </c>
      <c r="DC5" s="30">
        <f>+Tarifas!DS7</f>
        <v>1195.1469009859607</v>
      </c>
      <c r="DD5" s="30">
        <f>+Tarifas!DT7</f>
        <v>1195.1469009859607</v>
      </c>
      <c r="DE5" s="30">
        <f>+Tarifas!DU7</f>
        <v>1188.4330195546061</v>
      </c>
      <c r="DF5" s="30">
        <f>+Tarifas!DV7</f>
        <v>1121.9909287858259</v>
      </c>
      <c r="DG5" s="30">
        <f>+Tarifas!DW7</f>
        <v>1121.978261085012</v>
      </c>
      <c r="DH5" s="30">
        <f>+Tarifas!DX7</f>
        <v>1007.082214703155</v>
      </c>
      <c r="DI5" s="30">
        <f>+Tarifas!DY7</f>
        <v>1007.082214703155</v>
      </c>
      <c r="DJ5" s="30">
        <f>+Tarifas!DZ7</f>
        <v>1008.2603108788455</v>
      </c>
      <c r="DK5" s="30">
        <f>+Tarifas!EA7</f>
        <v>1008.2603108788455</v>
      </c>
      <c r="DL5" s="30">
        <f>+Tarifas!EB7</f>
        <v>1008.2603108788455</v>
      </c>
      <c r="DM5" s="30">
        <f>+Tarifas!EC7</f>
        <v>1008.2603108788455</v>
      </c>
      <c r="DN5" s="30">
        <f>+Tarifas!ED7</f>
        <v>1231.0534989428925</v>
      </c>
      <c r="DO5" s="30">
        <f>+Tarifas!EE7</f>
        <v>1231.0013080155395</v>
      </c>
      <c r="DP5" s="30">
        <f>+Tarifas!EF7</f>
        <v>1231.0013080155395</v>
      </c>
      <c r="DQ5" s="30">
        <f>+Tarifas!EG7</f>
        <v>1224.0860101412443</v>
      </c>
      <c r="DR5" s="30">
        <f>+Tarifas!EH7</f>
        <v>1155.6506566494006</v>
      </c>
      <c r="DS5" s="30">
        <f>+Tarifas!EI7</f>
        <v>1155.6376089175624</v>
      </c>
      <c r="DT5" s="30">
        <f>+Tarifas!EJ7</f>
        <v>1037.2946811442498</v>
      </c>
      <c r="DU5" s="30">
        <f>+Tarifas!EK7</f>
        <v>1037.2946811442498</v>
      </c>
      <c r="DV5" s="30">
        <f>+Tarifas!EL7</f>
        <v>1038.5081202052108</v>
      </c>
      <c r="DW5" s="30">
        <f>+Tarifas!EM7</f>
        <v>1038.5081202052108</v>
      </c>
      <c r="DX5" s="30">
        <f>+Tarifas!EN7</f>
        <v>1038.5081202052108</v>
      </c>
      <c r="DY5" s="30">
        <f>+Tarifas!EO7</f>
        <v>1038.5081202052108</v>
      </c>
      <c r="DZ5" s="30">
        <f>+Tarifas!EP7</f>
        <v>1267.9851039111793</v>
      </c>
      <c r="EA5" s="30">
        <f>+Tarifas!EQ7</f>
        <v>1267.9313472560057</v>
      </c>
      <c r="EB5" s="30">
        <f>+Tarifas!ER7</f>
        <v>1267.9313472560057</v>
      </c>
      <c r="EC5" s="30">
        <f>+Tarifas!ES7</f>
        <v>1260.8085904454817</v>
      </c>
      <c r="ED5" s="30">
        <f>+Tarifas!ET7</f>
        <v>1190.3201763488826</v>
      </c>
      <c r="EE5" s="30">
        <f>+Tarifas!EU7</f>
        <v>1190.3067371850893</v>
      </c>
      <c r="EF5" s="30">
        <f>+Tarifas!EV7</f>
        <v>1068.4135215785773</v>
      </c>
      <c r="EG5" s="30">
        <f>+Tarifas!EW7</f>
        <v>1068.4135215785773</v>
      </c>
      <c r="EH5" s="30">
        <f>+Tarifas!EX7</f>
        <v>1069.6633638113672</v>
      </c>
      <c r="EI5" s="30">
        <f>+Tarifas!EY7</f>
        <v>1069.6633638113672</v>
      </c>
      <c r="EJ5" s="30">
        <f>+Tarifas!EZ7</f>
        <v>1069.6633638113672</v>
      </c>
      <c r="EK5" s="30">
        <f>+Tarifas!FA7</f>
        <v>1069.6633638113672</v>
      </c>
      <c r="EL5" s="30">
        <f>+Tarifas!FB7</f>
        <v>1306.0246570285146</v>
      </c>
      <c r="EM5" s="30">
        <f>+Tarifas!FC7</f>
        <v>1305.9692876736858</v>
      </c>
      <c r="EN5" s="30">
        <f>+Tarifas!FD7</f>
        <v>1305.9692876736858</v>
      </c>
      <c r="EO5" s="30">
        <f>+Tarifas!FE7</f>
        <v>1298.6328481588462</v>
      </c>
      <c r="EP5" s="30">
        <f>+Tarifas!FF7</f>
        <v>1226.029781639349</v>
      </c>
      <c r="EQ5" s="30">
        <f>+Tarifas!FG7</f>
        <v>1226.015939300642</v>
      </c>
      <c r="ER5" s="30">
        <f>+Tarifas!FH7</f>
        <v>1100.4659272259346</v>
      </c>
      <c r="ES5" s="30">
        <f>+Tarifas!FI7</f>
        <v>1100.4659272259346</v>
      </c>
      <c r="ET5" s="30">
        <f>+Tarifas!FJ7</f>
        <v>1101.7532647257083</v>
      </c>
      <c r="EU5" s="30">
        <f>+Tarifas!FK7</f>
        <v>1101.7532647257083</v>
      </c>
      <c r="EV5" s="30">
        <f>+Tarifas!FL7</f>
        <v>1101.7532647257083</v>
      </c>
      <c r="EW5" s="30">
        <f>+Tarifas!FM7</f>
        <v>1101.7532647257083</v>
      </c>
      <c r="EX5" s="30">
        <f>+Tarifas!FN7</f>
        <v>1345.2053967393701</v>
      </c>
      <c r="EY5" s="30">
        <f>+Tarifas!FO7</f>
        <v>1345.1483663038964</v>
      </c>
      <c r="EZ5" s="30">
        <f>+Tarifas!FP7</f>
        <v>1345.1483663038964</v>
      </c>
      <c r="FA5" s="30">
        <f>+Tarifas!FQ7</f>
        <v>1337.5918336036116</v>
      </c>
      <c r="FB5" s="30">
        <f>+Tarifas!FR7</f>
        <v>1262.8106750885295</v>
      </c>
      <c r="FC5" s="30">
        <f>+Tarifas!FS7</f>
        <v>1262.7964174796614</v>
      </c>
      <c r="FD5" s="30">
        <f>+Tarifas!FT7</f>
        <v>1133.4799050427127</v>
      </c>
      <c r="FE5" s="30">
        <f>+Tarifas!FU7</f>
        <v>1133.4799050427127</v>
      </c>
      <c r="FF5" s="30">
        <f>+Tarifas!FV7</f>
        <v>1134.8058626674795</v>
      </c>
      <c r="FG5" s="30">
        <f>+Tarifas!FW7</f>
        <v>1134.8058626674795</v>
      </c>
      <c r="FH5" s="30">
        <f>+Tarifas!FX7</f>
        <v>1134.8058626674795</v>
      </c>
      <c r="FI5" s="30">
        <f>+Tarifas!FY7</f>
        <v>1134.8058626674795</v>
      </c>
      <c r="FJ5" s="30">
        <f>+Tarifas!FZ7</f>
        <v>1385.5615586415513</v>
      </c>
      <c r="FK5" s="30">
        <f>+Tarifas!GA7</f>
        <v>1385.5028172930133</v>
      </c>
      <c r="FL5" s="30">
        <f>+Tarifas!GB7</f>
        <v>1385.5028172930133</v>
      </c>
      <c r="FM5" s="30">
        <f>+Tarifas!GC7</f>
        <v>1377.7195886117199</v>
      </c>
      <c r="FN5" s="30">
        <f>+Tarifas!GD7</f>
        <v>1300.6949953411854</v>
      </c>
      <c r="FO5" s="30">
        <f>+Tarifas!GE7</f>
        <v>1300.6803100040513</v>
      </c>
      <c r="FP5" s="30">
        <f>+Tarifas!GF7</f>
        <v>1167.4843021939942</v>
      </c>
      <c r="FQ5" s="30">
        <f>+Tarifas!GG7</f>
        <v>1167.4843021939942</v>
      </c>
      <c r="FR5" s="30">
        <f>+Tarifas!GH7</f>
        <v>1168.8500385475038</v>
      </c>
      <c r="FS5" s="30">
        <f>+Tarifas!GI7</f>
        <v>1168.8500385475038</v>
      </c>
      <c r="FT5" s="30">
        <f>+Tarifas!GJ7</f>
        <v>1168.8500385475038</v>
      </c>
      <c r="FU5" s="30">
        <f>+Tarifas!GK7</f>
        <v>1168.8500385475038</v>
      </c>
      <c r="FV5" s="30">
        <f>+Tarifas!GL7</f>
        <v>1427.1284054007979</v>
      </c>
      <c r="FW5" s="30">
        <f>+Tarifas!GM7</f>
        <v>1427.0679018118037</v>
      </c>
      <c r="FX5" s="30">
        <f>+Tarifas!GN7</f>
        <v>1427.0679018118037</v>
      </c>
      <c r="FY5" s="30">
        <f>+Tarifas!GO7</f>
        <v>1419.0511762700717</v>
      </c>
      <c r="FZ5" s="30">
        <f>+Tarifas!GP7</f>
        <v>1339.715845201421</v>
      </c>
      <c r="GA5" s="30">
        <f>+Tarifas!GQ7</f>
        <v>1339.7007193041729</v>
      </c>
      <c r="GB5" s="30">
        <f>+Tarifas!GR7</f>
        <v>1202.5088312598141</v>
      </c>
      <c r="GC5" s="30">
        <f>+Tarifas!GS7</f>
        <v>1202.5088312598141</v>
      </c>
      <c r="GD5" s="30">
        <f>+Tarifas!GT7</f>
        <v>1203.915539703929</v>
      </c>
      <c r="GE5" s="30">
        <f>+Tarifas!GU7</f>
        <v>1203.915539703929</v>
      </c>
      <c r="GF5" s="30">
        <f>+Tarifas!GV7</f>
        <v>1203.915539703929</v>
      </c>
      <c r="GG5" s="30">
        <f>+Tarifas!GW7</f>
        <v>1203.915539703929</v>
      </c>
      <c r="GH5" s="30">
        <f>+Tarifas!GX7</f>
        <v>1469.9422575628219</v>
      </c>
      <c r="GI5" s="30">
        <f>+Tarifas!GY7</f>
        <v>1469.8799388661578</v>
      </c>
      <c r="GJ5" s="30">
        <f>+Tarifas!GZ7</f>
        <v>1469.8799388661578</v>
      </c>
      <c r="GK5" s="30">
        <f>+Tarifas!HA7</f>
        <v>1461.6227115581739</v>
      </c>
      <c r="GL5" s="30">
        <f>+Tarifas!HB7</f>
        <v>1379.9073205574637</v>
      </c>
      <c r="GM5" s="30">
        <f>+Tarifas!HC7</f>
        <v>1379.8917408832981</v>
      </c>
      <c r="GN5" s="30">
        <f>+Tarifas!HD7</f>
        <v>1238.5840961976085</v>
      </c>
      <c r="GO5" s="30">
        <f>+Tarifas!HE7</f>
        <v>1238.5840961976085</v>
      </c>
      <c r="GP5" s="30">
        <f>+Tarifas!HF7</f>
        <v>1240.0330058950469</v>
      </c>
      <c r="GQ5" s="30">
        <f>+Tarifas!HG7</f>
        <v>1240.0330058950469</v>
      </c>
      <c r="GR5" s="30">
        <f>+Tarifas!HH7</f>
        <v>1240.0330058950469</v>
      </c>
      <c r="GS5" s="30">
        <f>+Tarifas!HI7</f>
        <v>1240.0330058950469</v>
      </c>
      <c r="GT5" s="30">
        <f>+Tarifas!HJ7</f>
        <v>1514.0405252897065</v>
      </c>
      <c r="GU5" s="30">
        <f>+Tarifas!HK7</f>
        <v>1513.9763370321425</v>
      </c>
      <c r="GV5" s="30">
        <f>+Tarifas!HL7</f>
        <v>1513.9763370321425</v>
      </c>
      <c r="GW5" s="30">
        <f>+Tarifas!HM7</f>
        <v>1505.4713929049192</v>
      </c>
      <c r="GX5" s="30">
        <f>+Tarifas!HN7</f>
        <v>1421.3045401741877</v>
      </c>
      <c r="GY5" s="30">
        <f>+Tarifas!HO7</f>
        <v>1421.2884931097972</v>
      </c>
      <c r="GZ5" s="30">
        <f>+Tarifas!HP7</f>
        <v>1275.7416190835368</v>
      </c>
      <c r="HA5" s="30">
        <f>+Tarifas!HQ7</f>
        <v>1275.7416190835368</v>
      </c>
      <c r="HB5" s="30">
        <f>+Tarifas!HR7</f>
        <v>1277.2339960718984</v>
      </c>
      <c r="HC5" s="30">
        <f>+Tarifas!HS7</f>
        <v>1277.2339960718984</v>
      </c>
      <c r="HD5" s="30">
        <f>+Tarifas!HT7</f>
        <v>1277.2339960718984</v>
      </c>
      <c r="HE5" s="30">
        <f>+Tarifas!HU7</f>
        <v>1277.2339960718984</v>
      </c>
      <c r="HF5" s="30">
        <f>+Tarifas!HV7</f>
        <v>1559.4617410483977</v>
      </c>
      <c r="HG5" s="30">
        <f>+Tarifas!HW7</f>
        <v>1559.3956271431068</v>
      </c>
      <c r="HH5" s="30">
        <f>+Tarifas!HX7</f>
        <v>1559.3956271431068</v>
      </c>
      <c r="HI5" s="30">
        <f>+Tarifas!HY7</f>
        <v>1550.6355346920668</v>
      </c>
      <c r="HJ5" s="30">
        <f>+Tarifas!HZ7</f>
        <v>1463.9436763794133</v>
      </c>
      <c r="HK5" s="30">
        <f>+Tarifas!IA7</f>
        <v>1463.9271479030911</v>
      </c>
      <c r="HL5" s="30">
        <f>+Tarifas!IB7</f>
        <v>1314.013867656043</v>
      </c>
      <c r="HM5" s="30">
        <f>+Tarifas!IC7</f>
        <v>1314.013867656043</v>
      </c>
      <c r="HN5" s="30">
        <f>+Tarifas!ID7</f>
        <v>1315.5510159540554</v>
      </c>
      <c r="HO5" s="30">
        <f>+Tarifas!IE7</f>
        <v>1315.5510159540554</v>
      </c>
      <c r="HP5" s="30">
        <f>+Tarifas!IF7</f>
        <v>1315.5510159540554</v>
      </c>
      <c r="HQ5" s="30">
        <f>+Tarifas!IG7</f>
        <v>1315.5510159540554</v>
      </c>
      <c r="HR5" s="30">
        <f>+Tarifas!IH7</f>
        <v>1606.2455932798496</v>
      </c>
      <c r="HS5" s="30">
        <f>+Tarifas!II7</f>
        <v>1606.1774959574</v>
      </c>
      <c r="HT5" s="30">
        <f>+Tarifas!IJ7</f>
        <v>1606.1774959574</v>
      </c>
      <c r="HU5" s="30">
        <f>+Tarifas!IK7</f>
        <v>1597.1546007328288</v>
      </c>
      <c r="HV5" s="30">
        <f>+Tarifas!IL7</f>
        <v>1507.8619866707957</v>
      </c>
      <c r="HW5" s="30">
        <f>+Tarifas!IM7</f>
        <v>1507.8449623401839</v>
      </c>
      <c r="HX5" s="30">
        <f>+Tarifas!IN7</f>
        <v>1353.4342836857243</v>
      </c>
      <c r="HY5" s="30">
        <f>+Tarifas!IO7</f>
        <v>1353.4342836857243</v>
      </c>
      <c r="HZ5" s="30">
        <f>+Tarifas!IP7</f>
        <v>1355.0175464326771</v>
      </c>
      <c r="IA5" s="30">
        <f>+Tarifas!IQ7</f>
        <v>1355.0175464326771</v>
      </c>
      <c r="IB5" s="30">
        <f>+Tarifas!IR7</f>
        <v>1355.0175464326771</v>
      </c>
      <c r="IC5" s="30">
        <f>+Tarifas!IS7</f>
        <v>1355.0175464326771</v>
      </c>
      <c r="ID5" s="30">
        <f>+Tarifas!IT7</f>
        <v>1654.4329610782452</v>
      </c>
      <c r="IE5" s="30">
        <f>+Tarifas!IU7</f>
        <v>1654.362820836122</v>
      </c>
      <c r="IF5" s="30">
        <f>+Tarifas!IV7</f>
        <v>1654.362820836122</v>
      </c>
      <c r="IG5" s="30">
        <f>+Tarifas!IW7</f>
        <v>1645.0692387548138</v>
      </c>
      <c r="IH5" s="30">
        <f>+Tarifas!IX7</f>
        <v>1553.0978462709195</v>
      </c>
      <c r="II5" s="30">
        <f>+Tarifas!IY7</f>
        <v>1553.0803112103895</v>
      </c>
      <c r="IJ5" s="30">
        <f>+Tarifas!IZ7</f>
        <v>1394.0373121962959</v>
      </c>
      <c r="IK5" s="30">
        <f>+Tarifas!JA7</f>
        <v>1394.0373121962959</v>
      </c>
      <c r="IL5" s="30">
        <f>+Tarifas!JB7</f>
        <v>1395.6680728256574</v>
      </c>
      <c r="IM5" s="30">
        <f>+Tarifas!JC7</f>
        <v>1395.6680728256574</v>
      </c>
      <c r="IN5" s="30"/>
    </row>
    <row r="6" spans="1:248" x14ac:dyDescent="0.3">
      <c r="A6" t="s">
        <v>885</v>
      </c>
      <c r="C6" s="30">
        <f>+Tarifas!S8</f>
        <v>125.95</v>
      </c>
      <c r="D6" s="30">
        <f>+Tarifas!T8</f>
        <v>128.91999999999999</v>
      </c>
      <c r="E6" s="30">
        <f>+Tarifas!U8</f>
        <v>135.29</v>
      </c>
      <c r="F6" s="30">
        <f>+Tarifas!V8</f>
        <v>139</v>
      </c>
      <c r="G6" s="30">
        <f>+Tarifas!W8</f>
        <v>147.13</v>
      </c>
      <c r="H6" s="30">
        <f>+Tarifas!X8</f>
        <v>154.19999999999999</v>
      </c>
      <c r="I6" s="30">
        <f>+Tarifas!Y8</f>
        <v>159.19</v>
      </c>
      <c r="J6" s="30">
        <f>+Tarifas!Z8</f>
        <v>156.6</v>
      </c>
      <c r="K6" s="30">
        <f>+Tarifas!AA8</f>
        <v>160.06</v>
      </c>
      <c r="L6" s="30">
        <f>+Tarifas!AB8</f>
        <v>154.88999999999999</v>
      </c>
      <c r="M6" s="30">
        <f>+Tarifas!AC8</f>
        <v>153.61000000000001</v>
      </c>
      <c r="N6" s="30">
        <f>+Tarifas!AD8</f>
        <v>151.97</v>
      </c>
      <c r="O6" s="30">
        <f>+Tarifas!AE8</f>
        <v>132.69999999999999</v>
      </c>
      <c r="P6" s="30">
        <f>+Tarifas!AF8</f>
        <v>133.16</v>
      </c>
      <c r="Q6" s="30">
        <f>+Tarifas!AG8</f>
        <v>121.2</v>
      </c>
      <c r="R6" s="30">
        <f>+Tarifas!AH8</f>
        <v>119.83</v>
      </c>
      <c r="S6" s="30">
        <f>+Tarifas!AI8</f>
        <v>151.54390000000001</v>
      </c>
      <c r="T6" s="30">
        <f>+Tarifas!AJ8</f>
        <v>158.82599999999999</v>
      </c>
      <c r="U6" s="30">
        <f>+Tarifas!AK8</f>
        <v>163.9657</v>
      </c>
      <c r="V6" s="30">
        <f>+Tarifas!AL8</f>
        <v>161.298</v>
      </c>
      <c r="W6" s="30">
        <f>+Tarifas!AM8</f>
        <v>164.86180000000002</v>
      </c>
      <c r="X6" s="30">
        <f>+Tarifas!AN8</f>
        <v>159.5367</v>
      </c>
      <c r="Y6" s="30">
        <f>+Tarifas!AO8</f>
        <v>158.21830000000003</v>
      </c>
      <c r="Z6" s="30">
        <f>+Tarifas!AP8</f>
        <v>156.5291</v>
      </c>
      <c r="AA6" s="30">
        <f>+Tarifas!AQ8</f>
        <v>136.68099999999998</v>
      </c>
      <c r="AB6" s="30">
        <f>+Tarifas!AR8</f>
        <v>137.15479999999999</v>
      </c>
      <c r="AC6" s="30">
        <f>+Tarifas!AS8</f>
        <v>124.83600000000001</v>
      </c>
      <c r="AD6" s="30">
        <f>+Tarifas!AT8</f>
        <v>123.42490000000001</v>
      </c>
      <c r="AE6" s="30">
        <f>+Tarifas!AU8</f>
        <v>156.09021700000002</v>
      </c>
      <c r="AF6" s="30">
        <f>+Tarifas!AV8</f>
        <v>163.59078</v>
      </c>
      <c r="AG6" s="30">
        <f>+Tarifas!AW8</f>
        <v>168.884671</v>
      </c>
      <c r="AH6" s="30">
        <f>+Tarifas!AX8</f>
        <v>166.13694000000001</v>
      </c>
      <c r="AI6" s="30">
        <f>+Tarifas!AY8</f>
        <v>169.80765400000001</v>
      </c>
      <c r="AJ6" s="30">
        <f>+Tarifas!AZ8</f>
        <v>164.322801</v>
      </c>
      <c r="AK6" s="30">
        <f>+Tarifas!BA8</f>
        <v>162.96484900000004</v>
      </c>
      <c r="AL6" s="30">
        <f>+Tarifas!BB8</f>
        <v>161.22497300000001</v>
      </c>
      <c r="AM6" s="30">
        <f>+Tarifas!BC8</f>
        <v>140.78143</v>
      </c>
      <c r="AN6" s="30">
        <f>+Tarifas!BD8</f>
        <v>141.26944399999999</v>
      </c>
      <c r="AO6" s="30">
        <f>+Tarifas!BE8</f>
        <v>128.58108000000001</v>
      </c>
      <c r="AP6" s="30">
        <f>+Tarifas!BF8</f>
        <v>127.12764700000001</v>
      </c>
      <c r="AQ6" s="30">
        <f>+Tarifas!BG8</f>
        <v>160.77292351000003</v>
      </c>
      <c r="AR6" s="30">
        <f>+Tarifas!BH8</f>
        <v>168.4985034</v>
      </c>
      <c r="AS6" s="30">
        <f>+Tarifas!BI8</f>
        <v>173.95121112999999</v>
      </c>
      <c r="AT6" s="30">
        <f>+Tarifas!BJ8</f>
        <v>171.12104820000002</v>
      </c>
      <c r="AU6" s="30">
        <f>+Tarifas!BK8</f>
        <v>174.90188362000001</v>
      </c>
      <c r="AV6" s="30">
        <f>+Tarifas!BL8</f>
        <v>169.25248503</v>
      </c>
      <c r="AW6" s="30">
        <f>+Tarifas!BM8</f>
        <v>167.85379447000005</v>
      </c>
      <c r="AX6" s="30">
        <f>+Tarifas!BN8</f>
        <v>166.06172219000001</v>
      </c>
      <c r="AY6" s="30">
        <f>+Tarifas!BO8</f>
        <v>145.00487290000001</v>
      </c>
      <c r="AZ6" s="30">
        <f>+Tarifas!BP8</f>
        <v>145.50752732000001</v>
      </c>
      <c r="BA6" s="30">
        <f>+Tarifas!BQ8</f>
        <v>132.43851240000001</v>
      </c>
      <c r="BB6" s="30">
        <f>+Tarifas!BR8</f>
        <v>130.94147641000001</v>
      </c>
      <c r="BC6" s="30">
        <f>+Tarifas!BS8</f>
        <v>165.59611121530003</v>
      </c>
      <c r="BD6" s="30">
        <f>+Tarifas!BT8</f>
        <v>173.55345850200001</v>
      </c>
      <c r="BE6" s="30">
        <f>+Tarifas!BU8</f>
        <v>179.16974746389999</v>
      </c>
      <c r="BF6" s="30">
        <f>+Tarifas!BV8</f>
        <v>176.25467964600003</v>
      </c>
      <c r="BG6" s="30">
        <f>+Tarifas!BW8</f>
        <v>180.1489401286</v>
      </c>
      <c r="BH6" s="30">
        <f>+Tarifas!BX8</f>
        <v>174.33005958090001</v>
      </c>
      <c r="BI6" s="30">
        <f>+Tarifas!BY8</f>
        <v>172.88940830410007</v>
      </c>
      <c r="BJ6" s="30">
        <f>+Tarifas!BZ8</f>
        <v>171.0435738557</v>
      </c>
      <c r="BK6" s="30">
        <f>+Tarifas!CA8</f>
        <v>149.35501908700002</v>
      </c>
      <c r="BL6" s="30">
        <f>+Tarifas!CB8</f>
        <v>149.87275313960001</v>
      </c>
      <c r="BM6" s="30">
        <f>+Tarifas!CC8</f>
        <v>136.41166777200002</v>
      </c>
      <c r="BN6" s="30">
        <f>+Tarifas!CD8</f>
        <v>134.86972070230001</v>
      </c>
      <c r="BO6" s="30">
        <f>+Tarifas!CE8</f>
        <v>170.56399455175904</v>
      </c>
      <c r="BP6" s="30">
        <f>+Tarifas!CF8</f>
        <v>178.76006225706001</v>
      </c>
      <c r="BQ6" s="30">
        <f>+Tarifas!CG8</f>
        <v>184.54483988781701</v>
      </c>
      <c r="BR6" s="30">
        <f>+Tarifas!CH8</f>
        <v>181.54232003538004</v>
      </c>
      <c r="BS6" s="30">
        <f>+Tarifas!CI8</f>
        <v>185.55340833245802</v>
      </c>
      <c r="BT6" s="30">
        <f>+Tarifas!CJ8</f>
        <v>179.55996136832701</v>
      </c>
      <c r="BU6" s="30">
        <f>+Tarifas!CK8</f>
        <v>178.07609055322308</v>
      </c>
      <c r="BV6" s="30">
        <f>+Tarifas!CL8</f>
        <v>176.174881071371</v>
      </c>
      <c r="BW6" s="30">
        <f>+Tarifas!CM8</f>
        <v>153.83566965961003</v>
      </c>
      <c r="BX6" s="30">
        <f>+Tarifas!CN8</f>
        <v>154.36893573378802</v>
      </c>
      <c r="BY6" s="30">
        <f>+Tarifas!CO8</f>
        <v>140.50401780516003</v>
      </c>
      <c r="BZ6" s="30">
        <f>+Tarifas!CP8</f>
        <v>138.91581232336901</v>
      </c>
      <c r="CA6" s="30">
        <f>+Tarifas!CQ8</f>
        <v>175.68091438831181</v>
      </c>
      <c r="CB6" s="30">
        <f>+Tarifas!CR8</f>
        <v>184.12286412477181</v>
      </c>
      <c r="CC6" s="30">
        <f>+Tarifas!CS8</f>
        <v>190.08118508445153</v>
      </c>
      <c r="CD6" s="30">
        <f>+Tarifas!CT8</f>
        <v>186.98858963644145</v>
      </c>
      <c r="CE6" s="30">
        <f>+Tarifas!CU8</f>
        <v>191.12001058243177</v>
      </c>
      <c r="CF6" s="30">
        <f>+Tarifas!CV8</f>
        <v>184.94676020937683</v>
      </c>
      <c r="CG6" s="30">
        <f>+Tarifas!CW8</f>
        <v>183.41837326981977</v>
      </c>
      <c r="CH6" s="30">
        <f>+Tarifas!CX8</f>
        <v>181.46012750351213</v>
      </c>
      <c r="CI6" s="30">
        <f>+Tarifas!CY8</f>
        <v>158.45073974939834</v>
      </c>
      <c r="CJ6" s="30">
        <f>+Tarifas!CZ8</f>
        <v>159.00000380580167</v>
      </c>
      <c r="CK6" s="30">
        <f>+Tarifas!DA8</f>
        <v>144.71913833931484</v>
      </c>
      <c r="CL6" s="30">
        <f>+Tarifas!DB8</f>
        <v>143.08328669307008</v>
      </c>
      <c r="CM6" s="30">
        <f>+Tarifas!DC8</f>
        <v>180.95134181996116</v>
      </c>
      <c r="CN6" s="30">
        <f>+Tarifas!DD8</f>
        <v>189.64655004851497</v>
      </c>
      <c r="CO6" s="30">
        <f>+Tarifas!DE8</f>
        <v>195.78362063698509</v>
      </c>
      <c r="CP6" s="30">
        <f>+Tarifas!DF8</f>
        <v>192.59824732553469</v>
      </c>
      <c r="CQ6" s="30">
        <f>+Tarifas!DG8</f>
        <v>196.85361089990474</v>
      </c>
      <c r="CR6" s="30">
        <f>+Tarifas!DH8</f>
        <v>190.49516301565814</v>
      </c>
      <c r="CS6" s="30">
        <f>+Tarifas!DI8</f>
        <v>188.92092446791438</v>
      </c>
      <c r="CT6" s="30">
        <f>+Tarifas!DJ8</f>
        <v>186.90393132861749</v>
      </c>
      <c r="CU6" s="30">
        <f>+Tarifas!DK8</f>
        <v>163.2042619418803</v>
      </c>
      <c r="CV6" s="30">
        <f>+Tarifas!DL8</f>
        <v>163.77000391997572</v>
      </c>
      <c r="CW6" s="30">
        <f>+Tarifas!DM8</f>
        <v>149.06071248949428</v>
      </c>
      <c r="CX6" s="30">
        <f>+Tarifas!DN8</f>
        <v>147.37578529386218</v>
      </c>
      <c r="CY6" s="30">
        <f>+Tarifas!DO8</f>
        <v>186.37988207455999</v>
      </c>
      <c r="CZ6" s="30">
        <f>+Tarifas!DP8</f>
        <v>195.33594654997043</v>
      </c>
      <c r="DA6" s="30">
        <f>+Tarifas!DQ8</f>
        <v>201.65712925609466</v>
      </c>
      <c r="DB6" s="30">
        <f>+Tarifas!DR8</f>
        <v>198.37619474530072</v>
      </c>
      <c r="DC6" s="30">
        <f>+Tarifas!DS8</f>
        <v>202.75921922690188</v>
      </c>
      <c r="DD6" s="30">
        <f>+Tarifas!DT8</f>
        <v>196.21001790612789</v>
      </c>
      <c r="DE6" s="30">
        <f>+Tarifas!DU8</f>
        <v>194.58855220195181</v>
      </c>
      <c r="DF6" s="30">
        <f>+Tarifas!DV8</f>
        <v>192.51104926847603</v>
      </c>
      <c r="DG6" s="30">
        <f>+Tarifas!DW8</f>
        <v>168.10038980013672</v>
      </c>
      <c r="DH6" s="30">
        <f>+Tarifas!DX8</f>
        <v>168.68310403757499</v>
      </c>
      <c r="DI6" s="30">
        <f>+Tarifas!DY8</f>
        <v>153.5325338641791</v>
      </c>
      <c r="DJ6" s="30">
        <f>+Tarifas!DZ8</f>
        <v>151.79705885267805</v>
      </c>
      <c r="DK6" s="30">
        <f>+Tarifas!EA8</f>
        <v>191.9712785367968</v>
      </c>
      <c r="DL6" s="30">
        <f>+Tarifas!EB8</f>
        <v>201.19602494646955</v>
      </c>
      <c r="DM6" s="30">
        <f>+Tarifas!EC8</f>
        <v>207.70684313377751</v>
      </c>
      <c r="DN6" s="30">
        <f>+Tarifas!ED8</f>
        <v>204.32748058765975</v>
      </c>
      <c r="DO6" s="30">
        <f>+Tarifas!EE8</f>
        <v>208.84199580370893</v>
      </c>
      <c r="DP6" s="30">
        <f>+Tarifas!EF8</f>
        <v>202.09631844331173</v>
      </c>
      <c r="DQ6" s="30">
        <f>+Tarifas!EG8</f>
        <v>200.42620876801038</v>
      </c>
      <c r="DR6" s="30">
        <f>+Tarifas!EH8</f>
        <v>198.28638074653031</v>
      </c>
      <c r="DS6" s="30">
        <f>+Tarifas!EI8</f>
        <v>173.14340149414082</v>
      </c>
      <c r="DT6" s="30">
        <f>+Tarifas!EJ8</f>
        <v>173.74359715870224</v>
      </c>
      <c r="DU6" s="30">
        <f>+Tarifas!EK8</f>
        <v>158.13850988010446</v>
      </c>
      <c r="DV6" s="30">
        <f>+Tarifas!EL8</f>
        <v>156.3509706182584</v>
      </c>
      <c r="DW6" s="30">
        <f>+Tarifas!EM8</f>
        <v>197.73041689290071</v>
      </c>
      <c r="DX6" s="30">
        <f>+Tarifas!EN8</f>
        <v>207.23190569486363</v>
      </c>
      <c r="DY6" s="30">
        <f>+Tarifas!EO8</f>
        <v>213.93804842779085</v>
      </c>
      <c r="DZ6" s="30">
        <f>+Tarifas!EP8</f>
        <v>210.45730500528956</v>
      </c>
      <c r="EA6" s="30">
        <f>+Tarifas!EQ8</f>
        <v>215.10725567782021</v>
      </c>
      <c r="EB6" s="30">
        <f>+Tarifas!ER8</f>
        <v>208.15920799661109</v>
      </c>
      <c r="EC6" s="30">
        <f>+Tarifas!ES8</f>
        <v>206.43899503105069</v>
      </c>
      <c r="ED6" s="30">
        <f>+Tarifas!ET8</f>
        <v>204.23497216892622</v>
      </c>
      <c r="EE6" s="30">
        <f>+Tarifas!EU8</f>
        <v>178.33770353896506</v>
      </c>
      <c r="EF6" s="30">
        <f>+Tarifas!EV8</f>
        <v>178.95590507346333</v>
      </c>
      <c r="EG6" s="30">
        <f>+Tarifas!EW8</f>
        <v>162.8826651765076</v>
      </c>
      <c r="EH6" s="30">
        <f>+Tarifas!EX8</f>
        <v>161.04149973680614</v>
      </c>
      <c r="EI6" s="30">
        <f>+Tarifas!EY8</f>
        <v>203.66232939968774</v>
      </c>
      <c r="EJ6" s="30">
        <f>+Tarifas!EZ8</f>
        <v>213.44886286570954</v>
      </c>
      <c r="EK6" s="30">
        <f>+Tarifas!FA8</f>
        <v>220.35618988062458</v>
      </c>
      <c r="EL6" s="30">
        <f>+Tarifas!FB8</f>
        <v>216.77102415544826</v>
      </c>
      <c r="EM6" s="30">
        <f>+Tarifas!FC8</f>
        <v>221.56047334815483</v>
      </c>
      <c r="EN6" s="30">
        <f>+Tarifas!FD8</f>
        <v>214.40398423650942</v>
      </c>
      <c r="EO6" s="30">
        <f>+Tarifas!FE8</f>
        <v>212.63216488198222</v>
      </c>
      <c r="EP6" s="30">
        <f>+Tarifas!FF8</f>
        <v>210.36202133399402</v>
      </c>
      <c r="EQ6" s="30">
        <f>+Tarifas!FG8</f>
        <v>183.68783464513402</v>
      </c>
      <c r="ER6" s="30">
        <f>+Tarifas!FH8</f>
        <v>184.32458222566723</v>
      </c>
      <c r="ES6" s="30">
        <f>+Tarifas!FI8</f>
        <v>167.76914513180284</v>
      </c>
      <c r="ET6" s="30">
        <f>+Tarifas!FJ8</f>
        <v>165.87274472891033</v>
      </c>
      <c r="EU6" s="30">
        <f>+Tarifas!FK8</f>
        <v>209.77219928167838</v>
      </c>
      <c r="EV6" s="30">
        <f>+Tarifas!FL8</f>
        <v>219.85232875168083</v>
      </c>
      <c r="EW6" s="30">
        <f>+Tarifas!FM8</f>
        <v>226.96687557704334</v>
      </c>
      <c r="EX6" s="30">
        <f>+Tarifas!FN8</f>
        <v>223.27415488011172</v>
      </c>
      <c r="EY6" s="30">
        <f>+Tarifas!FO8</f>
        <v>228.20728754859948</v>
      </c>
      <c r="EZ6" s="30">
        <f>+Tarifas!FP8</f>
        <v>220.83610376360471</v>
      </c>
      <c r="FA6" s="30">
        <f>+Tarifas!FQ8</f>
        <v>219.01112982844168</v>
      </c>
      <c r="FB6" s="30">
        <f>+Tarifas!FR8</f>
        <v>216.67288197401385</v>
      </c>
      <c r="FC6" s="30">
        <f>+Tarifas!FS8</f>
        <v>189.19846968448803</v>
      </c>
      <c r="FD6" s="30">
        <f>+Tarifas!FT8</f>
        <v>189.85431969243726</v>
      </c>
      <c r="FE6" s="30">
        <f>+Tarifas!FU8</f>
        <v>172.80221948575692</v>
      </c>
      <c r="FF6" s="30">
        <f>+Tarifas!FV8</f>
        <v>170.84892707077765</v>
      </c>
      <c r="FG6" s="30">
        <f>+Tarifas!FW8</f>
        <v>216.06536526012874</v>
      </c>
      <c r="FH6" s="30">
        <f>+Tarifas!FX8</f>
        <v>226.44789861423126</v>
      </c>
      <c r="FI6" s="30">
        <f>+Tarifas!FY8</f>
        <v>233.77588184435464</v>
      </c>
      <c r="FJ6" s="30">
        <f>+Tarifas!FZ8</f>
        <v>229.97237952651508</v>
      </c>
      <c r="FK6" s="30">
        <f>+Tarifas!GA8</f>
        <v>235.05350617505746</v>
      </c>
      <c r="FL6" s="30">
        <f>+Tarifas!GB8</f>
        <v>227.46118687651287</v>
      </c>
      <c r="FM6" s="30">
        <f>+Tarifas!GC8</f>
        <v>225.58146372329495</v>
      </c>
      <c r="FN6" s="30">
        <f>+Tarifas!GD8</f>
        <v>223.17306843323428</v>
      </c>
      <c r="FO6" s="30">
        <f>+Tarifas!GE8</f>
        <v>194.87442377502268</v>
      </c>
      <c r="FP6" s="30">
        <f>+Tarifas!GF8</f>
        <v>195.54994928321037</v>
      </c>
      <c r="FQ6" s="30">
        <f>+Tarifas!GG8</f>
        <v>177.98628607032964</v>
      </c>
      <c r="FR6" s="30">
        <f>+Tarifas!GH8</f>
        <v>175.97439488290098</v>
      </c>
      <c r="FS6" s="30">
        <f>+Tarifas!GI8</f>
        <v>222.54732621793261</v>
      </c>
      <c r="FT6" s="30">
        <f>+Tarifas!GJ8</f>
        <v>233.24133557265822</v>
      </c>
      <c r="FU6" s="30">
        <f>+Tarifas!GK8</f>
        <v>240.78915829968528</v>
      </c>
      <c r="FV6" s="30">
        <f>+Tarifas!GL8</f>
        <v>236.87155091231054</v>
      </c>
      <c r="FW6" s="30">
        <f>+Tarifas!GM8</f>
        <v>242.10511136030919</v>
      </c>
      <c r="FX6" s="30">
        <f>+Tarifas!GN8</f>
        <v>234.28502248280827</v>
      </c>
      <c r="FY6" s="30">
        <f>+Tarifas!GO8</f>
        <v>232.34890763499379</v>
      </c>
      <c r="FZ6" s="30">
        <f>+Tarifas!GP8</f>
        <v>229.86826048623132</v>
      </c>
      <c r="GA6" s="30">
        <f>+Tarifas!GQ8</f>
        <v>200.72065648827336</v>
      </c>
      <c r="GB6" s="30">
        <f>+Tarifas!GR8</f>
        <v>201.41644776170668</v>
      </c>
      <c r="GC6" s="30">
        <f>+Tarifas!GS8</f>
        <v>183.32587465243952</v>
      </c>
      <c r="GD6" s="30">
        <f>+Tarifas!GT8</f>
        <v>181.253626729388</v>
      </c>
      <c r="GE6" s="30">
        <f>+Tarifas!GU8</f>
        <v>229.2237460044706</v>
      </c>
      <c r="GF6" s="30">
        <f>+Tarifas!GV8</f>
        <v>240.23857563983796</v>
      </c>
      <c r="GG6" s="30">
        <f>+Tarifas!GW8</f>
        <v>248.01283304867584</v>
      </c>
      <c r="GH6" s="30">
        <f>+Tarifas!GX8</f>
        <v>243.97769743967987</v>
      </c>
      <c r="GI6" s="30">
        <f>+Tarifas!GY8</f>
        <v>249.36826470111848</v>
      </c>
      <c r="GJ6" s="30">
        <f>+Tarifas!GZ8</f>
        <v>241.31357315729252</v>
      </c>
      <c r="GK6" s="30">
        <f>+Tarifas!HA8</f>
        <v>239.31937486404362</v>
      </c>
      <c r="GL6" s="30">
        <f>+Tarifas!HB8</f>
        <v>236.76430830081827</v>
      </c>
      <c r="GM6" s="30">
        <f>+Tarifas!HC8</f>
        <v>206.74227618292156</v>
      </c>
      <c r="GN6" s="30">
        <f>+Tarifas!HD8</f>
        <v>207.45894119455789</v>
      </c>
      <c r="GO6" s="30">
        <f>+Tarifas!HE8</f>
        <v>188.8256508920127</v>
      </c>
      <c r="GP6" s="30">
        <f>+Tarifas!HF8</f>
        <v>186.69123553126965</v>
      </c>
      <c r="GQ6" s="30">
        <f>+Tarifas!HG8</f>
        <v>236.10045838460474</v>
      </c>
      <c r="GR6" s="30">
        <f>+Tarifas!HH8</f>
        <v>247.4457329090331</v>
      </c>
      <c r="GS6" s="30">
        <f>+Tarifas!HI8</f>
        <v>255.45321804013614</v>
      </c>
      <c r="GT6" s="30">
        <f>+Tarifas!HJ8</f>
        <v>251.29702836287026</v>
      </c>
      <c r="GU6" s="30">
        <f>+Tarifas!HK8</f>
        <v>256.84931264215203</v>
      </c>
      <c r="GV6" s="30">
        <f>+Tarifas!HL8</f>
        <v>248.5529803520113</v>
      </c>
      <c r="GW6" s="30">
        <f>+Tarifas!HM8</f>
        <v>246.49895610996495</v>
      </c>
      <c r="GX6" s="30">
        <f>+Tarifas!HN8</f>
        <v>243.86723754984283</v>
      </c>
      <c r="GY6" s="30">
        <f>+Tarifas!HO8</f>
        <v>212.94454446840922</v>
      </c>
      <c r="GZ6" s="30">
        <f>+Tarifas!HP8</f>
        <v>213.68270943039462</v>
      </c>
      <c r="HA6" s="30">
        <f>+Tarifas!HQ8</f>
        <v>194.49042041877308</v>
      </c>
      <c r="HB6" s="30">
        <f>+Tarifas!HR8</f>
        <v>192.29197259720775</v>
      </c>
      <c r="HC6" s="30">
        <f>+Tarifas!HS8</f>
        <v>243.18347213614288</v>
      </c>
      <c r="HD6" s="30">
        <f>+Tarifas!HT8</f>
        <v>254.86910489630409</v>
      </c>
      <c r="HE6" s="30">
        <f>+Tarifas!HU8</f>
        <v>263.11681458134024</v>
      </c>
      <c r="HF6" s="30">
        <f>+Tarifas!HV8</f>
        <v>258.83593921375638</v>
      </c>
      <c r="HG6" s="30">
        <f>+Tarifas!HW8</f>
        <v>264.55479202141657</v>
      </c>
      <c r="HH6" s="30">
        <f>+Tarifas!HX8</f>
        <v>256.00956976257163</v>
      </c>
      <c r="HI6" s="30">
        <f>+Tarifas!HY8</f>
        <v>253.89392479326389</v>
      </c>
      <c r="HJ6" s="30">
        <f>+Tarifas!HZ8</f>
        <v>251.18325467633812</v>
      </c>
      <c r="HK6" s="30">
        <f>+Tarifas!IA8</f>
        <v>219.33288080246149</v>
      </c>
      <c r="HL6" s="30">
        <f>+Tarifas!IB8</f>
        <v>220.09319071330646</v>
      </c>
      <c r="HM6" s="30">
        <f>+Tarifas!IC8</f>
        <v>200.32513303133629</v>
      </c>
      <c r="HN6" s="30">
        <f>+Tarifas!ID8</f>
        <v>198.060731775124</v>
      </c>
      <c r="HO6" s="30">
        <f>+Tarifas!IE8</f>
        <v>250.47897630022717</v>
      </c>
      <c r="HP6" s="30">
        <f>+Tarifas!IF8</f>
        <v>262.5151780431932</v>
      </c>
      <c r="HQ6" s="30">
        <f>+Tarifas!IG8</f>
        <v>271.01031901878048</v>
      </c>
      <c r="HR6" s="30">
        <f>+Tarifas!IH8</f>
        <v>266.60101739016909</v>
      </c>
      <c r="HS6" s="30">
        <f>+Tarifas!II8</f>
        <v>272.49143578205906</v>
      </c>
      <c r="HT6" s="30">
        <f>+Tarifas!IJ8</f>
        <v>263.6898568554488</v>
      </c>
      <c r="HU6" s="30">
        <f>+Tarifas!IK8</f>
        <v>261.51074253706179</v>
      </c>
      <c r="HV6" s="30">
        <f>+Tarifas!IL8</f>
        <v>258.7187523166283</v>
      </c>
      <c r="HW6" s="30">
        <f>+Tarifas!IM8</f>
        <v>225.91286722653533</v>
      </c>
      <c r="HX6" s="30">
        <f>+Tarifas!IN8</f>
        <v>226.69598643470565</v>
      </c>
      <c r="HY6" s="30">
        <f>+Tarifas!IO8</f>
        <v>206.33488702227638</v>
      </c>
      <c r="HZ6" s="30">
        <f>+Tarifas!IP8</f>
        <v>204.00255372837773</v>
      </c>
      <c r="IA6" s="30">
        <f>+Tarifas!IQ8</f>
        <v>257.99334558923397</v>
      </c>
      <c r="IB6" s="30">
        <f>+Tarifas!IR8</f>
        <v>270.39063338448898</v>
      </c>
      <c r="IC6" s="30">
        <f>+Tarifas!IS8</f>
        <v>279.14062858934392</v>
      </c>
      <c r="ID6" s="30">
        <f>+Tarifas!IT8</f>
        <v>274.59904791187415</v>
      </c>
      <c r="IE6" s="30">
        <f>+Tarifas!IU8</f>
        <v>280.66617885552085</v>
      </c>
      <c r="IF6" s="30">
        <f>+Tarifas!IV8</f>
        <v>271.60055256111224</v>
      </c>
      <c r="IG6" s="30">
        <f>+Tarifas!IW8</f>
        <v>269.35606481317365</v>
      </c>
      <c r="IH6" s="30">
        <f>+Tarifas!IX8</f>
        <v>266.48031488612713</v>
      </c>
      <c r="II6" s="30">
        <f>+Tarifas!IY8</f>
        <v>232.6902532433314</v>
      </c>
      <c r="IJ6" s="30">
        <f>+Tarifas!IZ8</f>
        <v>233.49686602774682</v>
      </c>
      <c r="IK6" s="30">
        <f>+Tarifas!JA8</f>
        <v>212.52493363294468</v>
      </c>
      <c r="IL6" s="30">
        <f>+Tarifas!JB8</f>
        <v>210.12263034022908</v>
      </c>
      <c r="IM6" s="30">
        <f>+Tarifas!JC8</f>
        <v>265.73314595691102</v>
      </c>
      <c r="IN6" s="30"/>
    </row>
    <row r="7" spans="1:248" x14ac:dyDescent="0.3">
      <c r="A7" t="s">
        <v>907</v>
      </c>
      <c r="C7" s="30">
        <f>+Tarifas!U9</f>
        <v>0</v>
      </c>
      <c r="D7" s="30">
        <f>+Tarifas!V9</f>
        <v>0</v>
      </c>
      <c r="E7" s="30">
        <f>+Tarifas!W9</f>
        <v>0</v>
      </c>
      <c r="F7" s="30">
        <f>+Tarifas!X9</f>
        <v>0</v>
      </c>
      <c r="G7" s="30">
        <f>+Tarifas!Y9</f>
        <v>0</v>
      </c>
      <c r="H7" s="30">
        <f>+Tarifas!Z9</f>
        <v>0</v>
      </c>
      <c r="I7" s="30">
        <f ca="1">+Tarifas!AA10</f>
        <v>117.76437779643383</v>
      </c>
      <c r="J7" s="30">
        <f ca="1">+Tarifas!AB10</f>
        <v>117.76437779643383</v>
      </c>
      <c r="K7" s="30">
        <f ca="1">+Tarifas!AC10</f>
        <v>117.76437779643383</v>
      </c>
      <c r="L7" s="30">
        <f ca="1">+Tarifas!AD10</f>
        <v>117.76437779643383</v>
      </c>
      <c r="M7" s="30">
        <f ca="1">+Tarifas!AE10</f>
        <v>117.76437779643383</v>
      </c>
      <c r="N7" s="30">
        <f ca="1">+Tarifas!AF10</f>
        <v>117.76437779643383</v>
      </c>
      <c r="O7" s="30">
        <f ca="1">+Tarifas!AG10</f>
        <v>117.76437779643383</v>
      </c>
      <c r="P7" s="30">
        <f ca="1">+Tarifas!AH10</f>
        <v>117.76437779643383</v>
      </c>
      <c r="Q7" s="30">
        <f ca="1">+Tarifas!AI10</f>
        <v>117.76437779643383</v>
      </c>
      <c r="R7" s="30">
        <f ca="1">+Tarifas!AJ10</f>
        <v>117.76437779643383</v>
      </c>
      <c r="S7" s="30">
        <f ca="1">+Tarifas!AK10</f>
        <v>117.76437779643383</v>
      </c>
      <c r="T7" s="30">
        <f ca="1">+Tarifas!AL10</f>
        <v>121.29730913032685</v>
      </c>
      <c r="U7" s="30">
        <f ca="1">+Tarifas!AM10</f>
        <v>121.29730913032685</v>
      </c>
      <c r="V7" s="30">
        <f ca="1">+Tarifas!AN10</f>
        <v>121.29730913032685</v>
      </c>
      <c r="W7" s="30">
        <f ca="1">+Tarifas!AO10</f>
        <v>121.29730913032685</v>
      </c>
      <c r="X7" s="30">
        <f ca="1">+Tarifas!AP10</f>
        <v>121.29730913032685</v>
      </c>
      <c r="Y7" s="30">
        <f ca="1">+Tarifas!AQ10</f>
        <v>121.29730913032685</v>
      </c>
      <c r="Z7" s="30">
        <f ca="1">+Tarifas!AR10</f>
        <v>121.29730913032685</v>
      </c>
      <c r="AA7" s="30">
        <f ca="1">+Tarifas!AS10</f>
        <v>121.29730913032685</v>
      </c>
      <c r="AB7" s="30">
        <f ca="1">+Tarifas!AT10</f>
        <v>121.29730913032685</v>
      </c>
      <c r="AC7" s="30">
        <f ca="1">+Tarifas!AU10</f>
        <v>121.29730913032685</v>
      </c>
      <c r="AD7" s="30">
        <f ca="1">+Tarifas!AV10</f>
        <v>121.29730913032685</v>
      </c>
      <c r="AE7" s="30">
        <f ca="1">+Tarifas!AW10</f>
        <v>121.29730913032685</v>
      </c>
      <c r="AF7" s="30">
        <f ca="1">+Tarifas!AX10</f>
        <v>124.93622840423666</v>
      </c>
      <c r="AG7" s="30">
        <f ca="1">+Tarifas!AY10</f>
        <v>124.93622840423666</v>
      </c>
      <c r="AH7" s="30">
        <f ca="1">+Tarifas!AZ10</f>
        <v>124.93622840423666</v>
      </c>
      <c r="AI7" s="30">
        <f ca="1">+Tarifas!BA10</f>
        <v>124.93622840423666</v>
      </c>
      <c r="AJ7" s="30">
        <f ca="1">+Tarifas!BB10</f>
        <v>124.93622840423666</v>
      </c>
      <c r="AK7" s="30">
        <f ca="1">+Tarifas!BC10</f>
        <v>124.93622840423666</v>
      </c>
      <c r="AL7" s="30">
        <f ca="1">+Tarifas!BD10</f>
        <v>124.93622840423666</v>
      </c>
      <c r="AM7" s="30">
        <f ca="1">+Tarifas!BE10</f>
        <v>124.93622840423666</v>
      </c>
      <c r="AN7" s="30">
        <f ca="1">+Tarifas!BF10</f>
        <v>124.93622840423666</v>
      </c>
      <c r="AO7" s="30">
        <f ca="1">+Tarifas!BG10</f>
        <v>124.93622840423666</v>
      </c>
      <c r="AP7" s="30">
        <f ca="1">+Tarifas!BH10</f>
        <v>124.93622840423666</v>
      </c>
      <c r="AQ7" s="30">
        <f ca="1">+Tarifas!BI10</f>
        <v>124.93622840423666</v>
      </c>
      <c r="AR7" s="30">
        <f ca="1">+Tarifas!BJ10</f>
        <v>128.68431525636376</v>
      </c>
      <c r="AS7" s="30">
        <f ca="1">+Tarifas!BK10</f>
        <v>128.68431525636376</v>
      </c>
      <c r="AT7" s="30">
        <f ca="1">+Tarifas!BL10</f>
        <v>128.68431525636376</v>
      </c>
      <c r="AU7" s="30">
        <f ca="1">+Tarifas!BM10</f>
        <v>128.68431525636376</v>
      </c>
      <c r="AV7" s="30">
        <f ca="1">+Tarifas!BN10</f>
        <v>128.68431525636376</v>
      </c>
      <c r="AW7" s="30">
        <f ca="1">+Tarifas!BO10</f>
        <v>128.68431525636376</v>
      </c>
      <c r="AX7" s="30">
        <f ca="1">+Tarifas!BP10</f>
        <v>128.68431525636376</v>
      </c>
      <c r="AY7" s="30">
        <f ca="1">+Tarifas!BQ10</f>
        <v>128.68431525636376</v>
      </c>
      <c r="AZ7" s="30">
        <f ca="1">+Tarifas!BR10</f>
        <v>128.68431525636376</v>
      </c>
      <c r="BA7" s="30">
        <f ca="1">+Tarifas!BS10</f>
        <v>128.68431525636376</v>
      </c>
      <c r="BB7" s="30">
        <f ca="1">+Tarifas!BT10</f>
        <v>128.68431525636376</v>
      </c>
      <c r="BC7" s="30">
        <f ca="1">+Tarifas!BU10</f>
        <v>128.68431525636376</v>
      </c>
      <c r="BD7" s="30">
        <f ca="1">+Tarifas!BV10</f>
        <v>132.54484471405468</v>
      </c>
      <c r="BE7" s="30">
        <f ca="1">+Tarifas!BW10</f>
        <v>132.54484471405468</v>
      </c>
      <c r="BF7" s="30">
        <f ca="1">+Tarifas!BX10</f>
        <v>132.54484471405468</v>
      </c>
      <c r="BG7" s="30">
        <f ca="1">+Tarifas!BY10</f>
        <v>132.54484471405468</v>
      </c>
      <c r="BH7" s="30">
        <f ca="1">+Tarifas!BZ10</f>
        <v>132.54484471405468</v>
      </c>
      <c r="BI7" s="30">
        <f ca="1">+Tarifas!CA10</f>
        <v>132.54484471405468</v>
      </c>
      <c r="BJ7" s="30">
        <f ca="1">+Tarifas!CB10</f>
        <v>132.54484471405468</v>
      </c>
      <c r="BK7" s="30">
        <f ca="1">+Tarifas!CC10</f>
        <v>132.54484471405468</v>
      </c>
      <c r="BL7" s="30">
        <f ca="1">+Tarifas!CD10</f>
        <v>132.54484471405468</v>
      </c>
      <c r="BM7" s="30">
        <f ca="1">+Tarifas!CE10</f>
        <v>132.54484471405468</v>
      </c>
      <c r="BN7" s="30">
        <f ca="1">+Tarifas!CF10</f>
        <v>132.54484471405468</v>
      </c>
      <c r="BO7" s="30">
        <f ca="1">+Tarifas!CG10</f>
        <v>132.54484471405468</v>
      </c>
      <c r="BP7" s="30">
        <f ca="1">+Tarifas!CH10</f>
        <v>136.52119005547632</v>
      </c>
      <c r="BQ7" s="30">
        <f ca="1">+Tarifas!CI10</f>
        <v>136.52119005547632</v>
      </c>
      <c r="BR7" s="30">
        <f ca="1">+Tarifas!CJ10</f>
        <v>136.52119005547632</v>
      </c>
      <c r="BS7" s="30">
        <f ca="1">+Tarifas!CK10</f>
        <v>136.52119005547632</v>
      </c>
      <c r="BT7" s="30">
        <f ca="1">+Tarifas!CL10</f>
        <v>136.52119005547632</v>
      </c>
      <c r="BU7" s="30">
        <f ca="1">+Tarifas!CM10</f>
        <v>136.52119005547632</v>
      </c>
      <c r="BV7" s="30">
        <f ca="1">+Tarifas!CN10</f>
        <v>136.52119005547632</v>
      </c>
      <c r="BW7" s="30">
        <f ca="1">+Tarifas!CO10</f>
        <v>136.52119005547632</v>
      </c>
      <c r="BX7" s="30">
        <f ca="1">+Tarifas!CP10</f>
        <v>136.52119005547632</v>
      </c>
      <c r="BY7" s="30">
        <f ca="1">+Tarifas!CQ10</f>
        <v>136.52119005547632</v>
      </c>
      <c r="BZ7" s="30">
        <f ca="1">+Tarifas!CR10</f>
        <v>136.52119005547632</v>
      </c>
      <c r="CA7" s="30">
        <f ca="1">+Tarifas!CS10</f>
        <v>136.52119005547632</v>
      </c>
      <c r="CB7" s="30">
        <f ca="1">+Tarifas!CT10</f>
        <v>140.61682575714062</v>
      </c>
      <c r="CC7" s="30">
        <f ca="1">+Tarifas!CU10</f>
        <v>140.61682575714062</v>
      </c>
      <c r="CD7" s="30">
        <f ca="1">+Tarifas!CV10</f>
        <v>140.61682575714062</v>
      </c>
      <c r="CE7" s="30">
        <f ca="1">+Tarifas!CW10</f>
        <v>140.61682575714062</v>
      </c>
      <c r="CF7" s="30">
        <f ca="1">+Tarifas!CX10</f>
        <v>140.61682575714062</v>
      </c>
      <c r="CG7" s="30">
        <f ca="1">+Tarifas!CY10</f>
        <v>140.61682575714062</v>
      </c>
      <c r="CH7" s="30">
        <f ca="1">+Tarifas!CZ10</f>
        <v>140.61682575714062</v>
      </c>
      <c r="CI7" s="30">
        <f ca="1">+Tarifas!DA10</f>
        <v>140.61682575714062</v>
      </c>
      <c r="CJ7" s="30">
        <f ca="1">+Tarifas!DB10</f>
        <v>140.61682575714062</v>
      </c>
      <c r="CK7" s="30">
        <f ca="1">+Tarifas!DC10</f>
        <v>140.61682575714062</v>
      </c>
      <c r="CL7" s="30">
        <f ca="1">+Tarifas!DD10</f>
        <v>140.61682575714062</v>
      </c>
      <c r="CM7" s="30">
        <f ca="1">+Tarifas!DE10</f>
        <v>140.61682575714062</v>
      </c>
      <c r="CN7" s="30">
        <f ca="1">+Tarifas!DF10</f>
        <v>144.83533052985484</v>
      </c>
      <c r="CO7" s="30">
        <f ca="1">+Tarifas!DG10</f>
        <v>144.83533052985484</v>
      </c>
      <c r="CP7" s="30">
        <f ca="1">+Tarifas!DH10</f>
        <v>144.83533052985484</v>
      </c>
      <c r="CQ7" s="30">
        <f ca="1">+Tarifas!DI10</f>
        <v>144.83533052985484</v>
      </c>
      <c r="CR7" s="30">
        <f ca="1">+Tarifas!DJ10</f>
        <v>144.83533052985484</v>
      </c>
      <c r="CS7" s="30">
        <f ca="1">+Tarifas!DK10</f>
        <v>144.83533052985484</v>
      </c>
      <c r="CT7" s="30">
        <f ca="1">+Tarifas!DL10</f>
        <v>144.83533052985484</v>
      </c>
      <c r="CU7" s="30">
        <f ca="1">+Tarifas!DM10</f>
        <v>144.83533052985484</v>
      </c>
      <c r="CV7" s="30">
        <f ca="1">+Tarifas!DN10</f>
        <v>144.83533052985484</v>
      </c>
      <c r="CW7" s="30">
        <f ca="1">+Tarifas!DO10</f>
        <v>144.83533052985484</v>
      </c>
      <c r="CX7" s="30">
        <f ca="1">+Tarifas!DP10</f>
        <v>144.83533052985484</v>
      </c>
      <c r="CY7" s="30">
        <f ca="1">+Tarifas!DQ10</f>
        <v>144.83533052985484</v>
      </c>
      <c r="CZ7" s="30">
        <f ca="1">+Tarifas!DR10</f>
        <v>149.1803904457505</v>
      </c>
      <c r="DA7" s="30">
        <f ca="1">+Tarifas!DS10</f>
        <v>149.1803904457505</v>
      </c>
      <c r="DB7" s="30">
        <f ca="1">+Tarifas!DT10</f>
        <v>149.1803904457505</v>
      </c>
      <c r="DC7" s="30">
        <f ca="1">+Tarifas!DU10</f>
        <v>149.1803904457505</v>
      </c>
      <c r="DD7" s="30">
        <f ca="1">+Tarifas!DV10</f>
        <v>149.1803904457505</v>
      </c>
      <c r="DE7" s="30">
        <f ca="1">+Tarifas!DW10</f>
        <v>149.1803904457505</v>
      </c>
      <c r="DF7" s="30">
        <f ca="1">+Tarifas!DX10</f>
        <v>149.1803904457505</v>
      </c>
      <c r="DG7" s="30">
        <f ca="1">+Tarifas!DY10</f>
        <v>149.1803904457505</v>
      </c>
      <c r="DH7" s="30">
        <f ca="1">+Tarifas!DZ10</f>
        <v>149.1803904457505</v>
      </c>
      <c r="DI7" s="30">
        <f ca="1">+Tarifas!EA10</f>
        <v>149.1803904457505</v>
      </c>
      <c r="DJ7" s="30">
        <f ca="1">+Tarifas!EB10</f>
        <v>149.1803904457505</v>
      </c>
      <c r="DK7" s="30">
        <f ca="1">+Tarifas!EC10</f>
        <v>149.1803904457505</v>
      </c>
      <c r="DL7" s="30">
        <f ca="1">+Tarifas!ED10</f>
        <v>153.65580215912303</v>
      </c>
      <c r="DM7" s="30">
        <f ca="1">+Tarifas!EE10</f>
        <v>153.65580215912303</v>
      </c>
      <c r="DN7" s="30">
        <f ca="1">+Tarifas!EF10</f>
        <v>153.65580215912303</v>
      </c>
      <c r="DO7" s="30">
        <f ca="1">+Tarifas!EG10</f>
        <v>153.65580215912303</v>
      </c>
      <c r="DP7" s="30">
        <f ca="1">+Tarifas!EH10</f>
        <v>153.65580215912303</v>
      </c>
      <c r="DQ7" s="30">
        <f ca="1">+Tarifas!EI10</f>
        <v>153.65580215912303</v>
      </c>
      <c r="DR7" s="30">
        <f ca="1">+Tarifas!EJ10</f>
        <v>153.65580215912303</v>
      </c>
      <c r="DS7" s="30">
        <f ca="1">+Tarifas!EK10</f>
        <v>153.65580215912303</v>
      </c>
      <c r="DT7" s="30">
        <f ca="1">+Tarifas!EL10</f>
        <v>153.65580215912303</v>
      </c>
      <c r="DU7" s="30">
        <f ca="1">+Tarifas!EM10</f>
        <v>153.65580215912303</v>
      </c>
      <c r="DV7" s="30">
        <f ca="1">+Tarifas!EN10</f>
        <v>153.65580215912303</v>
      </c>
      <c r="DW7" s="30">
        <f ca="1">+Tarifas!EO10</f>
        <v>153.65580215912303</v>
      </c>
      <c r="DX7" s="30">
        <f ca="1">+Tarifas!EP10</f>
        <v>158.26547622389671</v>
      </c>
      <c r="DY7" s="30">
        <f ca="1">+Tarifas!EQ10</f>
        <v>158.26547622389671</v>
      </c>
      <c r="DZ7" s="30">
        <f ca="1">+Tarifas!ER10</f>
        <v>158.26547622389671</v>
      </c>
      <c r="EA7" s="30">
        <f ca="1">+Tarifas!ES10</f>
        <v>158.26547622389671</v>
      </c>
      <c r="EB7" s="30">
        <f ca="1">+Tarifas!ET10</f>
        <v>158.26547622389671</v>
      </c>
      <c r="EC7" s="30">
        <f ca="1">+Tarifas!EU10</f>
        <v>158.26547622389671</v>
      </c>
      <c r="ED7" s="30">
        <f ca="1">+Tarifas!EV10</f>
        <v>158.26547622389671</v>
      </c>
      <c r="EE7" s="30">
        <f ca="1">+Tarifas!EW10</f>
        <v>158.26547622389671</v>
      </c>
      <c r="EF7" s="30">
        <f ca="1">+Tarifas!EX10</f>
        <v>158.26547622389671</v>
      </c>
      <c r="EG7" s="30">
        <f ca="1">+Tarifas!EY10</f>
        <v>158.26547622389671</v>
      </c>
      <c r="EH7" s="30">
        <f ca="1">+Tarifas!EZ10</f>
        <v>158.26547622389671</v>
      </c>
      <c r="EI7" s="30">
        <f ca="1">+Tarifas!FA10</f>
        <v>158.26547622389671</v>
      </c>
      <c r="EJ7" s="30">
        <f ca="1">+Tarifas!FB10</f>
        <v>163.01344051061361</v>
      </c>
      <c r="EK7" s="30">
        <f ca="1">+Tarifas!FC10</f>
        <v>163.01344051061361</v>
      </c>
      <c r="EL7" s="30">
        <f ca="1">+Tarifas!FD10</f>
        <v>163.01344051061361</v>
      </c>
      <c r="EM7" s="30">
        <f ca="1">+Tarifas!FE10</f>
        <v>163.01344051061361</v>
      </c>
      <c r="EN7" s="30">
        <f ca="1">+Tarifas!FF10</f>
        <v>163.01344051061361</v>
      </c>
      <c r="EO7" s="30">
        <f ca="1">+Tarifas!FG10</f>
        <v>163.01344051061361</v>
      </c>
      <c r="EP7" s="30">
        <f ca="1">+Tarifas!FH10</f>
        <v>163.01344051061361</v>
      </c>
      <c r="EQ7" s="30">
        <f ca="1">+Tarifas!FI10</f>
        <v>163.01344051061361</v>
      </c>
      <c r="ER7" s="30">
        <f ca="1">+Tarifas!FJ10</f>
        <v>163.01344051061361</v>
      </c>
      <c r="ES7" s="30">
        <f ca="1">+Tarifas!FK10</f>
        <v>163.01344051061361</v>
      </c>
      <c r="ET7" s="30">
        <f ca="1">+Tarifas!FL10</f>
        <v>163.01344051061361</v>
      </c>
      <c r="EU7" s="30">
        <f ca="1">+Tarifas!FM10</f>
        <v>163.01344051061361</v>
      </c>
      <c r="EV7" s="30">
        <f ca="1">+Tarifas!FN10</f>
        <v>167.90384372593201</v>
      </c>
      <c r="EW7" s="30">
        <f ca="1">+Tarifas!FO10</f>
        <v>167.90384372593201</v>
      </c>
      <c r="EX7" s="30">
        <f ca="1">+Tarifas!FP10</f>
        <v>167.90384372593201</v>
      </c>
      <c r="EY7" s="30">
        <f ca="1">+Tarifas!FQ10</f>
        <v>167.90384372593201</v>
      </c>
      <c r="EZ7" s="30">
        <f ca="1">+Tarifas!FR10</f>
        <v>167.90384372593201</v>
      </c>
      <c r="FA7" s="30">
        <f ca="1">+Tarifas!FS10</f>
        <v>167.90384372593201</v>
      </c>
      <c r="FB7" s="30">
        <f ca="1">+Tarifas!FT10</f>
        <v>167.90384372593201</v>
      </c>
      <c r="FC7" s="30">
        <f ca="1">+Tarifas!FU10</f>
        <v>167.90384372593201</v>
      </c>
      <c r="FD7" s="30">
        <f ca="1">+Tarifas!FV10</f>
        <v>167.90384372593201</v>
      </c>
      <c r="FE7" s="30">
        <f ca="1">+Tarifas!FW10</f>
        <v>167.90384372593201</v>
      </c>
      <c r="FF7" s="30">
        <f ca="1">+Tarifas!FX10</f>
        <v>167.90384372593201</v>
      </c>
      <c r="FG7" s="30">
        <f ca="1">+Tarifas!FY10</f>
        <v>167.90384372593201</v>
      </c>
      <c r="FH7" s="30">
        <f ca="1">+Tarifas!FZ10</f>
        <v>172.94095903770997</v>
      </c>
      <c r="FI7" s="30">
        <f ca="1">+Tarifas!GA10</f>
        <v>172.94095903770997</v>
      </c>
      <c r="FJ7" s="30">
        <f ca="1">+Tarifas!GB10</f>
        <v>172.94095903770997</v>
      </c>
      <c r="FK7" s="30">
        <f ca="1">+Tarifas!GC10</f>
        <v>172.94095903770997</v>
      </c>
      <c r="FL7" s="30">
        <f ca="1">+Tarifas!GD10</f>
        <v>172.94095903770997</v>
      </c>
      <c r="FM7" s="30">
        <f ca="1">+Tarifas!GE10</f>
        <v>172.94095903770997</v>
      </c>
      <c r="FN7" s="30">
        <f ca="1">+Tarifas!GF10</f>
        <v>172.94095903770997</v>
      </c>
      <c r="FO7" s="30">
        <f ca="1">+Tarifas!GG10</f>
        <v>172.94095903770997</v>
      </c>
      <c r="FP7" s="30">
        <f ca="1">+Tarifas!GH10</f>
        <v>172.94095903770997</v>
      </c>
      <c r="FQ7" s="30">
        <f ca="1">+Tarifas!GI10</f>
        <v>172.94095903770997</v>
      </c>
      <c r="FR7" s="30">
        <f ca="1">+Tarifas!GJ10</f>
        <v>172.94095903770997</v>
      </c>
      <c r="FS7" s="30">
        <f ca="1">+Tarifas!GK10</f>
        <v>172.94095903770997</v>
      </c>
      <c r="FT7" s="30">
        <f ca="1">+Tarifas!GL10</f>
        <v>178.12918780884127</v>
      </c>
      <c r="FU7" s="30">
        <f ca="1">+Tarifas!GM10</f>
        <v>178.12918780884127</v>
      </c>
      <c r="FV7" s="30">
        <f ca="1">+Tarifas!GN10</f>
        <v>178.12918780884127</v>
      </c>
      <c r="FW7" s="30">
        <f ca="1">+Tarifas!GO10</f>
        <v>178.12918780884127</v>
      </c>
      <c r="FX7" s="30">
        <f ca="1">+Tarifas!GP10</f>
        <v>178.12918780884127</v>
      </c>
      <c r="FY7" s="30">
        <f ca="1">+Tarifas!GQ10</f>
        <v>178.12918780884127</v>
      </c>
      <c r="FZ7" s="30">
        <f ca="1">+Tarifas!GR10</f>
        <v>178.12918780884127</v>
      </c>
      <c r="GA7" s="30">
        <f ca="1">+Tarifas!GS10</f>
        <v>178.12918780884127</v>
      </c>
      <c r="GB7" s="30">
        <f ca="1">+Tarifas!GT10</f>
        <v>178.12918780884127</v>
      </c>
      <c r="GC7" s="30">
        <f ca="1">+Tarifas!GU10</f>
        <v>178.12918780884127</v>
      </c>
      <c r="GD7" s="30">
        <f ca="1">+Tarifas!GV10</f>
        <v>178.12918780884127</v>
      </c>
      <c r="GE7" s="30">
        <f ca="1">+Tarifas!GW10</f>
        <v>178.12918780884127</v>
      </c>
      <c r="GF7" s="30">
        <f ca="1">+Tarifas!GX10</f>
        <v>183.4730634431065</v>
      </c>
      <c r="GG7" s="30">
        <f ca="1">+Tarifas!GY10</f>
        <v>183.4730634431065</v>
      </c>
      <c r="GH7" s="30">
        <f ca="1">+Tarifas!GZ10</f>
        <v>183.4730634431065</v>
      </c>
      <c r="GI7" s="30">
        <f ca="1">+Tarifas!HA10</f>
        <v>183.4730634431065</v>
      </c>
      <c r="GJ7" s="30">
        <f ca="1">+Tarifas!HB10</f>
        <v>183.4730634431065</v>
      </c>
      <c r="GK7" s="30">
        <f ca="1">+Tarifas!HC10</f>
        <v>183.4730634431065</v>
      </c>
      <c r="GL7" s="30">
        <f ca="1">+Tarifas!HD10</f>
        <v>183.4730634431065</v>
      </c>
      <c r="GM7" s="30">
        <f ca="1">+Tarifas!HE10</f>
        <v>183.4730634431065</v>
      </c>
      <c r="GN7" s="30">
        <f ca="1">+Tarifas!HF10</f>
        <v>183.4730634431065</v>
      </c>
      <c r="GO7" s="30">
        <f ca="1">+Tarifas!HG10</f>
        <v>183.4730634431065</v>
      </c>
      <c r="GP7" s="30">
        <f ca="1">+Tarifas!HH10</f>
        <v>183.4730634431065</v>
      </c>
      <c r="GQ7" s="30">
        <f ca="1">+Tarifas!HI10</f>
        <v>183.4730634431065</v>
      </c>
      <c r="GR7" s="30">
        <f ca="1">+Tarifas!HJ10</f>
        <v>188.97725534639969</v>
      </c>
      <c r="GS7" s="30">
        <f ca="1">+Tarifas!HK10</f>
        <v>188.97725534639969</v>
      </c>
      <c r="GT7" s="30">
        <f ca="1">+Tarifas!HL10</f>
        <v>188.97725534639969</v>
      </c>
      <c r="GU7" s="30">
        <f ca="1">+Tarifas!HM10</f>
        <v>188.97725534639969</v>
      </c>
      <c r="GV7" s="30">
        <f ca="1">+Tarifas!HN10</f>
        <v>188.97725534639969</v>
      </c>
      <c r="GW7" s="30">
        <f ca="1">+Tarifas!HO10</f>
        <v>188.97725534639969</v>
      </c>
      <c r="GX7" s="30">
        <f ca="1">+Tarifas!HP10</f>
        <v>188.97725534639969</v>
      </c>
      <c r="GY7" s="30">
        <f ca="1">+Tarifas!HQ10</f>
        <v>188.97725534639969</v>
      </c>
      <c r="GZ7" s="30">
        <f ca="1">+Tarifas!HR10</f>
        <v>188.97725534639969</v>
      </c>
      <c r="HA7" s="30">
        <f ca="1">+Tarifas!HS10</f>
        <v>188.97725534639969</v>
      </c>
      <c r="HB7" s="30">
        <f ca="1">+Tarifas!HT10</f>
        <v>188.97725534639969</v>
      </c>
      <c r="HC7" s="30">
        <f ca="1">+Tarifas!HU10</f>
        <v>188.97725534639969</v>
      </c>
      <c r="HD7" s="30">
        <f ca="1">+Tarifas!HV10</f>
        <v>194.64657300679167</v>
      </c>
      <c r="HE7" s="30">
        <f ca="1">+Tarifas!HW10</f>
        <v>194.64657300679167</v>
      </c>
      <c r="HF7" s="30">
        <f ca="1">+Tarifas!HX10</f>
        <v>194.64657300679167</v>
      </c>
      <c r="HG7" s="30">
        <f ca="1">+Tarifas!HY10</f>
        <v>194.64657300679167</v>
      </c>
      <c r="HH7" s="30">
        <f ca="1">+Tarifas!HZ10</f>
        <v>194.64657300679167</v>
      </c>
      <c r="HI7" s="30">
        <f ca="1">+Tarifas!IA10</f>
        <v>194.64657300679167</v>
      </c>
      <c r="HJ7" s="30">
        <f ca="1">+Tarifas!IB10</f>
        <v>194.64657300679167</v>
      </c>
      <c r="HK7" s="30">
        <f ca="1">+Tarifas!IC10</f>
        <v>194.64657300679167</v>
      </c>
      <c r="HL7" s="30">
        <f ca="1">+Tarifas!ID10</f>
        <v>194.64657300679167</v>
      </c>
      <c r="HM7" s="30">
        <f ca="1">+Tarifas!IE10</f>
        <v>194.64657300679167</v>
      </c>
      <c r="HN7" s="30">
        <f ca="1">+Tarifas!IF10</f>
        <v>194.64657300679167</v>
      </c>
      <c r="HO7" s="30">
        <f ca="1">+Tarifas!IG10</f>
        <v>194.64657300679167</v>
      </c>
      <c r="HP7" s="30">
        <f ca="1">+Tarifas!IH10</f>
        <v>200.48597019699542</v>
      </c>
      <c r="HQ7" s="30">
        <f ca="1">+Tarifas!II10</f>
        <v>200.48597019699542</v>
      </c>
      <c r="HR7" s="30">
        <f ca="1">+Tarifas!IJ10</f>
        <v>200.48597019699542</v>
      </c>
      <c r="HS7" s="30">
        <f ca="1">+Tarifas!IK10</f>
        <v>200.48597019699542</v>
      </c>
      <c r="HT7" s="30">
        <f ca="1">+Tarifas!IL10</f>
        <v>200.48597019699542</v>
      </c>
      <c r="HU7" s="30">
        <f ca="1">+Tarifas!IM10</f>
        <v>200.48597019699542</v>
      </c>
      <c r="HV7" s="30">
        <f ca="1">+Tarifas!IN10</f>
        <v>200.48597019699542</v>
      </c>
      <c r="HW7" s="30">
        <f ca="1">+Tarifas!IO10</f>
        <v>200.48597019699542</v>
      </c>
      <c r="HX7" s="30">
        <f ca="1">+Tarifas!IP10</f>
        <v>200.48597019699542</v>
      </c>
      <c r="HY7" s="30">
        <f ca="1">+Tarifas!IQ10</f>
        <v>200.48597019699542</v>
      </c>
      <c r="HZ7" s="30">
        <f ca="1">+Tarifas!IR10</f>
        <v>200.48597019699542</v>
      </c>
      <c r="IA7" s="30">
        <f ca="1">+Tarifas!IS10</f>
        <v>200.48597019699542</v>
      </c>
      <c r="IB7" s="30">
        <f ca="1">+Tarifas!IT10</f>
        <v>206.50054930290528</v>
      </c>
      <c r="IC7" s="30">
        <f ca="1">+Tarifas!IU10</f>
        <v>206.50054930290528</v>
      </c>
      <c r="ID7" s="30">
        <f ca="1">+Tarifas!IV10</f>
        <v>206.50054930290528</v>
      </c>
      <c r="IE7" s="30">
        <f ca="1">+Tarifas!IW10</f>
        <v>206.50054930290528</v>
      </c>
      <c r="IF7" s="30">
        <f ca="1">+Tarifas!IX10</f>
        <v>206.50054930290528</v>
      </c>
      <c r="IG7" s="30">
        <f ca="1">+Tarifas!IY10</f>
        <v>206.50054930290528</v>
      </c>
      <c r="IH7" s="30">
        <f ca="1">+Tarifas!IZ10</f>
        <v>206.50054930290528</v>
      </c>
      <c r="II7" s="30">
        <f ca="1">+Tarifas!JA10</f>
        <v>206.50054930290528</v>
      </c>
      <c r="IJ7" s="30">
        <f ca="1">+Tarifas!JB10</f>
        <v>206.50054930290528</v>
      </c>
      <c r="IK7" s="30">
        <f ca="1">+Tarifas!JC10</f>
        <v>206.50054930290528</v>
      </c>
      <c r="IL7" s="30">
        <f ca="1">+Tarifas!JD10</f>
        <v>206.50054930290528</v>
      </c>
      <c r="IM7" s="30">
        <f ca="1">+Tarifas!JE10</f>
        <v>206.50054930290528</v>
      </c>
      <c r="IN7" s="30"/>
    </row>
    <row r="8" spans="1:248" x14ac:dyDescent="0.3">
      <c r="A8" t="s">
        <v>847</v>
      </c>
      <c r="C8" s="30">
        <f>+Tarifas!U11</f>
        <v>572.95334196097235</v>
      </c>
      <c r="D8" s="30">
        <f>+Tarifas!V11</f>
        <v>872.37307894909748</v>
      </c>
      <c r="E8" s="30">
        <f>+Tarifas!W11</f>
        <v>917.84675343819993</v>
      </c>
      <c r="F8" s="30">
        <f>+Tarifas!X11</f>
        <v>918.48700596730043</v>
      </c>
      <c r="G8" s="30">
        <f>+Tarifas!Y11</f>
        <v>759.5353879713183</v>
      </c>
      <c r="H8" s="30">
        <f>+Tarifas!Z11</f>
        <v>410.97074948300434</v>
      </c>
      <c r="I8" s="30">
        <f>+Tarifas!AA11</f>
        <v>502.7327297681133</v>
      </c>
      <c r="J8" s="30">
        <f>+Tarifas!AB11</f>
        <v>400</v>
      </c>
      <c r="K8" s="30">
        <f>+Tarifas!AC11</f>
        <v>400</v>
      </c>
      <c r="L8" s="30">
        <f>+Tarifas!AD11</f>
        <v>400</v>
      </c>
      <c r="M8" s="30">
        <f>+Tarifas!AE11</f>
        <v>400</v>
      </c>
      <c r="N8" s="30">
        <f>+Tarifas!AF11</f>
        <v>400</v>
      </c>
      <c r="O8" s="30">
        <f>+Tarifas!AG11</f>
        <v>422.83601609611441</v>
      </c>
      <c r="P8" s="30">
        <f>+Tarifas!AH11</f>
        <v>716.06872268758036</v>
      </c>
      <c r="Q8" s="30">
        <f>+Tarifas!AI11</f>
        <v>750.52801906913862</v>
      </c>
      <c r="R8" s="30">
        <f>+Tarifas!AJ11</f>
        <v>543.45884359233014</v>
      </c>
      <c r="S8" s="30">
        <f>+Tarifas!AK11</f>
        <v>589.60375384170311</v>
      </c>
      <c r="T8" s="30">
        <f>+Tarifas!AL11</f>
        <v>431.51928695715458</v>
      </c>
      <c r="U8" s="30">
        <f>+Tarifas!AM11</f>
        <v>527.86936625651902</v>
      </c>
      <c r="V8" s="30">
        <f>+Tarifas!AN11</f>
        <v>402.71224854145231</v>
      </c>
      <c r="W8" s="30">
        <f>+Tarifas!AO11</f>
        <v>398.00436171042924</v>
      </c>
      <c r="X8" s="30">
        <f>+Tarifas!AP11</f>
        <v>400</v>
      </c>
      <c r="Y8" s="30">
        <f>+Tarifas!AQ11</f>
        <v>400</v>
      </c>
      <c r="Z8" s="30">
        <f>+Tarifas!AR11</f>
        <v>400</v>
      </c>
      <c r="AA8" s="30">
        <f>+Tarifas!AS11</f>
        <v>443.97781690092012</v>
      </c>
      <c r="AB8" s="30">
        <f>+Tarifas!AT11</f>
        <v>751.87215882195937</v>
      </c>
      <c r="AC8" s="30">
        <f>+Tarifas!AU11</f>
        <v>788.05442002259554</v>
      </c>
      <c r="AD8" s="30">
        <f>+Tarifas!AV11</f>
        <v>570.63178577194662</v>
      </c>
      <c r="AE8" s="30">
        <f>+Tarifas!AW11</f>
        <v>619.08394153378833</v>
      </c>
      <c r="AF8" s="30">
        <f>+Tarifas!AX11</f>
        <v>453.09525130501231</v>
      </c>
      <c r="AG8" s="30">
        <f>+Tarifas!AY11</f>
        <v>554.26283456934505</v>
      </c>
      <c r="AH8" s="30">
        <f>+Tarifas!AZ11</f>
        <v>422.84786096852497</v>
      </c>
      <c r="AI8" s="30">
        <f>+Tarifas!BA11</f>
        <v>417.90457979595072</v>
      </c>
      <c r="AJ8" s="30">
        <f>+Tarifas!BB11</f>
        <v>400</v>
      </c>
      <c r="AK8" s="30">
        <f>+Tarifas!BC11</f>
        <v>400</v>
      </c>
      <c r="AL8" s="30">
        <f>+Tarifas!BD11</f>
        <v>400</v>
      </c>
      <c r="AM8" s="30">
        <f>+Tarifas!BE11</f>
        <v>466.17670774596616</v>
      </c>
      <c r="AN8" s="30">
        <f>+Tarifas!BF11</f>
        <v>789.46576676305733</v>
      </c>
      <c r="AO8" s="30">
        <f>+Tarifas!BG11</f>
        <v>827.4571410237254</v>
      </c>
      <c r="AP8" s="30">
        <f>+Tarifas!BH11</f>
        <v>599.16337506054401</v>
      </c>
      <c r="AQ8" s="30">
        <f>+Tarifas!BI11</f>
        <v>650.03813861047774</v>
      </c>
      <c r="AR8" s="30">
        <f>+Tarifas!BJ11</f>
        <v>475.75001387026293</v>
      </c>
      <c r="AS8" s="30">
        <f>+Tarifas!BK11</f>
        <v>581.97597629781228</v>
      </c>
      <c r="AT8" s="30">
        <f>+Tarifas!BL11</f>
        <v>443.99025401695121</v>
      </c>
      <c r="AU8" s="30">
        <f>+Tarifas!BM11</f>
        <v>438.79980878574827</v>
      </c>
      <c r="AV8" s="30">
        <f>+Tarifas!BN11</f>
        <v>400</v>
      </c>
      <c r="AW8" s="30">
        <f>+Tarifas!BO11</f>
        <v>400</v>
      </c>
      <c r="AX8" s="30">
        <f>+Tarifas!BP11</f>
        <v>400</v>
      </c>
      <c r="AY8" s="30">
        <f>+Tarifas!BQ11</f>
        <v>489.48554313326446</v>
      </c>
      <c r="AZ8" s="30">
        <f>+Tarifas!BR11</f>
        <v>828.93905510121022</v>
      </c>
      <c r="BA8" s="30">
        <f>+Tarifas!BS11</f>
        <v>868.82999807491171</v>
      </c>
      <c r="BB8" s="30">
        <f>+Tarifas!BT11</f>
        <v>629.12154381357129</v>
      </c>
      <c r="BC8" s="30">
        <f>+Tarifas!BU11</f>
        <v>682.54004554100163</v>
      </c>
      <c r="BD8" s="30">
        <f>+Tarifas!BV11</f>
        <v>499.53751456377609</v>
      </c>
      <c r="BE8" s="30">
        <f>+Tarifas!BW11</f>
        <v>611.07477511270292</v>
      </c>
      <c r="BF8" s="30">
        <f>+Tarifas!BX11</f>
        <v>466.18976671779882</v>
      </c>
      <c r="BG8" s="30">
        <f>+Tarifas!BY11</f>
        <v>460.73979922503571</v>
      </c>
      <c r="BH8" s="30">
        <f>+Tarifas!BZ11</f>
        <v>400</v>
      </c>
      <c r="BI8" s="30">
        <f>+Tarifas!CA11</f>
        <v>400</v>
      </c>
      <c r="BJ8" s="30">
        <f>+Tarifas!CB11</f>
        <v>400</v>
      </c>
      <c r="BK8" s="30">
        <f>+Tarifas!CC11</f>
        <v>513.95982028992773</v>
      </c>
      <c r="BL8" s="30">
        <f>+Tarifas!CD11</f>
        <v>870.38600785627079</v>
      </c>
      <c r="BM8" s="30">
        <f>+Tarifas!CE11</f>
        <v>912.27149797865729</v>
      </c>
      <c r="BN8" s="30">
        <f>+Tarifas!CF11</f>
        <v>660.57762100424986</v>
      </c>
      <c r="BO8" s="30">
        <f>+Tarifas!CG11</f>
        <v>716.66704781805174</v>
      </c>
      <c r="BP8" s="30">
        <f>+Tarifas!CH11</f>
        <v>524.5143902919649</v>
      </c>
      <c r="BQ8" s="30">
        <f>+Tarifas!CI11</f>
        <v>641.62851386833813</v>
      </c>
      <c r="BR8" s="30">
        <f>+Tarifas!CJ11</f>
        <v>489.49925505368878</v>
      </c>
      <c r="BS8" s="30">
        <f>+Tarifas!CK11</f>
        <v>483.77678918628754</v>
      </c>
      <c r="BT8" s="30">
        <f>+Tarifas!CL11</f>
        <v>416.72686986338789</v>
      </c>
      <c r="BU8" s="30">
        <f>+Tarifas!CM11</f>
        <v>400</v>
      </c>
      <c r="BV8" s="30">
        <f>+Tarifas!CN11</f>
        <v>400</v>
      </c>
      <c r="BW8" s="30">
        <f>+Tarifas!CO11</f>
        <v>539.65781130442417</v>
      </c>
      <c r="BX8" s="30">
        <f>+Tarifas!CP11</f>
        <v>913.90530824908433</v>
      </c>
      <c r="BY8" s="30">
        <f>+Tarifas!CQ11</f>
        <v>957.88507287759023</v>
      </c>
      <c r="BZ8" s="30">
        <f>+Tarifas!CR11</f>
        <v>693.60650205446234</v>
      </c>
      <c r="CA8" s="30">
        <f>+Tarifas!CS11</f>
        <v>752.50040020895437</v>
      </c>
      <c r="CB8" s="30">
        <f>+Tarifas!CT11</f>
        <v>550.74010980656317</v>
      </c>
      <c r="CC8" s="30">
        <f>+Tarifas!CU11</f>
        <v>673.70993956175505</v>
      </c>
      <c r="CD8" s="30">
        <f>+Tarifas!CV11</f>
        <v>513.97421780637319</v>
      </c>
      <c r="CE8" s="30">
        <f>+Tarifas!CW11</f>
        <v>507.96562864560195</v>
      </c>
      <c r="CF8" s="30">
        <f>+Tarifas!CX11</f>
        <v>437.5632133565573</v>
      </c>
      <c r="CG8" s="30">
        <f>+Tarifas!CY11</f>
        <v>400</v>
      </c>
      <c r="CH8" s="30">
        <f>+Tarifas!CZ11</f>
        <v>415.28082597768793</v>
      </c>
      <c r="CI8" s="30">
        <f>+Tarifas!DA11</f>
        <v>566.64070186964545</v>
      </c>
      <c r="CJ8" s="30">
        <f>+Tarifas!DB11</f>
        <v>500</v>
      </c>
      <c r="CK8" s="30">
        <f>+Tarifas!DC11</f>
        <v>500</v>
      </c>
      <c r="CL8" s="30">
        <f>+Tarifas!DD11</f>
        <v>728.28682715718548</v>
      </c>
      <c r="CM8" s="30">
        <f>+Tarifas!DE11</f>
        <v>790.12542021940214</v>
      </c>
      <c r="CN8" s="30">
        <f>+Tarifas!DF11</f>
        <v>578.27711529689134</v>
      </c>
      <c r="CO8" s="30">
        <f>+Tarifas!DG11</f>
        <v>707.39543653984288</v>
      </c>
      <c r="CP8" s="30">
        <f>+Tarifas!DH11</f>
        <v>539.67292869669188</v>
      </c>
      <c r="CQ8" s="30">
        <f>+Tarifas!DI11</f>
        <v>533.36391007788211</v>
      </c>
      <c r="CR8" s="30">
        <f>+Tarifas!DJ11</f>
        <v>459.4413740243852</v>
      </c>
      <c r="CS8" s="30">
        <f>+Tarifas!DK11</f>
        <v>404.50342374660408</v>
      </c>
      <c r="CT8" s="30">
        <f>+Tarifas!DL11</f>
        <v>436.04486727657235</v>
      </c>
      <c r="CU8" s="30">
        <f>+Tarifas!DM11</f>
        <v>594.97273696312777</v>
      </c>
      <c r="CV8" s="30">
        <f>+Tarifas!DN11</f>
        <v>500</v>
      </c>
      <c r="CW8" s="30">
        <f>+Tarifas!DO11</f>
        <v>500</v>
      </c>
      <c r="CX8" s="30">
        <f>+Tarifas!DP11</f>
        <v>764.70116851504474</v>
      </c>
      <c r="CY8" s="30">
        <f>+Tarifas!DQ11</f>
        <v>829.63169123037233</v>
      </c>
      <c r="CZ8" s="30">
        <f>+Tarifas!DR11</f>
        <v>607.19097106173592</v>
      </c>
      <c r="DA8" s="30">
        <f>+Tarifas!DS11</f>
        <v>742.76520836683505</v>
      </c>
      <c r="DB8" s="30">
        <f>+Tarifas!DT11</f>
        <v>566.65657513152655</v>
      </c>
      <c r="DC8" s="30">
        <f>+Tarifas!DU11</f>
        <v>560.03210558177625</v>
      </c>
      <c r="DD8" s="30">
        <f>+Tarifas!DV11</f>
        <v>482.41344272560445</v>
      </c>
      <c r="DE8" s="30">
        <f>+Tarifas!DW11</f>
        <v>424.72859493393429</v>
      </c>
      <c r="DF8" s="30">
        <f>+Tarifas!DX11</f>
        <v>457.84711064040096</v>
      </c>
      <c r="DG8" s="30">
        <f>+Tarifas!DY11</f>
        <v>624.72137381128414</v>
      </c>
      <c r="DH8" s="30">
        <f>+Tarifas!DZ11</f>
        <v>500</v>
      </c>
      <c r="DI8" s="30">
        <f>+Tarifas!EA11</f>
        <v>500</v>
      </c>
      <c r="DJ8" s="30">
        <f>+Tarifas!EB11</f>
        <v>802.93622694079704</v>
      </c>
      <c r="DK8" s="30">
        <f>+Tarifas!EC11</f>
        <v>871.11327579189094</v>
      </c>
      <c r="DL8" s="30">
        <f>+Tarifas!ED11</f>
        <v>637.55051961482275</v>
      </c>
      <c r="DM8" s="30">
        <f>+Tarifas!EE11</f>
        <v>779.90346878517687</v>
      </c>
      <c r="DN8" s="30">
        <f>+Tarifas!EF11</f>
        <v>594.98940388810286</v>
      </c>
      <c r="DO8" s="30">
        <f>+Tarifas!EG11</f>
        <v>588.03371086086509</v>
      </c>
      <c r="DP8" s="30">
        <f>+Tarifas!EH11</f>
        <v>506.53411486188469</v>
      </c>
      <c r="DQ8" s="30">
        <f>+Tarifas!EI11</f>
        <v>445.96502468063102</v>
      </c>
      <c r="DR8" s="30">
        <f>+Tarifas!EJ11</f>
        <v>480.73946617242103</v>
      </c>
      <c r="DS8" s="30">
        <f>+Tarifas!EK11</f>
        <v>655.95744250184839</v>
      </c>
      <c r="DT8" s="30">
        <f>+Tarifas!EL11</f>
        <v>500</v>
      </c>
      <c r="DU8" s="30">
        <f>+Tarifas!EM11</f>
        <v>500</v>
      </c>
      <c r="DV8" s="30">
        <f>+Tarifas!EN11</f>
        <v>843.08303828783698</v>
      </c>
      <c r="DW8" s="30">
        <f>+Tarifas!EO11</f>
        <v>914.66893958148557</v>
      </c>
      <c r="DX8" s="30">
        <f>+Tarifas!EP11</f>
        <v>669.42804559556396</v>
      </c>
      <c r="DY8" s="30">
        <f>+Tarifas!EQ11</f>
        <v>818.89864222443578</v>
      </c>
      <c r="DZ8" s="30">
        <f>+Tarifas!ER11</f>
        <v>624.738874082508</v>
      </c>
      <c r="EA8" s="30">
        <f>+Tarifas!ES11</f>
        <v>617.43539640390838</v>
      </c>
      <c r="EB8" s="30">
        <f>+Tarifas!ET11</f>
        <v>531.86082060497893</v>
      </c>
      <c r="EC8" s="30">
        <f>+Tarifas!EU11</f>
        <v>468.26327591466259</v>
      </c>
      <c r="ED8" s="30">
        <f>+Tarifas!EV11</f>
        <v>504.77643948104213</v>
      </c>
      <c r="EE8" s="30">
        <f>+Tarifas!EW11</f>
        <v>688.75531462694084</v>
      </c>
      <c r="EF8" s="30">
        <f>+Tarifas!EX11</f>
        <v>500</v>
      </c>
      <c r="EG8" s="30">
        <f>+Tarifas!EY11</f>
        <v>500</v>
      </c>
      <c r="EH8" s="30">
        <f>+Tarifas!EZ11</f>
        <v>885.23719020222882</v>
      </c>
      <c r="EI8" s="30">
        <f>+Tarifas!FA11</f>
        <v>500</v>
      </c>
      <c r="EJ8" s="30">
        <f>+Tarifas!FB11</f>
        <v>702.89944787534216</v>
      </c>
      <c r="EK8" s="30">
        <f>+Tarifas!FC11</f>
        <v>859.84357433565765</v>
      </c>
      <c r="EL8" s="30">
        <f>+Tarifas!FD11</f>
        <v>655.97581778663346</v>
      </c>
      <c r="EM8" s="30">
        <f>+Tarifas!FE11</f>
        <v>648.30716622410387</v>
      </c>
      <c r="EN8" s="30">
        <f>+Tarifas!FF11</f>
        <v>558.4538616352279</v>
      </c>
      <c r="EO8" s="30">
        <f>+Tarifas!FG11</f>
        <v>491.67643971039575</v>
      </c>
      <c r="EP8" s="30">
        <f>+Tarifas!FH11</f>
        <v>530.01526145509422</v>
      </c>
      <c r="EQ8" s="30">
        <f>+Tarifas!FI11</f>
        <v>723.19308035828794</v>
      </c>
      <c r="ER8" s="30">
        <f>+Tarifas!FJ11</f>
        <v>500</v>
      </c>
      <c r="ES8" s="30">
        <f>+Tarifas!FK11</f>
        <v>500</v>
      </c>
      <c r="ET8" s="30">
        <f>+Tarifas!FL11</f>
        <v>500</v>
      </c>
      <c r="EU8" s="30">
        <f>+Tarifas!FM11</f>
        <v>500</v>
      </c>
      <c r="EV8" s="30">
        <f>+Tarifas!FN11</f>
        <v>500</v>
      </c>
      <c r="EW8" s="30">
        <f>+Tarifas!FO11</f>
        <v>500</v>
      </c>
      <c r="EX8" s="30">
        <f>+Tarifas!FP11</f>
        <v>500</v>
      </c>
      <c r="EY8" s="30">
        <f>+Tarifas!FQ11</f>
        <v>500</v>
      </c>
      <c r="EZ8" s="30">
        <f>+Tarifas!FR11</f>
        <v>500</v>
      </c>
      <c r="FA8" s="30">
        <f>+Tarifas!FS11</f>
        <v>500</v>
      </c>
      <c r="FB8" s="30">
        <f>+Tarifas!FT11</f>
        <v>500</v>
      </c>
      <c r="FC8" s="30">
        <f>+Tarifas!FU11</f>
        <v>500</v>
      </c>
      <c r="FD8" s="30">
        <f>+Tarifas!FV11</f>
        <v>500</v>
      </c>
      <c r="FE8" s="30">
        <f>+Tarifas!FW11</f>
        <v>500</v>
      </c>
      <c r="FF8" s="30">
        <f>+Tarifas!FX11</f>
        <v>500</v>
      </c>
      <c r="FG8" s="30">
        <f>+Tarifas!FY11</f>
        <v>500</v>
      </c>
      <c r="FH8" s="30">
        <f>+Tarifas!FZ11</f>
        <v>500</v>
      </c>
      <c r="FI8" s="30">
        <f>+Tarifas!GA11</f>
        <v>500</v>
      </c>
      <c r="FJ8" s="30">
        <f>+Tarifas!GB11</f>
        <v>500</v>
      </c>
      <c r="FK8" s="30">
        <f>+Tarifas!GC11</f>
        <v>500</v>
      </c>
      <c r="FL8" s="30">
        <f>+Tarifas!GD11</f>
        <v>500</v>
      </c>
      <c r="FM8" s="30">
        <f>+Tarifas!GE11</f>
        <v>500</v>
      </c>
      <c r="FN8" s="30">
        <f>+Tarifas!GF11</f>
        <v>500</v>
      </c>
      <c r="FO8" s="30">
        <f>+Tarifas!GG11</f>
        <v>500</v>
      </c>
      <c r="FP8" s="30">
        <f>+Tarifas!GH11</f>
        <v>500</v>
      </c>
      <c r="FQ8" s="30">
        <f>+Tarifas!GI11</f>
        <v>500</v>
      </c>
      <c r="FR8" s="30">
        <f>+Tarifas!GJ11</f>
        <v>500</v>
      </c>
      <c r="FS8" s="30">
        <f>+Tarifas!GK11</f>
        <v>500</v>
      </c>
      <c r="FT8" s="30">
        <f>+Tarifas!GL11</f>
        <v>500</v>
      </c>
      <c r="FU8" s="30">
        <f>+Tarifas!GM11</f>
        <v>500</v>
      </c>
      <c r="FV8" s="30">
        <f>+Tarifas!GN11</f>
        <v>500</v>
      </c>
      <c r="FW8" s="30">
        <f>+Tarifas!GO11</f>
        <v>500</v>
      </c>
      <c r="FX8" s="30">
        <f>+Tarifas!GP11</f>
        <v>500</v>
      </c>
      <c r="FY8" s="30">
        <f>+Tarifas!GQ11</f>
        <v>500</v>
      </c>
      <c r="FZ8" s="30">
        <f>+Tarifas!GR11</f>
        <v>500</v>
      </c>
      <c r="GA8" s="30">
        <f>+Tarifas!GS11</f>
        <v>500</v>
      </c>
      <c r="GB8" s="30">
        <f>+Tarifas!GT11</f>
        <v>500</v>
      </c>
      <c r="GC8" s="30">
        <f>+Tarifas!GU11</f>
        <v>500</v>
      </c>
      <c r="GD8" s="30">
        <f>+Tarifas!GV11</f>
        <v>500</v>
      </c>
      <c r="GE8" s="30">
        <f>+Tarifas!GW11</f>
        <v>500</v>
      </c>
      <c r="GF8" s="30">
        <f>+Tarifas!GX11</f>
        <v>500</v>
      </c>
      <c r="GG8" s="30">
        <f>+Tarifas!GY11</f>
        <v>500</v>
      </c>
      <c r="GH8" s="30">
        <f>+Tarifas!GZ11</f>
        <v>500</v>
      </c>
      <c r="GI8" s="30">
        <f>+Tarifas!HA11</f>
        <v>500</v>
      </c>
      <c r="GJ8" s="30">
        <f>+Tarifas!HB11</f>
        <v>500</v>
      </c>
      <c r="GK8" s="30">
        <f>+Tarifas!HC11</f>
        <v>500</v>
      </c>
      <c r="GL8" s="30">
        <f>+Tarifas!HD11</f>
        <v>500</v>
      </c>
      <c r="GM8" s="30">
        <f>+Tarifas!HE11</f>
        <v>500</v>
      </c>
      <c r="GN8" s="30">
        <f>+Tarifas!HF11</f>
        <v>500</v>
      </c>
      <c r="GO8" s="30">
        <f>+Tarifas!HG11</f>
        <v>500</v>
      </c>
      <c r="GP8" s="30">
        <f>+Tarifas!HH11</f>
        <v>500</v>
      </c>
      <c r="GQ8" s="30">
        <f>+Tarifas!HI11</f>
        <v>500</v>
      </c>
      <c r="GR8" s="30">
        <f>+Tarifas!HJ11</f>
        <v>500</v>
      </c>
      <c r="GS8" s="30">
        <f>+Tarifas!HK11</f>
        <v>500</v>
      </c>
      <c r="GT8" s="30">
        <f>+Tarifas!HL11</f>
        <v>500</v>
      </c>
      <c r="GU8" s="30">
        <f>+Tarifas!HM11</f>
        <v>500</v>
      </c>
      <c r="GV8" s="30">
        <f>+Tarifas!HN11</f>
        <v>500</v>
      </c>
      <c r="GW8" s="30">
        <f>+Tarifas!HO11</f>
        <v>500</v>
      </c>
      <c r="GX8" s="30">
        <f>+Tarifas!HP11</f>
        <v>500</v>
      </c>
      <c r="GY8" s="30">
        <f>+Tarifas!HQ11</f>
        <v>500</v>
      </c>
      <c r="GZ8" s="30">
        <f>+Tarifas!HR11</f>
        <v>500</v>
      </c>
      <c r="HA8" s="30">
        <f>+Tarifas!HS11</f>
        <v>500</v>
      </c>
      <c r="HB8" s="30">
        <f>+Tarifas!HT11</f>
        <v>500</v>
      </c>
      <c r="HC8" s="30">
        <f>+Tarifas!HU11</f>
        <v>500</v>
      </c>
      <c r="HD8" s="30">
        <f>+Tarifas!HV11</f>
        <v>500</v>
      </c>
      <c r="HE8" s="30">
        <f>+Tarifas!HW11</f>
        <v>500</v>
      </c>
      <c r="HF8" s="30">
        <f>+Tarifas!HX11</f>
        <v>500</v>
      </c>
      <c r="HG8" s="30">
        <f>+Tarifas!HY11</f>
        <v>500</v>
      </c>
      <c r="HH8" s="30">
        <f>+Tarifas!HZ11</f>
        <v>500</v>
      </c>
      <c r="HI8" s="30">
        <f>+Tarifas!IA11</f>
        <v>500</v>
      </c>
      <c r="HJ8" s="30">
        <f>+Tarifas!IB11</f>
        <v>500</v>
      </c>
      <c r="HK8" s="30">
        <f>+Tarifas!IC11</f>
        <v>500</v>
      </c>
      <c r="HL8" s="30">
        <f>+Tarifas!ID11</f>
        <v>500</v>
      </c>
      <c r="HM8" s="30">
        <f>+Tarifas!IE11</f>
        <v>500</v>
      </c>
      <c r="HN8" s="30">
        <f>+Tarifas!IF11</f>
        <v>500</v>
      </c>
      <c r="HO8" s="30">
        <f>+Tarifas!IG11</f>
        <v>500</v>
      </c>
      <c r="HP8" s="30">
        <f>+Tarifas!IH11</f>
        <v>500</v>
      </c>
      <c r="HQ8" s="30">
        <f>+Tarifas!II11</f>
        <v>500</v>
      </c>
      <c r="HR8" s="30">
        <f>+Tarifas!IJ11</f>
        <v>500</v>
      </c>
      <c r="HS8" s="30">
        <f>+Tarifas!IK11</f>
        <v>500</v>
      </c>
      <c r="HT8" s="30">
        <f>+Tarifas!IL11</f>
        <v>500</v>
      </c>
      <c r="HU8" s="30">
        <f>+Tarifas!IM11</f>
        <v>500</v>
      </c>
      <c r="HV8" s="30">
        <f>+Tarifas!IN11</f>
        <v>500</v>
      </c>
      <c r="HW8" s="30">
        <f>+Tarifas!IO11</f>
        <v>500</v>
      </c>
      <c r="HX8" s="30">
        <f>+Tarifas!IP11</f>
        <v>500</v>
      </c>
      <c r="HY8" s="30">
        <f>+Tarifas!IQ11</f>
        <v>500</v>
      </c>
      <c r="HZ8" s="30">
        <f>+Tarifas!IR11</f>
        <v>500</v>
      </c>
      <c r="IA8" s="30">
        <f>+Tarifas!IS11</f>
        <v>500</v>
      </c>
      <c r="IB8" s="30">
        <f>+Tarifas!IT11</f>
        <v>500</v>
      </c>
      <c r="IC8" s="30">
        <f>+Tarifas!IU11</f>
        <v>500</v>
      </c>
      <c r="ID8" s="30">
        <f>+Tarifas!IV11</f>
        <v>500</v>
      </c>
      <c r="IE8" s="30">
        <f>+Tarifas!IW11</f>
        <v>500</v>
      </c>
      <c r="IF8" s="30">
        <f>+Tarifas!IX11</f>
        <v>500</v>
      </c>
      <c r="IG8" s="30">
        <f>+Tarifas!IY11</f>
        <v>500</v>
      </c>
      <c r="IH8" s="30">
        <f>+Tarifas!IZ11</f>
        <v>500</v>
      </c>
      <c r="II8" s="30">
        <f>+Tarifas!JA11</f>
        <v>500</v>
      </c>
      <c r="IJ8" s="30">
        <f>+Tarifas!JB11</f>
        <v>500</v>
      </c>
      <c r="IK8" s="30">
        <f>+Tarifas!JC11</f>
        <v>500</v>
      </c>
      <c r="IL8" s="30">
        <f>+Tarifas!JD11</f>
        <v>500</v>
      </c>
      <c r="IM8" s="30">
        <f>+Tarifas!JE11</f>
        <v>500</v>
      </c>
      <c r="IN8" s="30"/>
    </row>
    <row r="9" spans="1:248" x14ac:dyDescent="0.3"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</row>
    <row r="11" spans="1:248" x14ac:dyDescent="0.3">
      <c r="A11" t="s">
        <v>761</v>
      </c>
      <c r="B11">
        <f>+Producción!B1</f>
        <v>15950</v>
      </c>
      <c r="C11" t="s">
        <v>37</v>
      </c>
    </row>
    <row r="13" spans="1:248" x14ac:dyDescent="0.3">
      <c r="B13">
        <f>+YEAR(B14)</f>
        <v>2024</v>
      </c>
      <c r="C13">
        <f>+YEAR(C14)</f>
        <v>2024</v>
      </c>
      <c r="D13">
        <f t="shared" ref="D13:BO13" si="0">+YEAR(D14)</f>
        <v>2024</v>
      </c>
      <c r="E13">
        <f t="shared" si="0"/>
        <v>2024</v>
      </c>
      <c r="F13">
        <f t="shared" si="0"/>
        <v>2024</v>
      </c>
      <c r="G13">
        <f t="shared" si="0"/>
        <v>2024</v>
      </c>
      <c r="H13">
        <f t="shared" si="0"/>
        <v>2025</v>
      </c>
      <c r="I13">
        <f t="shared" si="0"/>
        <v>2025</v>
      </c>
      <c r="J13">
        <f t="shared" si="0"/>
        <v>2025</v>
      </c>
      <c r="K13">
        <f t="shared" si="0"/>
        <v>2025</v>
      </c>
      <c r="L13">
        <f t="shared" si="0"/>
        <v>2025</v>
      </c>
      <c r="M13">
        <f t="shared" si="0"/>
        <v>2025</v>
      </c>
      <c r="N13">
        <f t="shared" si="0"/>
        <v>2025</v>
      </c>
      <c r="O13">
        <f t="shared" si="0"/>
        <v>2025</v>
      </c>
      <c r="P13">
        <f t="shared" si="0"/>
        <v>2025</v>
      </c>
      <c r="Q13">
        <f t="shared" si="0"/>
        <v>2025</v>
      </c>
      <c r="R13">
        <f t="shared" si="0"/>
        <v>2025</v>
      </c>
      <c r="S13">
        <f t="shared" si="0"/>
        <v>2025</v>
      </c>
      <c r="T13">
        <f t="shared" si="0"/>
        <v>2026</v>
      </c>
      <c r="U13">
        <f t="shared" si="0"/>
        <v>2026</v>
      </c>
      <c r="V13">
        <f t="shared" si="0"/>
        <v>2026</v>
      </c>
      <c r="W13">
        <f t="shared" si="0"/>
        <v>2026</v>
      </c>
      <c r="X13">
        <f t="shared" si="0"/>
        <v>2026</v>
      </c>
      <c r="Y13">
        <f t="shared" si="0"/>
        <v>2026</v>
      </c>
      <c r="Z13">
        <f t="shared" si="0"/>
        <v>2026</v>
      </c>
      <c r="AA13">
        <f t="shared" si="0"/>
        <v>2026</v>
      </c>
      <c r="AB13">
        <f t="shared" si="0"/>
        <v>2026</v>
      </c>
      <c r="AC13">
        <f t="shared" si="0"/>
        <v>2026</v>
      </c>
      <c r="AD13">
        <f t="shared" si="0"/>
        <v>2026</v>
      </c>
      <c r="AE13">
        <f t="shared" si="0"/>
        <v>2026</v>
      </c>
      <c r="AF13">
        <f t="shared" si="0"/>
        <v>2027</v>
      </c>
      <c r="AG13">
        <f t="shared" si="0"/>
        <v>2027</v>
      </c>
      <c r="AH13">
        <f t="shared" si="0"/>
        <v>2027</v>
      </c>
      <c r="AI13">
        <f t="shared" si="0"/>
        <v>2027</v>
      </c>
      <c r="AJ13">
        <f t="shared" si="0"/>
        <v>2027</v>
      </c>
      <c r="AK13">
        <f t="shared" si="0"/>
        <v>2027</v>
      </c>
      <c r="AL13">
        <f t="shared" si="0"/>
        <v>2027</v>
      </c>
      <c r="AM13">
        <f t="shared" si="0"/>
        <v>2027</v>
      </c>
      <c r="AN13">
        <f t="shared" si="0"/>
        <v>2027</v>
      </c>
      <c r="AO13">
        <f t="shared" si="0"/>
        <v>2027</v>
      </c>
      <c r="AP13">
        <f t="shared" si="0"/>
        <v>2027</v>
      </c>
      <c r="AQ13">
        <f t="shared" si="0"/>
        <v>2027</v>
      </c>
      <c r="AR13">
        <f t="shared" si="0"/>
        <v>2028</v>
      </c>
      <c r="AS13">
        <f t="shared" si="0"/>
        <v>2028</v>
      </c>
      <c r="AT13">
        <f t="shared" si="0"/>
        <v>2028</v>
      </c>
      <c r="AU13">
        <f t="shared" si="0"/>
        <v>2028</v>
      </c>
      <c r="AV13">
        <f t="shared" si="0"/>
        <v>2028</v>
      </c>
      <c r="AW13">
        <f t="shared" si="0"/>
        <v>2028</v>
      </c>
      <c r="AX13">
        <f t="shared" si="0"/>
        <v>2028</v>
      </c>
      <c r="AY13">
        <f t="shared" si="0"/>
        <v>2028</v>
      </c>
      <c r="AZ13">
        <f t="shared" si="0"/>
        <v>2028</v>
      </c>
      <c r="BA13">
        <f t="shared" si="0"/>
        <v>2028</v>
      </c>
      <c r="BB13">
        <f t="shared" si="0"/>
        <v>2028</v>
      </c>
      <c r="BC13">
        <f t="shared" si="0"/>
        <v>2028</v>
      </c>
      <c r="BD13">
        <f t="shared" si="0"/>
        <v>2029</v>
      </c>
      <c r="BE13">
        <f t="shared" si="0"/>
        <v>2029</v>
      </c>
      <c r="BF13">
        <f t="shared" si="0"/>
        <v>2029</v>
      </c>
      <c r="BG13">
        <f t="shared" si="0"/>
        <v>2029</v>
      </c>
      <c r="BH13">
        <f t="shared" si="0"/>
        <v>2029</v>
      </c>
      <c r="BI13">
        <f t="shared" si="0"/>
        <v>2029</v>
      </c>
      <c r="BJ13">
        <f t="shared" si="0"/>
        <v>2029</v>
      </c>
      <c r="BK13">
        <f t="shared" si="0"/>
        <v>2029</v>
      </c>
      <c r="BL13">
        <f t="shared" si="0"/>
        <v>2029</v>
      </c>
      <c r="BM13">
        <f t="shared" si="0"/>
        <v>2029</v>
      </c>
      <c r="BN13">
        <f t="shared" si="0"/>
        <v>2029</v>
      </c>
      <c r="BO13">
        <f t="shared" si="0"/>
        <v>2029</v>
      </c>
      <c r="BP13">
        <f t="shared" ref="BP13:EA13" si="1">+YEAR(BP14)</f>
        <v>2030</v>
      </c>
      <c r="BQ13">
        <f t="shared" si="1"/>
        <v>2030</v>
      </c>
      <c r="BR13">
        <f t="shared" si="1"/>
        <v>2030</v>
      </c>
      <c r="BS13">
        <f t="shared" si="1"/>
        <v>2030</v>
      </c>
      <c r="BT13">
        <f t="shared" si="1"/>
        <v>2030</v>
      </c>
      <c r="BU13">
        <f t="shared" si="1"/>
        <v>2030</v>
      </c>
      <c r="BV13">
        <f t="shared" si="1"/>
        <v>2030</v>
      </c>
      <c r="BW13">
        <f t="shared" si="1"/>
        <v>2030</v>
      </c>
      <c r="BX13">
        <f t="shared" si="1"/>
        <v>2030</v>
      </c>
      <c r="BY13">
        <f t="shared" si="1"/>
        <v>2030</v>
      </c>
      <c r="BZ13">
        <f t="shared" si="1"/>
        <v>2030</v>
      </c>
      <c r="CA13">
        <f t="shared" si="1"/>
        <v>2030</v>
      </c>
      <c r="CB13">
        <f t="shared" si="1"/>
        <v>2031</v>
      </c>
      <c r="CC13">
        <f t="shared" si="1"/>
        <v>2031</v>
      </c>
      <c r="CD13">
        <f t="shared" si="1"/>
        <v>2031</v>
      </c>
      <c r="CE13">
        <f t="shared" si="1"/>
        <v>2031</v>
      </c>
      <c r="CF13">
        <f t="shared" si="1"/>
        <v>2031</v>
      </c>
      <c r="CG13">
        <f t="shared" si="1"/>
        <v>2031</v>
      </c>
      <c r="CH13">
        <f t="shared" si="1"/>
        <v>2031</v>
      </c>
      <c r="CI13">
        <f t="shared" si="1"/>
        <v>2031</v>
      </c>
      <c r="CJ13">
        <f t="shared" si="1"/>
        <v>2031</v>
      </c>
      <c r="CK13">
        <f t="shared" si="1"/>
        <v>2031</v>
      </c>
      <c r="CL13">
        <f t="shared" si="1"/>
        <v>2031</v>
      </c>
      <c r="CM13">
        <f t="shared" si="1"/>
        <v>2031</v>
      </c>
      <c r="CN13">
        <f t="shared" si="1"/>
        <v>2032</v>
      </c>
      <c r="CO13">
        <f t="shared" si="1"/>
        <v>2032</v>
      </c>
      <c r="CP13">
        <f t="shared" si="1"/>
        <v>2032</v>
      </c>
      <c r="CQ13">
        <f t="shared" si="1"/>
        <v>2032</v>
      </c>
      <c r="CR13">
        <f t="shared" si="1"/>
        <v>2032</v>
      </c>
      <c r="CS13">
        <f t="shared" si="1"/>
        <v>2032</v>
      </c>
      <c r="CT13">
        <f t="shared" si="1"/>
        <v>2032</v>
      </c>
      <c r="CU13">
        <f t="shared" si="1"/>
        <v>2032</v>
      </c>
      <c r="CV13">
        <f t="shared" si="1"/>
        <v>2032</v>
      </c>
      <c r="CW13">
        <f t="shared" si="1"/>
        <v>2032</v>
      </c>
      <c r="CX13">
        <f t="shared" si="1"/>
        <v>2032</v>
      </c>
      <c r="CY13">
        <f t="shared" si="1"/>
        <v>2032</v>
      </c>
      <c r="CZ13">
        <f t="shared" si="1"/>
        <v>2033</v>
      </c>
      <c r="DA13">
        <f t="shared" si="1"/>
        <v>2033</v>
      </c>
      <c r="DB13">
        <f t="shared" si="1"/>
        <v>2033</v>
      </c>
      <c r="DC13">
        <f t="shared" si="1"/>
        <v>2033</v>
      </c>
      <c r="DD13">
        <f t="shared" si="1"/>
        <v>2033</v>
      </c>
      <c r="DE13">
        <f t="shared" si="1"/>
        <v>2033</v>
      </c>
      <c r="DF13">
        <f t="shared" si="1"/>
        <v>2033</v>
      </c>
      <c r="DG13">
        <f t="shared" si="1"/>
        <v>2033</v>
      </c>
      <c r="DH13">
        <f t="shared" si="1"/>
        <v>2033</v>
      </c>
      <c r="DI13">
        <f t="shared" si="1"/>
        <v>2033</v>
      </c>
      <c r="DJ13">
        <f t="shared" si="1"/>
        <v>2033</v>
      </c>
      <c r="DK13">
        <f t="shared" si="1"/>
        <v>2033</v>
      </c>
      <c r="DL13">
        <f t="shared" si="1"/>
        <v>2034</v>
      </c>
      <c r="DM13">
        <f t="shared" si="1"/>
        <v>2034</v>
      </c>
      <c r="DN13">
        <f t="shared" si="1"/>
        <v>2034</v>
      </c>
      <c r="DO13">
        <f t="shared" si="1"/>
        <v>2034</v>
      </c>
      <c r="DP13">
        <f t="shared" si="1"/>
        <v>2034</v>
      </c>
      <c r="DQ13">
        <f t="shared" si="1"/>
        <v>2034</v>
      </c>
      <c r="DR13">
        <f t="shared" si="1"/>
        <v>2034</v>
      </c>
      <c r="DS13">
        <f t="shared" si="1"/>
        <v>2034</v>
      </c>
      <c r="DT13">
        <f t="shared" si="1"/>
        <v>2034</v>
      </c>
      <c r="DU13">
        <f t="shared" si="1"/>
        <v>2034</v>
      </c>
      <c r="DV13">
        <f t="shared" si="1"/>
        <v>2034</v>
      </c>
      <c r="DW13">
        <f t="shared" si="1"/>
        <v>2034</v>
      </c>
      <c r="DX13">
        <f t="shared" si="1"/>
        <v>2035</v>
      </c>
      <c r="DY13">
        <f t="shared" si="1"/>
        <v>2035</v>
      </c>
      <c r="DZ13">
        <f t="shared" si="1"/>
        <v>2035</v>
      </c>
      <c r="EA13">
        <f t="shared" si="1"/>
        <v>2035</v>
      </c>
      <c r="EB13">
        <f t="shared" ref="EB13:GM13" si="2">+YEAR(EB14)</f>
        <v>2035</v>
      </c>
      <c r="EC13">
        <f t="shared" si="2"/>
        <v>2035</v>
      </c>
      <c r="ED13">
        <f t="shared" si="2"/>
        <v>2035</v>
      </c>
      <c r="EE13">
        <f t="shared" si="2"/>
        <v>2035</v>
      </c>
      <c r="EF13">
        <f t="shared" si="2"/>
        <v>2035</v>
      </c>
      <c r="EG13">
        <f t="shared" si="2"/>
        <v>2035</v>
      </c>
      <c r="EH13">
        <f t="shared" si="2"/>
        <v>2035</v>
      </c>
      <c r="EI13">
        <f t="shared" si="2"/>
        <v>2035</v>
      </c>
      <c r="EJ13">
        <f t="shared" si="2"/>
        <v>2036</v>
      </c>
      <c r="EK13">
        <f t="shared" si="2"/>
        <v>2036</v>
      </c>
      <c r="EL13">
        <f t="shared" si="2"/>
        <v>2036</v>
      </c>
      <c r="EM13">
        <f t="shared" si="2"/>
        <v>2036</v>
      </c>
      <c r="EN13">
        <f t="shared" si="2"/>
        <v>2036</v>
      </c>
      <c r="EO13">
        <f t="shared" si="2"/>
        <v>2036</v>
      </c>
      <c r="EP13">
        <f t="shared" si="2"/>
        <v>2036</v>
      </c>
      <c r="EQ13">
        <f t="shared" si="2"/>
        <v>2036</v>
      </c>
      <c r="ER13">
        <f t="shared" si="2"/>
        <v>2036</v>
      </c>
      <c r="ES13">
        <f t="shared" si="2"/>
        <v>2036</v>
      </c>
      <c r="ET13">
        <f t="shared" si="2"/>
        <v>2036</v>
      </c>
      <c r="EU13">
        <f t="shared" si="2"/>
        <v>2036</v>
      </c>
      <c r="EV13">
        <f t="shared" si="2"/>
        <v>2037</v>
      </c>
      <c r="EW13">
        <f t="shared" si="2"/>
        <v>2037</v>
      </c>
      <c r="EX13">
        <f t="shared" si="2"/>
        <v>2037</v>
      </c>
      <c r="EY13">
        <f t="shared" si="2"/>
        <v>2037</v>
      </c>
      <c r="EZ13">
        <f t="shared" si="2"/>
        <v>2037</v>
      </c>
      <c r="FA13">
        <f t="shared" si="2"/>
        <v>2037</v>
      </c>
      <c r="FB13">
        <f t="shared" si="2"/>
        <v>2037</v>
      </c>
      <c r="FC13">
        <f t="shared" si="2"/>
        <v>2037</v>
      </c>
      <c r="FD13">
        <f t="shared" si="2"/>
        <v>2037</v>
      </c>
      <c r="FE13">
        <f t="shared" si="2"/>
        <v>2037</v>
      </c>
      <c r="FF13">
        <f t="shared" si="2"/>
        <v>2037</v>
      </c>
      <c r="FG13">
        <f t="shared" si="2"/>
        <v>2037</v>
      </c>
      <c r="FH13">
        <f t="shared" si="2"/>
        <v>2038</v>
      </c>
      <c r="FI13">
        <f t="shared" si="2"/>
        <v>2038</v>
      </c>
      <c r="FJ13">
        <f t="shared" si="2"/>
        <v>2038</v>
      </c>
      <c r="FK13">
        <f t="shared" si="2"/>
        <v>2038</v>
      </c>
      <c r="FL13">
        <f t="shared" si="2"/>
        <v>2038</v>
      </c>
      <c r="FM13">
        <f t="shared" si="2"/>
        <v>2038</v>
      </c>
      <c r="FN13">
        <f t="shared" si="2"/>
        <v>2038</v>
      </c>
      <c r="FO13">
        <f t="shared" si="2"/>
        <v>2038</v>
      </c>
      <c r="FP13">
        <f t="shared" si="2"/>
        <v>2038</v>
      </c>
      <c r="FQ13">
        <f t="shared" si="2"/>
        <v>2038</v>
      </c>
      <c r="FR13">
        <f t="shared" si="2"/>
        <v>2038</v>
      </c>
      <c r="FS13">
        <f t="shared" si="2"/>
        <v>2038</v>
      </c>
      <c r="FT13">
        <f t="shared" si="2"/>
        <v>2039</v>
      </c>
      <c r="FU13">
        <f t="shared" si="2"/>
        <v>2039</v>
      </c>
      <c r="FV13">
        <f t="shared" si="2"/>
        <v>2039</v>
      </c>
      <c r="FW13">
        <f t="shared" si="2"/>
        <v>2039</v>
      </c>
      <c r="FX13">
        <f t="shared" si="2"/>
        <v>2039</v>
      </c>
      <c r="FY13">
        <f t="shared" si="2"/>
        <v>2039</v>
      </c>
      <c r="FZ13">
        <f t="shared" si="2"/>
        <v>2039</v>
      </c>
      <c r="GA13">
        <f t="shared" si="2"/>
        <v>2039</v>
      </c>
      <c r="GB13">
        <f t="shared" si="2"/>
        <v>2039</v>
      </c>
      <c r="GC13">
        <f t="shared" si="2"/>
        <v>2039</v>
      </c>
      <c r="GD13">
        <f t="shared" si="2"/>
        <v>2039</v>
      </c>
      <c r="GE13">
        <f t="shared" si="2"/>
        <v>2039</v>
      </c>
      <c r="GF13">
        <f t="shared" si="2"/>
        <v>2040</v>
      </c>
      <c r="GG13">
        <f t="shared" si="2"/>
        <v>2040</v>
      </c>
      <c r="GH13">
        <f t="shared" si="2"/>
        <v>2040</v>
      </c>
      <c r="GI13">
        <f t="shared" si="2"/>
        <v>2040</v>
      </c>
      <c r="GJ13">
        <f t="shared" si="2"/>
        <v>2040</v>
      </c>
      <c r="GK13">
        <f t="shared" si="2"/>
        <v>2040</v>
      </c>
      <c r="GL13">
        <f t="shared" si="2"/>
        <v>2040</v>
      </c>
      <c r="GM13">
        <f t="shared" si="2"/>
        <v>2040</v>
      </c>
      <c r="GN13">
        <f t="shared" ref="GN13:IM13" si="3">+YEAR(GN14)</f>
        <v>2040</v>
      </c>
      <c r="GO13">
        <f t="shared" si="3"/>
        <v>2040</v>
      </c>
      <c r="GP13">
        <f t="shared" si="3"/>
        <v>2040</v>
      </c>
      <c r="GQ13">
        <f t="shared" si="3"/>
        <v>2040</v>
      </c>
      <c r="GR13">
        <f t="shared" si="3"/>
        <v>2041</v>
      </c>
      <c r="GS13">
        <f t="shared" si="3"/>
        <v>2041</v>
      </c>
      <c r="GT13">
        <f t="shared" si="3"/>
        <v>2041</v>
      </c>
      <c r="GU13">
        <f t="shared" si="3"/>
        <v>2041</v>
      </c>
      <c r="GV13">
        <f t="shared" si="3"/>
        <v>2041</v>
      </c>
      <c r="GW13">
        <f t="shared" si="3"/>
        <v>2041</v>
      </c>
      <c r="GX13">
        <f t="shared" si="3"/>
        <v>2041</v>
      </c>
      <c r="GY13">
        <f t="shared" si="3"/>
        <v>2041</v>
      </c>
      <c r="GZ13">
        <f t="shared" si="3"/>
        <v>2041</v>
      </c>
      <c r="HA13">
        <f t="shared" si="3"/>
        <v>2041</v>
      </c>
      <c r="HB13">
        <f t="shared" si="3"/>
        <v>2041</v>
      </c>
      <c r="HC13">
        <f t="shared" si="3"/>
        <v>2041</v>
      </c>
      <c r="HD13">
        <f t="shared" si="3"/>
        <v>2042</v>
      </c>
      <c r="HE13">
        <f t="shared" si="3"/>
        <v>2042</v>
      </c>
      <c r="HF13">
        <f t="shared" si="3"/>
        <v>2042</v>
      </c>
      <c r="HG13">
        <f t="shared" si="3"/>
        <v>2042</v>
      </c>
      <c r="HH13">
        <f t="shared" si="3"/>
        <v>2042</v>
      </c>
      <c r="HI13">
        <f t="shared" si="3"/>
        <v>2042</v>
      </c>
      <c r="HJ13">
        <f t="shared" si="3"/>
        <v>2042</v>
      </c>
      <c r="HK13">
        <f t="shared" si="3"/>
        <v>2042</v>
      </c>
      <c r="HL13">
        <f t="shared" si="3"/>
        <v>2042</v>
      </c>
      <c r="HM13">
        <f t="shared" si="3"/>
        <v>2042</v>
      </c>
      <c r="HN13">
        <f t="shared" si="3"/>
        <v>2042</v>
      </c>
      <c r="HO13">
        <f t="shared" si="3"/>
        <v>2042</v>
      </c>
      <c r="HP13">
        <f t="shared" si="3"/>
        <v>2043</v>
      </c>
      <c r="HQ13">
        <f t="shared" si="3"/>
        <v>2043</v>
      </c>
      <c r="HR13">
        <f t="shared" si="3"/>
        <v>2043</v>
      </c>
      <c r="HS13">
        <f t="shared" si="3"/>
        <v>2043</v>
      </c>
      <c r="HT13">
        <f t="shared" si="3"/>
        <v>2043</v>
      </c>
      <c r="HU13">
        <f t="shared" si="3"/>
        <v>2043</v>
      </c>
      <c r="HV13">
        <f t="shared" si="3"/>
        <v>2043</v>
      </c>
      <c r="HW13">
        <f t="shared" si="3"/>
        <v>2043</v>
      </c>
      <c r="HX13">
        <f t="shared" si="3"/>
        <v>2043</v>
      </c>
      <c r="HY13">
        <f t="shared" si="3"/>
        <v>2043</v>
      </c>
      <c r="HZ13">
        <f t="shared" si="3"/>
        <v>2043</v>
      </c>
      <c r="IA13">
        <f t="shared" si="3"/>
        <v>2043</v>
      </c>
      <c r="IB13">
        <f t="shared" si="3"/>
        <v>2044</v>
      </c>
      <c r="IC13">
        <f t="shared" si="3"/>
        <v>2044</v>
      </c>
      <c r="ID13">
        <f t="shared" si="3"/>
        <v>2044</v>
      </c>
      <c r="IE13">
        <f t="shared" si="3"/>
        <v>2044</v>
      </c>
      <c r="IF13">
        <f t="shared" si="3"/>
        <v>2044</v>
      </c>
      <c r="IG13">
        <f t="shared" si="3"/>
        <v>2044</v>
      </c>
      <c r="IH13">
        <f t="shared" si="3"/>
        <v>2044</v>
      </c>
      <c r="II13">
        <f t="shared" si="3"/>
        <v>2044</v>
      </c>
      <c r="IJ13">
        <f t="shared" si="3"/>
        <v>2044</v>
      </c>
      <c r="IK13">
        <f t="shared" si="3"/>
        <v>2044</v>
      </c>
      <c r="IL13">
        <f t="shared" si="3"/>
        <v>2044</v>
      </c>
      <c r="IM13">
        <f t="shared" si="3"/>
        <v>2044</v>
      </c>
    </row>
    <row r="14" spans="1:248" x14ac:dyDescent="0.3">
      <c r="A14" t="s">
        <v>762</v>
      </c>
      <c r="B14" s="14">
        <v>45474</v>
      </c>
      <c r="C14" s="14">
        <v>45505</v>
      </c>
      <c r="D14" s="14">
        <v>45536</v>
      </c>
      <c r="E14" s="14">
        <v>45566</v>
      </c>
      <c r="F14" s="14">
        <v>45597</v>
      </c>
      <c r="G14" s="14">
        <v>45627</v>
      </c>
      <c r="H14" s="14">
        <v>45658</v>
      </c>
      <c r="I14" s="14">
        <v>45689</v>
      </c>
      <c r="J14" s="14">
        <v>45717</v>
      </c>
      <c r="K14" s="14">
        <v>45748</v>
      </c>
      <c r="L14" s="14">
        <v>45778</v>
      </c>
      <c r="M14" s="14">
        <v>45809</v>
      </c>
      <c r="N14" s="14">
        <v>45839</v>
      </c>
      <c r="O14" s="14">
        <v>45870</v>
      </c>
      <c r="P14" s="14">
        <v>45901</v>
      </c>
      <c r="Q14" s="14">
        <v>45931</v>
      </c>
      <c r="R14" s="14">
        <v>45962</v>
      </c>
      <c r="S14" s="14">
        <v>45992</v>
      </c>
      <c r="T14" s="14">
        <v>46023</v>
      </c>
      <c r="U14" s="14">
        <v>46054</v>
      </c>
      <c r="V14" s="14">
        <v>46082</v>
      </c>
      <c r="W14" s="14">
        <v>46113</v>
      </c>
      <c r="X14" s="14">
        <v>46143</v>
      </c>
      <c r="Y14" s="14">
        <v>46174</v>
      </c>
      <c r="Z14" s="14">
        <v>46204</v>
      </c>
      <c r="AA14" s="14">
        <v>46235</v>
      </c>
      <c r="AB14" s="14">
        <v>46266</v>
      </c>
      <c r="AC14" s="14">
        <v>46296</v>
      </c>
      <c r="AD14" s="14">
        <v>46327</v>
      </c>
      <c r="AE14" s="14">
        <v>46357</v>
      </c>
      <c r="AF14" s="14">
        <v>46388</v>
      </c>
      <c r="AG14" s="14">
        <v>46419</v>
      </c>
      <c r="AH14" s="14">
        <v>46447</v>
      </c>
      <c r="AI14" s="14">
        <v>46478</v>
      </c>
      <c r="AJ14" s="14">
        <v>46508</v>
      </c>
      <c r="AK14" s="14">
        <v>46539</v>
      </c>
      <c r="AL14" s="14">
        <v>46569</v>
      </c>
      <c r="AM14" s="14">
        <v>46600</v>
      </c>
      <c r="AN14" s="14">
        <v>46631</v>
      </c>
      <c r="AO14" s="14">
        <v>46661</v>
      </c>
      <c r="AP14" s="14">
        <v>46692</v>
      </c>
      <c r="AQ14" s="14">
        <v>46722</v>
      </c>
      <c r="AR14" s="14">
        <v>46753</v>
      </c>
      <c r="AS14" s="14">
        <v>46784</v>
      </c>
      <c r="AT14" s="14">
        <v>46813</v>
      </c>
      <c r="AU14" s="14">
        <v>46844</v>
      </c>
      <c r="AV14" s="14">
        <v>46874</v>
      </c>
      <c r="AW14" s="14">
        <v>46905</v>
      </c>
      <c r="AX14" s="14">
        <v>46935</v>
      </c>
      <c r="AY14" s="14">
        <v>46966</v>
      </c>
      <c r="AZ14" s="14">
        <v>46997</v>
      </c>
      <c r="BA14" s="14">
        <v>47027</v>
      </c>
      <c r="BB14" s="14">
        <v>47058</v>
      </c>
      <c r="BC14" s="14">
        <v>47088</v>
      </c>
      <c r="BD14" s="14">
        <v>47119</v>
      </c>
      <c r="BE14" s="14">
        <v>47150</v>
      </c>
      <c r="BF14" s="14">
        <v>47178</v>
      </c>
      <c r="BG14" s="14">
        <v>47209</v>
      </c>
      <c r="BH14" s="14">
        <v>47239</v>
      </c>
      <c r="BI14" s="14">
        <v>47270</v>
      </c>
      <c r="BJ14" s="14">
        <v>47300</v>
      </c>
      <c r="BK14" s="14">
        <v>47331</v>
      </c>
      <c r="BL14" s="14">
        <v>47362</v>
      </c>
      <c r="BM14" s="14">
        <v>47392</v>
      </c>
      <c r="BN14" s="14">
        <v>47423</v>
      </c>
      <c r="BO14" s="14">
        <v>47453</v>
      </c>
      <c r="BP14" s="14">
        <v>47484</v>
      </c>
      <c r="BQ14" s="14">
        <v>47515</v>
      </c>
      <c r="BR14" s="14">
        <v>47543</v>
      </c>
      <c r="BS14" s="14">
        <v>47574</v>
      </c>
      <c r="BT14" s="14">
        <v>47604</v>
      </c>
      <c r="BU14" s="14">
        <v>47635</v>
      </c>
      <c r="BV14" s="14">
        <v>47665</v>
      </c>
      <c r="BW14" s="14">
        <v>47696</v>
      </c>
      <c r="BX14" s="14">
        <v>47727</v>
      </c>
      <c r="BY14" s="14">
        <v>47757</v>
      </c>
      <c r="BZ14" s="14">
        <v>47788</v>
      </c>
      <c r="CA14" s="14">
        <v>47818</v>
      </c>
      <c r="CB14" s="14">
        <v>47849</v>
      </c>
      <c r="CC14" s="14">
        <v>47880</v>
      </c>
      <c r="CD14" s="14">
        <v>47908</v>
      </c>
      <c r="CE14" s="14">
        <v>47939</v>
      </c>
      <c r="CF14" s="14">
        <v>47969</v>
      </c>
      <c r="CG14" s="14">
        <v>48000</v>
      </c>
      <c r="CH14" s="14">
        <v>48030</v>
      </c>
      <c r="CI14" s="14">
        <v>48061</v>
      </c>
      <c r="CJ14" s="14">
        <v>48092</v>
      </c>
      <c r="CK14" s="14">
        <v>48122</v>
      </c>
      <c r="CL14" s="14">
        <v>48153</v>
      </c>
      <c r="CM14" s="14">
        <v>48183</v>
      </c>
      <c r="CN14" s="14">
        <v>48214</v>
      </c>
      <c r="CO14" s="14">
        <v>48245</v>
      </c>
      <c r="CP14" s="14">
        <v>48274</v>
      </c>
      <c r="CQ14" s="14">
        <v>48305</v>
      </c>
      <c r="CR14" s="14">
        <v>48335</v>
      </c>
      <c r="CS14" s="14">
        <v>48366</v>
      </c>
      <c r="CT14" s="14">
        <v>48396</v>
      </c>
      <c r="CU14" s="14">
        <v>48427</v>
      </c>
      <c r="CV14" s="14">
        <v>48458</v>
      </c>
      <c r="CW14" s="14">
        <v>48488</v>
      </c>
      <c r="CX14" s="14">
        <v>48519</v>
      </c>
      <c r="CY14" s="14">
        <v>48549</v>
      </c>
      <c r="CZ14" s="14">
        <v>48580</v>
      </c>
      <c r="DA14" s="14">
        <v>48611</v>
      </c>
      <c r="DB14" s="14">
        <v>48639</v>
      </c>
      <c r="DC14" s="14">
        <v>48670</v>
      </c>
      <c r="DD14" s="14">
        <v>48700</v>
      </c>
      <c r="DE14" s="14">
        <v>48731</v>
      </c>
      <c r="DF14" s="14">
        <v>48761</v>
      </c>
      <c r="DG14" s="14">
        <v>48792</v>
      </c>
      <c r="DH14" s="14">
        <v>48823</v>
      </c>
      <c r="DI14" s="14">
        <v>48853</v>
      </c>
      <c r="DJ14" s="14">
        <v>48884</v>
      </c>
      <c r="DK14" s="14">
        <v>48914</v>
      </c>
      <c r="DL14" s="14">
        <v>48945</v>
      </c>
      <c r="DM14" s="14">
        <v>48976</v>
      </c>
      <c r="DN14" s="14">
        <v>49004</v>
      </c>
      <c r="DO14" s="14">
        <v>49035</v>
      </c>
      <c r="DP14" s="14">
        <v>49065</v>
      </c>
      <c r="DQ14" s="14">
        <v>49096</v>
      </c>
      <c r="DR14" s="14">
        <v>49126</v>
      </c>
      <c r="DS14" s="14">
        <v>49157</v>
      </c>
      <c r="DT14" s="14">
        <v>49188</v>
      </c>
      <c r="DU14" s="14">
        <v>49218</v>
      </c>
      <c r="DV14" s="14">
        <v>49249</v>
      </c>
      <c r="DW14" s="14">
        <v>49279</v>
      </c>
      <c r="DX14" s="14">
        <v>49310</v>
      </c>
      <c r="DY14" s="14">
        <v>49341</v>
      </c>
      <c r="DZ14" s="14">
        <v>49369</v>
      </c>
      <c r="EA14" s="14">
        <v>49400</v>
      </c>
      <c r="EB14" s="14">
        <v>49430</v>
      </c>
      <c r="EC14" s="14">
        <v>49461</v>
      </c>
      <c r="ED14" s="14">
        <v>49491</v>
      </c>
      <c r="EE14" s="14">
        <v>49522</v>
      </c>
      <c r="EF14" s="14">
        <v>49553</v>
      </c>
      <c r="EG14" s="14">
        <v>49583</v>
      </c>
      <c r="EH14" s="14">
        <v>49614</v>
      </c>
      <c r="EI14" s="14">
        <v>49644</v>
      </c>
      <c r="EJ14" s="14">
        <v>49675</v>
      </c>
      <c r="EK14" s="14">
        <v>49706</v>
      </c>
      <c r="EL14" s="14">
        <v>49735</v>
      </c>
      <c r="EM14" s="14">
        <v>49766</v>
      </c>
      <c r="EN14" s="14">
        <v>49796</v>
      </c>
      <c r="EO14" s="14">
        <v>49827</v>
      </c>
      <c r="EP14" s="14">
        <v>49857</v>
      </c>
      <c r="EQ14" s="14">
        <v>49888</v>
      </c>
      <c r="ER14" s="14">
        <v>49919</v>
      </c>
      <c r="ES14" s="14">
        <v>49949</v>
      </c>
      <c r="ET14" s="14">
        <v>49980</v>
      </c>
      <c r="EU14" s="14">
        <v>50010</v>
      </c>
      <c r="EV14" s="14">
        <v>50041</v>
      </c>
      <c r="EW14" s="14">
        <v>50072</v>
      </c>
      <c r="EX14" s="14">
        <v>50100</v>
      </c>
      <c r="EY14" s="14">
        <v>50131</v>
      </c>
      <c r="EZ14" s="14">
        <v>50161</v>
      </c>
      <c r="FA14" s="14">
        <v>50192</v>
      </c>
      <c r="FB14" s="14">
        <v>50222</v>
      </c>
      <c r="FC14" s="14">
        <v>50253</v>
      </c>
      <c r="FD14" s="14">
        <v>50284</v>
      </c>
      <c r="FE14" s="14">
        <v>50314</v>
      </c>
      <c r="FF14" s="14">
        <v>50345</v>
      </c>
      <c r="FG14" s="14">
        <v>50375</v>
      </c>
      <c r="FH14" s="14">
        <v>50406</v>
      </c>
      <c r="FI14" s="14">
        <v>50437</v>
      </c>
      <c r="FJ14" s="14">
        <v>50465</v>
      </c>
      <c r="FK14" s="14">
        <v>50496</v>
      </c>
      <c r="FL14" s="14">
        <v>50526</v>
      </c>
      <c r="FM14" s="14">
        <v>50557</v>
      </c>
      <c r="FN14" s="14">
        <v>50587</v>
      </c>
      <c r="FO14" s="14">
        <v>50618</v>
      </c>
      <c r="FP14" s="14">
        <v>50649</v>
      </c>
      <c r="FQ14" s="14">
        <v>50679</v>
      </c>
      <c r="FR14" s="14">
        <v>50710</v>
      </c>
      <c r="FS14" s="14">
        <v>50740</v>
      </c>
      <c r="FT14" s="14">
        <v>50771</v>
      </c>
      <c r="FU14" s="14">
        <v>50802</v>
      </c>
      <c r="FV14" s="14">
        <v>50830</v>
      </c>
      <c r="FW14" s="14">
        <v>50861</v>
      </c>
      <c r="FX14" s="14">
        <v>50891</v>
      </c>
      <c r="FY14" s="14">
        <v>50922</v>
      </c>
      <c r="FZ14" s="14">
        <v>50952</v>
      </c>
      <c r="GA14" s="14">
        <v>50983</v>
      </c>
      <c r="GB14" s="14">
        <v>51014</v>
      </c>
      <c r="GC14" s="14">
        <v>51044</v>
      </c>
      <c r="GD14" s="14">
        <v>51075</v>
      </c>
      <c r="GE14" s="14">
        <v>51105</v>
      </c>
      <c r="GF14" s="14">
        <v>51136</v>
      </c>
      <c r="GG14" s="14">
        <v>51167</v>
      </c>
      <c r="GH14" s="14">
        <v>51196</v>
      </c>
      <c r="GI14" s="14">
        <v>51227</v>
      </c>
      <c r="GJ14" s="14">
        <v>51257</v>
      </c>
      <c r="GK14" s="14">
        <v>51288</v>
      </c>
      <c r="GL14" s="14">
        <v>51318</v>
      </c>
      <c r="GM14" s="14">
        <v>51349</v>
      </c>
      <c r="GN14" s="14">
        <v>51380</v>
      </c>
      <c r="GO14" s="14">
        <v>51410</v>
      </c>
      <c r="GP14" s="14">
        <v>51441</v>
      </c>
      <c r="GQ14" s="14">
        <v>51471</v>
      </c>
      <c r="GR14" s="14">
        <v>51502</v>
      </c>
      <c r="GS14" s="14">
        <v>51533</v>
      </c>
      <c r="GT14" s="14">
        <v>51561</v>
      </c>
      <c r="GU14" s="14">
        <v>51592</v>
      </c>
      <c r="GV14" s="14">
        <v>51622</v>
      </c>
      <c r="GW14" s="14">
        <v>51653</v>
      </c>
      <c r="GX14" s="14">
        <v>51683</v>
      </c>
      <c r="GY14" s="14">
        <v>51714</v>
      </c>
      <c r="GZ14" s="14">
        <v>51745</v>
      </c>
      <c r="HA14" s="14">
        <v>51775</v>
      </c>
      <c r="HB14" s="14">
        <v>51806</v>
      </c>
      <c r="HC14" s="14">
        <v>51836</v>
      </c>
      <c r="HD14" s="14">
        <v>51867</v>
      </c>
      <c r="HE14" s="14">
        <v>51898</v>
      </c>
      <c r="HF14" s="14">
        <v>51926</v>
      </c>
      <c r="HG14" s="14">
        <v>51957</v>
      </c>
      <c r="HH14" s="14">
        <v>51987</v>
      </c>
      <c r="HI14" s="14">
        <v>52018</v>
      </c>
      <c r="HJ14" s="14">
        <v>52048</v>
      </c>
      <c r="HK14" s="14">
        <v>52079</v>
      </c>
      <c r="HL14" s="14">
        <v>52110</v>
      </c>
      <c r="HM14" s="14">
        <v>52140</v>
      </c>
      <c r="HN14" s="14">
        <v>52171</v>
      </c>
      <c r="HO14" s="14">
        <v>52201</v>
      </c>
      <c r="HP14" s="14">
        <v>52232</v>
      </c>
      <c r="HQ14" s="14">
        <v>52263</v>
      </c>
      <c r="HR14" s="14">
        <v>52291</v>
      </c>
      <c r="HS14" s="14">
        <v>52322</v>
      </c>
      <c r="HT14" s="14">
        <v>52352</v>
      </c>
      <c r="HU14" s="14">
        <v>52383</v>
      </c>
      <c r="HV14" s="14">
        <v>52413</v>
      </c>
      <c r="HW14" s="14">
        <v>52444</v>
      </c>
      <c r="HX14" s="14">
        <v>52475</v>
      </c>
      <c r="HY14" s="14">
        <v>52505</v>
      </c>
      <c r="HZ14" s="14">
        <v>52536</v>
      </c>
      <c r="IA14" s="14">
        <v>52566</v>
      </c>
      <c r="IB14" s="14">
        <v>52597</v>
      </c>
      <c r="IC14" s="14">
        <v>52628</v>
      </c>
      <c r="ID14" s="14">
        <v>52657</v>
      </c>
      <c r="IE14" s="14">
        <v>52688</v>
      </c>
      <c r="IF14" s="14">
        <v>52718</v>
      </c>
      <c r="IG14" s="14">
        <v>52749</v>
      </c>
      <c r="IH14" s="14">
        <v>52779</v>
      </c>
      <c r="II14" s="14">
        <v>52810</v>
      </c>
      <c r="IJ14" s="14">
        <v>52841</v>
      </c>
      <c r="IK14" s="14">
        <v>52871</v>
      </c>
      <c r="IL14" s="14">
        <v>52902</v>
      </c>
      <c r="IM14" s="14">
        <v>52932</v>
      </c>
      <c r="IN14" s="14"/>
    </row>
    <row r="15" spans="1:248" x14ac:dyDescent="0.3">
      <c r="A15" s="6" t="s">
        <v>908</v>
      </c>
      <c r="C15" s="10"/>
      <c r="D15" s="10"/>
      <c r="E15" s="10"/>
      <c r="F15" s="10"/>
      <c r="G15" s="10"/>
      <c r="H15" s="10"/>
      <c r="I15" s="10">
        <f>+Producción!K8</f>
        <v>1982.6360400000001</v>
      </c>
      <c r="J15" s="10">
        <f>+Producción!L8</f>
        <v>2360.8296480999998</v>
      </c>
      <c r="K15" s="10">
        <f>+Producción!M8</f>
        <v>2144.5575689999996</v>
      </c>
      <c r="L15" s="10">
        <f>+Producción!N8</f>
        <v>2079.2997071</v>
      </c>
      <c r="M15" s="10">
        <f>+Producción!O8</f>
        <v>2090.0679030000001</v>
      </c>
      <c r="N15" s="10">
        <f>+Producción!P8</f>
        <v>2224.0865339000002</v>
      </c>
      <c r="O15" s="10">
        <f>+Producción!Q8</f>
        <v>2191.4520427799998</v>
      </c>
      <c r="P15" s="10">
        <f>+Producción!R8</f>
        <v>2050.8448751999999</v>
      </c>
      <c r="Q15" s="10">
        <f>+Producción!S8</f>
        <v>1848.9862815599997</v>
      </c>
      <c r="R15" s="10">
        <f>+Producción!T8</f>
        <v>1767.0660480000001</v>
      </c>
      <c r="S15" s="10">
        <f>+Producción!U8</f>
        <v>1867.9423078799998</v>
      </c>
      <c r="T15" s="10">
        <f>+Producción!V8</f>
        <v>2146.1896942200001</v>
      </c>
      <c r="U15" s="10">
        <f>+Producción!W8</f>
        <v>1978.5898440000001</v>
      </c>
      <c r="V15" s="10">
        <f>+Producción!X8</f>
        <v>2356.01162841</v>
      </c>
      <c r="W15" s="10">
        <f>+Producción!Y8</f>
        <v>2140.1809208999998</v>
      </c>
      <c r="X15" s="10">
        <f>+Producción!Z8</f>
        <v>2075.0562383099996</v>
      </c>
      <c r="Y15" s="10">
        <f>+Producción!AA8</f>
        <v>2085.8024583000001</v>
      </c>
      <c r="Z15" s="10">
        <f>+Producción!AB8</f>
        <v>2219.5475817899996</v>
      </c>
      <c r="AA15" s="10">
        <f>+Producción!AC8</f>
        <v>2189.2112942699996</v>
      </c>
      <c r="AB15" s="10">
        <f>+Producción!AD8</f>
        <v>2048.7478967999996</v>
      </c>
      <c r="AC15" s="10">
        <f>+Producción!AE8</f>
        <v>1847.09570254</v>
      </c>
      <c r="AD15" s="10">
        <f>+Producción!AF8</f>
        <v>1765.2592320000001</v>
      </c>
      <c r="AE15" s="10">
        <f>+Producción!AG8</f>
        <v>1866.0323464199996</v>
      </c>
      <c r="AF15" s="10">
        <f>+Producción!AH8</f>
        <v>2143.9952262300003</v>
      </c>
      <c r="AG15" s="10">
        <f>+Producción!AI8</f>
        <v>1976.5667460000002</v>
      </c>
      <c r="AH15" s="10">
        <f>+Producción!AJ8</f>
        <v>2353.6026185649998</v>
      </c>
      <c r="AI15" s="10">
        <f>+Producción!AK8</f>
        <v>2137.9925968499997</v>
      </c>
      <c r="AJ15" s="10">
        <f>+Producción!AL8</f>
        <v>2072.9345039149998</v>
      </c>
      <c r="AK15" s="10">
        <f>+Producción!AM8</f>
        <v>2083.6697359499999</v>
      </c>
      <c r="AL15" s="10">
        <f>+Producción!AN8</f>
        <v>2217.2781057349998</v>
      </c>
      <c r="AM15" s="10">
        <f>+Producción!AO8</f>
        <v>2186.9705457599998</v>
      </c>
      <c r="AN15" s="10">
        <f>+Producción!AP8</f>
        <v>2046.6509183999999</v>
      </c>
      <c r="AO15" s="10">
        <f>+Producción!AQ8</f>
        <v>1845.2051235200001</v>
      </c>
      <c r="AP15" s="10">
        <f>+Producción!AR8</f>
        <v>1763.4524160000003</v>
      </c>
      <c r="AQ15" s="10">
        <f>+Producción!AS8</f>
        <v>1864.1223849599999</v>
      </c>
      <c r="AR15" s="10">
        <f>+Producción!AT8</f>
        <v>2141.8007582400005</v>
      </c>
      <c r="AS15" s="10">
        <f>+Producción!AU8</f>
        <v>2045.0630639999997</v>
      </c>
      <c r="AT15" s="10">
        <f>+Producción!AV8</f>
        <v>2351.1936087199997</v>
      </c>
      <c r="AU15" s="10">
        <f>+Producción!AW8</f>
        <v>2135.8042727999996</v>
      </c>
      <c r="AV15" s="10">
        <f>+Producción!AX8</f>
        <v>2070.8127695200001</v>
      </c>
      <c r="AW15" s="10">
        <f>+Producción!AY8</f>
        <v>2081.5370136000001</v>
      </c>
      <c r="AX15" s="10">
        <f>+Producción!AZ8</f>
        <v>2215.0086296800005</v>
      </c>
      <c r="AY15" s="10">
        <f>+Producción!BA8</f>
        <v>2184.72979725</v>
      </c>
      <c r="AZ15" s="10">
        <f>+Producción!BB8</f>
        <v>2044.55394</v>
      </c>
      <c r="BA15" s="10">
        <f>+Producción!BC8</f>
        <v>1843.3145444999998</v>
      </c>
      <c r="BB15" s="10">
        <f>+Producción!BD8</f>
        <v>1761.6456000000001</v>
      </c>
      <c r="BC15" s="10">
        <f>+Producción!BE8</f>
        <v>1862.2124234999999</v>
      </c>
      <c r="BD15" s="10">
        <f>+Producción!BF8</f>
        <v>2139.6062902500003</v>
      </c>
      <c r="BE15" s="10">
        <f>+Producción!BG8</f>
        <v>1972.5205499999997</v>
      </c>
      <c r="BF15" s="10">
        <f>+Producción!BH8</f>
        <v>2348.7845988749996</v>
      </c>
      <c r="BG15" s="10">
        <f>+Producción!BI8</f>
        <v>2133.6159487499999</v>
      </c>
      <c r="BH15" s="10">
        <f>+Producción!BJ8</f>
        <v>2068.6910351249999</v>
      </c>
      <c r="BI15" s="10">
        <f>+Producción!BK8</f>
        <v>2079.4042912499999</v>
      </c>
      <c r="BJ15" s="10">
        <f>+Producción!BL8</f>
        <v>2212.7391536249997</v>
      </c>
      <c r="BK15" s="10">
        <f>+Producción!BM8</f>
        <v>2173.5260546999998</v>
      </c>
      <c r="BL15" s="10">
        <f>+Producción!BN8</f>
        <v>2034.0690479999998</v>
      </c>
      <c r="BM15" s="10">
        <f>+Producción!BO8</f>
        <v>1833.8616494</v>
      </c>
      <c r="BN15" s="10">
        <f>+Producción!BP8</f>
        <v>1752.6115199999999</v>
      </c>
      <c r="BO15" s="10">
        <f>+Producción!BQ8</f>
        <v>1852.6626161999998</v>
      </c>
      <c r="BP15" s="10">
        <f>+Producción!BR8</f>
        <v>2128.6339502999999</v>
      </c>
      <c r="BQ15" s="10">
        <f>+Producción!BS8</f>
        <v>1962.40506</v>
      </c>
      <c r="BR15" s="10">
        <f>+Producción!BT8</f>
        <v>2336.7395496499998</v>
      </c>
      <c r="BS15" s="10">
        <f>+Producción!BU8</f>
        <v>2122.6743284999998</v>
      </c>
      <c r="BT15" s="10">
        <f>+Producción!BV8</f>
        <v>2058.0823631500002</v>
      </c>
      <c r="BU15" s="10">
        <f>+Producción!BW8</f>
        <v>2068.7406794999997</v>
      </c>
      <c r="BV15" s="10">
        <f>+Producción!BX8</f>
        <v>2201.3917733499998</v>
      </c>
      <c r="BW15" s="10">
        <f>+Producción!BY8</f>
        <v>2162.3223121499996</v>
      </c>
      <c r="BX15" s="10">
        <f>+Producción!BZ8</f>
        <v>2023.5841559999999</v>
      </c>
      <c r="BY15" s="10">
        <f>+Producción!CA8</f>
        <v>1824.4087542999998</v>
      </c>
      <c r="BZ15" s="10">
        <f>+Producción!CB8</f>
        <v>1743.57744</v>
      </c>
      <c r="CA15" s="10">
        <f>+Producción!CC8</f>
        <v>1843.1128088999999</v>
      </c>
      <c r="CB15" s="10">
        <f>+Producción!CD8</f>
        <v>2117.66161035</v>
      </c>
      <c r="CC15" s="10">
        <f>+Producción!CE8</f>
        <v>1952.2895700000004</v>
      </c>
      <c r="CD15" s="10">
        <f>+Producción!CF8</f>
        <v>2324.6945004249997</v>
      </c>
      <c r="CE15" s="10">
        <f>+Producción!CG8</f>
        <v>2111.7327082499996</v>
      </c>
      <c r="CF15" s="10">
        <f>+Producción!CH8</f>
        <v>2047.4736911749999</v>
      </c>
      <c r="CG15" s="10">
        <f>+Producción!CI8</f>
        <v>2058.07706775</v>
      </c>
      <c r="CH15" s="10">
        <f>+Producción!CJ8</f>
        <v>2190.0443930750002</v>
      </c>
      <c r="CI15" s="10">
        <f>+Producción!CK8</f>
        <v>2151.1185696000002</v>
      </c>
      <c r="CJ15" s="10">
        <f>+Producción!CL8</f>
        <v>2013.0992640000002</v>
      </c>
      <c r="CK15" s="10">
        <f>+Producción!CM8</f>
        <v>1814.9558592000001</v>
      </c>
      <c r="CL15" s="10">
        <f>+Producción!CN8</f>
        <v>1734.5433599999999</v>
      </c>
      <c r="CM15" s="10">
        <f>+Producción!CO8</f>
        <v>1833.5630015999998</v>
      </c>
      <c r="CN15" s="10">
        <f>+Producción!CP8</f>
        <v>2106.6892704000002</v>
      </c>
      <c r="CO15" s="10">
        <f>+Producción!CQ8</f>
        <v>2011.5374399999998</v>
      </c>
      <c r="CP15" s="10">
        <f>+Producción!CR8</f>
        <v>2312.6494511999999</v>
      </c>
      <c r="CQ15" s="10">
        <f>+Producción!CS8</f>
        <v>2100.7910879999999</v>
      </c>
      <c r="CR15" s="10">
        <f>+Producción!CT8</f>
        <v>2036.8650191999998</v>
      </c>
      <c r="CS15" s="10">
        <f>+Producción!CU8</f>
        <v>2047.413456</v>
      </c>
      <c r="CT15" s="10">
        <f>+Producción!CV8</f>
        <v>2178.6970128000003</v>
      </c>
      <c r="CU15" s="10">
        <f>+Producción!CW8</f>
        <v>2139.9148270499995</v>
      </c>
      <c r="CV15" s="10">
        <f>+Producción!CX8</f>
        <v>2002.6143719999998</v>
      </c>
      <c r="CW15" s="10">
        <f>+Producción!CY8</f>
        <v>1805.5029641000003</v>
      </c>
      <c r="CX15" s="10">
        <f>+Producción!CZ8</f>
        <v>1725.5092800000002</v>
      </c>
      <c r="CY15" s="10">
        <f>+Producción!DA8</f>
        <v>1824.0131942999999</v>
      </c>
      <c r="CZ15" s="10">
        <f>+Producción!DB8</f>
        <v>2095.7169304500003</v>
      </c>
      <c r="DA15" s="10">
        <f>+Producción!DC8</f>
        <v>1932.0585900000001</v>
      </c>
      <c r="DB15" s="10">
        <f>+Producción!DD8</f>
        <v>2300.6044019750002</v>
      </c>
      <c r="DC15" s="10">
        <f>+Producción!DE8</f>
        <v>2089.8494677499998</v>
      </c>
      <c r="DD15" s="10">
        <f>+Producción!DF8</f>
        <v>2026.2563472249999</v>
      </c>
      <c r="DE15" s="10">
        <f>+Producción!DG8</f>
        <v>2036.74984425</v>
      </c>
      <c r="DF15" s="10">
        <f>+Producción!DH8</f>
        <v>2167.3496325250003</v>
      </c>
      <c r="DG15" s="10">
        <f>+Producción!DI8</f>
        <v>2128.7110844999997</v>
      </c>
      <c r="DH15" s="10">
        <f>+Producción!DJ8</f>
        <v>1992.1294800000001</v>
      </c>
      <c r="DI15" s="10">
        <f>+Producción!DK8</f>
        <v>1796.0500690000001</v>
      </c>
      <c r="DJ15" s="10">
        <f>+Producción!DL8</f>
        <v>1716.4752000000001</v>
      </c>
      <c r="DK15" s="10">
        <f>+Producción!DM8</f>
        <v>1814.4633869999998</v>
      </c>
      <c r="DL15" s="10">
        <f>+Producción!DN8</f>
        <v>2084.7445905</v>
      </c>
      <c r="DM15" s="10">
        <f>+Producción!DO8</f>
        <v>1921.9431</v>
      </c>
      <c r="DN15" s="10">
        <f>+Producción!DP8</f>
        <v>2288.55935275</v>
      </c>
      <c r="DO15" s="10">
        <f>+Producción!DQ8</f>
        <v>2078.9078475000001</v>
      </c>
      <c r="DP15" s="10">
        <f>+Producción!DR8</f>
        <v>2015.6476752499998</v>
      </c>
      <c r="DQ15" s="10">
        <f>+Producción!DS8</f>
        <v>2026.0862324999998</v>
      </c>
      <c r="DR15" s="10">
        <f>+Producción!DT8</f>
        <v>2156.0022522499999</v>
      </c>
      <c r="DS15" s="10">
        <f>+Producción!DU8</f>
        <v>2106.3035994000002</v>
      </c>
      <c r="DT15" s="10">
        <f>+Producción!DV8</f>
        <v>2036.8650192</v>
      </c>
      <c r="DU15" s="10">
        <f>+Producción!DW8</f>
        <v>1777.1442787999999</v>
      </c>
      <c r="DV15" s="10">
        <f>+Producción!DX8</f>
        <v>1755.020608</v>
      </c>
      <c r="DW15" s="10">
        <f>+Producción!DY8</f>
        <v>1795.3637723999998</v>
      </c>
      <c r="DX15" s="10">
        <f>+Producción!DZ8</f>
        <v>2062.7999106000002</v>
      </c>
      <c r="DY15" s="10">
        <f>+Producción!EA8</f>
        <v>1901.7121200000001</v>
      </c>
      <c r="DZ15" s="10">
        <f>+Producción!EB8</f>
        <v>2264.4692542999996</v>
      </c>
      <c r="EA15" s="10">
        <f>+Producción!EC8</f>
        <v>2057.0246069999998</v>
      </c>
      <c r="EB15" s="10">
        <f>+Producción!ED8</f>
        <v>1994.4303312999998</v>
      </c>
      <c r="EC15" s="10">
        <f>+Producción!EE8</f>
        <v>2004.7590090000001</v>
      </c>
      <c r="ED15" s="10">
        <f>+Producción!EF8</f>
        <v>2133.3074917000004</v>
      </c>
      <c r="EE15" s="10">
        <f>+Producción!EG8</f>
        <v>2083.8961142999997</v>
      </c>
      <c r="EF15" s="10">
        <f>+Producción!EH8</f>
        <v>2015.1962424000001</v>
      </c>
      <c r="EG15" s="10">
        <f>+Producción!EI8</f>
        <v>1758.2384886</v>
      </c>
      <c r="EH15" s="10">
        <f>+Producción!EJ8</f>
        <v>1736.3501759999999</v>
      </c>
      <c r="EI15" s="10">
        <f>+Producción!EK8</f>
        <v>1776.2641577999998</v>
      </c>
      <c r="EJ15" s="10">
        <f>+Producción!EL8</f>
        <v>2040.8552307000004</v>
      </c>
      <c r="EK15" s="10">
        <f>+Producción!EM8</f>
        <v>1948.6768950000001</v>
      </c>
      <c r="EL15" s="10">
        <f>+Producción!EN8</f>
        <v>2240.3791558500002</v>
      </c>
      <c r="EM15" s="10">
        <f>+Producción!EO8</f>
        <v>2035.1413664999998</v>
      </c>
      <c r="EN15" s="10">
        <f>+Producción!EP8</f>
        <v>1973.2129873499998</v>
      </c>
      <c r="EO15" s="10">
        <f>+Producción!EQ8</f>
        <v>1983.4317854999999</v>
      </c>
      <c r="EP15" s="10">
        <f>+Producción!ER8</f>
        <v>2110.6127311499999</v>
      </c>
      <c r="EQ15" s="10">
        <f>+Producción!ES8</f>
        <v>2061.4886291999997</v>
      </c>
      <c r="ER15" s="10">
        <f>+Producción!ET8</f>
        <v>1993.5274656000001</v>
      </c>
      <c r="ES15" s="10">
        <f>+Producción!EU8</f>
        <v>1739.3326984</v>
      </c>
      <c r="ET15" s="10">
        <f>+Producción!EV8</f>
        <v>1717.679744</v>
      </c>
      <c r="EU15" s="10">
        <f>+Producción!EW8</f>
        <v>1757.1645431999998</v>
      </c>
      <c r="EV15" s="10">
        <f>+Producción!EX8</f>
        <v>2018.9105508000002</v>
      </c>
      <c r="EW15" s="10">
        <f>+Producción!EY8</f>
        <v>1861.2501599999998</v>
      </c>
      <c r="EX15" s="10">
        <f>+Producción!EZ8</f>
        <v>2216.2890574000003</v>
      </c>
      <c r="EY15" s="10">
        <f>+Producción!FA8</f>
        <v>2013.2581259999997</v>
      </c>
      <c r="EZ15" s="10">
        <f>+Producción!FB8</f>
        <v>1951.9956433999998</v>
      </c>
      <c r="FA15" s="10">
        <f>+Producción!FC8</f>
        <v>1962.104562</v>
      </c>
      <c r="FB15" s="10">
        <f>+Producción!FD8</f>
        <v>2087.9179706</v>
      </c>
      <c r="FC15" s="10">
        <f>+Producción!FE8</f>
        <v>2039.0811440999998</v>
      </c>
      <c r="FD15" s="10">
        <f>+Producción!FF8</f>
        <v>1971.8586888000002</v>
      </c>
      <c r="FE15" s="10">
        <f>+Producción!FG8</f>
        <v>1720.4269082000001</v>
      </c>
      <c r="FF15" s="10">
        <f>+Producción!FH8</f>
        <v>1699.0093119999999</v>
      </c>
      <c r="FG15" s="10">
        <f>+Producción!FI8</f>
        <v>1738.0649285999998</v>
      </c>
      <c r="FH15" s="10">
        <f>+Producción!FJ8</f>
        <v>1996.9658709000003</v>
      </c>
      <c r="FI15" s="10">
        <f>+Producción!FK8</f>
        <v>1841.0191800000002</v>
      </c>
      <c r="FJ15" s="10">
        <f>+Producción!FL8</f>
        <v>2192.1989589499999</v>
      </c>
      <c r="FK15" s="10">
        <f>+Producción!FM8</f>
        <v>1991.3748855000001</v>
      </c>
      <c r="FL15" s="10">
        <f>+Producción!FN8</f>
        <v>1930.7782994500001</v>
      </c>
      <c r="FM15" s="10">
        <f>+Producción!FO8</f>
        <v>1940.7773385</v>
      </c>
      <c r="FN15" s="10">
        <f>+Producción!FP8</f>
        <v>2065.22321005</v>
      </c>
      <c r="FO15" s="10">
        <f>+Producción!FQ8</f>
        <v>2016.6736589999998</v>
      </c>
      <c r="FP15" s="10">
        <f>+Producción!FR8</f>
        <v>1950.1899119999998</v>
      </c>
      <c r="FQ15" s="10">
        <f>+Producción!FS8</f>
        <v>1701.5211179999999</v>
      </c>
      <c r="FR15" s="10">
        <f>+Producción!FT8</f>
        <v>1680.33888</v>
      </c>
      <c r="FS15" s="10">
        <f>+Producción!FU8</f>
        <v>1718.965314</v>
      </c>
      <c r="FT15" s="10">
        <f>+Producción!FV8</f>
        <v>1975.021191</v>
      </c>
      <c r="FU15" s="10">
        <f>+Producción!FW8</f>
        <v>1820.7882000000002</v>
      </c>
      <c r="FV15" s="10">
        <f>+Producción!FX8</f>
        <v>2168.1088605</v>
      </c>
      <c r="FW15" s="10">
        <f>+Producción!FY8</f>
        <v>1969.4916450000001</v>
      </c>
      <c r="FX15" s="10">
        <f>+Producción!FZ8</f>
        <v>1909.5609554999999</v>
      </c>
      <c r="FY15" s="10">
        <f>+Producción!GA8</f>
        <v>1919.4501150000001</v>
      </c>
      <c r="FZ15" s="10">
        <f>+Producción!GB8</f>
        <v>2042.5284494999999</v>
      </c>
      <c r="GA15" s="10">
        <f>+Producción!GC8</f>
        <v>1994.2661739</v>
      </c>
      <c r="GB15" s="10">
        <f>+Producción!GD8</f>
        <v>1928.5211351999999</v>
      </c>
      <c r="GC15" s="10">
        <f>+Producción!GE8</f>
        <v>1682.6153277999999</v>
      </c>
      <c r="GD15" s="10">
        <f>+Producción!GF8</f>
        <v>1661.6684479999999</v>
      </c>
      <c r="GE15" s="10">
        <f>+Producción!GG8</f>
        <v>1699.8656994</v>
      </c>
      <c r="GF15" s="10">
        <f>+Producción!GH8</f>
        <v>1953.0765111000003</v>
      </c>
      <c r="GG15" s="10">
        <f>+Producción!GI8</f>
        <v>1864.8628349999999</v>
      </c>
      <c r="GH15" s="10">
        <f>+Producción!GJ8</f>
        <v>2144.0187620500001</v>
      </c>
      <c r="GI15" s="10">
        <f>+Producción!GK8</f>
        <v>1947.6084044999998</v>
      </c>
      <c r="GJ15" s="10">
        <f>+Producción!GL8</f>
        <v>1888.3436115500001</v>
      </c>
      <c r="GK15" s="10">
        <f>+Producción!GM8</f>
        <v>1898.1228914999997</v>
      </c>
      <c r="GL15" s="10">
        <f>+Producción!GN8</f>
        <v>2019.8336889499999</v>
      </c>
      <c r="GM15" s="10">
        <f>+Producción!GO8</f>
        <v>1971.8586888</v>
      </c>
      <c r="GN15" s="10">
        <f>+Producción!GP8</f>
        <v>1906.8523583999997</v>
      </c>
      <c r="GO15" s="10">
        <f>+Producción!GQ8</f>
        <v>1663.7095376</v>
      </c>
      <c r="GP15" s="10">
        <f>+Producción!GR8</f>
        <v>1642.9980159999998</v>
      </c>
      <c r="GQ15" s="10">
        <f>+Producción!GS8</f>
        <v>1680.7660848</v>
      </c>
      <c r="GR15" s="10">
        <f>+Producción!GT8</f>
        <v>1931.1318312000001</v>
      </c>
      <c r="GS15" s="10">
        <f>+Producción!GU8</f>
        <v>1780.3262399999999</v>
      </c>
      <c r="GT15" s="10">
        <f>+Producción!GV8</f>
        <v>2119.9286635999997</v>
      </c>
      <c r="GU15" s="10">
        <f>+Producción!GW8</f>
        <v>1925.7251639999997</v>
      </c>
      <c r="GV15" s="10">
        <f>+Producción!GX8</f>
        <v>1867.1262675999997</v>
      </c>
      <c r="GW15" s="10">
        <f>+Producción!GY8</f>
        <v>1876.795668</v>
      </c>
      <c r="GX15" s="10">
        <f>+Producción!GZ8</f>
        <v>1997.1389283999999</v>
      </c>
      <c r="GY15" s="10">
        <f>+Producción!HA8</f>
        <v>1949.4512037</v>
      </c>
      <c r="GZ15" s="10">
        <f>+Producción!HB8</f>
        <v>1885.1835816</v>
      </c>
      <c r="HA15" s="10">
        <f>+Producción!HC8</f>
        <v>1644.8037474</v>
      </c>
      <c r="HB15" s="10">
        <f>+Producción!HD8</f>
        <v>1624.3275840000001</v>
      </c>
      <c r="HC15" s="10">
        <f>+Producción!HE8</f>
        <v>1661.6664701999998</v>
      </c>
      <c r="HD15" s="10">
        <f>+Producción!HF8</f>
        <v>1909.1871513000001</v>
      </c>
      <c r="HE15" s="10">
        <f>+Producción!HG8</f>
        <v>1760.0952600000003</v>
      </c>
      <c r="HF15" s="10">
        <f>+Producción!HH8</f>
        <v>2095.8385651499998</v>
      </c>
      <c r="HG15" s="10">
        <f>+Producción!HI8</f>
        <v>1903.8419234999997</v>
      </c>
      <c r="HH15" s="10">
        <f>+Producción!HJ8</f>
        <v>1845.9089236499997</v>
      </c>
      <c r="HI15" s="10">
        <f>+Producción!HK8</f>
        <v>1855.4684444999998</v>
      </c>
      <c r="HJ15" s="10">
        <f>+Producción!HL8</f>
        <v>1974.4441678499998</v>
      </c>
      <c r="HK15" s="10">
        <f>+Producción!HM8</f>
        <v>1927.0437185999997</v>
      </c>
      <c r="HL15" s="10">
        <f>+Producción!HN8</f>
        <v>1863.5148048000001</v>
      </c>
      <c r="HM15" s="10">
        <f>+Producción!HO8</f>
        <v>1625.8979572000001</v>
      </c>
      <c r="HN15" s="10">
        <f>+Producción!HP8</f>
        <v>1605.657152</v>
      </c>
      <c r="HO15" s="10">
        <f>+Producción!HQ8</f>
        <v>1642.5668555999998</v>
      </c>
      <c r="HP15" s="10">
        <f>+Producción!HR8</f>
        <v>1887.2424714000003</v>
      </c>
      <c r="HQ15" s="10">
        <f>+Producción!HS8</f>
        <v>1739.86428</v>
      </c>
      <c r="HR15" s="10">
        <f>+Producción!HT8</f>
        <v>2071.7484666999999</v>
      </c>
      <c r="HS15" s="10">
        <f>+Producción!HU8</f>
        <v>1881.9586830000001</v>
      </c>
      <c r="HT15" s="10">
        <f>+Producción!HV8</f>
        <v>1824.6915796999999</v>
      </c>
      <c r="HU15" s="10">
        <f>+Producción!HW8</f>
        <v>1834.1412210000001</v>
      </c>
      <c r="HV15" s="10">
        <f>+Producción!HX8</f>
        <v>1951.7494072999998</v>
      </c>
      <c r="HW15" s="10">
        <f>+Producción!HY8</f>
        <v>1904.6362335000001</v>
      </c>
      <c r="HX15" s="10">
        <f>+Producción!HZ8</f>
        <v>1841.8460279999999</v>
      </c>
      <c r="HY15" s="10">
        <f>+Producción!IA8</f>
        <v>1606.9921670000001</v>
      </c>
      <c r="HZ15" s="10">
        <f>+Producción!IB8</f>
        <v>1586.9867199999999</v>
      </c>
      <c r="IA15" s="10">
        <f>+Producción!IC8</f>
        <v>1623.4672409999998</v>
      </c>
      <c r="IB15" s="10">
        <f>+Producción!ID8</f>
        <v>1865.2977915000004</v>
      </c>
      <c r="IC15" s="10">
        <f>+Producción!IE8</f>
        <v>1781.0487750000002</v>
      </c>
      <c r="ID15" s="10">
        <f>+Producción!IF8</f>
        <v>2047.6583682499997</v>
      </c>
      <c r="IE15" s="10">
        <f>+Producción!IG8</f>
        <v>1860.0754424999998</v>
      </c>
      <c r="IF15" s="10">
        <f>+Producción!IH8</f>
        <v>1803.4742357499997</v>
      </c>
      <c r="IG15" s="10">
        <f>+Producción!II8</f>
        <v>1812.8139974999999</v>
      </c>
      <c r="IH15" s="10">
        <f>+Producción!IJ8</f>
        <v>1929.0546467500001</v>
      </c>
      <c r="II15" s="10">
        <f>+Producción!IK8</f>
        <v>1887.0819824999992</v>
      </c>
      <c r="IJ15" s="10">
        <f>+Producción!IL8</f>
        <v>1829.1143734285722</v>
      </c>
      <c r="IK15" s="10">
        <f>+Producción!IM8</f>
        <v>1599.5866731428541</v>
      </c>
      <c r="IL15" s="10">
        <f>+Producción!IN8</f>
        <v>1583.3300685714269</v>
      </c>
      <c r="IM15" s="10">
        <f>+Producción!IO8</f>
        <v>1623.4672409999998</v>
      </c>
      <c r="IN15" s="10"/>
    </row>
    <row r="17" spans="1:248" x14ac:dyDescent="0.3">
      <c r="B17">
        <f>+YEAR(B18)</f>
        <v>2024</v>
      </c>
      <c r="C17">
        <f>+YEAR(C18)</f>
        <v>2024</v>
      </c>
      <c r="D17">
        <f t="shared" ref="D17:BO17" si="4">+YEAR(D18)</f>
        <v>2024</v>
      </c>
      <c r="E17">
        <f t="shared" si="4"/>
        <v>2024</v>
      </c>
      <c r="F17">
        <f t="shared" si="4"/>
        <v>2024</v>
      </c>
      <c r="G17">
        <f t="shared" si="4"/>
        <v>2024</v>
      </c>
      <c r="H17">
        <f t="shared" si="4"/>
        <v>2025</v>
      </c>
      <c r="I17">
        <f t="shared" si="4"/>
        <v>2025</v>
      </c>
      <c r="J17">
        <f t="shared" si="4"/>
        <v>2025</v>
      </c>
      <c r="K17">
        <f t="shared" si="4"/>
        <v>2025</v>
      </c>
      <c r="L17">
        <f t="shared" si="4"/>
        <v>2025</v>
      </c>
      <c r="M17">
        <f t="shared" si="4"/>
        <v>2025</v>
      </c>
      <c r="N17">
        <f t="shared" si="4"/>
        <v>2025</v>
      </c>
      <c r="O17">
        <f t="shared" si="4"/>
        <v>2025</v>
      </c>
      <c r="P17">
        <f t="shared" si="4"/>
        <v>2025</v>
      </c>
      <c r="Q17">
        <f t="shared" si="4"/>
        <v>2025</v>
      </c>
      <c r="R17">
        <f t="shared" si="4"/>
        <v>2025</v>
      </c>
      <c r="S17">
        <f t="shared" si="4"/>
        <v>2025</v>
      </c>
      <c r="T17">
        <f t="shared" si="4"/>
        <v>2026</v>
      </c>
      <c r="U17">
        <f t="shared" si="4"/>
        <v>2026</v>
      </c>
      <c r="V17">
        <f t="shared" si="4"/>
        <v>2026</v>
      </c>
      <c r="W17">
        <f t="shared" si="4"/>
        <v>2026</v>
      </c>
      <c r="X17">
        <f t="shared" si="4"/>
        <v>2026</v>
      </c>
      <c r="Y17">
        <f t="shared" si="4"/>
        <v>2026</v>
      </c>
      <c r="Z17">
        <f t="shared" si="4"/>
        <v>2026</v>
      </c>
      <c r="AA17">
        <f t="shared" si="4"/>
        <v>2026</v>
      </c>
      <c r="AB17">
        <f t="shared" si="4"/>
        <v>2026</v>
      </c>
      <c r="AC17">
        <f t="shared" si="4"/>
        <v>2026</v>
      </c>
      <c r="AD17">
        <f t="shared" si="4"/>
        <v>2026</v>
      </c>
      <c r="AE17">
        <f t="shared" si="4"/>
        <v>2026</v>
      </c>
      <c r="AF17">
        <f t="shared" si="4"/>
        <v>2027</v>
      </c>
      <c r="AG17">
        <f t="shared" si="4"/>
        <v>2027</v>
      </c>
      <c r="AH17">
        <f t="shared" si="4"/>
        <v>2027</v>
      </c>
      <c r="AI17">
        <f t="shared" si="4"/>
        <v>2027</v>
      </c>
      <c r="AJ17">
        <f t="shared" si="4"/>
        <v>2027</v>
      </c>
      <c r="AK17">
        <f t="shared" si="4"/>
        <v>2027</v>
      </c>
      <c r="AL17">
        <f t="shared" si="4"/>
        <v>2027</v>
      </c>
      <c r="AM17">
        <f t="shared" si="4"/>
        <v>2027</v>
      </c>
      <c r="AN17">
        <f t="shared" si="4"/>
        <v>2027</v>
      </c>
      <c r="AO17">
        <f t="shared" si="4"/>
        <v>2027</v>
      </c>
      <c r="AP17">
        <f t="shared" si="4"/>
        <v>2027</v>
      </c>
      <c r="AQ17">
        <f t="shared" si="4"/>
        <v>2027</v>
      </c>
      <c r="AR17">
        <f t="shared" si="4"/>
        <v>2028</v>
      </c>
      <c r="AS17">
        <f t="shared" si="4"/>
        <v>2028</v>
      </c>
      <c r="AT17">
        <f t="shared" si="4"/>
        <v>2028</v>
      </c>
      <c r="AU17">
        <f t="shared" si="4"/>
        <v>2028</v>
      </c>
      <c r="AV17">
        <f t="shared" si="4"/>
        <v>2028</v>
      </c>
      <c r="AW17">
        <f t="shared" si="4"/>
        <v>2028</v>
      </c>
      <c r="AX17">
        <f t="shared" si="4"/>
        <v>2028</v>
      </c>
      <c r="AY17">
        <f t="shared" si="4"/>
        <v>2028</v>
      </c>
      <c r="AZ17">
        <f t="shared" si="4"/>
        <v>2028</v>
      </c>
      <c r="BA17">
        <f t="shared" si="4"/>
        <v>2028</v>
      </c>
      <c r="BB17">
        <f t="shared" si="4"/>
        <v>2028</v>
      </c>
      <c r="BC17">
        <f t="shared" si="4"/>
        <v>2028</v>
      </c>
      <c r="BD17">
        <f t="shared" si="4"/>
        <v>2029</v>
      </c>
      <c r="BE17">
        <f t="shared" si="4"/>
        <v>2029</v>
      </c>
      <c r="BF17">
        <f t="shared" si="4"/>
        <v>2029</v>
      </c>
      <c r="BG17">
        <f t="shared" si="4"/>
        <v>2029</v>
      </c>
      <c r="BH17">
        <f t="shared" si="4"/>
        <v>2029</v>
      </c>
      <c r="BI17">
        <f t="shared" si="4"/>
        <v>2029</v>
      </c>
      <c r="BJ17">
        <f t="shared" si="4"/>
        <v>2029</v>
      </c>
      <c r="BK17">
        <f t="shared" si="4"/>
        <v>2029</v>
      </c>
      <c r="BL17">
        <f t="shared" si="4"/>
        <v>2029</v>
      </c>
      <c r="BM17">
        <f t="shared" si="4"/>
        <v>2029</v>
      </c>
      <c r="BN17">
        <f t="shared" si="4"/>
        <v>2029</v>
      </c>
      <c r="BO17">
        <f t="shared" si="4"/>
        <v>2029</v>
      </c>
      <c r="BP17">
        <f t="shared" ref="BP17:EA17" si="5">+YEAR(BP18)</f>
        <v>2030</v>
      </c>
      <c r="BQ17">
        <f t="shared" si="5"/>
        <v>2030</v>
      </c>
      <c r="BR17">
        <f t="shared" si="5"/>
        <v>2030</v>
      </c>
      <c r="BS17">
        <f t="shared" si="5"/>
        <v>2030</v>
      </c>
      <c r="BT17">
        <f t="shared" si="5"/>
        <v>2030</v>
      </c>
      <c r="BU17">
        <f t="shared" si="5"/>
        <v>2030</v>
      </c>
      <c r="BV17">
        <f t="shared" si="5"/>
        <v>2030</v>
      </c>
      <c r="BW17">
        <f t="shared" si="5"/>
        <v>2030</v>
      </c>
      <c r="BX17">
        <f t="shared" si="5"/>
        <v>2030</v>
      </c>
      <c r="BY17">
        <f t="shared" si="5"/>
        <v>2030</v>
      </c>
      <c r="BZ17">
        <f t="shared" si="5"/>
        <v>2030</v>
      </c>
      <c r="CA17">
        <f t="shared" si="5"/>
        <v>2030</v>
      </c>
      <c r="CB17">
        <f t="shared" si="5"/>
        <v>2031</v>
      </c>
      <c r="CC17">
        <f t="shared" si="5"/>
        <v>2031</v>
      </c>
      <c r="CD17">
        <f t="shared" si="5"/>
        <v>2031</v>
      </c>
      <c r="CE17">
        <f t="shared" si="5"/>
        <v>2031</v>
      </c>
      <c r="CF17">
        <f t="shared" si="5"/>
        <v>2031</v>
      </c>
      <c r="CG17">
        <f t="shared" si="5"/>
        <v>2031</v>
      </c>
      <c r="CH17">
        <f t="shared" si="5"/>
        <v>2031</v>
      </c>
      <c r="CI17">
        <f t="shared" si="5"/>
        <v>2031</v>
      </c>
      <c r="CJ17">
        <f t="shared" si="5"/>
        <v>2031</v>
      </c>
      <c r="CK17">
        <f t="shared" si="5"/>
        <v>2031</v>
      </c>
      <c r="CL17">
        <f t="shared" si="5"/>
        <v>2031</v>
      </c>
      <c r="CM17">
        <f t="shared" si="5"/>
        <v>2031</v>
      </c>
      <c r="CN17">
        <f t="shared" si="5"/>
        <v>2032</v>
      </c>
      <c r="CO17">
        <f t="shared" si="5"/>
        <v>2032</v>
      </c>
      <c r="CP17">
        <f t="shared" si="5"/>
        <v>2032</v>
      </c>
      <c r="CQ17">
        <f t="shared" si="5"/>
        <v>2032</v>
      </c>
      <c r="CR17">
        <f t="shared" si="5"/>
        <v>2032</v>
      </c>
      <c r="CS17">
        <f t="shared" si="5"/>
        <v>2032</v>
      </c>
      <c r="CT17">
        <f t="shared" si="5"/>
        <v>2032</v>
      </c>
      <c r="CU17">
        <f t="shared" si="5"/>
        <v>2032</v>
      </c>
      <c r="CV17">
        <f t="shared" si="5"/>
        <v>2032</v>
      </c>
      <c r="CW17">
        <f t="shared" si="5"/>
        <v>2032</v>
      </c>
      <c r="CX17">
        <f t="shared" si="5"/>
        <v>2032</v>
      </c>
      <c r="CY17">
        <f t="shared" si="5"/>
        <v>2032</v>
      </c>
      <c r="CZ17">
        <f t="shared" si="5"/>
        <v>2033</v>
      </c>
      <c r="DA17">
        <f t="shared" si="5"/>
        <v>2033</v>
      </c>
      <c r="DB17">
        <f t="shared" si="5"/>
        <v>2033</v>
      </c>
      <c r="DC17">
        <f t="shared" si="5"/>
        <v>2033</v>
      </c>
      <c r="DD17">
        <f t="shared" si="5"/>
        <v>2033</v>
      </c>
      <c r="DE17">
        <f t="shared" si="5"/>
        <v>2033</v>
      </c>
      <c r="DF17">
        <f t="shared" si="5"/>
        <v>2033</v>
      </c>
      <c r="DG17">
        <f t="shared" si="5"/>
        <v>2033</v>
      </c>
      <c r="DH17">
        <f t="shared" si="5"/>
        <v>2033</v>
      </c>
      <c r="DI17">
        <f t="shared" si="5"/>
        <v>2033</v>
      </c>
      <c r="DJ17">
        <f t="shared" si="5"/>
        <v>2033</v>
      </c>
      <c r="DK17">
        <f t="shared" si="5"/>
        <v>2033</v>
      </c>
      <c r="DL17">
        <f t="shared" si="5"/>
        <v>2034</v>
      </c>
      <c r="DM17">
        <f t="shared" si="5"/>
        <v>2034</v>
      </c>
      <c r="DN17">
        <f t="shared" si="5"/>
        <v>2034</v>
      </c>
      <c r="DO17">
        <f t="shared" si="5"/>
        <v>2034</v>
      </c>
      <c r="DP17">
        <f t="shared" si="5"/>
        <v>2034</v>
      </c>
      <c r="DQ17">
        <f t="shared" si="5"/>
        <v>2034</v>
      </c>
      <c r="DR17">
        <f t="shared" si="5"/>
        <v>2034</v>
      </c>
      <c r="DS17">
        <f t="shared" si="5"/>
        <v>2034</v>
      </c>
      <c r="DT17">
        <f t="shared" si="5"/>
        <v>2034</v>
      </c>
      <c r="DU17">
        <f t="shared" si="5"/>
        <v>2034</v>
      </c>
      <c r="DV17">
        <f t="shared" si="5"/>
        <v>2034</v>
      </c>
      <c r="DW17">
        <f t="shared" si="5"/>
        <v>2034</v>
      </c>
      <c r="DX17">
        <f t="shared" si="5"/>
        <v>2035</v>
      </c>
      <c r="DY17">
        <f t="shared" si="5"/>
        <v>2035</v>
      </c>
      <c r="DZ17">
        <f t="shared" si="5"/>
        <v>2035</v>
      </c>
      <c r="EA17">
        <f t="shared" si="5"/>
        <v>2035</v>
      </c>
      <c r="EB17">
        <f t="shared" ref="EB17:GM17" si="6">+YEAR(EB18)</f>
        <v>2035</v>
      </c>
      <c r="EC17">
        <f t="shared" si="6"/>
        <v>2035</v>
      </c>
      <c r="ED17">
        <f t="shared" si="6"/>
        <v>2035</v>
      </c>
      <c r="EE17">
        <f t="shared" si="6"/>
        <v>2035</v>
      </c>
      <c r="EF17">
        <f t="shared" si="6"/>
        <v>2035</v>
      </c>
      <c r="EG17">
        <f t="shared" si="6"/>
        <v>2035</v>
      </c>
      <c r="EH17">
        <f t="shared" si="6"/>
        <v>2035</v>
      </c>
      <c r="EI17">
        <f t="shared" si="6"/>
        <v>2035</v>
      </c>
      <c r="EJ17">
        <f t="shared" si="6"/>
        <v>2036</v>
      </c>
      <c r="EK17">
        <f t="shared" si="6"/>
        <v>2036</v>
      </c>
      <c r="EL17">
        <f t="shared" si="6"/>
        <v>2036</v>
      </c>
      <c r="EM17">
        <f t="shared" si="6"/>
        <v>2036</v>
      </c>
      <c r="EN17">
        <f t="shared" si="6"/>
        <v>2036</v>
      </c>
      <c r="EO17">
        <f t="shared" si="6"/>
        <v>2036</v>
      </c>
      <c r="EP17">
        <f t="shared" si="6"/>
        <v>2036</v>
      </c>
      <c r="EQ17">
        <f t="shared" si="6"/>
        <v>2036</v>
      </c>
      <c r="ER17">
        <f t="shared" si="6"/>
        <v>2036</v>
      </c>
      <c r="ES17">
        <f t="shared" si="6"/>
        <v>2036</v>
      </c>
      <c r="ET17">
        <f t="shared" si="6"/>
        <v>2036</v>
      </c>
      <c r="EU17">
        <f t="shared" si="6"/>
        <v>2036</v>
      </c>
      <c r="EV17">
        <f t="shared" si="6"/>
        <v>2037</v>
      </c>
      <c r="EW17">
        <f t="shared" si="6"/>
        <v>2037</v>
      </c>
      <c r="EX17">
        <f t="shared" si="6"/>
        <v>2037</v>
      </c>
      <c r="EY17">
        <f t="shared" si="6"/>
        <v>2037</v>
      </c>
      <c r="EZ17">
        <f t="shared" si="6"/>
        <v>2037</v>
      </c>
      <c r="FA17">
        <f t="shared" si="6"/>
        <v>2037</v>
      </c>
      <c r="FB17">
        <f t="shared" si="6"/>
        <v>2037</v>
      </c>
      <c r="FC17">
        <f t="shared" si="6"/>
        <v>2037</v>
      </c>
      <c r="FD17">
        <f t="shared" si="6"/>
        <v>2037</v>
      </c>
      <c r="FE17">
        <f t="shared" si="6"/>
        <v>2037</v>
      </c>
      <c r="FF17">
        <f t="shared" si="6"/>
        <v>2037</v>
      </c>
      <c r="FG17">
        <f t="shared" si="6"/>
        <v>2037</v>
      </c>
      <c r="FH17">
        <f t="shared" si="6"/>
        <v>2038</v>
      </c>
      <c r="FI17">
        <f t="shared" si="6"/>
        <v>2038</v>
      </c>
      <c r="FJ17">
        <f t="shared" si="6"/>
        <v>2038</v>
      </c>
      <c r="FK17">
        <f t="shared" si="6"/>
        <v>2038</v>
      </c>
      <c r="FL17">
        <f t="shared" si="6"/>
        <v>2038</v>
      </c>
      <c r="FM17">
        <f t="shared" si="6"/>
        <v>2038</v>
      </c>
      <c r="FN17">
        <f t="shared" si="6"/>
        <v>2038</v>
      </c>
      <c r="FO17">
        <f t="shared" si="6"/>
        <v>2038</v>
      </c>
      <c r="FP17">
        <f t="shared" si="6"/>
        <v>2038</v>
      </c>
      <c r="FQ17">
        <f t="shared" si="6"/>
        <v>2038</v>
      </c>
      <c r="FR17">
        <f t="shared" si="6"/>
        <v>2038</v>
      </c>
      <c r="FS17">
        <f t="shared" si="6"/>
        <v>2038</v>
      </c>
      <c r="FT17">
        <f t="shared" si="6"/>
        <v>2039</v>
      </c>
      <c r="FU17">
        <f t="shared" si="6"/>
        <v>2039</v>
      </c>
      <c r="FV17">
        <f t="shared" si="6"/>
        <v>2039</v>
      </c>
      <c r="FW17">
        <f t="shared" si="6"/>
        <v>2039</v>
      </c>
      <c r="FX17">
        <f t="shared" si="6"/>
        <v>2039</v>
      </c>
      <c r="FY17">
        <f t="shared" si="6"/>
        <v>2039</v>
      </c>
      <c r="FZ17">
        <f t="shared" si="6"/>
        <v>2039</v>
      </c>
      <c r="GA17">
        <f t="shared" si="6"/>
        <v>2039</v>
      </c>
      <c r="GB17">
        <f t="shared" si="6"/>
        <v>2039</v>
      </c>
      <c r="GC17">
        <f t="shared" si="6"/>
        <v>2039</v>
      </c>
      <c r="GD17">
        <f t="shared" si="6"/>
        <v>2039</v>
      </c>
      <c r="GE17">
        <f t="shared" si="6"/>
        <v>2039</v>
      </c>
      <c r="GF17">
        <f t="shared" si="6"/>
        <v>2040</v>
      </c>
      <c r="GG17">
        <f t="shared" si="6"/>
        <v>2040</v>
      </c>
      <c r="GH17">
        <f t="shared" si="6"/>
        <v>2040</v>
      </c>
      <c r="GI17">
        <f t="shared" si="6"/>
        <v>2040</v>
      </c>
      <c r="GJ17">
        <f t="shared" si="6"/>
        <v>2040</v>
      </c>
      <c r="GK17">
        <f t="shared" si="6"/>
        <v>2040</v>
      </c>
      <c r="GL17">
        <f t="shared" si="6"/>
        <v>2040</v>
      </c>
      <c r="GM17">
        <f t="shared" si="6"/>
        <v>2040</v>
      </c>
      <c r="GN17">
        <f t="shared" ref="GN17:IM17" si="7">+YEAR(GN18)</f>
        <v>2040</v>
      </c>
      <c r="GO17">
        <f t="shared" si="7"/>
        <v>2040</v>
      </c>
      <c r="GP17">
        <f t="shared" si="7"/>
        <v>2040</v>
      </c>
      <c r="GQ17">
        <f t="shared" si="7"/>
        <v>2040</v>
      </c>
      <c r="GR17">
        <f t="shared" si="7"/>
        <v>2041</v>
      </c>
      <c r="GS17">
        <f t="shared" si="7"/>
        <v>2041</v>
      </c>
      <c r="GT17">
        <f t="shared" si="7"/>
        <v>2041</v>
      </c>
      <c r="GU17">
        <f t="shared" si="7"/>
        <v>2041</v>
      </c>
      <c r="GV17">
        <f t="shared" si="7"/>
        <v>2041</v>
      </c>
      <c r="GW17">
        <f t="shared" si="7"/>
        <v>2041</v>
      </c>
      <c r="GX17">
        <f t="shared" si="7"/>
        <v>2041</v>
      </c>
      <c r="GY17">
        <f t="shared" si="7"/>
        <v>2041</v>
      </c>
      <c r="GZ17">
        <f t="shared" si="7"/>
        <v>2041</v>
      </c>
      <c r="HA17">
        <f t="shared" si="7"/>
        <v>2041</v>
      </c>
      <c r="HB17">
        <f t="shared" si="7"/>
        <v>2041</v>
      </c>
      <c r="HC17">
        <f t="shared" si="7"/>
        <v>2041</v>
      </c>
      <c r="HD17">
        <f t="shared" si="7"/>
        <v>2042</v>
      </c>
      <c r="HE17">
        <f t="shared" si="7"/>
        <v>2042</v>
      </c>
      <c r="HF17">
        <f t="shared" si="7"/>
        <v>2042</v>
      </c>
      <c r="HG17">
        <f t="shared" si="7"/>
        <v>2042</v>
      </c>
      <c r="HH17">
        <f t="shared" si="7"/>
        <v>2042</v>
      </c>
      <c r="HI17">
        <f t="shared" si="7"/>
        <v>2042</v>
      </c>
      <c r="HJ17">
        <f t="shared" si="7"/>
        <v>2042</v>
      </c>
      <c r="HK17">
        <f t="shared" si="7"/>
        <v>2042</v>
      </c>
      <c r="HL17">
        <f t="shared" si="7"/>
        <v>2042</v>
      </c>
      <c r="HM17">
        <f t="shared" si="7"/>
        <v>2042</v>
      </c>
      <c r="HN17">
        <f t="shared" si="7"/>
        <v>2042</v>
      </c>
      <c r="HO17">
        <f t="shared" si="7"/>
        <v>2042</v>
      </c>
      <c r="HP17">
        <f t="shared" si="7"/>
        <v>2043</v>
      </c>
      <c r="HQ17">
        <f t="shared" si="7"/>
        <v>2043</v>
      </c>
      <c r="HR17">
        <f t="shared" si="7"/>
        <v>2043</v>
      </c>
      <c r="HS17">
        <f t="shared" si="7"/>
        <v>2043</v>
      </c>
      <c r="HT17">
        <f t="shared" si="7"/>
        <v>2043</v>
      </c>
      <c r="HU17">
        <f t="shared" si="7"/>
        <v>2043</v>
      </c>
      <c r="HV17">
        <f t="shared" si="7"/>
        <v>2043</v>
      </c>
      <c r="HW17">
        <f t="shared" si="7"/>
        <v>2043</v>
      </c>
      <c r="HX17">
        <f t="shared" si="7"/>
        <v>2043</v>
      </c>
      <c r="HY17">
        <f t="shared" si="7"/>
        <v>2043</v>
      </c>
      <c r="HZ17">
        <f t="shared" si="7"/>
        <v>2043</v>
      </c>
      <c r="IA17">
        <f t="shared" si="7"/>
        <v>2043</v>
      </c>
      <c r="IB17">
        <f t="shared" si="7"/>
        <v>2044</v>
      </c>
      <c r="IC17">
        <f t="shared" si="7"/>
        <v>2044</v>
      </c>
      <c r="ID17">
        <f t="shared" si="7"/>
        <v>2044</v>
      </c>
      <c r="IE17">
        <f t="shared" si="7"/>
        <v>2044</v>
      </c>
      <c r="IF17">
        <f t="shared" si="7"/>
        <v>2044</v>
      </c>
      <c r="IG17">
        <f t="shared" si="7"/>
        <v>2044</v>
      </c>
      <c r="IH17">
        <f t="shared" si="7"/>
        <v>2044</v>
      </c>
      <c r="II17">
        <f t="shared" si="7"/>
        <v>2044</v>
      </c>
      <c r="IJ17">
        <f t="shared" si="7"/>
        <v>2044</v>
      </c>
      <c r="IK17">
        <f t="shared" si="7"/>
        <v>2044</v>
      </c>
      <c r="IL17">
        <f t="shared" si="7"/>
        <v>2044</v>
      </c>
      <c r="IM17">
        <f t="shared" si="7"/>
        <v>2044</v>
      </c>
    </row>
    <row r="18" spans="1:248" x14ac:dyDescent="0.3">
      <c r="B18" s="14">
        <v>45474</v>
      </c>
      <c r="C18" s="14">
        <v>45505</v>
      </c>
      <c r="D18" s="14">
        <v>45536</v>
      </c>
      <c r="E18" s="14">
        <v>45566</v>
      </c>
      <c r="F18" s="14">
        <v>45597</v>
      </c>
      <c r="G18" s="14">
        <v>45627</v>
      </c>
      <c r="H18" s="14">
        <v>45658</v>
      </c>
      <c r="I18" s="14">
        <v>45689</v>
      </c>
      <c r="J18" s="14">
        <v>45717</v>
      </c>
      <c r="K18" s="14">
        <v>45748</v>
      </c>
      <c r="L18" s="14">
        <v>45778</v>
      </c>
      <c r="M18" s="14">
        <v>45809</v>
      </c>
      <c r="N18" s="14">
        <v>45839</v>
      </c>
      <c r="O18" s="14">
        <v>45870</v>
      </c>
      <c r="P18" s="14">
        <v>45901</v>
      </c>
      <c r="Q18" s="14">
        <v>45931</v>
      </c>
      <c r="R18" s="14">
        <v>45962</v>
      </c>
      <c r="S18" s="14">
        <v>45992</v>
      </c>
      <c r="T18" s="14">
        <v>46023</v>
      </c>
      <c r="U18" s="14">
        <v>46054</v>
      </c>
      <c r="V18" s="14">
        <v>46082</v>
      </c>
      <c r="W18" s="14">
        <v>46113</v>
      </c>
      <c r="X18" s="14">
        <v>46143</v>
      </c>
      <c r="Y18" s="14">
        <v>46174</v>
      </c>
      <c r="Z18" s="14">
        <v>46204</v>
      </c>
      <c r="AA18" s="14">
        <v>46235</v>
      </c>
      <c r="AB18" s="14">
        <v>46266</v>
      </c>
      <c r="AC18" s="14">
        <v>46296</v>
      </c>
      <c r="AD18" s="14">
        <v>46327</v>
      </c>
      <c r="AE18" s="14">
        <v>46357</v>
      </c>
      <c r="AF18" s="14">
        <v>46388</v>
      </c>
      <c r="AG18" s="14">
        <v>46419</v>
      </c>
      <c r="AH18" s="14">
        <v>46447</v>
      </c>
      <c r="AI18" s="14">
        <v>46478</v>
      </c>
      <c r="AJ18" s="14">
        <v>46508</v>
      </c>
      <c r="AK18" s="14">
        <v>46539</v>
      </c>
      <c r="AL18" s="14">
        <v>46569</v>
      </c>
      <c r="AM18" s="14">
        <v>46600</v>
      </c>
      <c r="AN18" s="14">
        <v>46631</v>
      </c>
      <c r="AO18" s="14">
        <v>46661</v>
      </c>
      <c r="AP18" s="14">
        <v>46692</v>
      </c>
      <c r="AQ18" s="14">
        <v>46722</v>
      </c>
      <c r="AR18" s="14">
        <v>46753</v>
      </c>
      <c r="AS18" s="14">
        <v>46784</v>
      </c>
      <c r="AT18" s="14">
        <v>46813</v>
      </c>
      <c r="AU18" s="14">
        <v>46844</v>
      </c>
      <c r="AV18" s="14">
        <v>46874</v>
      </c>
      <c r="AW18" s="14">
        <v>46905</v>
      </c>
      <c r="AX18" s="14">
        <v>46935</v>
      </c>
      <c r="AY18" s="14">
        <v>46966</v>
      </c>
      <c r="AZ18" s="14">
        <v>46997</v>
      </c>
      <c r="BA18" s="14">
        <v>47027</v>
      </c>
      <c r="BB18" s="14">
        <v>47058</v>
      </c>
      <c r="BC18" s="14">
        <v>47088</v>
      </c>
      <c r="BD18" s="14">
        <v>47119</v>
      </c>
      <c r="BE18" s="14">
        <v>47150</v>
      </c>
      <c r="BF18" s="14">
        <v>47178</v>
      </c>
      <c r="BG18" s="14">
        <v>47209</v>
      </c>
      <c r="BH18" s="14">
        <v>47239</v>
      </c>
      <c r="BI18" s="14">
        <v>47270</v>
      </c>
      <c r="BJ18" s="14">
        <v>47300</v>
      </c>
      <c r="BK18" s="14">
        <v>47331</v>
      </c>
      <c r="BL18" s="14">
        <v>47362</v>
      </c>
      <c r="BM18" s="14">
        <v>47392</v>
      </c>
      <c r="BN18" s="14">
        <v>47423</v>
      </c>
      <c r="BO18" s="14">
        <v>47453</v>
      </c>
      <c r="BP18" s="14">
        <v>47484</v>
      </c>
      <c r="BQ18" s="14">
        <v>47515</v>
      </c>
      <c r="BR18" s="14">
        <v>47543</v>
      </c>
      <c r="BS18" s="14">
        <v>47574</v>
      </c>
      <c r="BT18" s="14">
        <v>47604</v>
      </c>
      <c r="BU18" s="14">
        <v>47635</v>
      </c>
      <c r="BV18" s="14">
        <v>47665</v>
      </c>
      <c r="BW18" s="14">
        <v>47696</v>
      </c>
      <c r="BX18" s="14">
        <v>47727</v>
      </c>
      <c r="BY18" s="14">
        <v>47757</v>
      </c>
      <c r="BZ18" s="14">
        <v>47788</v>
      </c>
      <c r="CA18" s="14">
        <v>47818</v>
      </c>
      <c r="CB18" s="14">
        <v>47849</v>
      </c>
      <c r="CC18" s="14">
        <v>47880</v>
      </c>
      <c r="CD18" s="14">
        <v>47908</v>
      </c>
      <c r="CE18" s="14">
        <v>47939</v>
      </c>
      <c r="CF18" s="14">
        <v>47969</v>
      </c>
      <c r="CG18" s="14">
        <v>48000</v>
      </c>
      <c r="CH18" s="14">
        <v>48030</v>
      </c>
      <c r="CI18" s="14">
        <v>48061</v>
      </c>
      <c r="CJ18" s="14">
        <v>48092</v>
      </c>
      <c r="CK18" s="14">
        <v>48122</v>
      </c>
      <c r="CL18" s="14">
        <v>48153</v>
      </c>
      <c r="CM18" s="14">
        <v>48183</v>
      </c>
      <c r="CN18" s="14">
        <v>48214</v>
      </c>
      <c r="CO18" s="14">
        <v>48245</v>
      </c>
      <c r="CP18" s="14">
        <v>48274</v>
      </c>
      <c r="CQ18" s="14">
        <v>48305</v>
      </c>
      <c r="CR18" s="14">
        <v>48335</v>
      </c>
      <c r="CS18" s="14">
        <v>48366</v>
      </c>
      <c r="CT18" s="14">
        <v>48396</v>
      </c>
      <c r="CU18" s="14">
        <v>48427</v>
      </c>
      <c r="CV18" s="14">
        <v>48458</v>
      </c>
      <c r="CW18" s="14">
        <v>48488</v>
      </c>
      <c r="CX18" s="14">
        <v>48519</v>
      </c>
      <c r="CY18" s="14">
        <v>48549</v>
      </c>
      <c r="CZ18" s="14">
        <v>48580</v>
      </c>
      <c r="DA18" s="14">
        <v>48611</v>
      </c>
      <c r="DB18" s="14">
        <v>48639</v>
      </c>
      <c r="DC18" s="14">
        <v>48670</v>
      </c>
      <c r="DD18" s="14">
        <v>48700</v>
      </c>
      <c r="DE18" s="14">
        <v>48731</v>
      </c>
      <c r="DF18" s="14">
        <v>48761</v>
      </c>
      <c r="DG18" s="14">
        <v>48792</v>
      </c>
      <c r="DH18" s="14">
        <v>48823</v>
      </c>
      <c r="DI18" s="14">
        <v>48853</v>
      </c>
      <c r="DJ18" s="14">
        <v>48884</v>
      </c>
      <c r="DK18" s="14">
        <v>48914</v>
      </c>
      <c r="DL18" s="14">
        <v>48945</v>
      </c>
      <c r="DM18" s="14">
        <v>48976</v>
      </c>
      <c r="DN18" s="14">
        <v>49004</v>
      </c>
      <c r="DO18" s="14">
        <v>49035</v>
      </c>
      <c r="DP18" s="14">
        <v>49065</v>
      </c>
      <c r="DQ18" s="14">
        <v>49096</v>
      </c>
      <c r="DR18" s="14">
        <v>49126</v>
      </c>
      <c r="DS18" s="14">
        <v>49157</v>
      </c>
      <c r="DT18" s="14">
        <v>49188</v>
      </c>
      <c r="DU18" s="14">
        <v>49218</v>
      </c>
      <c r="DV18" s="14">
        <v>49249</v>
      </c>
      <c r="DW18" s="14">
        <v>49279</v>
      </c>
      <c r="DX18" s="14">
        <v>49310</v>
      </c>
      <c r="DY18" s="14">
        <v>49341</v>
      </c>
      <c r="DZ18" s="14">
        <v>49369</v>
      </c>
      <c r="EA18" s="14">
        <v>49400</v>
      </c>
      <c r="EB18" s="14">
        <v>49430</v>
      </c>
      <c r="EC18" s="14">
        <v>49461</v>
      </c>
      <c r="ED18" s="14">
        <v>49491</v>
      </c>
      <c r="EE18" s="14">
        <v>49522</v>
      </c>
      <c r="EF18" s="14">
        <v>49553</v>
      </c>
      <c r="EG18" s="14">
        <v>49583</v>
      </c>
      <c r="EH18" s="14">
        <v>49614</v>
      </c>
      <c r="EI18" s="14">
        <v>49644</v>
      </c>
      <c r="EJ18" s="14">
        <v>49675</v>
      </c>
      <c r="EK18" s="14">
        <v>49706</v>
      </c>
      <c r="EL18" s="14">
        <v>49735</v>
      </c>
      <c r="EM18" s="14">
        <v>49766</v>
      </c>
      <c r="EN18" s="14">
        <v>49796</v>
      </c>
      <c r="EO18" s="14">
        <v>49827</v>
      </c>
      <c r="EP18" s="14">
        <v>49857</v>
      </c>
      <c r="EQ18" s="14">
        <v>49888</v>
      </c>
      <c r="ER18" s="14">
        <v>49919</v>
      </c>
      <c r="ES18" s="14">
        <v>49949</v>
      </c>
      <c r="ET18" s="14">
        <v>49980</v>
      </c>
      <c r="EU18" s="14">
        <v>50010</v>
      </c>
      <c r="EV18" s="14">
        <v>50041</v>
      </c>
      <c r="EW18" s="14">
        <v>50072</v>
      </c>
      <c r="EX18" s="14">
        <v>50100</v>
      </c>
      <c r="EY18" s="14">
        <v>50131</v>
      </c>
      <c r="EZ18" s="14">
        <v>50161</v>
      </c>
      <c r="FA18" s="14">
        <v>50192</v>
      </c>
      <c r="FB18" s="14">
        <v>50222</v>
      </c>
      <c r="FC18" s="14">
        <v>50253</v>
      </c>
      <c r="FD18" s="14">
        <v>50284</v>
      </c>
      <c r="FE18" s="14">
        <v>50314</v>
      </c>
      <c r="FF18" s="14">
        <v>50345</v>
      </c>
      <c r="FG18" s="14">
        <v>50375</v>
      </c>
      <c r="FH18" s="14">
        <v>50406</v>
      </c>
      <c r="FI18" s="14">
        <v>50437</v>
      </c>
      <c r="FJ18" s="14">
        <v>50465</v>
      </c>
      <c r="FK18" s="14">
        <v>50496</v>
      </c>
      <c r="FL18" s="14">
        <v>50526</v>
      </c>
      <c r="FM18" s="14">
        <v>50557</v>
      </c>
      <c r="FN18" s="14">
        <v>50587</v>
      </c>
      <c r="FO18" s="14">
        <v>50618</v>
      </c>
      <c r="FP18" s="14">
        <v>50649</v>
      </c>
      <c r="FQ18" s="14">
        <v>50679</v>
      </c>
      <c r="FR18" s="14">
        <v>50710</v>
      </c>
      <c r="FS18" s="14">
        <v>50740</v>
      </c>
      <c r="FT18" s="14">
        <v>50771</v>
      </c>
      <c r="FU18" s="14">
        <v>50802</v>
      </c>
      <c r="FV18" s="14">
        <v>50830</v>
      </c>
      <c r="FW18" s="14">
        <v>50861</v>
      </c>
      <c r="FX18" s="14">
        <v>50891</v>
      </c>
      <c r="FY18" s="14">
        <v>50922</v>
      </c>
      <c r="FZ18" s="14">
        <v>50952</v>
      </c>
      <c r="GA18" s="14">
        <v>50983</v>
      </c>
      <c r="GB18" s="14">
        <v>51014</v>
      </c>
      <c r="GC18" s="14">
        <v>51044</v>
      </c>
      <c r="GD18" s="14">
        <v>51075</v>
      </c>
      <c r="GE18" s="14">
        <v>51105</v>
      </c>
      <c r="GF18" s="14">
        <v>51136</v>
      </c>
      <c r="GG18" s="14">
        <v>51167</v>
      </c>
      <c r="GH18" s="14">
        <v>51196</v>
      </c>
      <c r="GI18" s="14">
        <v>51227</v>
      </c>
      <c r="GJ18" s="14">
        <v>51257</v>
      </c>
      <c r="GK18" s="14">
        <v>51288</v>
      </c>
      <c r="GL18" s="14">
        <v>51318</v>
      </c>
      <c r="GM18" s="14">
        <v>51349</v>
      </c>
      <c r="GN18" s="14">
        <v>51380</v>
      </c>
      <c r="GO18" s="14">
        <v>51410</v>
      </c>
      <c r="GP18" s="14">
        <v>51441</v>
      </c>
      <c r="GQ18" s="14">
        <v>51471</v>
      </c>
      <c r="GR18" s="14">
        <v>51502</v>
      </c>
      <c r="GS18" s="14">
        <v>51533</v>
      </c>
      <c r="GT18" s="14">
        <v>51561</v>
      </c>
      <c r="GU18" s="14">
        <v>51592</v>
      </c>
      <c r="GV18" s="14">
        <v>51622</v>
      </c>
      <c r="GW18" s="14">
        <v>51653</v>
      </c>
      <c r="GX18" s="14">
        <v>51683</v>
      </c>
      <c r="GY18" s="14">
        <v>51714</v>
      </c>
      <c r="GZ18" s="14">
        <v>51745</v>
      </c>
      <c r="HA18" s="14">
        <v>51775</v>
      </c>
      <c r="HB18" s="14">
        <v>51806</v>
      </c>
      <c r="HC18" s="14">
        <v>51836</v>
      </c>
      <c r="HD18" s="14">
        <v>51867</v>
      </c>
      <c r="HE18" s="14">
        <v>51898</v>
      </c>
      <c r="HF18" s="14">
        <v>51926</v>
      </c>
      <c r="HG18" s="14">
        <v>51957</v>
      </c>
      <c r="HH18" s="14">
        <v>51987</v>
      </c>
      <c r="HI18" s="14">
        <v>52018</v>
      </c>
      <c r="HJ18" s="14">
        <v>52048</v>
      </c>
      <c r="HK18" s="14">
        <v>52079</v>
      </c>
      <c r="HL18" s="14">
        <v>52110</v>
      </c>
      <c r="HM18" s="14">
        <v>52140</v>
      </c>
      <c r="HN18" s="14">
        <v>52171</v>
      </c>
      <c r="HO18" s="14">
        <v>52201</v>
      </c>
      <c r="HP18" s="14">
        <v>52232</v>
      </c>
      <c r="HQ18" s="14">
        <v>52263</v>
      </c>
      <c r="HR18" s="14">
        <v>52291</v>
      </c>
      <c r="HS18" s="14">
        <v>52322</v>
      </c>
      <c r="HT18" s="14">
        <v>52352</v>
      </c>
      <c r="HU18" s="14">
        <v>52383</v>
      </c>
      <c r="HV18" s="14">
        <v>52413</v>
      </c>
      <c r="HW18" s="14">
        <v>52444</v>
      </c>
      <c r="HX18" s="14">
        <v>52475</v>
      </c>
      <c r="HY18" s="14">
        <v>52505</v>
      </c>
      <c r="HZ18" s="14">
        <v>52536</v>
      </c>
      <c r="IA18" s="14">
        <v>52566</v>
      </c>
      <c r="IB18" s="14">
        <v>52597</v>
      </c>
      <c r="IC18" s="14">
        <v>52628</v>
      </c>
      <c r="ID18" s="14">
        <v>52657</v>
      </c>
      <c r="IE18" s="14">
        <v>52688</v>
      </c>
      <c r="IF18" s="14">
        <v>52718</v>
      </c>
      <c r="IG18" s="14">
        <v>52749</v>
      </c>
      <c r="IH18" s="14">
        <v>52779</v>
      </c>
      <c r="II18" s="14">
        <v>52810</v>
      </c>
      <c r="IJ18" s="14">
        <v>52841</v>
      </c>
      <c r="IK18" s="14">
        <v>52871</v>
      </c>
      <c r="IL18" s="14">
        <v>52902</v>
      </c>
      <c r="IM18" s="14">
        <v>52932</v>
      </c>
      <c r="IN18" s="14"/>
    </row>
    <row r="19" spans="1:248" x14ac:dyDescent="0.3">
      <c r="A19" s="6" t="s">
        <v>909</v>
      </c>
      <c r="C19" s="10">
        <f>+Producción!E9</f>
        <v>1361</v>
      </c>
      <c r="D19" s="10">
        <f>+Producción!F9</f>
        <v>1712</v>
      </c>
      <c r="E19" s="10">
        <f>+Producción!G9</f>
        <v>1565</v>
      </c>
      <c r="F19" s="10">
        <f>+Producción!H9</f>
        <v>2143</v>
      </c>
      <c r="G19" s="10">
        <f>+Producción!I9</f>
        <v>2131</v>
      </c>
      <c r="H19" s="10">
        <f>+Producción!J9</f>
        <v>2409</v>
      </c>
      <c r="I19" s="10">
        <f>+Producción!K9</f>
        <v>2063</v>
      </c>
      <c r="J19" s="10">
        <f>+Producción!L9</f>
        <v>1931</v>
      </c>
      <c r="K19" s="10">
        <f>+Producción!M9</f>
        <v>1439</v>
      </c>
      <c r="L19" s="10">
        <f>+Producción!N9</f>
        <v>1428</v>
      </c>
      <c r="M19" s="10">
        <f>+Producción!O9</f>
        <v>1562</v>
      </c>
      <c r="N19" s="10">
        <f>+Producción!P9</f>
        <v>1231</v>
      </c>
      <c r="O19" s="10">
        <f>+Producción!Q9</f>
        <v>1361</v>
      </c>
      <c r="P19" s="10">
        <f>+Producción!R9</f>
        <v>1712</v>
      </c>
      <c r="Q19" s="10">
        <f>+Producción!S9</f>
        <v>1565</v>
      </c>
      <c r="R19" s="10">
        <f>+Producción!T9</f>
        <v>2143</v>
      </c>
      <c r="S19" s="10">
        <f>+Producción!U9</f>
        <v>2131</v>
      </c>
      <c r="T19" s="10">
        <f>+Producción!V9</f>
        <v>2409</v>
      </c>
      <c r="U19" s="10">
        <f>+Producción!W9</f>
        <v>2063</v>
      </c>
      <c r="V19" s="10">
        <f>+Producción!X9</f>
        <v>1931</v>
      </c>
      <c r="W19" s="10">
        <f>+Producción!Y9</f>
        <v>1439</v>
      </c>
      <c r="X19" s="10">
        <f>+Producción!Z9</f>
        <v>1428</v>
      </c>
      <c r="Y19" s="10">
        <f>+Producción!AA9</f>
        <v>1562</v>
      </c>
      <c r="Z19" s="10">
        <f>+Producción!AB9</f>
        <v>1231</v>
      </c>
      <c r="AA19" s="10">
        <f>+Producción!AC9</f>
        <v>1361</v>
      </c>
      <c r="AB19" s="10">
        <f>+Producción!AD9</f>
        <v>1712</v>
      </c>
      <c r="AC19" s="10">
        <f>+Producción!AE9</f>
        <v>1565</v>
      </c>
      <c r="AD19" s="10">
        <f>+Producción!AF9</f>
        <v>2143</v>
      </c>
      <c r="AE19" s="10">
        <f>+Producción!AG9</f>
        <v>2131</v>
      </c>
      <c r="AF19" s="10">
        <f>+Producción!AH9</f>
        <v>2409</v>
      </c>
      <c r="AG19" s="10">
        <f>+Producción!AI9</f>
        <v>2063</v>
      </c>
      <c r="AH19" s="10">
        <f>+Producción!AJ9</f>
        <v>1931</v>
      </c>
      <c r="AI19" s="10">
        <f>+Producción!AK9</f>
        <v>1439</v>
      </c>
      <c r="AJ19" s="10">
        <f>+Producción!AL9</f>
        <v>1428</v>
      </c>
      <c r="AK19" s="10">
        <f>+Producción!AM9</f>
        <v>1562</v>
      </c>
      <c r="AL19" s="10">
        <f>+Producción!AN9</f>
        <v>1231</v>
      </c>
      <c r="AM19" s="10">
        <f>+Producción!AO9</f>
        <v>1361</v>
      </c>
      <c r="AN19" s="10">
        <f>+Producción!AP9</f>
        <v>1712</v>
      </c>
      <c r="AO19" s="10">
        <f>+Producción!AQ9</f>
        <v>1565</v>
      </c>
      <c r="AP19" s="10">
        <f>+Producción!AR9</f>
        <v>2143</v>
      </c>
      <c r="AQ19" s="10">
        <f>+Producción!AS9</f>
        <v>2131</v>
      </c>
      <c r="AR19" s="10">
        <f>+Producción!AT9</f>
        <v>2409</v>
      </c>
      <c r="AS19" s="10">
        <f>+Producción!AU9</f>
        <v>2063</v>
      </c>
      <c r="AT19" s="10">
        <f>+Producción!AV9</f>
        <v>1931</v>
      </c>
      <c r="AU19" s="10">
        <f>+Producción!AW9</f>
        <v>1439</v>
      </c>
      <c r="AV19" s="10">
        <f>+Producción!AX9</f>
        <v>1428</v>
      </c>
      <c r="AW19" s="10">
        <f>+Producción!AY9</f>
        <v>1562</v>
      </c>
      <c r="AX19" s="10">
        <f>+Producción!AZ9</f>
        <v>1231</v>
      </c>
      <c r="AY19" s="10">
        <f>+Producción!BA9</f>
        <v>1361</v>
      </c>
      <c r="AZ19" s="10">
        <f>+Producción!BB9</f>
        <v>1712</v>
      </c>
      <c r="BA19" s="10">
        <f>+Producción!BC9</f>
        <v>1565</v>
      </c>
      <c r="BB19" s="10">
        <f>+Producción!BD9</f>
        <v>2143</v>
      </c>
      <c r="BC19" s="10">
        <f>+Producción!BE9</f>
        <v>2131</v>
      </c>
      <c r="BD19" s="10">
        <f>+Producción!BF9</f>
        <v>2409</v>
      </c>
      <c r="BE19" s="10">
        <f>+Producción!BG9</f>
        <v>2063</v>
      </c>
      <c r="BF19" s="10">
        <f>+Producción!BH9</f>
        <v>1931</v>
      </c>
      <c r="BG19" s="10">
        <f>+Producción!BI9</f>
        <v>1439</v>
      </c>
      <c r="BH19" s="10">
        <f>+Producción!BJ9</f>
        <v>1428</v>
      </c>
      <c r="BI19" s="10">
        <f>+Producción!BK9</f>
        <v>1562</v>
      </c>
      <c r="BJ19" s="10">
        <f>+Producción!BL9</f>
        <v>1231</v>
      </c>
      <c r="BK19" s="10">
        <f>+Producción!BM9</f>
        <v>1361</v>
      </c>
      <c r="BL19" s="10">
        <f>+Producción!BN9</f>
        <v>1712</v>
      </c>
      <c r="BM19" s="10">
        <f>+Producción!BO9</f>
        <v>1565</v>
      </c>
      <c r="BN19" s="10">
        <f>+Producción!BP9</f>
        <v>2143</v>
      </c>
      <c r="BO19" s="10">
        <f>+Producción!BQ9</f>
        <v>2131</v>
      </c>
      <c r="BP19" s="10">
        <f>+Producción!BR9</f>
        <v>2409</v>
      </c>
      <c r="BQ19" s="10">
        <f>+Producción!BS9</f>
        <v>2063</v>
      </c>
      <c r="BR19" s="10">
        <f>+Producción!BT9</f>
        <v>1931</v>
      </c>
      <c r="BS19" s="10">
        <f>+Producción!BU9</f>
        <v>1439</v>
      </c>
      <c r="BT19" s="10">
        <f>+Producción!BV9</f>
        <v>1428</v>
      </c>
      <c r="BU19" s="10">
        <f>+Producción!BW9</f>
        <v>1562</v>
      </c>
      <c r="BV19" s="10">
        <f>+Producción!BX9</f>
        <v>1231</v>
      </c>
      <c r="BW19" s="10">
        <f>+Producción!BY9</f>
        <v>1361</v>
      </c>
      <c r="BX19" s="10">
        <f>+Producción!BZ9</f>
        <v>1712</v>
      </c>
      <c r="BY19" s="10">
        <f>+Producción!CA9</f>
        <v>1565</v>
      </c>
      <c r="BZ19" s="10">
        <f>+Producción!CB9</f>
        <v>2143</v>
      </c>
      <c r="CA19" s="10">
        <f>+Producción!CC9</f>
        <v>2131</v>
      </c>
      <c r="CB19" s="10">
        <f>+Producción!CD9</f>
        <v>2409</v>
      </c>
      <c r="CC19" s="10">
        <f>+Producción!CE9</f>
        <v>2063</v>
      </c>
      <c r="CD19" s="10">
        <f>+Producción!CF9</f>
        <v>1931</v>
      </c>
      <c r="CE19" s="10">
        <f>+Producción!CG9</f>
        <v>1439</v>
      </c>
      <c r="CF19" s="10">
        <f>+Producción!CH9</f>
        <v>1428</v>
      </c>
      <c r="CG19" s="10">
        <f>+Producción!CI9</f>
        <v>1562</v>
      </c>
      <c r="CH19" s="10">
        <f>+Producción!CJ9</f>
        <v>1231</v>
      </c>
      <c r="CI19" s="10">
        <f>+Producción!CK9</f>
        <v>1361</v>
      </c>
      <c r="CJ19" s="10">
        <f>+Producción!CL9</f>
        <v>1712</v>
      </c>
      <c r="CK19" s="10">
        <f>+Producción!CM9</f>
        <v>1565</v>
      </c>
      <c r="CL19" s="10">
        <f>+Producción!CN9</f>
        <v>2143</v>
      </c>
      <c r="CM19" s="10">
        <f>+Producción!CO9</f>
        <v>2131</v>
      </c>
      <c r="CN19" s="10">
        <f>+Producción!CP9</f>
        <v>2409</v>
      </c>
      <c r="CO19" s="10">
        <f>+Producción!CQ9</f>
        <v>2063</v>
      </c>
      <c r="CP19" s="10">
        <f>+Producción!CR9</f>
        <v>1931</v>
      </c>
      <c r="CQ19" s="10">
        <f>+Producción!CS9</f>
        <v>1439</v>
      </c>
      <c r="CR19" s="10">
        <f>+Producción!CT9</f>
        <v>1428</v>
      </c>
      <c r="CS19" s="10">
        <f>+Producción!CU9</f>
        <v>1562</v>
      </c>
      <c r="CT19" s="10">
        <f>+Producción!CV9</f>
        <v>1231</v>
      </c>
      <c r="CU19" s="10">
        <f>+Producción!CW9</f>
        <v>1361</v>
      </c>
      <c r="CV19" s="10">
        <f>+Producción!CX9</f>
        <v>1712</v>
      </c>
      <c r="CW19" s="10">
        <f>+Producción!CY9</f>
        <v>1565</v>
      </c>
      <c r="CX19" s="10">
        <f>+Producción!CZ9</f>
        <v>2143</v>
      </c>
      <c r="CY19" s="10">
        <f>+Producción!DA9</f>
        <v>2131</v>
      </c>
      <c r="CZ19" s="10">
        <f>+Producción!DB9</f>
        <v>2409</v>
      </c>
      <c r="DA19" s="10">
        <f>+Producción!DC9</f>
        <v>2063</v>
      </c>
      <c r="DB19" s="10">
        <f>+Producción!DD9</f>
        <v>1931</v>
      </c>
      <c r="DC19" s="10">
        <f>+Producción!DE9</f>
        <v>1439</v>
      </c>
      <c r="DD19" s="10">
        <f>+Producción!DF9</f>
        <v>1428</v>
      </c>
      <c r="DE19" s="10">
        <f>+Producción!DG9</f>
        <v>1562</v>
      </c>
      <c r="DF19" s="10">
        <f>+Producción!DH9</f>
        <v>1231</v>
      </c>
      <c r="DG19" s="10">
        <f>+Producción!DI9</f>
        <v>1361</v>
      </c>
      <c r="DH19" s="10">
        <f>+Producción!DJ9</f>
        <v>1712</v>
      </c>
      <c r="DI19" s="10">
        <f>+Producción!DK9</f>
        <v>1565</v>
      </c>
      <c r="DJ19" s="10">
        <f>+Producción!DL9</f>
        <v>2143</v>
      </c>
      <c r="DK19" s="10">
        <f>+Producción!DM9</f>
        <v>2131</v>
      </c>
      <c r="DL19" s="10">
        <f>+Producción!DN9</f>
        <v>2409</v>
      </c>
      <c r="DM19" s="10">
        <f>+Producción!DO9</f>
        <v>2063</v>
      </c>
      <c r="DN19" s="10">
        <f>+Producción!DP9</f>
        <v>1931</v>
      </c>
      <c r="DO19" s="10">
        <f>+Producción!DQ9</f>
        <v>1439</v>
      </c>
      <c r="DP19" s="10">
        <f>+Producción!DR9</f>
        <v>1428</v>
      </c>
      <c r="DQ19" s="10">
        <f>+Producción!DS9</f>
        <v>1562</v>
      </c>
      <c r="DR19" s="10">
        <f>+Producción!DT9</f>
        <v>1231</v>
      </c>
      <c r="DS19" s="10">
        <f>+Producción!DU9</f>
        <v>1361</v>
      </c>
      <c r="DT19" s="10">
        <f>+Producción!DV9</f>
        <v>1712</v>
      </c>
      <c r="DU19" s="10">
        <f>+Producción!DW9</f>
        <v>1565</v>
      </c>
      <c r="DV19" s="10">
        <f>+Producción!DX9</f>
        <v>2143</v>
      </c>
      <c r="DW19" s="10">
        <f>+Producción!DY9</f>
        <v>2131</v>
      </c>
      <c r="DX19" s="10">
        <f>+Producción!DZ9</f>
        <v>2409</v>
      </c>
      <c r="DY19" s="10">
        <f>+Producción!EA9</f>
        <v>2063</v>
      </c>
      <c r="DZ19" s="10">
        <f>+Producción!EB9</f>
        <v>1931</v>
      </c>
      <c r="EA19" s="10">
        <f>+Producción!EC9</f>
        <v>1439</v>
      </c>
      <c r="EB19" s="10">
        <f>+Producción!ED9</f>
        <v>1428</v>
      </c>
      <c r="EC19" s="10">
        <f>+Producción!EE9</f>
        <v>1562</v>
      </c>
      <c r="ED19" s="10">
        <f>+Producción!EF9</f>
        <v>1231</v>
      </c>
      <c r="EE19" s="10">
        <f>+Producción!EG9</f>
        <v>1361</v>
      </c>
      <c r="EF19" s="10">
        <f>+Producción!EH9</f>
        <v>1712</v>
      </c>
      <c r="EG19" s="10">
        <f>+Producción!EI9</f>
        <v>1565</v>
      </c>
      <c r="EH19" s="10">
        <f>+Producción!EJ9</f>
        <v>2143</v>
      </c>
      <c r="EI19" s="10">
        <f>+Producción!EK9</f>
        <v>2131</v>
      </c>
      <c r="EJ19" s="10">
        <f>+Producción!EL9</f>
        <v>2409</v>
      </c>
      <c r="EK19" s="10">
        <f>+Producción!EM9</f>
        <v>2063</v>
      </c>
      <c r="EL19" s="10">
        <f>+Producción!EN9</f>
        <v>1931</v>
      </c>
      <c r="EM19" s="10">
        <f>+Producción!EO9</f>
        <v>1439</v>
      </c>
      <c r="EN19" s="10">
        <f>+Producción!EP9</f>
        <v>1428</v>
      </c>
      <c r="EO19" s="10">
        <f>+Producción!EQ9</f>
        <v>1562</v>
      </c>
      <c r="EP19" s="10">
        <f>+Producción!ER9</f>
        <v>1231</v>
      </c>
      <c r="EQ19" s="10">
        <f>+Producción!ES9</f>
        <v>1361</v>
      </c>
      <c r="ER19" s="10">
        <f>+Producción!ET9</f>
        <v>1712</v>
      </c>
      <c r="ES19" s="10">
        <f>+Producción!EU9</f>
        <v>1565</v>
      </c>
      <c r="ET19" s="10">
        <f>+Producción!EV9</f>
        <v>2143</v>
      </c>
      <c r="EU19" s="10">
        <f>+Producción!EW9</f>
        <v>2131</v>
      </c>
      <c r="EV19" s="10">
        <f>+Producción!EX9</f>
        <v>2409</v>
      </c>
      <c r="EW19" s="10">
        <f>+Producción!EY9</f>
        <v>2063</v>
      </c>
      <c r="EX19" s="10">
        <f>+Producción!EZ9</f>
        <v>1931</v>
      </c>
      <c r="EY19" s="10">
        <f>+Producción!FA9</f>
        <v>1439</v>
      </c>
      <c r="EZ19" s="10">
        <f>+Producción!FB9</f>
        <v>1428</v>
      </c>
      <c r="FA19" s="10">
        <f>+Producción!FC9</f>
        <v>1562</v>
      </c>
      <c r="FB19" s="10">
        <f>+Producción!FD9</f>
        <v>1231</v>
      </c>
      <c r="FC19" s="10">
        <f>+Producción!FE9</f>
        <v>1361</v>
      </c>
      <c r="FD19" s="10">
        <f>+Producción!FF9</f>
        <v>1712</v>
      </c>
      <c r="FE19" s="10">
        <f>+Producción!FG9</f>
        <v>1565</v>
      </c>
      <c r="FF19" s="10">
        <f>+Producción!FH9</f>
        <v>2143</v>
      </c>
      <c r="FG19" s="10">
        <f>+Producción!FI9</f>
        <v>2131</v>
      </c>
      <c r="FH19" s="10">
        <f>+Producción!FJ9</f>
        <v>2409</v>
      </c>
      <c r="FI19" s="10">
        <f>+Producción!FK9</f>
        <v>2063</v>
      </c>
      <c r="FJ19" s="10">
        <f>+Producción!FL9</f>
        <v>1931</v>
      </c>
      <c r="FK19" s="10">
        <f>+Producción!FM9</f>
        <v>1439</v>
      </c>
      <c r="FL19" s="10">
        <f>+Producción!FN9</f>
        <v>1428</v>
      </c>
      <c r="FM19" s="10">
        <f>+Producción!FO9</f>
        <v>1562</v>
      </c>
      <c r="FN19" s="10">
        <f>+Producción!FP9</f>
        <v>1231</v>
      </c>
      <c r="FO19" s="10">
        <f>+Producción!FQ9</f>
        <v>1361</v>
      </c>
      <c r="FP19" s="10">
        <f>+Producción!FR9</f>
        <v>1712</v>
      </c>
      <c r="FQ19" s="10">
        <f>+Producción!FS9</f>
        <v>1565</v>
      </c>
      <c r="FR19" s="10">
        <f>+Producción!FT9</f>
        <v>2143</v>
      </c>
      <c r="FS19" s="10">
        <f>+Producción!FU9</f>
        <v>2131</v>
      </c>
      <c r="FT19" s="10">
        <f>+Producción!FV9</f>
        <v>2409</v>
      </c>
      <c r="FU19" s="10">
        <f>+Producción!FW9</f>
        <v>2063</v>
      </c>
      <c r="FV19" s="10">
        <f>+Producción!FX9</f>
        <v>1931</v>
      </c>
      <c r="FW19" s="10">
        <f>+Producción!FY9</f>
        <v>1439</v>
      </c>
      <c r="FX19" s="10">
        <f>+Producción!FZ9</f>
        <v>1428</v>
      </c>
      <c r="FY19" s="10">
        <f>+Producción!GA9</f>
        <v>1562</v>
      </c>
      <c r="FZ19" s="10">
        <f>+Producción!GB9</f>
        <v>1231</v>
      </c>
      <c r="GA19" s="10">
        <f>+Producción!GC9</f>
        <v>1361</v>
      </c>
      <c r="GB19" s="10">
        <f>+Producción!GD9</f>
        <v>1712</v>
      </c>
      <c r="GC19" s="10">
        <f>+Producción!GE9</f>
        <v>1565</v>
      </c>
      <c r="GD19" s="10">
        <f>+Producción!GF9</f>
        <v>2143</v>
      </c>
      <c r="GE19" s="10">
        <f>+Producción!GG9</f>
        <v>2131</v>
      </c>
      <c r="GF19" s="10">
        <f>+Producción!GH9</f>
        <v>2409</v>
      </c>
      <c r="GG19" s="10">
        <f>+Producción!GI9</f>
        <v>2063</v>
      </c>
      <c r="GH19" s="10">
        <f>+Producción!GJ9</f>
        <v>1931</v>
      </c>
      <c r="GI19" s="10">
        <f>+Producción!GK9</f>
        <v>1439</v>
      </c>
      <c r="GJ19" s="10">
        <f>+Producción!GL9</f>
        <v>1428</v>
      </c>
      <c r="GK19" s="10">
        <f>+Producción!GM9</f>
        <v>1562</v>
      </c>
      <c r="GL19" s="10">
        <f>+Producción!GN9</f>
        <v>1231</v>
      </c>
      <c r="GM19" s="10">
        <f>+Producción!GO9</f>
        <v>1361</v>
      </c>
      <c r="GN19" s="10">
        <f>+Producción!GP9</f>
        <v>1712</v>
      </c>
      <c r="GO19" s="10">
        <f>+Producción!GQ9</f>
        <v>1565</v>
      </c>
      <c r="GP19" s="10">
        <f>+Producción!GR9</f>
        <v>2143</v>
      </c>
      <c r="GQ19" s="10">
        <f>+Producción!GS9</f>
        <v>2131</v>
      </c>
      <c r="GR19" s="10">
        <f>+Producción!GT9</f>
        <v>2409</v>
      </c>
      <c r="GS19" s="10">
        <f>+Producción!GU9</f>
        <v>2063</v>
      </c>
      <c r="GT19" s="10">
        <f>+Producción!GV9</f>
        <v>1931</v>
      </c>
      <c r="GU19" s="10">
        <f>+Producción!GW9</f>
        <v>1439</v>
      </c>
      <c r="GV19" s="10">
        <f>+Producción!GX9</f>
        <v>1428</v>
      </c>
      <c r="GW19" s="10">
        <f>+Producción!GY9</f>
        <v>1562</v>
      </c>
      <c r="GX19" s="10">
        <f>+Producción!GZ9</f>
        <v>1231</v>
      </c>
      <c r="GY19" s="10">
        <f>+Producción!HA9</f>
        <v>1361</v>
      </c>
      <c r="GZ19" s="10">
        <f>+Producción!HB9</f>
        <v>1712</v>
      </c>
      <c r="HA19" s="10">
        <f>+Producción!HC9</f>
        <v>1565</v>
      </c>
      <c r="HB19" s="10">
        <f>+Producción!HD9</f>
        <v>2143</v>
      </c>
      <c r="HC19" s="10">
        <f>+Producción!HE9</f>
        <v>2131</v>
      </c>
      <c r="HD19" s="10">
        <f>+Producción!HF9</f>
        <v>2409</v>
      </c>
      <c r="HE19" s="10">
        <f>+Producción!HG9</f>
        <v>2063</v>
      </c>
      <c r="HF19" s="10">
        <f>+Producción!HH9</f>
        <v>1931</v>
      </c>
      <c r="HG19" s="10">
        <f>+Producción!HI9</f>
        <v>1439</v>
      </c>
      <c r="HH19" s="10">
        <f>+Producción!HJ9</f>
        <v>1428</v>
      </c>
      <c r="HI19" s="10">
        <f>+Producción!HK9</f>
        <v>1562</v>
      </c>
      <c r="HJ19" s="10">
        <f>+Producción!HL9</f>
        <v>1231</v>
      </c>
      <c r="HK19" s="10">
        <f>+Producción!HM9</f>
        <v>1361</v>
      </c>
      <c r="HL19" s="10">
        <f>+Producción!HN9</f>
        <v>1712</v>
      </c>
      <c r="HM19" s="10">
        <f>+Producción!HO9</f>
        <v>1565</v>
      </c>
      <c r="HN19" s="10">
        <f>+Producción!HP9</f>
        <v>2143</v>
      </c>
      <c r="HO19" s="10">
        <f>+Producción!HQ9</f>
        <v>2131</v>
      </c>
      <c r="HP19" s="10">
        <f>+Producción!HR9</f>
        <v>2409</v>
      </c>
      <c r="HQ19" s="10">
        <f>+Producción!HS9</f>
        <v>2063</v>
      </c>
      <c r="HR19" s="10">
        <f>+Producción!HT9</f>
        <v>1931</v>
      </c>
      <c r="HS19" s="10">
        <f>+Producción!HU9</f>
        <v>1439</v>
      </c>
      <c r="HT19" s="10">
        <f>+Producción!HV9</f>
        <v>1428</v>
      </c>
      <c r="HU19" s="10">
        <f>+Producción!HW9</f>
        <v>1562</v>
      </c>
      <c r="HV19" s="10">
        <f>+Producción!HX9</f>
        <v>1231</v>
      </c>
      <c r="HW19" s="10">
        <f>+Producción!HY9</f>
        <v>1361</v>
      </c>
      <c r="HX19" s="10">
        <f>+Producción!HZ9</f>
        <v>1712</v>
      </c>
      <c r="HY19" s="10">
        <f>+Producción!IA9</f>
        <v>1565</v>
      </c>
      <c r="HZ19" s="10">
        <f>+Producción!IB9</f>
        <v>2143</v>
      </c>
      <c r="IA19" s="10">
        <f>+Producción!IC9</f>
        <v>2131</v>
      </c>
      <c r="IB19" s="10">
        <f>+Producción!ID9</f>
        <v>2409</v>
      </c>
      <c r="IC19" s="10">
        <f>+Producción!IE9</f>
        <v>2063</v>
      </c>
      <c r="ID19" s="10">
        <f>+Producción!IF9</f>
        <v>1931</v>
      </c>
      <c r="IE19" s="10">
        <f>+Producción!IG9</f>
        <v>1439</v>
      </c>
      <c r="IF19" s="10">
        <f>+Producción!IH9</f>
        <v>1428</v>
      </c>
      <c r="IG19" s="10">
        <f>+Producción!II9</f>
        <v>1562</v>
      </c>
      <c r="IH19" s="10">
        <f>+Producción!IJ9</f>
        <v>1231</v>
      </c>
      <c r="II19" s="10">
        <f>+Producción!IK9</f>
        <v>1361</v>
      </c>
      <c r="IJ19" s="10">
        <f>+Producción!IL9</f>
        <v>1712</v>
      </c>
      <c r="IK19" s="10">
        <f>+Producción!IM9</f>
        <v>1565</v>
      </c>
      <c r="IL19" s="10">
        <f>+Producción!IN9</f>
        <v>2143</v>
      </c>
      <c r="IM19" s="10">
        <f>+Producción!IO9</f>
        <v>2131</v>
      </c>
      <c r="IN19" s="10"/>
    </row>
    <row r="20" spans="1:248" x14ac:dyDescent="0.3">
      <c r="A20" t="s">
        <v>910</v>
      </c>
      <c r="B20" s="30"/>
      <c r="C20" s="30"/>
      <c r="D20" s="74"/>
      <c r="E20" s="30"/>
      <c r="F20" s="30"/>
      <c r="G20" s="30"/>
      <c r="H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>
        <f t="shared" ref="AD20:CB20" si="8">+AD19*AD5</f>
        <v>1756848.3297000001</v>
      </c>
      <c r="AE20" s="30">
        <f t="shared" si="8"/>
        <v>1747010.6348999999</v>
      </c>
      <c r="AF20" s="30">
        <f t="shared" si="8"/>
        <v>1974917.2311</v>
      </c>
      <c r="AG20" s="30">
        <f t="shared" si="8"/>
        <v>1691263.6977000001</v>
      </c>
      <c r="AH20" s="30">
        <f t="shared" si="8"/>
        <v>1932852.1186500003</v>
      </c>
      <c r="AI20" s="30">
        <f t="shared" si="8"/>
        <v>1440319.1514460002</v>
      </c>
      <c r="AJ20" s="30">
        <f t="shared" si="8"/>
        <v>1429309.0675920001</v>
      </c>
      <c r="AK20" s="30">
        <f t="shared" si="8"/>
        <v>1554649.140528</v>
      </c>
      <c r="AL20" s="30">
        <f t="shared" si="8"/>
        <v>1156708.8287090003</v>
      </c>
      <c r="AM20" s="30">
        <f t="shared" si="8"/>
        <v>1278848.8559300001</v>
      </c>
      <c r="AN20" s="30">
        <f t="shared" si="8"/>
        <v>1443927.3360000001</v>
      </c>
      <c r="AO20" s="30">
        <f t="shared" si="8"/>
        <v>1319945.2575000001</v>
      </c>
      <c r="AP20" s="30">
        <f t="shared" si="8"/>
        <v>1809553.7795910002</v>
      </c>
      <c r="AQ20" s="30">
        <f t="shared" si="8"/>
        <v>1799420.953947</v>
      </c>
      <c r="AR20" s="30">
        <f t="shared" si="8"/>
        <v>2034164.7480330002</v>
      </c>
      <c r="AS20" s="30">
        <f t="shared" si="8"/>
        <v>1742001.6086310002</v>
      </c>
      <c r="AT20" s="30">
        <f t="shared" si="8"/>
        <v>1990837.6822095003</v>
      </c>
      <c r="AU20" s="30">
        <f t="shared" si="8"/>
        <v>1483528.7259893802</v>
      </c>
      <c r="AV20" s="30">
        <f t="shared" si="8"/>
        <v>1472188.3396197602</v>
      </c>
      <c r="AW20" s="30">
        <f t="shared" si="8"/>
        <v>1601288.6147438399</v>
      </c>
      <c r="AX20" s="30">
        <f t="shared" si="8"/>
        <v>1191410.0935702701</v>
      </c>
      <c r="AY20" s="30">
        <f t="shared" si="8"/>
        <v>1317214.3216079003</v>
      </c>
      <c r="AZ20" s="30">
        <f t="shared" si="8"/>
        <v>1487245.1560800001</v>
      </c>
      <c r="BA20" s="30">
        <f t="shared" si="8"/>
        <v>1359543.6152250001</v>
      </c>
      <c r="BB20" s="30">
        <f t="shared" si="8"/>
        <v>1863840.3929787301</v>
      </c>
      <c r="BC20" s="30">
        <f t="shared" si="8"/>
        <v>1853403.5825654101</v>
      </c>
      <c r="BD20" s="30">
        <f t="shared" si="8"/>
        <v>2095189.6904739903</v>
      </c>
      <c r="BE20" s="30">
        <f t="shared" si="8"/>
        <v>1794261.6568899301</v>
      </c>
      <c r="BF20" s="30">
        <f t="shared" si="8"/>
        <v>2050562.8126757857</v>
      </c>
      <c r="BG20" s="30">
        <f t="shared" si="8"/>
        <v>1528034.5877690618</v>
      </c>
      <c r="BH20" s="30">
        <f t="shared" si="8"/>
        <v>1516353.9898083531</v>
      </c>
      <c r="BI20" s="30">
        <f t="shared" si="8"/>
        <v>1649327.2731861551</v>
      </c>
      <c r="BJ20" s="30">
        <f t="shared" si="8"/>
        <v>1227152.3963773784</v>
      </c>
      <c r="BK20" s="30">
        <f t="shared" si="8"/>
        <v>1356730.7512561372</v>
      </c>
      <c r="BL20" s="30">
        <f t="shared" si="8"/>
        <v>1531862.5107624</v>
      </c>
      <c r="BM20" s="30">
        <f t="shared" si="8"/>
        <v>1400329.92368175</v>
      </c>
      <c r="BN20" s="30">
        <f t="shared" si="8"/>
        <v>1919755.604768092</v>
      </c>
      <c r="BO20" s="30">
        <f t="shared" si="8"/>
        <v>1909005.6900423726</v>
      </c>
      <c r="BP20" s="30">
        <f t="shared" si="8"/>
        <v>2158045.3811882101</v>
      </c>
      <c r="BQ20" s="30">
        <f t="shared" si="8"/>
        <v>1848089.5065966281</v>
      </c>
      <c r="BR20" s="30">
        <f t="shared" si="8"/>
        <v>2112079.6970560593</v>
      </c>
      <c r="BS20" s="30">
        <f t="shared" si="8"/>
        <v>1573875.6254021334</v>
      </c>
      <c r="BT20" s="30">
        <f t="shared" si="8"/>
        <v>1561844.6095026035</v>
      </c>
      <c r="BU20" s="30">
        <f t="shared" si="8"/>
        <v>1698807.0913817396</v>
      </c>
      <c r="BV20" s="30">
        <f t="shared" si="8"/>
        <v>1263966.9682686997</v>
      </c>
      <c r="BW20" s="30">
        <f t="shared" si="8"/>
        <v>1397432.6737938214</v>
      </c>
      <c r="BX20" s="30">
        <f t="shared" si="8"/>
        <v>1577818.3860852721</v>
      </c>
      <c r="BY20" s="30">
        <f t="shared" si="8"/>
        <v>1442339.8213922025</v>
      </c>
      <c r="BZ20" s="30">
        <f t="shared" si="8"/>
        <v>1977348.2729111349</v>
      </c>
      <c r="CA20" s="30">
        <f t="shared" si="8"/>
        <v>1966275.8607436437</v>
      </c>
      <c r="CB20" s="30">
        <f t="shared" si="8"/>
        <v>2222786.7426238563</v>
      </c>
      <c r="CC20" s="30">
        <f t="shared" ref="CC20:EN20" si="9">+CC19*CC5</f>
        <v>1903532.191794527</v>
      </c>
      <c r="CD20" s="30">
        <f t="shared" si="9"/>
        <v>2175442.0879677408</v>
      </c>
      <c r="CE20" s="30">
        <f t="shared" si="9"/>
        <v>1621091.8941641976</v>
      </c>
      <c r="CF20" s="30">
        <f t="shared" si="9"/>
        <v>1608699.9477876818</v>
      </c>
      <c r="CG20" s="30">
        <f t="shared" si="9"/>
        <v>1749771.3041231921</v>
      </c>
      <c r="CH20" s="30">
        <f t="shared" si="9"/>
        <v>1301885.9773167607</v>
      </c>
      <c r="CI20" s="30">
        <f t="shared" si="9"/>
        <v>1439355.654007636</v>
      </c>
      <c r="CJ20" s="30">
        <f t="shared" si="9"/>
        <v>1625152.9376678304</v>
      </c>
      <c r="CK20" s="30">
        <f t="shared" si="9"/>
        <v>1485610.0160339689</v>
      </c>
      <c r="CL20" s="30">
        <f t="shared" si="9"/>
        <v>2036668.7210984691</v>
      </c>
      <c r="CM20" s="30">
        <f t="shared" si="9"/>
        <v>2025264.1365659533</v>
      </c>
      <c r="CN20" s="30">
        <f t="shared" si="9"/>
        <v>2289470.3449025722</v>
      </c>
      <c r="CO20" s="30">
        <f t="shared" si="9"/>
        <v>1960638.1575483629</v>
      </c>
      <c r="CP20" s="30">
        <f t="shared" si="9"/>
        <v>2240705.350606773</v>
      </c>
      <c r="CQ20" s="30">
        <f t="shared" si="9"/>
        <v>1669724.6509891236</v>
      </c>
      <c r="CR20" s="30">
        <f t="shared" si="9"/>
        <v>1656960.9462213123</v>
      </c>
      <c r="CS20" s="30">
        <f t="shared" si="9"/>
        <v>1802264.443246888</v>
      </c>
      <c r="CT20" s="30">
        <f t="shared" si="9"/>
        <v>1340942.5566362636</v>
      </c>
      <c r="CU20" s="30">
        <f t="shared" si="9"/>
        <v>1482536.3236278654</v>
      </c>
      <c r="CV20" s="30">
        <f t="shared" si="9"/>
        <v>1673907.5257978654</v>
      </c>
      <c r="CW20" s="30">
        <f t="shared" si="9"/>
        <v>1530178.316514988</v>
      </c>
      <c r="CX20" s="30">
        <f t="shared" si="9"/>
        <v>2097768.7827314232</v>
      </c>
      <c r="CY20" s="30">
        <f t="shared" si="9"/>
        <v>2086022.0606629318</v>
      </c>
      <c r="CZ20" s="30">
        <f t="shared" si="9"/>
        <v>2358154.4552496495</v>
      </c>
      <c r="DA20" s="30">
        <f t="shared" si="9"/>
        <v>2019457.3022748139</v>
      </c>
      <c r="DB20" s="30">
        <f t="shared" si="9"/>
        <v>2307926.511124976</v>
      </c>
      <c r="DC20" s="30">
        <f t="shared" si="9"/>
        <v>1719816.3905187973</v>
      </c>
      <c r="DD20" s="30">
        <f t="shared" si="9"/>
        <v>1706669.7746079518</v>
      </c>
      <c r="DE20" s="30">
        <f t="shared" si="9"/>
        <v>1856332.3765442946</v>
      </c>
      <c r="DF20" s="30">
        <f t="shared" si="9"/>
        <v>1381170.8333353517</v>
      </c>
      <c r="DG20" s="30">
        <f t="shared" si="9"/>
        <v>1527012.4133367015</v>
      </c>
      <c r="DH20" s="30">
        <f t="shared" si="9"/>
        <v>1724124.7515718015</v>
      </c>
      <c r="DI20" s="30">
        <f t="shared" si="9"/>
        <v>1576083.6660104375</v>
      </c>
      <c r="DJ20" s="30">
        <f t="shared" si="9"/>
        <v>2160701.8462133659</v>
      </c>
      <c r="DK20" s="30">
        <f t="shared" si="9"/>
        <v>2148602.72248282</v>
      </c>
      <c r="DL20" s="30">
        <f t="shared" si="9"/>
        <v>2428899.0889071389</v>
      </c>
      <c r="DM20" s="30">
        <f t="shared" si="9"/>
        <v>2080041.0213430584</v>
      </c>
      <c r="DN20" s="30">
        <f t="shared" si="9"/>
        <v>2377164.3064587256</v>
      </c>
      <c r="DO20" s="30">
        <f t="shared" si="9"/>
        <v>1771410.8822343613</v>
      </c>
      <c r="DP20" s="30">
        <f t="shared" si="9"/>
        <v>1757869.8678461905</v>
      </c>
      <c r="DQ20" s="30">
        <f t="shared" si="9"/>
        <v>1912022.3478406235</v>
      </c>
      <c r="DR20" s="30">
        <f t="shared" si="9"/>
        <v>1422605.9583354122</v>
      </c>
      <c r="DS20" s="30">
        <f t="shared" si="9"/>
        <v>1572822.7857368025</v>
      </c>
      <c r="DT20" s="30">
        <f t="shared" si="9"/>
        <v>1775848.4941189557</v>
      </c>
      <c r="DU20" s="30">
        <f t="shared" si="9"/>
        <v>1623366.175990751</v>
      </c>
      <c r="DV20" s="30">
        <f t="shared" si="9"/>
        <v>2225522.9015997667</v>
      </c>
      <c r="DW20" s="30">
        <f t="shared" si="9"/>
        <v>2213060.8041573041</v>
      </c>
      <c r="DX20" s="30">
        <f t="shared" si="9"/>
        <v>2501766.0615743529</v>
      </c>
      <c r="DY20" s="30">
        <f t="shared" si="9"/>
        <v>2142442.2519833501</v>
      </c>
      <c r="DZ20" s="30">
        <f t="shared" si="9"/>
        <v>2448479.2356524873</v>
      </c>
      <c r="EA20" s="30">
        <f t="shared" si="9"/>
        <v>1824553.2087013922</v>
      </c>
      <c r="EB20" s="30">
        <f t="shared" si="9"/>
        <v>1810605.9638815762</v>
      </c>
      <c r="EC20" s="30">
        <f t="shared" si="9"/>
        <v>1969383.0182758425</v>
      </c>
      <c r="ED20" s="30">
        <f t="shared" si="9"/>
        <v>1465284.1370854743</v>
      </c>
      <c r="EE20" s="30">
        <f t="shared" si="9"/>
        <v>1620007.4693089065</v>
      </c>
      <c r="EF20" s="30">
        <f t="shared" si="9"/>
        <v>1829123.9489425244</v>
      </c>
      <c r="EG20" s="30">
        <f t="shared" si="9"/>
        <v>1672067.1612704734</v>
      </c>
      <c r="EH20" s="30">
        <f t="shared" si="9"/>
        <v>2292288.58864776</v>
      </c>
      <c r="EI20" s="30">
        <f t="shared" si="9"/>
        <v>2279452.6282820236</v>
      </c>
      <c r="EJ20" s="30">
        <f t="shared" si="9"/>
        <v>2576819.0434215837</v>
      </c>
      <c r="EK20" s="30">
        <f t="shared" si="9"/>
        <v>2206715.5195428506</v>
      </c>
      <c r="EL20" s="30">
        <f t="shared" si="9"/>
        <v>2521933.6127220616</v>
      </c>
      <c r="EM20" s="30">
        <f t="shared" si="9"/>
        <v>1879289.8049624339</v>
      </c>
      <c r="EN20" s="30">
        <f t="shared" si="9"/>
        <v>1864924.1427980233</v>
      </c>
      <c r="EO20" s="30">
        <f t="shared" ref="EO20:GZ20" si="10">+EO19*EO5</f>
        <v>2028464.5088241177</v>
      </c>
      <c r="EP20" s="30">
        <f t="shared" si="10"/>
        <v>1509242.6611980386</v>
      </c>
      <c r="EQ20" s="30">
        <f t="shared" si="10"/>
        <v>1668607.6933881738</v>
      </c>
      <c r="ER20" s="30">
        <f t="shared" si="10"/>
        <v>1883997.6674108</v>
      </c>
      <c r="ES20" s="30">
        <f t="shared" si="10"/>
        <v>1722229.1761085875</v>
      </c>
      <c r="ET20" s="30">
        <f t="shared" si="10"/>
        <v>2361057.2463071928</v>
      </c>
      <c r="EU20" s="30">
        <f t="shared" si="10"/>
        <v>2347836.2071304843</v>
      </c>
      <c r="EV20" s="30">
        <f t="shared" si="10"/>
        <v>2654123.6147242314</v>
      </c>
      <c r="EW20" s="30">
        <f t="shared" si="10"/>
        <v>2272916.9851291361</v>
      </c>
      <c r="EX20" s="30">
        <f t="shared" si="10"/>
        <v>2597591.6211037235</v>
      </c>
      <c r="EY20" s="30">
        <f t="shared" si="10"/>
        <v>1935668.4991113069</v>
      </c>
      <c r="EZ20" s="30">
        <f t="shared" si="10"/>
        <v>1920871.8670819642</v>
      </c>
      <c r="FA20" s="30">
        <f t="shared" si="10"/>
        <v>2089318.4440888413</v>
      </c>
      <c r="FB20" s="30">
        <f t="shared" si="10"/>
        <v>1554519.9410339799</v>
      </c>
      <c r="FC20" s="30">
        <f t="shared" si="10"/>
        <v>1718665.9241898193</v>
      </c>
      <c r="FD20" s="30">
        <f t="shared" si="10"/>
        <v>1940517.5974331242</v>
      </c>
      <c r="FE20" s="30">
        <f t="shared" si="10"/>
        <v>1773896.0513918453</v>
      </c>
      <c r="FF20" s="30">
        <f t="shared" si="10"/>
        <v>2431888.9636964086</v>
      </c>
      <c r="FG20" s="30">
        <f t="shared" si="10"/>
        <v>2418271.293344399</v>
      </c>
      <c r="FH20" s="30">
        <f t="shared" si="10"/>
        <v>2733747.3231659578</v>
      </c>
      <c r="FI20" s="30">
        <f t="shared" si="10"/>
        <v>2341104.49468301</v>
      </c>
      <c r="FJ20" s="30">
        <f t="shared" si="10"/>
        <v>2675519.3697368354</v>
      </c>
      <c r="FK20" s="30">
        <f t="shared" si="10"/>
        <v>1993738.5540846463</v>
      </c>
      <c r="FL20" s="30">
        <f t="shared" si="10"/>
        <v>1978498.0230944231</v>
      </c>
      <c r="FM20" s="30">
        <f t="shared" si="10"/>
        <v>2151997.9974115067</v>
      </c>
      <c r="FN20" s="30">
        <f t="shared" si="10"/>
        <v>1601155.5392649993</v>
      </c>
      <c r="FO20" s="30">
        <f t="shared" si="10"/>
        <v>1770225.9019155139</v>
      </c>
      <c r="FP20" s="30">
        <f t="shared" si="10"/>
        <v>1998733.125356118</v>
      </c>
      <c r="FQ20" s="30">
        <f t="shared" si="10"/>
        <v>1827112.9329336009</v>
      </c>
      <c r="FR20" s="30">
        <f t="shared" si="10"/>
        <v>2504845.6326073008</v>
      </c>
      <c r="FS20" s="30">
        <f t="shared" si="10"/>
        <v>2490819.4321447308</v>
      </c>
      <c r="FT20" s="30">
        <f t="shared" si="10"/>
        <v>2815759.7428609366</v>
      </c>
      <c r="FU20" s="30">
        <f t="shared" si="10"/>
        <v>2411337.6295235003</v>
      </c>
      <c r="FV20" s="30">
        <f t="shared" si="10"/>
        <v>2755784.9508289406</v>
      </c>
      <c r="FW20" s="30">
        <f t="shared" si="10"/>
        <v>2053550.7107071856</v>
      </c>
      <c r="FX20" s="30">
        <f t="shared" si="10"/>
        <v>2037852.9637872558</v>
      </c>
      <c r="FY20" s="30">
        <f t="shared" si="10"/>
        <v>2216557.9373338521</v>
      </c>
      <c r="FZ20" s="30">
        <f t="shared" si="10"/>
        <v>1649190.2054429492</v>
      </c>
      <c r="GA20" s="30">
        <f t="shared" si="10"/>
        <v>1823332.6789729793</v>
      </c>
      <c r="GB20" s="30">
        <f t="shared" si="10"/>
        <v>2058695.1191168018</v>
      </c>
      <c r="GC20" s="30">
        <f t="shared" si="10"/>
        <v>1881926.3209216089</v>
      </c>
      <c r="GD20" s="30">
        <f t="shared" si="10"/>
        <v>2579991.0015855199</v>
      </c>
      <c r="GE20" s="30">
        <f t="shared" si="10"/>
        <v>2565544.0151090724</v>
      </c>
      <c r="GF20" s="30">
        <f t="shared" si="10"/>
        <v>2900232.5351467649</v>
      </c>
      <c r="GG20" s="30">
        <f t="shared" si="10"/>
        <v>2483677.7584092054</v>
      </c>
      <c r="GH20" s="30">
        <f t="shared" si="10"/>
        <v>2838458.4993538088</v>
      </c>
      <c r="GI20" s="30">
        <f t="shared" si="10"/>
        <v>2115157.232028401</v>
      </c>
      <c r="GJ20" s="30">
        <f t="shared" si="10"/>
        <v>2098988.5527008735</v>
      </c>
      <c r="GK20" s="30">
        <f t="shared" si="10"/>
        <v>2283054.6754538678</v>
      </c>
      <c r="GL20" s="30">
        <f t="shared" si="10"/>
        <v>1698665.9116062378</v>
      </c>
      <c r="GM20" s="30">
        <f t="shared" si="10"/>
        <v>1878032.6593421686</v>
      </c>
      <c r="GN20" s="30">
        <f t="shared" si="10"/>
        <v>2120455.9726903057</v>
      </c>
      <c r="GO20" s="30">
        <f t="shared" si="10"/>
        <v>1938384.1105492571</v>
      </c>
      <c r="GP20" s="30">
        <f t="shared" si="10"/>
        <v>2657390.7316330858</v>
      </c>
      <c r="GQ20" s="30">
        <f t="shared" si="10"/>
        <v>2642510.3355623451</v>
      </c>
      <c r="GR20" s="30">
        <f t="shared" si="10"/>
        <v>2987239.5112011679</v>
      </c>
      <c r="GS20" s="30">
        <f t="shared" si="10"/>
        <v>2558188.091161482</v>
      </c>
      <c r="GT20" s="30">
        <f t="shared" si="10"/>
        <v>2923612.2543344232</v>
      </c>
      <c r="GU20" s="30">
        <f t="shared" si="10"/>
        <v>2178611.948989253</v>
      </c>
      <c r="GV20" s="30">
        <f t="shared" si="10"/>
        <v>2161958.2092818995</v>
      </c>
      <c r="GW20" s="30">
        <f t="shared" si="10"/>
        <v>2351546.3157174839</v>
      </c>
      <c r="GX20" s="30">
        <f t="shared" si="10"/>
        <v>1749625.888954425</v>
      </c>
      <c r="GY20" s="30">
        <f t="shared" si="10"/>
        <v>1934373.639122434</v>
      </c>
      <c r="GZ20" s="30">
        <f t="shared" si="10"/>
        <v>2184069.6518710149</v>
      </c>
      <c r="HA20" s="30">
        <f t="shared" ref="HA20:IK20" si="11">+HA19*HA5</f>
        <v>1996535.633865735</v>
      </c>
      <c r="HB20" s="30">
        <f t="shared" si="11"/>
        <v>2737112.4535820782</v>
      </c>
      <c r="HC20" s="30">
        <f t="shared" si="11"/>
        <v>2721785.6456292155</v>
      </c>
      <c r="HD20" s="30">
        <f t="shared" si="11"/>
        <v>3076856.6965372032</v>
      </c>
      <c r="HE20" s="30">
        <f t="shared" si="11"/>
        <v>2634933.7338963263</v>
      </c>
      <c r="HF20" s="30">
        <f t="shared" si="11"/>
        <v>3011320.621964456</v>
      </c>
      <c r="HG20" s="30">
        <f t="shared" si="11"/>
        <v>2243970.3074589306</v>
      </c>
      <c r="HH20" s="30">
        <f t="shared" si="11"/>
        <v>2226816.9555603564</v>
      </c>
      <c r="HI20" s="30">
        <f t="shared" si="11"/>
        <v>2422092.7051890083</v>
      </c>
      <c r="HJ20" s="30">
        <f t="shared" si="11"/>
        <v>1802114.6656230579</v>
      </c>
      <c r="HK20" s="30">
        <f t="shared" si="11"/>
        <v>1992404.848296107</v>
      </c>
      <c r="HL20" s="30">
        <f t="shared" si="11"/>
        <v>2249591.7414271454</v>
      </c>
      <c r="HM20" s="30">
        <f t="shared" si="11"/>
        <v>2056431.7028817073</v>
      </c>
      <c r="HN20" s="30">
        <f t="shared" si="11"/>
        <v>2819225.827189541</v>
      </c>
      <c r="HO20" s="30">
        <f t="shared" si="11"/>
        <v>2803439.214998092</v>
      </c>
      <c r="HP20" s="30">
        <f t="shared" si="11"/>
        <v>3169162.3974333196</v>
      </c>
      <c r="HQ20" s="30">
        <f t="shared" si="11"/>
        <v>2713981.7459132164</v>
      </c>
      <c r="HR20" s="30">
        <f t="shared" si="11"/>
        <v>3101660.2406233894</v>
      </c>
      <c r="HS20" s="30">
        <f t="shared" si="11"/>
        <v>2311289.4166826988</v>
      </c>
      <c r="HT20" s="30">
        <f t="shared" si="11"/>
        <v>2293621.464227167</v>
      </c>
      <c r="HU20" s="30">
        <f t="shared" si="11"/>
        <v>2494755.4863446788</v>
      </c>
      <c r="HV20" s="30">
        <f t="shared" si="11"/>
        <v>1856178.1055917495</v>
      </c>
      <c r="HW20" s="30">
        <f t="shared" si="11"/>
        <v>2052176.9937449903</v>
      </c>
      <c r="HX20" s="30">
        <f t="shared" si="11"/>
        <v>2317079.4936699597</v>
      </c>
      <c r="HY20" s="30">
        <f t="shared" si="11"/>
        <v>2118124.6539681586</v>
      </c>
      <c r="HZ20" s="30">
        <f t="shared" si="11"/>
        <v>2903802.602005227</v>
      </c>
      <c r="IA20" s="30">
        <f t="shared" si="11"/>
        <v>2887542.3914480349</v>
      </c>
      <c r="IB20" s="30">
        <f t="shared" si="11"/>
        <v>3264237.2693563192</v>
      </c>
      <c r="IC20" s="30">
        <f t="shared" si="11"/>
        <v>2795401.198290613</v>
      </c>
      <c r="ID20" s="30">
        <f t="shared" si="11"/>
        <v>3194710.0478420914</v>
      </c>
      <c r="IE20" s="30">
        <f t="shared" si="11"/>
        <v>2380628.0991831794</v>
      </c>
      <c r="IF20" s="30">
        <f t="shared" si="11"/>
        <v>2362430.1081539821</v>
      </c>
      <c r="IG20" s="30">
        <f t="shared" si="11"/>
        <v>2569598.1509350194</v>
      </c>
      <c r="IH20" s="30">
        <f t="shared" si="11"/>
        <v>1911863.4487595018</v>
      </c>
      <c r="II20" s="30">
        <f t="shared" si="11"/>
        <v>2113742.3035573401</v>
      </c>
      <c r="IJ20" s="30">
        <f t="shared" si="11"/>
        <v>2386591.8784800586</v>
      </c>
      <c r="IK20" s="30">
        <f t="shared" si="11"/>
        <v>2181668.3935872032</v>
      </c>
      <c r="IL20" s="30">
        <f>+IL19*IL5</f>
        <v>2990916.6800653837</v>
      </c>
      <c r="IM20" s="30">
        <f t="shared" ref="IM20" si="12">+IM19*IM5</f>
        <v>2974168.6631914759</v>
      </c>
      <c r="IN20" s="30"/>
    </row>
    <row r="21" spans="1:248" x14ac:dyDescent="0.3">
      <c r="A21" t="s">
        <v>911</v>
      </c>
      <c r="C21" s="30"/>
      <c r="F21" s="30"/>
      <c r="G21" s="30"/>
      <c r="H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>
        <f t="shared" ref="AD21:CB21" si="13">+AD19*(AD5*$B$1)</f>
        <v>351369.66594000004</v>
      </c>
      <c r="AE21" s="30">
        <f t="shared" si="13"/>
        <v>349402.12698000006</v>
      </c>
      <c r="AF21" s="30">
        <f t="shared" si="13"/>
        <v>394983.44622000004</v>
      </c>
      <c r="AG21" s="30">
        <f t="shared" si="13"/>
        <v>338252.73954000004</v>
      </c>
      <c r="AH21" s="30">
        <f t="shared" si="13"/>
        <v>386570.4237300001</v>
      </c>
      <c r="AI21" s="30">
        <f t="shared" si="13"/>
        <v>288063.83028920001</v>
      </c>
      <c r="AJ21" s="30">
        <f t="shared" si="13"/>
        <v>285861.81351840001</v>
      </c>
      <c r="AK21" s="30">
        <f t="shared" si="13"/>
        <v>310929.82810560003</v>
      </c>
      <c r="AL21" s="30">
        <f t="shared" si="13"/>
        <v>231341.76574180005</v>
      </c>
      <c r="AM21" s="30">
        <f t="shared" si="13"/>
        <v>255769.77118600006</v>
      </c>
      <c r="AN21" s="30">
        <f t="shared" si="13"/>
        <v>288785.46720000001</v>
      </c>
      <c r="AO21" s="30">
        <f t="shared" si="13"/>
        <v>263989.05150000006</v>
      </c>
      <c r="AP21" s="30">
        <f t="shared" si="13"/>
        <v>361910.75591820007</v>
      </c>
      <c r="AQ21" s="30">
        <f t="shared" si="13"/>
        <v>359884.19078940008</v>
      </c>
      <c r="AR21" s="30">
        <f t="shared" si="13"/>
        <v>406832.9496066001</v>
      </c>
      <c r="AS21" s="30">
        <f t="shared" si="13"/>
        <v>348400.32172620005</v>
      </c>
      <c r="AT21" s="30">
        <f t="shared" si="13"/>
        <v>398167.53644190007</v>
      </c>
      <c r="AU21" s="30">
        <f t="shared" si="13"/>
        <v>296705.74519787607</v>
      </c>
      <c r="AV21" s="30">
        <f t="shared" si="13"/>
        <v>294437.66792395205</v>
      </c>
      <c r="AW21" s="30">
        <f t="shared" si="13"/>
        <v>320257.722948768</v>
      </c>
      <c r="AX21" s="30">
        <f t="shared" si="13"/>
        <v>238282.01871405408</v>
      </c>
      <c r="AY21" s="30">
        <f t="shared" si="13"/>
        <v>263442.86432158004</v>
      </c>
      <c r="AZ21" s="30">
        <f t="shared" si="13"/>
        <v>297449.03121600003</v>
      </c>
      <c r="BA21" s="30">
        <f t="shared" si="13"/>
        <v>271908.72304500005</v>
      </c>
      <c r="BB21" s="30">
        <f t="shared" si="13"/>
        <v>372768.07859574602</v>
      </c>
      <c r="BC21" s="30">
        <f t="shared" si="13"/>
        <v>370680.71651308204</v>
      </c>
      <c r="BD21" s="30">
        <f t="shared" si="13"/>
        <v>419037.93809479807</v>
      </c>
      <c r="BE21" s="30">
        <f t="shared" si="13"/>
        <v>358852.33137798606</v>
      </c>
      <c r="BF21" s="30">
        <f t="shared" si="13"/>
        <v>410112.56253515714</v>
      </c>
      <c r="BG21" s="30">
        <f t="shared" si="13"/>
        <v>305606.91755381238</v>
      </c>
      <c r="BH21" s="30">
        <f t="shared" si="13"/>
        <v>303270.79796167061</v>
      </c>
      <c r="BI21" s="30">
        <f t="shared" si="13"/>
        <v>329865.45463723107</v>
      </c>
      <c r="BJ21" s="30">
        <f t="shared" si="13"/>
        <v>245430.47927547569</v>
      </c>
      <c r="BK21" s="30">
        <f t="shared" si="13"/>
        <v>271346.15025122743</v>
      </c>
      <c r="BL21" s="30">
        <f t="shared" si="13"/>
        <v>306372.50215248001</v>
      </c>
      <c r="BM21" s="30">
        <f t="shared" si="13"/>
        <v>280065.98473635002</v>
      </c>
      <c r="BN21" s="30">
        <f t="shared" si="13"/>
        <v>383951.12095361843</v>
      </c>
      <c r="BO21" s="30">
        <f t="shared" si="13"/>
        <v>381801.13800847455</v>
      </c>
      <c r="BP21" s="30">
        <f t="shared" si="13"/>
        <v>431609.07623764203</v>
      </c>
      <c r="BQ21" s="30">
        <f t="shared" si="13"/>
        <v>369617.90131932561</v>
      </c>
      <c r="BR21" s="30">
        <f t="shared" si="13"/>
        <v>422415.93941121188</v>
      </c>
      <c r="BS21" s="30">
        <f t="shared" si="13"/>
        <v>314775.12508042669</v>
      </c>
      <c r="BT21" s="30">
        <f t="shared" si="13"/>
        <v>312368.92190052074</v>
      </c>
      <c r="BU21" s="30">
        <f t="shared" si="13"/>
        <v>339761.41827634792</v>
      </c>
      <c r="BV21" s="30">
        <f t="shared" si="13"/>
        <v>252793.39365373994</v>
      </c>
      <c r="BW21" s="30">
        <f t="shared" si="13"/>
        <v>279486.53475876432</v>
      </c>
      <c r="BX21" s="30">
        <f t="shared" si="13"/>
        <v>315563.67721705441</v>
      </c>
      <c r="BY21" s="30">
        <f t="shared" si="13"/>
        <v>288467.96427844052</v>
      </c>
      <c r="BZ21" s="30">
        <f t="shared" si="13"/>
        <v>395469.65458222706</v>
      </c>
      <c r="CA21" s="30">
        <f t="shared" si="13"/>
        <v>393255.1721487288</v>
      </c>
      <c r="CB21" s="30">
        <f t="shared" si="13"/>
        <v>444557.34852477128</v>
      </c>
      <c r="CC21" s="30">
        <f t="shared" ref="CC21:EN21" si="14">+CC19*(CC5*$B$1)</f>
        <v>380706.43835890543</v>
      </c>
      <c r="CD21" s="30">
        <f t="shared" si="14"/>
        <v>435088.41759354819</v>
      </c>
      <c r="CE21" s="30">
        <f t="shared" si="14"/>
        <v>324218.37883283955</v>
      </c>
      <c r="CF21" s="30">
        <f t="shared" si="14"/>
        <v>321739.98955753638</v>
      </c>
      <c r="CG21" s="30">
        <f t="shared" si="14"/>
        <v>349954.26082463842</v>
      </c>
      <c r="CH21" s="30">
        <f t="shared" si="14"/>
        <v>260377.19546335217</v>
      </c>
      <c r="CI21" s="30">
        <f t="shared" si="14"/>
        <v>287871.13080152724</v>
      </c>
      <c r="CJ21" s="30">
        <f t="shared" si="14"/>
        <v>325030.58753356605</v>
      </c>
      <c r="CK21" s="30">
        <f t="shared" si="14"/>
        <v>297122.00320679374</v>
      </c>
      <c r="CL21" s="30">
        <f t="shared" si="14"/>
        <v>407333.74421969382</v>
      </c>
      <c r="CM21" s="30">
        <f t="shared" si="14"/>
        <v>405052.82731319062</v>
      </c>
      <c r="CN21" s="30">
        <f t="shared" si="14"/>
        <v>457894.06898051442</v>
      </c>
      <c r="CO21" s="30">
        <f t="shared" si="14"/>
        <v>392127.63150967256</v>
      </c>
      <c r="CP21" s="30">
        <f t="shared" si="14"/>
        <v>448141.0701213546</v>
      </c>
      <c r="CQ21" s="30">
        <f t="shared" si="14"/>
        <v>333944.93019782472</v>
      </c>
      <c r="CR21" s="30">
        <f t="shared" si="14"/>
        <v>331392.18924426247</v>
      </c>
      <c r="CS21" s="30">
        <f t="shared" si="14"/>
        <v>360452.88864937762</v>
      </c>
      <c r="CT21" s="30">
        <f t="shared" si="14"/>
        <v>268188.51132725272</v>
      </c>
      <c r="CU21" s="30">
        <f t="shared" si="14"/>
        <v>296507.26472557307</v>
      </c>
      <c r="CV21" s="30">
        <f t="shared" si="14"/>
        <v>334781.50515957311</v>
      </c>
      <c r="CW21" s="30">
        <f t="shared" si="14"/>
        <v>306035.66330299759</v>
      </c>
      <c r="CX21" s="30">
        <f t="shared" si="14"/>
        <v>419553.75654628465</v>
      </c>
      <c r="CY21" s="30">
        <f t="shared" si="14"/>
        <v>417204.41213258641</v>
      </c>
      <c r="CZ21" s="30">
        <f t="shared" si="14"/>
        <v>471630.89104992989</v>
      </c>
      <c r="DA21" s="30">
        <f t="shared" si="14"/>
        <v>403891.4604549628</v>
      </c>
      <c r="DB21" s="30">
        <f t="shared" si="14"/>
        <v>461585.30222499528</v>
      </c>
      <c r="DC21" s="30">
        <f t="shared" si="14"/>
        <v>343963.27810375951</v>
      </c>
      <c r="DD21" s="30">
        <f t="shared" si="14"/>
        <v>341333.9549215904</v>
      </c>
      <c r="DE21" s="30">
        <f t="shared" si="14"/>
        <v>371266.47530885896</v>
      </c>
      <c r="DF21" s="30">
        <f t="shared" si="14"/>
        <v>276234.16666707036</v>
      </c>
      <c r="DG21" s="30">
        <f t="shared" si="14"/>
        <v>305402.48266734026</v>
      </c>
      <c r="DH21" s="30">
        <f t="shared" si="14"/>
        <v>344824.95031436032</v>
      </c>
      <c r="DI21" s="30">
        <f t="shared" si="14"/>
        <v>315216.73320208752</v>
      </c>
      <c r="DJ21" s="30">
        <f t="shared" si="14"/>
        <v>432140.36924267322</v>
      </c>
      <c r="DK21" s="30">
        <f t="shared" si="14"/>
        <v>429720.54449656396</v>
      </c>
      <c r="DL21" s="30">
        <f t="shared" si="14"/>
        <v>485779.81778142782</v>
      </c>
      <c r="DM21" s="30">
        <f t="shared" si="14"/>
        <v>416008.20426861168</v>
      </c>
      <c r="DN21" s="30">
        <f t="shared" si="14"/>
        <v>475432.8612917451</v>
      </c>
      <c r="DO21" s="30">
        <f t="shared" si="14"/>
        <v>354282.1764468723</v>
      </c>
      <c r="DP21" s="30">
        <f t="shared" si="14"/>
        <v>351573.97356923809</v>
      </c>
      <c r="DQ21" s="30">
        <f t="shared" si="14"/>
        <v>382404.46956812474</v>
      </c>
      <c r="DR21" s="30">
        <f t="shared" si="14"/>
        <v>284521.19166708243</v>
      </c>
      <c r="DS21" s="30">
        <f t="shared" si="14"/>
        <v>314564.55714736052</v>
      </c>
      <c r="DT21" s="30">
        <f t="shared" si="14"/>
        <v>355169.69882379117</v>
      </c>
      <c r="DU21" s="30">
        <f t="shared" si="14"/>
        <v>324673.23519815021</v>
      </c>
      <c r="DV21" s="30">
        <f t="shared" si="14"/>
        <v>445104.58031995338</v>
      </c>
      <c r="DW21" s="30">
        <f t="shared" si="14"/>
        <v>442612.1608314609</v>
      </c>
      <c r="DX21" s="30">
        <f t="shared" si="14"/>
        <v>500353.21231487062</v>
      </c>
      <c r="DY21" s="30">
        <f t="shared" si="14"/>
        <v>428488.45039667003</v>
      </c>
      <c r="DZ21" s="30">
        <f t="shared" si="14"/>
        <v>489695.84713049745</v>
      </c>
      <c r="EA21" s="30">
        <f t="shared" si="14"/>
        <v>364910.64174027846</v>
      </c>
      <c r="EB21" s="30">
        <f t="shared" si="14"/>
        <v>362121.19277631521</v>
      </c>
      <c r="EC21" s="30">
        <f t="shared" si="14"/>
        <v>393876.6036551685</v>
      </c>
      <c r="ED21" s="30">
        <f t="shared" si="14"/>
        <v>293056.8274170949</v>
      </c>
      <c r="EE21" s="30">
        <f t="shared" si="14"/>
        <v>324001.49386178132</v>
      </c>
      <c r="EF21" s="30">
        <f t="shared" si="14"/>
        <v>365824.78978850483</v>
      </c>
      <c r="EG21" s="30">
        <f t="shared" si="14"/>
        <v>334413.43225409469</v>
      </c>
      <c r="EH21" s="30">
        <f t="shared" si="14"/>
        <v>458457.71772955201</v>
      </c>
      <c r="EI21" s="30">
        <f t="shared" si="14"/>
        <v>455890.52565640473</v>
      </c>
      <c r="EJ21" s="30">
        <f t="shared" si="14"/>
        <v>515363.80868431675</v>
      </c>
      <c r="EK21" s="30">
        <f t="shared" si="14"/>
        <v>441343.10390857013</v>
      </c>
      <c r="EL21" s="30">
        <f t="shared" si="14"/>
        <v>504386.72254441242</v>
      </c>
      <c r="EM21" s="30">
        <f t="shared" si="14"/>
        <v>375857.9609924868</v>
      </c>
      <c r="EN21" s="30">
        <f t="shared" si="14"/>
        <v>372984.82855960465</v>
      </c>
      <c r="EO21" s="30">
        <f t="shared" ref="EO21:GZ21" si="15">+EO19*(EO5*$B$1)</f>
        <v>405692.90176482353</v>
      </c>
      <c r="EP21" s="30">
        <f t="shared" si="15"/>
        <v>301848.53223960777</v>
      </c>
      <c r="EQ21" s="30">
        <f t="shared" si="15"/>
        <v>333721.53867763479</v>
      </c>
      <c r="ER21" s="30">
        <f t="shared" si="15"/>
        <v>376799.53348216001</v>
      </c>
      <c r="ES21" s="30">
        <f t="shared" si="15"/>
        <v>344445.83522171754</v>
      </c>
      <c r="ET21" s="30">
        <f t="shared" si="15"/>
        <v>472211.44926143857</v>
      </c>
      <c r="EU21" s="30">
        <f t="shared" si="15"/>
        <v>469567.24142609688</v>
      </c>
      <c r="EV21" s="30">
        <f t="shared" si="15"/>
        <v>530824.72294484626</v>
      </c>
      <c r="EW21" s="30">
        <f t="shared" si="15"/>
        <v>454583.39702582726</v>
      </c>
      <c r="EX21" s="30">
        <f t="shared" si="15"/>
        <v>519518.32422074472</v>
      </c>
      <c r="EY21" s="30">
        <f t="shared" si="15"/>
        <v>387133.69982226141</v>
      </c>
      <c r="EZ21" s="30">
        <f t="shared" si="15"/>
        <v>384174.37341639283</v>
      </c>
      <c r="FA21" s="30">
        <f t="shared" si="15"/>
        <v>417863.6888177683</v>
      </c>
      <c r="FB21" s="30">
        <f t="shared" si="15"/>
        <v>310903.988206796</v>
      </c>
      <c r="FC21" s="30">
        <f t="shared" si="15"/>
        <v>343733.18483796384</v>
      </c>
      <c r="FD21" s="30">
        <f t="shared" si="15"/>
        <v>388103.51948662486</v>
      </c>
      <c r="FE21" s="30">
        <f t="shared" si="15"/>
        <v>354779.21027836908</v>
      </c>
      <c r="FF21" s="30">
        <f t="shared" si="15"/>
        <v>486377.79273928172</v>
      </c>
      <c r="FG21" s="30">
        <f t="shared" si="15"/>
        <v>483654.25866887975</v>
      </c>
      <c r="FH21" s="30">
        <f t="shared" si="15"/>
        <v>546749.46463319159</v>
      </c>
      <c r="FI21" s="30">
        <f t="shared" si="15"/>
        <v>468220.89893660205</v>
      </c>
      <c r="FJ21" s="30">
        <f t="shared" si="15"/>
        <v>535103.87394736707</v>
      </c>
      <c r="FK21" s="30">
        <f t="shared" si="15"/>
        <v>398747.71081692923</v>
      </c>
      <c r="FL21" s="30">
        <f t="shared" si="15"/>
        <v>395699.60461888462</v>
      </c>
      <c r="FM21" s="30">
        <f t="shared" si="15"/>
        <v>430399.59948230133</v>
      </c>
      <c r="FN21" s="30">
        <f t="shared" si="15"/>
        <v>320231.10785299982</v>
      </c>
      <c r="FO21" s="30">
        <f t="shared" si="15"/>
        <v>354045.18038310279</v>
      </c>
      <c r="FP21" s="30">
        <f t="shared" si="15"/>
        <v>399746.62507122365</v>
      </c>
      <c r="FQ21" s="30">
        <f t="shared" si="15"/>
        <v>365422.58658672019</v>
      </c>
      <c r="FR21" s="30">
        <f t="shared" si="15"/>
        <v>500969.12652146013</v>
      </c>
      <c r="FS21" s="30">
        <f t="shared" si="15"/>
        <v>498163.88642894611</v>
      </c>
      <c r="FT21" s="30">
        <f t="shared" si="15"/>
        <v>563151.94857218734</v>
      </c>
      <c r="FU21" s="30">
        <f t="shared" si="15"/>
        <v>482267.52590470004</v>
      </c>
      <c r="FV21" s="30">
        <f t="shared" si="15"/>
        <v>551156.9901657881</v>
      </c>
      <c r="FW21" s="30">
        <f t="shared" si="15"/>
        <v>410710.1421414371</v>
      </c>
      <c r="FX21" s="30">
        <f t="shared" si="15"/>
        <v>407570.59275745112</v>
      </c>
      <c r="FY21" s="30">
        <f t="shared" si="15"/>
        <v>443311.58746677043</v>
      </c>
      <c r="FZ21" s="30">
        <f t="shared" si="15"/>
        <v>329838.04108858987</v>
      </c>
      <c r="GA21" s="30">
        <f t="shared" si="15"/>
        <v>364666.5357945959</v>
      </c>
      <c r="GB21" s="30">
        <f t="shared" si="15"/>
        <v>411739.02382336039</v>
      </c>
      <c r="GC21" s="30">
        <f t="shared" si="15"/>
        <v>376385.26418432186</v>
      </c>
      <c r="GD21" s="30">
        <f t="shared" si="15"/>
        <v>515998.200317104</v>
      </c>
      <c r="GE21" s="30">
        <f t="shared" si="15"/>
        <v>513108.80302181456</v>
      </c>
      <c r="GF21" s="30">
        <f t="shared" si="15"/>
        <v>580046.50702935306</v>
      </c>
      <c r="GG21" s="30">
        <f t="shared" si="15"/>
        <v>496735.55168184114</v>
      </c>
      <c r="GH21" s="30">
        <f t="shared" si="15"/>
        <v>567691.69987076183</v>
      </c>
      <c r="GI21" s="30">
        <f t="shared" si="15"/>
        <v>423031.44640568021</v>
      </c>
      <c r="GJ21" s="30">
        <f t="shared" si="15"/>
        <v>419797.71054017468</v>
      </c>
      <c r="GK21" s="30">
        <f t="shared" si="15"/>
        <v>456610.93509077356</v>
      </c>
      <c r="GL21" s="30">
        <f t="shared" si="15"/>
        <v>339733.18232124759</v>
      </c>
      <c r="GM21" s="30">
        <f t="shared" si="15"/>
        <v>375606.53186843375</v>
      </c>
      <c r="GN21" s="30">
        <f t="shared" si="15"/>
        <v>424091.19453806116</v>
      </c>
      <c r="GO21" s="30">
        <f t="shared" si="15"/>
        <v>387676.82210985146</v>
      </c>
      <c r="GP21" s="30">
        <f t="shared" si="15"/>
        <v>531478.1463266171</v>
      </c>
      <c r="GQ21" s="30">
        <f t="shared" si="15"/>
        <v>528502.067112469</v>
      </c>
      <c r="GR21" s="30">
        <f t="shared" si="15"/>
        <v>597447.90224023361</v>
      </c>
      <c r="GS21" s="30">
        <f t="shared" si="15"/>
        <v>511637.61823229643</v>
      </c>
      <c r="GT21" s="30">
        <f t="shared" si="15"/>
        <v>584722.45086688467</v>
      </c>
      <c r="GU21" s="30">
        <f t="shared" si="15"/>
        <v>435722.38979785069</v>
      </c>
      <c r="GV21" s="30">
        <f t="shared" si="15"/>
        <v>432391.64185637992</v>
      </c>
      <c r="GW21" s="30">
        <f t="shared" si="15"/>
        <v>470309.26314349676</v>
      </c>
      <c r="GX21" s="30">
        <f t="shared" si="15"/>
        <v>349925.17779088503</v>
      </c>
      <c r="GY21" s="30">
        <f t="shared" si="15"/>
        <v>386874.72782448679</v>
      </c>
      <c r="GZ21" s="30">
        <f t="shared" si="15"/>
        <v>436813.93037420302</v>
      </c>
      <c r="HA21" s="30">
        <f t="shared" ref="HA21:IM21" si="16">+HA19*(HA5*$B$1)</f>
        <v>399307.12677314703</v>
      </c>
      <c r="HB21" s="30">
        <f t="shared" si="16"/>
        <v>547422.49071641569</v>
      </c>
      <c r="HC21" s="30">
        <f t="shared" si="16"/>
        <v>544357.12912584317</v>
      </c>
      <c r="HD21" s="30">
        <f t="shared" si="16"/>
        <v>615371.33930744068</v>
      </c>
      <c r="HE21" s="30">
        <f t="shared" si="16"/>
        <v>526986.74677926535</v>
      </c>
      <c r="HF21" s="30">
        <f t="shared" si="16"/>
        <v>602264.12439289119</v>
      </c>
      <c r="HG21" s="30">
        <f t="shared" si="16"/>
        <v>448794.06149178615</v>
      </c>
      <c r="HH21" s="30">
        <f t="shared" si="16"/>
        <v>445363.39111207129</v>
      </c>
      <c r="HI21" s="30">
        <f t="shared" si="16"/>
        <v>484418.54103780165</v>
      </c>
      <c r="HJ21" s="30">
        <f t="shared" si="16"/>
        <v>360422.93312461156</v>
      </c>
      <c r="HK21" s="30">
        <f t="shared" si="16"/>
        <v>398480.96965922136</v>
      </c>
      <c r="HL21" s="30">
        <f t="shared" si="16"/>
        <v>449918.34828542918</v>
      </c>
      <c r="HM21" s="30">
        <f t="shared" si="16"/>
        <v>411286.34057634149</v>
      </c>
      <c r="HN21" s="30">
        <f t="shared" si="16"/>
        <v>563845.16543790814</v>
      </c>
      <c r="HO21" s="30">
        <f t="shared" si="16"/>
        <v>560687.84299961838</v>
      </c>
      <c r="HP21" s="30">
        <f t="shared" si="16"/>
        <v>633832.47948666394</v>
      </c>
      <c r="HQ21" s="30">
        <f t="shared" si="16"/>
        <v>542796.34918264323</v>
      </c>
      <c r="HR21" s="30">
        <f t="shared" si="16"/>
        <v>620332.04812467797</v>
      </c>
      <c r="HS21" s="30">
        <f t="shared" si="16"/>
        <v>462257.88333653973</v>
      </c>
      <c r="HT21" s="30">
        <f t="shared" si="16"/>
        <v>458724.29284543346</v>
      </c>
      <c r="HU21" s="30">
        <f t="shared" si="16"/>
        <v>498951.09726893576</v>
      </c>
      <c r="HV21" s="30">
        <f t="shared" si="16"/>
        <v>371235.6211183499</v>
      </c>
      <c r="HW21" s="30">
        <f t="shared" si="16"/>
        <v>410435.39874899812</v>
      </c>
      <c r="HX21" s="30">
        <f t="shared" si="16"/>
        <v>463415.89873399201</v>
      </c>
      <c r="HY21" s="30">
        <f t="shared" si="16"/>
        <v>423624.93079363171</v>
      </c>
      <c r="HZ21" s="30">
        <f t="shared" si="16"/>
        <v>580760.52040104545</v>
      </c>
      <c r="IA21" s="30">
        <f t="shared" si="16"/>
        <v>577508.4782896071</v>
      </c>
      <c r="IB21" s="30">
        <f t="shared" si="16"/>
        <v>652847.45387126389</v>
      </c>
      <c r="IC21" s="30">
        <f t="shared" si="16"/>
        <v>559080.23965812265</v>
      </c>
      <c r="ID21" s="30">
        <f t="shared" si="16"/>
        <v>638942.00956841826</v>
      </c>
      <c r="IE21" s="30">
        <f t="shared" si="16"/>
        <v>476125.61983663595</v>
      </c>
      <c r="IF21" s="30">
        <f t="shared" si="16"/>
        <v>472486.02163079649</v>
      </c>
      <c r="IG21" s="30">
        <f t="shared" si="16"/>
        <v>513919.63018700387</v>
      </c>
      <c r="IH21" s="30">
        <f t="shared" si="16"/>
        <v>382372.68975190044</v>
      </c>
      <c r="II21" s="30">
        <f t="shared" si="16"/>
        <v>422748.46071146807</v>
      </c>
      <c r="IJ21" s="30">
        <f t="shared" si="16"/>
        <v>477318.37569601176</v>
      </c>
      <c r="IK21" s="30">
        <f t="shared" si="16"/>
        <v>436333.67871744069</v>
      </c>
      <c r="IL21" s="30">
        <f t="shared" si="16"/>
        <v>598183.33601307683</v>
      </c>
      <c r="IM21" s="30">
        <f t="shared" si="16"/>
        <v>594833.73263829516</v>
      </c>
      <c r="IN21" s="30"/>
    </row>
    <row r="22" spans="1:248" x14ac:dyDescent="0.3">
      <c r="A22" t="s">
        <v>912</v>
      </c>
      <c r="B22" s="30"/>
      <c r="C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>
        <f t="shared" ref="AD22:BO22" si="17">+AD20+AD21</f>
        <v>2108217.9956400003</v>
      </c>
      <c r="AE22" s="30">
        <f t="shared" si="17"/>
        <v>2096412.7618800001</v>
      </c>
      <c r="AF22" s="30">
        <f t="shared" si="17"/>
        <v>2369900.6773199998</v>
      </c>
      <c r="AG22" s="30">
        <f t="shared" si="17"/>
        <v>2029516.4372400001</v>
      </c>
      <c r="AH22" s="30">
        <f t="shared" si="17"/>
        <v>2319422.5423800005</v>
      </c>
      <c r="AI22" s="30">
        <f t="shared" si="17"/>
        <v>1728382.9817352002</v>
      </c>
      <c r="AJ22" s="30">
        <f t="shared" si="17"/>
        <v>1715170.8811104002</v>
      </c>
      <c r="AK22" s="30">
        <f t="shared" si="17"/>
        <v>1865578.9686336</v>
      </c>
      <c r="AL22" s="30">
        <f t="shared" si="17"/>
        <v>1388050.5944508002</v>
      </c>
      <c r="AM22" s="30">
        <f t="shared" si="17"/>
        <v>1534618.627116</v>
      </c>
      <c r="AN22" s="30">
        <f t="shared" si="17"/>
        <v>1732712.8032000002</v>
      </c>
      <c r="AO22" s="30">
        <f t="shared" si="17"/>
        <v>1583934.3090000001</v>
      </c>
      <c r="AP22" s="30">
        <f t="shared" si="17"/>
        <v>2171464.5355092003</v>
      </c>
      <c r="AQ22" s="30">
        <f t="shared" si="17"/>
        <v>2159305.1447363999</v>
      </c>
      <c r="AR22" s="30">
        <f t="shared" si="17"/>
        <v>2440997.6976396004</v>
      </c>
      <c r="AS22" s="30">
        <f t="shared" si="17"/>
        <v>2090401.9303572001</v>
      </c>
      <c r="AT22" s="30">
        <f t="shared" si="17"/>
        <v>2389005.2186514004</v>
      </c>
      <c r="AU22" s="30">
        <f t="shared" si="17"/>
        <v>1780234.4711872563</v>
      </c>
      <c r="AV22" s="30">
        <f t="shared" si="17"/>
        <v>1766626.0075437122</v>
      </c>
      <c r="AW22" s="30">
        <f t="shared" si="17"/>
        <v>1921546.3376926079</v>
      </c>
      <c r="AX22" s="30">
        <f t="shared" si="17"/>
        <v>1429692.1122843241</v>
      </c>
      <c r="AY22" s="30">
        <f t="shared" si="17"/>
        <v>1580657.1859294805</v>
      </c>
      <c r="AZ22" s="30">
        <f t="shared" si="17"/>
        <v>1784694.1872960001</v>
      </c>
      <c r="BA22" s="30">
        <f t="shared" si="17"/>
        <v>1631452.3382700002</v>
      </c>
      <c r="BB22" s="30">
        <f t="shared" si="17"/>
        <v>2236608.471574476</v>
      </c>
      <c r="BC22" s="30">
        <f t="shared" si="17"/>
        <v>2224084.299078492</v>
      </c>
      <c r="BD22" s="30">
        <f t="shared" si="17"/>
        <v>2514227.6285687885</v>
      </c>
      <c r="BE22" s="30">
        <f t="shared" si="17"/>
        <v>2153113.9882679163</v>
      </c>
      <c r="BF22" s="30">
        <f t="shared" si="17"/>
        <v>2460675.3752109427</v>
      </c>
      <c r="BG22" s="30">
        <f t="shared" si="17"/>
        <v>1833641.5053228741</v>
      </c>
      <c r="BH22" s="30">
        <f t="shared" si="17"/>
        <v>1819624.7877700238</v>
      </c>
      <c r="BI22" s="30">
        <f t="shared" si="17"/>
        <v>1979192.7278233862</v>
      </c>
      <c r="BJ22" s="30">
        <f t="shared" si="17"/>
        <v>1472582.8756528541</v>
      </c>
      <c r="BK22" s="30">
        <f t="shared" si="17"/>
        <v>1628076.9015073646</v>
      </c>
      <c r="BL22" s="30">
        <f t="shared" si="17"/>
        <v>1838235.0129148799</v>
      </c>
      <c r="BM22" s="30">
        <f t="shared" si="17"/>
        <v>1680395.9084180999</v>
      </c>
      <c r="BN22" s="30">
        <f t="shared" si="17"/>
        <v>2303706.7257217104</v>
      </c>
      <c r="BO22" s="30">
        <f t="shared" si="17"/>
        <v>2290806.8280508472</v>
      </c>
      <c r="BP22" s="30">
        <f t="shared" ref="BP22:DQ22" si="18">+BP20+BP21</f>
        <v>2589654.4574258523</v>
      </c>
      <c r="BQ22" s="30">
        <f t="shared" si="18"/>
        <v>2217707.4079159535</v>
      </c>
      <c r="BR22" s="30">
        <f t="shared" si="18"/>
        <v>2534495.636467271</v>
      </c>
      <c r="BS22" s="30">
        <f t="shared" si="18"/>
        <v>1888650.7504825601</v>
      </c>
      <c r="BT22" s="30">
        <f t="shared" si="18"/>
        <v>1874213.5314031243</v>
      </c>
      <c r="BU22" s="30">
        <f t="shared" si="18"/>
        <v>2038568.5096580875</v>
      </c>
      <c r="BV22" s="30">
        <f t="shared" si="18"/>
        <v>1516760.3619224397</v>
      </c>
      <c r="BW22" s="30">
        <f t="shared" si="18"/>
        <v>1676919.2085525857</v>
      </c>
      <c r="BX22" s="30">
        <f t="shared" si="18"/>
        <v>1893382.0633023265</v>
      </c>
      <c r="BY22" s="30">
        <f t="shared" si="18"/>
        <v>1730807.785670643</v>
      </c>
      <c r="BZ22" s="30">
        <f t="shared" si="18"/>
        <v>2372817.9274933618</v>
      </c>
      <c r="CA22" s="30">
        <f t="shared" si="18"/>
        <v>2359531.0328923725</v>
      </c>
      <c r="CB22" s="30">
        <f t="shared" si="18"/>
        <v>2667344.0911486275</v>
      </c>
      <c r="CC22" s="30">
        <f t="shared" si="18"/>
        <v>2284238.6301534325</v>
      </c>
      <c r="CD22" s="30">
        <f t="shared" si="18"/>
        <v>2610530.5055612889</v>
      </c>
      <c r="CE22" s="30">
        <f t="shared" si="18"/>
        <v>1945310.272997037</v>
      </c>
      <c r="CF22" s="30">
        <f t="shared" si="18"/>
        <v>1930439.9373452181</v>
      </c>
      <c r="CG22" s="30">
        <f t="shared" si="18"/>
        <v>2099725.5649478305</v>
      </c>
      <c r="CH22" s="30">
        <f t="shared" si="18"/>
        <v>1562263.1727801128</v>
      </c>
      <c r="CI22" s="30">
        <f t="shared" si="18"/>
        <v>1727226.7848091633</v>
      </c>
      <c r="CJ22" s="30">
        <f t="shared" si="18"/>
        <v>1950183.5252013966</v>
      </c>
      <c r="CK22" s="30">
        <f t="shared" si="18"/>
        <v>1782732.0192407626</v>
      </c>
      <c r="CL22" s="30">
        <f t="shared" si="18"/>
        <v>2444002.4653181629</v>
      </c>
      <c r="CM22" s="30">
        <f t="shared" si="18"/>
        <v>2430316.9638791438</v>
      </c>
      <c r="CN22" s="30">
        <f t="shared" si="18"/>
        <v>2747364.4138830868</v>
      </c>
      <c r="CO22" s="30">
        <f t="shared" si="18"/>
        <v>2352765.7890580352</v>
      </c>
      <c r="CP22" s="30">
        <f t="shared" si="18"/>
        <v>2688846.4207281275</v>
      </c>
      <c r="CQ22" s="30">
        <f t="shared" si="18"/>
        <v>2003669.5811869483</v>
      </c>
      <c r="CR22" s="30">
        <f t="shared" si="18"/>
        <v>1988353.1354655747</v>
      </c>
      <c r="CS22" s="30">
        <f t="shared" si="18"/>
        <v>2162717.3318962655</v>
      </c>
      <c r="CT22" s="30">
        <f t="shared" si="18"/>
        <v>1609131.0679635163</v>
      </c>
      <c r="CU22" s="30">
        <f t="shared" si="18"/>
        <v>1779043.5883534385</v>
      </c>
      <c r="CV22" s="30">
        <f t="shared" si="18"/>
        <v>2008689.0309574385</v>
      </c>
      <c r="CW22" s="30">
        <f t="shared" si="18"/>
        <v>1836213.9798179856</v>
      </c>
      <c r="CX22" s="30">
        <f t="shared" si="18"/>
        <v>2517322.5392777077</v>
      </c>
      <c r="CY22" s="30">
        <f t="shared" si="18"/>
        <v>2503226.4727955181</v>
      </c>
      <c r="CZ22" s="30">
        <f t="shared" si="18"/>
        <v>2829785.3462995794</v>
      </c>
      <c r="DA22" s="30">
        <f t="shared" si="18"/>
        <v>2423348.7627297766</v>
      </c>
      <c r="DB22" s="30">
        <f t="shared" si="18"/>
        <v>2769511.8133499711</v>
      </c>
      <c r="DC22" s="30">
        <f t="shared" si="18"/>
        <v>2063779.6686225568</v>
      </c>
      <c r="DD22" s="30">
        <f t="shared" si="18"/>
        <v>2048003.7295295421</v>
      </c>
      <c r="DE22" s="30">
        <f t="shared" si="18"/>
        <v>2227598.8518531537</v>
      </c>
      <c r="DF22" s="30">
        <f t="shared" si="18"/>
        <v>1657405.0000024219</v>
      </c>
      <c r="DG22" s="30">
        <f t="shared" si="18"/>
        <v>1832414.8960040417</v>
      </c>
      <c r="DH22" s="30">
        <f t="shared" si="18"/>
        <v>2068949.7018861617</v>
      </c>
      <c r="DI22" s="30">
        <f t="shared" si="18"/>
        <v>1891300.399212525</v>
      </c>
      <c r="DJ22" s="30">
        <f t="shared" si="18"/>
        <v>2592842.2154560392</v>
      </c>
      <c r="DK22" s="30">
        <f t="shared" si="18"/>
        <v>2578323.2669793842</v>
      </c>
      <c r="DL22" s="30">
        <f t="shared" si="18"/>
        <v>2914678.9066885668</v>
      </c>
      <c r="DM22" s="30">
        <f t="shared" si="18"/>
        <v>2496049.2256116699</v>
      </c>
      <c r="DN22" s="30">
        <f t="shared" si="18"/>
        <v>2852597.1677504708</v>
      </c>
      <c r="DO22" s="30">
        <f t="shared" si="18"/>
        <v>2125693.0586812338</v>
      </c>
      <c r="DP22" s="30">
        <f t="shared" si="18"/>
        <v>2109443.8414154286</v>
      </c>
      <c r="DQ22" s="30">
        <f t="shared" si="18"/>
        <v>2294426.817408748</v>
      </c>
      <c r="DR22" s="30">
        <f>+DR20+DR21</f>
        <v>1707127.1500024947</v>
      </c>
      <c r="DS22" s="30">
        <f t="shared" ref="DS22:FG22" si="19">+DS20+DS21</f>
        <v>1887387.3428841629</v>
      </c>
      <c r="DT22" s="30">
        <f t="shared" si="19"/>
        <v>2131018.1929427469</v>
      </c>
      <c r="DU22" s="30">
        <f t="shared" si="19"/>
        <v>1948039.4111889012</v>
      </c>
      <c r="DV22" s="30">
        <f t="shared" si="19"/>
        <v>2670627.4819197198</v>
      </c>
      <c r="DW22" s="30">
        <f t="shared" si="19"/>
        <v>2655672.9649887648</v>
      </c>
      <c r="DX22" s="30">
        <f t="shared" si="19"/>
        <v>3002119.2738892236</v>
      </c>
      <c r="DY22" s="30">
        <f t="shared" si="19"/>
        <v>2570930.7023800202</v>
      </c>
      <c r="DZ22" s="30">
        <f t="shared" si="19"/>
        <v>2938175.0827829847</v>
      </c>
      <c r="EA22" s="30">
        <f t="shared" si="19"/>
        <v>2189463.8504416705</v>
      </c>
      <c r="EB22" s="30">
        <f t="shared" si="19"/>
        <v>2172727.1566578913</v>
      </c>
      <c r="EC22" s="30">
        <f t="shared" si="19"/>
        <v>2363259.6219310109</v>
      </c>
      <c r="ED22" s="30">
        <f t="shared" si="19"/>
        <v>1758340.9645025693</v>
      </c>
      <c r="EE22" s="30">
        <f t="shared" si="19"/>
        <v>1944008.9631706877</v>
      </c>
      <c r="EF22" s="30">
        <f t="shared" si="19"/>
        <v>2194948.7387310294</v>
      </c>
      <c r="EG22" s="30">
        <f t="shared" si="19"/>
        <v>2006480.593524568</v>
      </c>
      <c r="EH22" s="30">
        <f t="shared" si="19"/>
        <v>2750746.3063773122</v>
      </c>
      <c r="EI22" s="30">
        <f t="shared" si="19"/>
        <v>2735343.1539384285</v>
      </c>
      <c r="EJ22" s="30">
        <f t="shared" si="19"/>
        <v>3092182.8521059006</v>
      </c>
      <c r="EK22" s="30">
        <f t="shared" si="19"/>
        <v>2648058.6234514206</v>
      </c>
      <c r="EL22" s="30">
        <f t="shared" si="19"/>
        <v>3026320.3352664742</v>
      </c>
      <c r="EM22" s="30">
        <f t="shared" si="19"/>
        <v>2255147.7659549206</v>
      </c>
      <c r="EN22" s="30">
        <f t="shared" si="19"/>
        <v>2237908.9713576278</v>
      </c>
      <c r="EO22" s="30">
        <f t="shared" si="19"/>
        <v>2434157.4105889411</v>
      </c>
      <c r="EP22" s="30">
        <f t="shared" si="19"/>
        <v>1811091.1934376464</v>
      </c>
      <c r="EQ22" s="30">
        <f t="shared" si="19"/>
        <v>2002329.2320658085</v>
      </c>
      <c r="ER22" s="30">
        <f t="shared" si="19"/>
        <v>2260797.2008929602</v>
      </c>
      <c r="ES22" s="30">
        <f t="shared" si="19"/>
        <v>2066675.0113303051</v>
      </c>
      <c r="ET22" s="30">
        <f t="shared" si="19"/>
        <v>2833268.6955686314</v>
      </c>
      <c r="EU22" s="30">
        <f t="shared" si="19"/>
        <v>2817403.448556581</v>
      </c>
      <c r="EV22" s="30">
        <f t="shared" si="19"/>
        <v>3184948.3376690778</v>
      </c>
      <c r="EW22" s="30">
        <f t="shared" si="19"/>
        <v>2727500.3821549634</v>
      </c>
      <c r="EX22" s="30">
        <f t="shared" si="19"/>
        <v>3117109.9453244684</v>
      </c>
      <c r="EY22" s="30">
        <f t="shared" si="19"/>
        <v>2322802.1989335683</v>
      </c>
      <c r="EZ22" s="30">
        <f t="shared" si="19"/>
        <v>2305046.240498357</v>
      </c>
      <c r="FA22" s="30">
        <f t="shared" si="19"/>
        <v>2507182.1329066097</v>
      </c>
      <c r="FB22" s="30">
        <f t="shared" si="19"/>
        <v>1865423.9292407758</v>
      </c>
      <c r="FC22" s="30">
        <f t="shared" si="19"/>
        <v>2062399.1090277832</v>
      </c>
      <c r="FD22" s="30">
        <f t="shared" si="19"/>
        <v>2328621.116919749</v>
      </c>
      <c r="FE22" s="30">
        <f t="shared" si="19"/>
        <v>2128675.2616702146</v>
      </c>
      <c r="FF22" s="30">
        <f t="shared" si="19"/>
        <v>2918266.7564356904</v>
      </c>
      <c r="FG22" s="30">
        <f t="shared" si="19"/>
        <v>2901925.5520132789</v>
      </c>
      <c r="FH22" s="30">
        <f>+FH20+FH21</f>
        <v>3280496.7877991493</v>
      </c>
      <c r="FI22" s="30">
        <f t="shared" ref="FI22:FY22" si="20">+FI20+FI21</f>
        <v>2809325.3936196119</v>
      </c>
      <c r="FJ22" s="30">
        <f t="shared" si="20"/>
        <v>3210623.2436842024</v>
      </c>
      <c r="FK22" s="30">
        <f t="shared" si="20"/>
        <v>2392486.2649015756</v>
      </c>
      <c r="FL22" s="30">
        <f t="shared" si="20"/>
        <v>2374197.6277133077</v>
      </c>
      <c r="FM22" s="30">
        <f t="shared" si="20"/>
        <v>2582397.5968938079</v>
      </c>
      <c r="FN22" s="30">
        <f t="shared" si="20"/>
        <v>1921386.6471179991</v>
      </c>
      <c r="FO22" s="30">
        <f t="shared" si="20"/>
        <v>2124271.0822986169</v>
      </c>
      <c r="FP22" s="30">
        <f t="shared" si="20"/>
        <v>2398479.7504273416</v>
      </c>
      <c r="FQ22" s="30">
        <f t="shared" si="20"/>
        <v>2192535.5195203209</v>
      </c>
      <c r="FR22" s="30">
        <f t="shared" si="20"/>
        <v>3005814.759128761</v>
      </c>
      <c r="FS22" s="30">
        <f t="shared" si="20"/>
        <v>2988983.318573677</v>
      </c>
      <c r="FT22" s="30">
        <f t="shared" si="20"/>
        <v>3378911.6914331238</v>
      </c>
      <c r="FU22" s="30">
        <f t="shared" si="20"/>
        <v>2893605.1554282005</v>
      </c>
      <c r="FV22" s="30">
        <f t="shared" si="20"/>
        <v>3306941.9409947288</v>
      </c>
      <c r="FW22" s="30">
        <f t="shared" si="20"/>
        <v>2464260.8528486225</v>
      </c>
      <c r="FX22" s="30">
        <f t="shared" si="20"/>
        <v>2445423.5565447072</v>
      </c>
      <c r="FY22" s="30">
        <f t="shared" si="20"/>
        <v>2659869.5248006224</v>
      </c>
      <c r="FZ22" s="30">
        <f>+FZ20+FZ21</f>
        <v>1979028.2465315391</v>
      </c>
      <c r="GA22" s="30">
        <f t="shared" ref="GA22:GJ22" si="21">+GA20+GA21</f>
        <v>2187999.2147675753</v>
      </c>
      <c r="GB22" s="30">
        <f t="shared" si="21"/>
        <v>2470434.1429401622</v>
      </c>
      <c r="GC22" s="30">
        <f t="shared" si="21"/>
        <v>2258311.5851059309</v>
      </c>
      <c r="GD22" s="30">
        <f t="shared" si="21"/>
        <v>3095989.2019026238</v>
      </c>
      <c r="GE22" s="30">
        <f t="shared" si="21"/>
        <v>3078652.8181308871</v>
      </c>
      <c r="GF22" s="30">
        <f t="shared" si="21"/>
        <v>3480279.0421761181</v>
      </c>
      <c r="GG22" s="30">
        <f t="shared" si="21"/>
        <v>2980413.3100910466</v>
      </c>
      <c r="GH22" s="30">
        <f t="shared" si="21"/>
        <v>3406150.1992245708</v>
      </c>
      <c r="GI22" s="30">
        <f t="shared" si="21"/>
        <v>2538188.6784340814</v>
      </c>
      <c r="GJ22" s="30">
        <f t="shared" si="21"/>
        <v>2518786.263241048</v>
      </c>
      <c r="GK22" s="30">
        <f t="shared" ref="GK22:HE22" si="22">+GK20+GK21</f>
        <v>2739665.6105446415</v>
      </c>
      <c r="GL22" s="30">
        <f t="shared" si="22"/>
        <v>2038399.0939274854</v>
      </c>
      <c r="GM22" s="30">
        <f t="shared" si="22"/>
        <v>2253639.1912106024</v>
      </c>
      <c r="GN22" s="30">
        <f t="shared" si="22"/>
        <v>2544547.1672283667</v>
      </c>
      <c r="GO22" s="30">
        <f t="shared" si="22"/>
        <v>2326060.9326591087</v>
      </c>
      <c r="GP22" s="30">
        <f t="shared" si="22"/>
        <v>3188868.8779597031</v>
      </c>
      <c r="GQ22" s="30">
        <f t="shared" si="22"/>
        <v>3171012.4026748142</v>
      </c>
      <c r="GR22" s="30">
        <f t="shared" si="22"/>
        <v>3584687.4134414014</v>
      </c>
      <c r="GS22" s="30">
        <f t="shared" si="22"/>
        <v>3069825.7093937784</v>
      </c>
      <c r="GT22" s="30">
        <f t="shared" si="22"/>
        <v>3508334.7052013078</v>
      </c>
      <c r="GU22" s="30">
        <f t="shared" si="22"/>
        <v>2614334.3387871035</v>
      </c>
      <c r="GV22" s="30">
        <f t="shared" si="22"/>
        <v>2594349.8511382793</v>
      </c>
      <c r="GW22" s="30">
        <f t="shared" si="22"/>
        <v>2821855.5788609805</v>
      </c>
      <c r="GX22" s="30">
        <f t="shared" si="22"/>
        <v>2099551.0667453101</v>
      </c>
      <c r="GY22" s="30">
        <f t="shared" si="22"/>
        <v>2321248.3669469208</v>
      </c>
      <c r="GZ22" s="30">
        <f t="shared" si="22"/>
        <v>2620883.5822452176</v>
      </c>
      <c r="HA22" s="30">
        <f t="shared" si="22"/>
        <v>2395842.7606388819</v>
      </c>
      <c r="HB22" s="30">
        <f t="shared" si="22"/>
        <v>3284534.9442984937</v>
      </c>
      <c r="HC22" s="30">
        <f t="shared" si="22"/>
        <v>3266142.7747550588</v>
      </c>
      <c r="HD22" s="30">
        <f t="shared" si="22"/>
        <v>3692228.0358446436</v>
      </c>
      <c r="HE22" s="30">
        <f t="shared" si="22"/>
        <v>3161920.4806755916</v>
      </c>
      <c r="HF22" s="30">
        <f t="shared" ref="HF22:IM22" si="23">+HF20+HF21</f>
        <v>3613584.7463573474</v>
      </c>
      <c r="HG22" s="30">
        <f t="shared" si="23"/>
        <v>2692764.3689507167</v>
      </c>
      <c r="HH22" s="30">
        <f t="shared" si="23"/>
        <v>2672180.3466724278</v>
      </c>
      <c r="HI22" s="30">
        <f t="shared" si="23"/>
        <v>2906511.2462268099</v>
      </c>
      <c r="HJ22" s="30">
        <f t="shared" si="23"/>
        <v>2162537.5987476693</v>
      </c>
      <c r="HK22" s="30">
        <f t="shared" si="23"/>
        <v>2390885.8179553282</v>
      </c>
      <c r="HL22" s="30">
        <f t="shared" si="23"/>
        <v>2699510.0897125746</v>
      </c>
      <c r="HM22" s="30">
        <f t="shared" si="23"/>
        <v>2467718.0434580487</v>
      </c>
      <c r="HN22" s="30">
        <f t="shared" si="23"/>
        <v>3383070.9926274493</v>
      </c>
      <c r="HO22" s="30">
        <f t="shared" si="23"/>
        <v>3364127.0579977105</v>
      </c>
      <c r="HP22" s="30">
        <f t="shared" si="23"/>
        <v>3802994.8769199834</v>
      </c>
      <c r="HQ22" s="30">
        <f t="shared" si="23"/>
        <v>3256778.0950958598</v>
      </c>
      <c r="HR22" s="30">
        <f t="shared" si="23"/>
        <v>3721992.2887480673</v>
      </c>
      <c r="HS22" s="30">
        <f t="shared" si="23"/>
        <v>2773547.3000192386</v>
      </c>
      <c r="HT22" s="30">
        <f t="shared" si="23"/>
        <v>2752345.7570726005</v>
      </c>
      <c r="HU22" s="30">
        <f t="shared" si="23"/>
        <v>2993706.5836136146</v>
      </c>
      <c r="HV22" s="30">
        <f t="shared" si="23"/>
        <v>2227413.7267100993</v>
      </c>
      <c r="HW22" s="30">
        <f t="shared" si="23"/>
        <v>2462612.3924939884</v>
      </c>
      <c r="HX22" s="30">
        <f t="shared" si="23"/>
        <v>2780495.3924039518</v>
      </c>
      <c r="HY22" s="30">
        <f t="shared" si="23"/>
        <v>2541749.5847617905</v>
      </c>
      <c r="HZ22" s="30">
        <f t="shared" si="23"/>
        <v>3484563.1224062722</v>
      </c>
      <c r="IA22" s="30">
        <f t="shared" si="23"/>
        <v>3465050.8697376419</v>
      </c>
      <c r="IB22" s="30">
        <f t="shared" si="23"/>
        <v>3917084.7232275829</v>
      </c>
      <c r="IC22" s="30">
        <f t="shared" si="23"/>
        <v>3354481.4379487354</v>
      </c>
      <c r="ID22" s="30">
        <f t="shared" si="23"/>
        <v>3833652.0574105098</v>
      </c>
      <c r="IE22" s="30">
        <f t="shared" si="23"/>
        <v>2856753.7190198153</v>
      </c>
      <c r="IF22" s="30">
        <f t="shared" si="23"/>
        <v>2834916.1297847787</v>
      </c>
      <c r="IG22" s="30">
        <f t="shared" si="23"/>
        <v>3083517.7811220232</v>
      </c>
      <c r="IH22" s="30">
        <f t="shared" si="23"/>
        <v>2294236.1385114021</v>
      </c>
      <c r="II22" s="30">
        <f t="shared" si="23"/>
        <v>2536490.7642688081</v>
      </c>
      <c r="IJ22" s="30">
        <f t="shared" si="23"/>
        <v>2863910.2541760704</v>
      </c>
      <c r="IK22" s="30">
        <f t="shared" si="23"/>
        <v>2618002.0723046437</v>
      </c>
      <c r="IL22" s="30">
        <f t="shared" si="23"/>
        <v>3589100.0160784605</v>
      </c>
      <c r="IM22" s="30">
        <f t="shared" si="23"/>
        <v>3569002.3958297712</v>
      </c>
      <c r="IN22" s="30"/>
    </row>
    <row r="23" spans="1:248" x14ac:dyDescent="0.3">
      <c r="B23" s="33"/>
      <c r="C23" s="74"/>
      <c r="D23" s="74"/>
      <c r="F23" s="74"/>
      <c r="G23" s="74"/>
      <c r="H23" s="74"/>
      <c r="I23" s="74"/>
      <c r="J23" s="74"/>
      <c r="K23" s="74"/>
      <c r="L23" s="74"/>
      <c r="M23" s="74"/>
      <c r="N23" s="74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</row>
    <row r="24" spans="1:248" x14ac:dyDescent="0.3">
      <c r="C24">
        <v>2024</v>
      </c>
      <c r="D24">
        <v>2025</v>
      </c>
      <c r="E24">
        <v>2026</v>
      </c>
      <c r="F24">
        <v>2027</v>
      </c>
      <c r="G24">
        <v>2028</v>
      </c>
      <c r="H24">
        <v>2029</v>
      </c>
      <c r="I24">
        <v>2030</v>
      </c>
      <c r="J24">
        <v>2031</v>
      </c>
      <c r="K24">
        <v>2032</v>
      </c>
      <c r="L24">
        <v>2033</v>
      </c>
      <c r="M24">
        <v>2034</v>
      </c>
      <c r="N24">
        <v>2035</v>
      </c>
      <c r="O24">
        <v>2036</v>
      </c>
      <c r="P24">
        <v>2037</v>
      </c>
      <c r="Q24">
        <v>2038</v>
      </c>
      <c r="R24">
        <v>2039</v>
      </c>
      <c r="S24">
        <v>2040</v>
      </c>
      <c r="T24">
        <v>2041</v>
      </c>
      <c r="U24">
        <v>2042</v>
      </c>
      <c r="V24">
        <v>2043</v>
      </c>
      <c r="W24">
        <v>2044</v>
      </c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</row>
    <row r="25" spans="1:248" x14ac:dyDescent="0.3">
      <c r="A25" s="6" t="s">
        <v>913</v>
      </c>
      <c r="C25" s="30">
        <f>+SUMIFS(22:22,17:17,C24)</f>
        <v>0</v>
      </c>
      <c r="D25" s="30">
        <f>+SUMIFS(22:22,17:17,D24)</f>
        <v>0</v>
      </c>
      <c r="E25" s="30">
        <f t="shared" ref="E25:M25" si="24">+SUMIFS(22:22,17:17,E24)</f>
        <v>4204630.7575200005</v>
      </c>
      <c r="F25" s="30">
        <f t="shared" si="24"/>
        <v>22598058.502431601</v>
      </c>
      <c r="G25" s="30">
        <f t="shared" si="24"/>
        <v>23276000.257504549</v>
      </c>
      <c r="H25" s="30">
        <f t="shared" si="24"/>
        <v>23974280.265229687</v>
      </c>
      <c r="I25" s="30">
        <f t="shared" si="24"/>
        <v>24693508.673186574</v>
      </c>
      <c r="J25" s="30">
        <f t="shared" si="24"/>
        <v>25434313.933382176</v>
      </c>
      <c r="K25" s="30">
        <f t="shared" si="24"/>
        <v>26197343.351383641</v>
      </c>
      <c r="L25" s="30">
        <f t="shared" si="24"/>
        <v>26983263.651925158</v>
      </c>
      <c r="M25" s="30">
        <f t="shared" si="24"/>
        <v>27792761.561482906</v>
      </c>
      <c r="N25" s="30">
        <f t="shared" ref="N25:W25" si="25">+SUMIFS(22:22,17:17,N24)</f>
        <v>28626544.408327401</v>
      </c>
      <c r="O25" s="30">
        <f t="shared" si="25"/>
        <v>29485340.740577217</v>
      </c>
      <c r="P25" s="30">
        <f t="shared" si="25"/>
        <v>30369900.962794535</v>
      </c>
      <c r="Q25" s="30">
        <f t="shared" si="25"/>
        <v>31280997.991678372</v>
      </c>
      <c r="R25" s="30">
        <f t="shared" si="25"/>
        <v>32219427.931428723</v>
      </c>
      <c r="S25" s="30">
        <f t="shared" si="25"/>
        <v>33186010.76937158</v>
      </c>
      <c r="T25" s="30">
        <f t="shared" si="25"/>
        <v>34181591.092452735</v>
      </c>
      <c r="U25" s="30">
        <f t="shared" si="25"/>
        <v>35207038.825226314</v>
      </c>
      <c r="V25" s="30">
        <f t="shared" si="25"/>
        <v>36263249.989983112</v>
      </c>
      <c r="W25" s="30">
        <f t="shared" si="25"/>
        <v>37351147.4896826</v>
      </c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</row>
    <row r="27" spans="1:248" x14ac:dyDescent="0.3">
      <c r="B27">
        <f>+YEAR(B28)</f>
        <v>2024</v>
      </c>
      <c r="C27">
        <f>+YEAR(C28)</f>
        <v>2024</v>
      </c>
      <c r="D27">
        <f t="shared" ref="D27:BO27" si="26">+YEAR(D28)</f>
        <v>2024</v>
      </c>
      <c r="E27">
        <f t="shared" si="26"/>
        <v>2024</v>
      </c>
      <c r="F27">
        <f t="shared" si="26"/>
        <v>2024</v>
      </c>
      <c r="G27">
        <f t="shared" si="26"/>
        <v>2024</v>
      </c>
      <c r="H27">
        <f t="shared" si="26"/>
        <v>2025</v>
      </c>
      <c r="I27">
        <f t="shared" si="26"/>
        <v>2025</v>
      </c>
      <c r="J27">
        <f t="shared" si="26"/>
        <v>2025</v>
      </c>
      <c r="K27">
        <f t="shared" si="26"/>
        <v>2025</v>
      </c>
      <c r="L27">
        <f t="shared" si="26"/>
        <v>2025</v>
      </c>
      <c r="M27">
        <f t="shared" si="26"/>
        <v>2025</v>
      </c>
      <c r="N27">
        <f t="shared" si="26"/>
        <v>2025</v>
      </c>
      <c r="O27">
        <f t="shared" si="26"/>
        <v>2025</v>
      </c>
      <c r="P27">
        <f t="shared" si="26"/>
        <v>2025</v>
      </c>
      <c r="Q27">
        <f t="shared" si="26"/>
        <v>2025</v>
      </c>
      <c r="R27">
        <f t="shared" si="26"/>
        <v>2025</v>
      </c>
      <c r="S27">
        <f t="shared" si="26"/>
        <v>2025</v>
      </c>
      <c r="T27">
        <f t="shared" si="26"/>
        <v>2026</v>
      </c>
      <c r="U27">
        <f t="shared" si="26"/>
        <v>2026</v>
      </c>
      <c r="V27">
        <f t="shared" si="26"/>
        <v>2026</v>
      </c>
      <c r="W27">
        <f t="shared" si="26"/>
        <v>2026</v>
      </c>
      <c r="X27">
        <f t="shared" si="26"/>
        <v>2026</v>
      </c>
      <c r="Y27">
        <f t="shared" si="26"/>
        <v>2026</v>
      </c>
      <c r="Z27">
        <f t="shared" si="26"/>
        <v>2026</v>
      </c>
      <c r="AA27">
        <f t="shared" si="26"/>
        <v>2026</v>
      </c>
      <c r="AB27">
        <f t="shared" si="26"/>
        <v>2026</v>
      </c>
      <c r="AC27">
        <f t="shared" si="26"/>
        <v>2026</v>
      </c>
      <c r="AD27">
        <f t="shared" si="26"/>
        <v>2026</v>
      </c>
      <c r="AE27">
        <f t="shared" si="26"/>
        <v>2026</v>
      </c>
      <c r="AF27">
        <f t="shared" si="26"/>
        <v>2027</v>
      </c>
      <c r="AG27">
        <f t="shared" si="26"/>
        <v>2027</v>
      </c>
      <c r="AH27">
        <f t="shared" si="26"/>
        <v>2027</v>
      </c>
      <c r="AI27">
        <f t="shared" si="26"/>
        <v>2027</v>
      </c>
      <c r="AJ27">
        <f t="shared" si="26"/>
        <v>2027</v>
      </c>
      <c r="AK27">
        <f t="shared" si="26"/>
        <v>2027</v>
      </c>
      <c r="AL27">
        <f t="shared" si="26"/>
        <v>2027</v>
      </c>
      <c r="AM27">
        <f t="shared" si="26"/>
        <v>2027</v>
      </c>
      <c r="AN27">
        <f t="shared" si="26"/>
        <v>2027</v>
      </c>
      <c r="AO27">
        <f t="shared" si="26"/>
        <v>2027</v>
      </c>
      <c r="AP27">
        <f t="shared" si="26"/>
        <v>2027</v>
      </c>
      <c r="AQ27">
        <f t="shared" si="26"/>
        <v>2027</v>
      </c>
      <c r="AR27">
        <f t="shared" si="26"/>
        <v>2028</v>
      </c>
      <c r="AS27">
        <f t="shared" si="26"/>
        <v>2028</v>
      </c>
      <c r="AT27">
        <f t="shared" si="26"/>
        <v>2028</v>
      </c>
      <c r="AU27">
        <f t="shared" si="26"/>
        <v>2028</v>
      </c>
      <c r="AV27">
        <f t="shared" si="26"/>
        <v>2028</v>
      </c>
      <c r="AW27">
        <f t="shared" si="26"/>
        <v>2028</v>
      </c>
      <c r="AX27">
        <f t="shared" si="26"/>
        <v>2028</v>
      </c>
      <c r="AY27">
        <f t="shared" si="26"/>
        <v>2028</v>
      </c>
      <c r="AZ27">
        <f t="shared" si="26"/>
        <v>2028</v>
      </c>
      <c r="BA27">
        <f t="shared" si="26"/>
        <v>2028</v>
      </c>
      <c r="BB27">
        <f t="shared" si="26"/>
        <v>2028</v>
      </c>
      <c r="BC27">
        <f t="shared" si="26"/>
        <v>2028</v>
      </c>
      <c r="BD27">
        <f t="shared" si="26"/>
        <v>2029</v>
      </c>
      <c r="BE27">
        <f t="shared" si="26"/>
        <v>2029</v>
      </c>
      <c r="BF27">
        <f t="shared" si="26"/>
        <v>2029</v>
      </c>
      <c r="BG27">
        <f t="shared" si="26"/>
        <v>2029</v>
      </c>
      <c r="BH27">
        <f t="shared" si="26"/>
        <v>2029</v>
      </c>
      <c r="BI27">
        <f t="shared" si="26"/>
        <v>2029</v>
      </c>
      <c r="BJ27">
        <f t="shared" si="26"/>
        <v>2029</v>
      </c>
      <c r="BK27">
        <f t="shared" si="26"/>
        <v>2029</v>
      </c>
      <c r="BL27">
        <f t="shared" si="26"/>
        <v>2029</v>
      </c>
      <c r="BM27">
        <f t="shared" si="26"/>
        <v>2029</v>
      </c>
      <c r="BN27">
        <f t="shared" si="26"/>
        <v>2029</v>
      </c>
      <c r="BO27">
        <f t="shared" si="26"/>
        <v>2029</v>
      </c>
      <c r="BP27">
        <f t="shared" ref="BP27:EA27" si="27">+YEAR(BP28)</f>
        <v>2030</v>
      </c>
      <c r="BQ27">
        <f t="shared" si="27"/>
        <v>2030</v>
      </c>
      <c r="BR27">
        <f t="shared" si="27"/>
        <v>2030</v>
      </c>
      <c r="BS27">
        <f t="shared" si="27"/>
        <v>2030</v>
      </c>
      <c r="BT27">
        <f t="shared" si="27"/>
        <v>2030</v>
      </c>
      <c r="BU27">
        <f t="shared" si="27"/>
        <v>2030</v>
      </c>
      <c r="BV27">
        <f t="shared" si="27"/>
        <v>2030</v>
      </c>
      <c r="BW27">
        <f t="shared" si="27"/>
        <v>2030</v>
      </c>
      <c r="BX27">
        <f t="shared" si="27"/>
        <v>2030</v>
      </c>
      <c r="BY27">
        <f t="shared" si="27"/>
        <v>2030</v>
      </c>
      <c r="BZ27">
        <f t="shared" si="27"/>
        <v>2030</v>
      </c>
      <c r="CA27">
        <f t="shared" si="27"/>
        <v>2030</v>
      </c>
      <c r="CB27">
        <f t="shared" si="27"/>
        <v>2031</v>
      </c>
      <c r="CC27">
        <f t="shared" si="27"/>
        <v>2031</v>
      </c>
      <c r="CD27">
        <f t="shared" si="27"/>
        <v>2031</v>
      </c>
      <c r="CE27">
        <f t="shared" si="27"/>
        <v>2031</v>
      </c>
      <c r="CF27">
        <f t="shared" si="27"/>
        <v>2031</v>
      </c>
      <c r="CG27">
        <f t="shared" si="27"/>
        <v>2031</v>
      </c>
      <c r="CH27">
        <f t="shared" si="27"/>
        <v>2031</v>
      </c>
      <c r="CI27">
        <f t="shared" si="27"/>
        <v>2031</v>
      </c>
      <c r="CJ27">
        <f t="shared" si="27"/>
        <v>2031</v>
      </c>
      <c r="CK27">
        <f t="shared" si="27"/>
        <v>2031</v>
      </c>
      <c r="CL27">
        <f t="shared" si="27"/>
        <v>2031</v>
      </c>
      <c r="CM27">
        <f t="shared" si="27"/>
        <v>2031</v>
      </c>
      <c r="CN27">
        <f t="shared" si="27"/>
        <v>2032</v>
      </c>
      <c r="CO27">
        <f t="shared" si="27"/>
        <v>2032</v>
      </c>
      <c r="CP27">
        <f t="shared" si="27"/>
        <v>2032</v>
      </c>
      <c r="CQ27">
        <f t="shared" si="27"/>
        <v>2032</v>
      </c>
      <c r="CR27">
        <f t="shared" si="27"/>
        <v>2032</v>
      </c>
      <c r="CS27">
        <f t="shared" si="27"/>
        <v>2032</v>
      </c>
      <c r="CT27">
        <f t="shared" si="27"/>
        <v>2032</v>
      </c>
      <c r="CU27">
        <f t="shared" si="27"/>
        <v>2032</v>
      </c>
      <c r="CV27">
        <f t="shared" si="27"/>
        <v>2032</v>
      </c>
      <c r="CW27">
        <f t="shared" si="27"/>
        <v>2032</v>
      </c>
      <c r="CX27">
        <f t="shared" si="27"/>
        <v>2032</v>
      </c>
      <c r="CY27">
        <f t="shared" si="27"/>
        <v>2032</v>
      </c>
      <c r="CZ27">
        <f t="shared" si="27"/>
        <v>2033</v>
      </c>
      <c r="DA27">
        <f t="shared" si="27"/>
        <v>2033</v>
      </c>
      <c r="DB27">
        <f t="shared" si="27"/>
        <v>2033</v>
      </c>
      <c r="DC27">
        <f t="shared" si="27"/>
        <v>2033</v>
      </c>
      <c r="DD27">
        <f t="shared" si="27"/>
        <v>2033</v>
      </c>
      <c r="DE27">
        <f t="shared" si="27"/>
        <v>2033</v>
      </c>
      <c r="DF27">
        <f t="shared" si="27"/>
        <v>2033</v>
      </c>
      <c r="DG27">
        <f t="shared" si="27"/>
        <v>2033</v>
      </c>
      <c r="DH27">
        <f t="shared" si="27"/>
        <v>2033</v>
      </c>
      <c r="DI27">
        <f t="shared" si="27"/>
        <v>2033</v>
      </c>
      <c r="DJ27">
        <f t="shared" si="27"/>
        <v>2033</v>
      </c>
      <c r="DK27">
        <f t="shared" si="27"/>
        <v>2033</v>
      </c>
      <c r="DL27">
        <f t="shared" si="27"/>
        <v>2034</v>
      </c>
      <c r="DM27">
        <f t="shared" si="27"/>
        <v>2034</v>
      </c>
      <c r="DN27">
        <f t="shared" si="27"/>
        <v>2034</v>
      </c>
      <c r="DO27">
        <f t="shared" si="27"/>
        <v>2034</v>
      </c>
      <c r="DP27">
        <f t="shared" si="27"/>
        <v>2034</v>
      </c>
      <c r="DQ27">
        <f t="shared" si="27"/>
        <v>2034</v>
      </c>
      <c r="DR27">
        <f t="shared" si="27"/>
        <v>2034</v>
      </c>
      <c r="DS27">
        <f t="shared" si="27"/>
        <v>2034</v>
      </c>
      <c r="DT27">
        <f t="shared" si="27"/>
        <v>2034</v>
      </c>
      <c r="DU27">
        <f t="shared" si="27"/>
        <v>2034</v>
      </c>
      <c r="DV27">
        <f t="shared" si="27"/>
        <v>2034</v>
      </c>
      <c r="DW27">
        <f t="shared" si="27"/>
        <v>2034</v>
      </c>
      <c r="DX27">
        <f t="shared" si="27"/>
        <v>2035</v>
      </c>
      <c r="DY27">
        <f t="shared" si="27"/>
        <v>2035</v>
      </c>
      <c r="DZ27">
        <f t="shared" si="27"/>
        <v>2035</v>
      </c>
      <c r="EA27">
        <f t="shared" si="27"/>
        <v>2035</v>
      </c>
      <c r="EB27">
        <f t="shared" ref="EB27:GM27" si="28">+YEAR(EB28)</f>
        <v>2035</v>
      </c>
      <c r="EC27">
        <f t="shared" si="28"/>
        <v>2035</v>
      </c>
      <c r="ED27">
        <f t="shared" si="28"/>
        <v>2035</v>
      </c>
      <c r="EE27">
        <f t="shared" si="28"/>
        <v>2035</v>
      </c>
      <c r="EF27">
        <f t="shared" si="28"/>
        <v>2035</v>
      </c>
      <c r="EG27">
        <f t="shared" si="28"/>
        <v>2035</v>
      </c>
      <c r="EH27">
        <f t="shared" si="28"/>
        <v>2035</v>
      </c>
      <c r="EI27">
        <f t="shared" si="28"/>
        <v>2035</v>
      </c>
      <c r="EJ27">
        <f t="shared" si="28"/>
        <v>2036</v>
      </c>
      <c r="EK27">
        <f t="shared" si="28"/>
        <v>2036</v>
      </c>
      <c r="EL27">
        <f t="shared" si="28"/>
        <v>2036</v>
      </c>
      <c r="EM27">
        <f t="shared" si="28"/>
        <v>2036</v>
      </c>
      <c r="EN27">
        <f t="shared" si="28"/>
        <v>2036</v>
      </c>
      <c r="EO27">
        <f t="shared" si="28"/>
        <v>2036</v>
      </c>
      <c r="EP27">
        <f t="shared" si="28"/>
        <v>2036</v>
      </c>
      <c r="EQ27">
        <f t="shared" si="28"/>
        <v>2036</v>
      </c>
      <c r="ER27">
        <f t="shared" si="28"/>
        <v>2036</v>
      </c>
      <c r="ES27">
        <f t="shared" si="28"/>
        <v>2036</v>
      </c>
      <c r="ET27">
        <f t="shared" si="28"/>
        <v>2036</v>
      </c>
      <c r="EU27">
        <f t="shared" si="28"/>
        <v>2036</v>
      </c>
      <c r="EV27">
        <f t="shared" si="28"/>
        <v>2037</v>
      </c>
      <c r="EW27">
        <f t="shared" si="28"/>
        <v>2037</v>
      </c>
      <c r="EX27">
        <f t="shared" si="28"/>
        <v>2037</v>
      </c>
      <c r="EY27">
        <f t="shared" si="28"/>
        <v>2037</v>
      </c>
      <c r="EZ27">
        <f t="shared" si="28"/>
        <v>2037</v>
      </c>
      <c r="FA27">
        <f t="shared" si="28"/>
        <v>2037</v>
      </c>
      <c r="FB27">
        <f t="shared" si="28"/>
        <v>2037</v>
      </c>
      <c r="FC27">
        <f t="shared" si="28"/>
        <v>2037</v>
      </c>
      <c r="FD27">
        <f t="shared" si="28"/>
        <v>2037</v>
      </c>
      <c r="FE27">
        <f t="shared" si="28"/>
        <v>2037</v>
      </c>
      <c r="FF27">
        <f t="shared" si="28"/>
        <v>2037</v>
      </c>
      <c r="FG27">
        <f t="shared" si="28"/>
        <v>2037</v>
      </c>
      <c r="FH27">
        <f t="shared" si="28"/>
        <v>2038</v>
      </c>
      <c r="FI27">
        <f t="shared" si="28"/>
        <v>2038</v>
      </c>
      <c r="FJ27">
        <f t="shared" si="28"/>
        <v>2038</v>
      </c>
      <c r="FK27">
        <f t="shared" si="28"/>
        <v>2038</v>
      </c>
      <c r="FL27">
        <f t="shared" si="28"/>
        <v>2038</v>
      </c>
      <c r="FM27">
        <f t="shared" si="28"/>
        <v>2038</v>
      </c>
      <c r="FN27">
        <f t="shared" si="28"/>
        <v>2038</v>
      </c>
      <c r="FO27">
        <f t="shared" si="28"/>
        <v>2038</v>
      </c>
      <c r="FP27">
        <f t="shared" si="28"/>
        <v>2038</v>
      </c>
      <c r="FQ27">
        <f t="shared" si="28"/>
        <v>2038</v>
      </c>
      <c r="FR27">
        <f t="shared" si="28"/>
        <v>2038</v>
      </c>
      <c r="FS27">
        <f t="shared" si="28"/>
        <v>2038</v>
      </c>
      <c r="FT27">
        <f t="shared" si="28"/>
        <v>2039</v>
      </c>
      <c r="FU27">
        <f t="shared" si="28"/>
        <v>2039</v>
      </c>
      <c r="FV27">
        <f t="shared" si="28"/>
        <v>2039</v>
      </c>
      <c r="FW27">
        <f t="shared" si="28"/>
        <v>2039</v>
      </c>
      <c r="FX27">
        <f t="shared" si="28"/>
        <v>2039</v>
      </c>
      <c r="FY27">
        <f t="shared" si="28"/>
        <v>2039</v>
      </c>
      <c r="FZ27">
        <f t="shared" si="28"/>
        <v>2039</v>
      </c>
      <c r="GA27">
        <f t="shared" si="28"/>
        <v>2039</v>
      </c>
      <c r="GB27">
        <f t="shared" si="28"/>
        <v>2039</v>
      </c>
      <c r="GC27">
        <f t="shared" si="28"/>
        <v>2039</v>
      </c>
      <c r="GD27">
        <f t="shared" si="28"/>
        <v>2039</v>
      </c>
      <c r="GE27">
        <f t="shared" si="28"/>
        <v>2039</v>
      </c>
      <c r="GF27">
        <f t="shared" si="28"/>
        <v>2040</v>
      </c>
      <c r="GG27">
        <f t="shared" si="28"/>
        <v>2040</v>
      </c>
      <c r="GH27">
        <f t="shared" si="28"/>
        <v>2040</v>
      </c>
      <c r="GI27">
        <f t="shared" si="28"/>
        <v>2040</v>
      </c>
      <c r="GJ27">
        <f t="shared" si="28"/>
        <v>2040</v>
      </c>
      <c r="GK27">
        <f t="shared" si="28"/>
        <v>2040</v>
      </c>
      <c r="GL27">
        <f t="shared" si="28"/>
        <v>2040</v>
      </c>
      <c r="GM27">
        <f t="shared" si="28"/>
        <v>2040</v>
      </c>
      <c r="GN27">
        <f t="shared" ref="GN27:IM27" si="29">+YEAR(GN28)</f>
        <v>2040</v>
      </c>
      <c r="GO27">
        <f t="shared" si="29"/>
        <v>2040</v>
      </c>
      <c r="GP27">
        <f t="shared" si="29"/>
        <v>2040</v>
      </c>
      <c r="GQ27">
        <f t="shared" si="29"/>
        <v>2040</v>
      </c>
      <c r="GR27">
        <f t="shared" si="29"/>
        <v>2041</v>
      </c>
      <c r="GS27">
        <f t="shared" si="29"/>
        <v>2041</v>
      </c>
      <c r="GT27">
        <f t="shared" si="29"/>
        <v>2041</v>
      </c>
      <c r="GU27">
        <f t="shared" si="29"/>
        <v>2041</v>
      </c>
      <c r="GV27">
        <f t="shared" si="29"/>
        <v>2041</v>
      </c>
      <c r="GW27">
        <f t="shared" si="29"/>
        <v>2041</v>
      </c>
      <c r="GX27">
        <f t="shared" si="29"/>
        <v>2041</v>
      </c>
      <c r="GY27">
        <f t="shared" si="29"/>
        <v>2041</v>
      </c>
      <c r="GZ27">
        <f t="shared" si="29"/>
        <v>2041</v>
      </c>
      <c r="HA27">
        <f t="shared" si="29"/>
        <v>2041</v>
      </c>
      <c r="HB27">
        <f t="shared" si="29"/>
        <v>2041</v>
      </c>
      <c r="HC27">
        <f t="shared" si="29"/>
        <v>2041</v>
      </c>
      <c r="HD27">
        <f t="shared" si="29"/>
        <v>2042</v>
      </c>
      <c r="HE27">
        <f t="shared" si="29"/>
        <v>2042</v>
      </c>
      <c r="HF27">
        <f t="shared" si="29"/>
        <v>2042</v>
      </c>
      <c r="HG27">
        <f t="shared" si="29"/>
        <v>2042</v>
      </c>
      <c r="HH27">
        <f t="shared" si="29"/>
        <v>2042</v>
      </c>
      <c r="HI27">
        <f t="shared" si="29"/>
        <v>2042</v>
      </c>
      <c r="HJ27">
        <f t="shared" si="29"/>
        <v>2042</v>
      </c>
      <c r="HK27">
        <f t="shared" si="29"/>
        <v>2042</v>
      </c>
      <c r="HL27">
        <f t="shared" si="29"/>
        <v>2042</v>
      </c>
      <c r="HM27">
        <f t="shared" si="29"/>
        <v>2042</v>
      </c>
      <c r="HN27">
        <f t="shared" si="29"/>
        <v>2042</v>
      </c>
      <c r="HO27">
        <f t="shared" si="29"/>
        <v>2042</v>
      </c>
      <c r="HP27">
        <f t="shared" si="29"/>
        <v>2043</v>
      </c>
      <c r="HQ27">
        <f t="shared" si="29"/>
        <v>2043</v>
      </c>
      <c r="HR27">
        <f t="shared" si="29"/>
        <v>2043</v>
      </c>
      <c r="HS27">
        <f t="shared" si="29"/>
        <v>2043</v>
      </c>
      <c r="HT27">
        <f t="shared" si="29"/>
        <v>2043</v>
      </c>
      <c r="HU27">
        <f t="shared" si="29"/>
        <v>2043</v>
      </c>
      <c r="HV27">
        <f t="shared" si="29"/>
        <v>2043</v>
      </c>
      <c r="HW27">
        <f t="shared" si="29"/>
        <v>2043</v>
      </c>
      <c r="HX27">
        <f t="shared" si="29"/>
        <v>2043</v>
      </c>
      <c r="HY27">
        <f t="shared" si="29"/>
        <v>2043</v>
      </c>
      <c r="HZ27">
        <f t="shared" si="29"/>
        <v>2043</v>
      </c>
      <c r="IA27">
        <f t="shared" si="29"/>
        <v>2043</v>
      </c>
      <c r="IB27">
        <f t="shared" si="29"/>
        <v>2044</v>
      </c>
      <c r="IC27">
        <f t="shared" si="29"/>
        <v>2044</v>
      </c>
      <c r="ID27">
        <f t="shared" si="29"/>
        <v>2044</v>
      </c>
      <c r="IE27">
        <f t="shared" si="29"/>
        <v>2044</v>
      </c>
      <c r="IF27">
        <f t="shared" si="29"/>
        <v>2044</v>
      </c>
      <c r="IG27">
        <f t="shared" si="29"/>
        <v>2044</v>
      </c>
      <c r="IH27">
        <f t="shared" si="29"/>
        <v>2044</v>
      </c>
      <c r="II27">
        <f t="shared" si="29"/>
        <v>2044</v>
      </c>
      <c r="IJ27">
        <f t="shared" si="29"/>
        <v>2044</v>
      </c>
      <c r="IK27">
        <f t="shared" si="29"/>
        <v>2044</v>
      </c>
      <c r="IL27">
        <f t="shared" si="29"/>
        <v>2044</v>
      </c>
      <c r="IM27">
        <f t="shared" si="29"/>
        <v>2044</v>
      </c>
    </row>
    <row r="28" spans="1:248" x14ac:dyDescent="0.3">
      <c r="A28" s="6" t="s">
        <v>914</v>
      </c>
      <c r="B28" s="14">
        <v>45474</v>
      </c>
      <c r="C28" s="14">
        <v>45505</v>
      </c>
      <c r="D28" s="14">
        <v>45536</v>
      </c>
      <c r="E28" s="14">
        <v>45566</v>
      </c>
      <c r="F28" s="14">
        <v>45597</v>
      </c>
      <c r="G28" s="14">
        <v>45627</v>
      </c>
      <c r="H28" s="14">
        <v>45658</v>
      </c>
      <c r="I28" s="14">
        <v>45689</v>
      </c>
      <c r="J28" s="14">
        <v>45717</v>
      </c>
      <c r="K28" s="14">
        <v>45748</v>
      </c>
      <c r="L28" s="14">
        <v>45778</v>
      </c>
      <c r="M28" s="14">
        <v>45809</v>
      </c>
      <c r="N28" s="14">
        <v>45839</v>
      </c>
      <c r="O28" s="14">
        <v>45870</v>
      </c>
      <c r="P28" s="14">
        <v>45901</v>
      </c>
      <c r="Q28" s="14">
        <v>45931</v>
      </c>
      <c r="R28" s="14">
        <v>45962</v>
      </c>
      <c r="S28" s="14">
        <v>45992</v>
      </c>
      <c r="T28" s="14">
        <v>46023</v>
      </c>
      <c r="U28" s="14">
        <v>46054</v>
      </c>
      <c r="V28" s="14">
        <v>46082</v>
      </c>
      <c r="W28" s="14">
        <v>46113</v>
      </c>
      <c r="X28" s="14">
        <v>46143</v>
      </c>
      <c r="Y28" s="14">
        <v>46174</v>
      </c>
      <c r="Z28" s="14">
        <v>46204</v>
      </c>
      <c r="AA28" s="14">
        <v>46235</v>
      </c>
      <c r="AB28" s="14">
        <v>46266</v>
      </c>
      <c r="AC28" s="14">
        <v>46296</v>
      </c>
      <c r="AD28" s="14">
        <v>46327</v>
      </c>
      <c r="AE28" s="14">
        <v>46357</v>
      </c>
      <c r="AF28" s="14">
        <v>46388</v>
      </c>
      <c r="AG28" s="14">
        <v>46419</v>
      </c>
      <c r="AH28" s="14">
        <v>46447</v>
      </c>
      <c r="AI28" s="14">
        <v>46478</v>
      </c>
      <c r="AJ28" s="14">
        <v>46508</v>
      </c>
      <c r="AK28" s="14">
        <v>46539</v>
      </c>
      <c r="AL28" s="14">
        <v>46569</v>
      </c>
      <c r="AM28" s="14">
        <v>46600</v>
      </c>
      <c r="AN28" s="14">
        <v>46631</v>
      </c>
      <c r="AO28" s="14">
        <v>46661</v>
      </c>
      <c r="AP28" s="14">
        <v>46692</v>
      </c>
      <c r="AQ28" s="14">
        <v>46722</v>
      </c>
      <c r="AR28" s="14">
        <v>46753</v>
      </c>
      <c r="AS28" s="14">
        <v>46784</v>
      </c>
      <c r="AT28" s="14">
        <v>46813</v>
      </c>
      <c r="AU28" s="14">
        <v>46844</v>
      </c>
      <c r="AV28" s="14">
        <v>46874</v>
      </c>
      <c r="AW28" s="14">
        <v>46905</v>
      </c>
      <c r="AX28" s="14">
        <v>46935</v>
      </c>
      <c r="AY28" s="14">
        <v>46966</v>
      </c>
      <c r="AZ28" s="14">
        <v>46997</v>
      </c>
      <c r="BA28" s="14">
        <v>47027</v>
      </c>
      <c r="BB28" s="14">
        <v>47058</v>
      </c>
      <c r="BC28" s="14">
        <v>47088</v>
      </c>
      <c r="BD28" s="14">
        <v>47119</v>
      </c>
      <c r="BE28" s="14">
        <v>47150</v>
      </c>
      <c r="BF28" s="14">
        <v>47178</v>
      </c>
      <c r="BG28" s="14">
        <v>47209</v>
      </c>
      <c r="BH28" s="14">
        <v>47239</v>
      </c>
      <c r="BI28" s="14">
        <v>47270</v>
      </c>
      <c r="BJ28" s="14">
        <v>47300</v>
      </c>
      <c r="BK28" s="14">
        <v>47331</v>
      </c>
      <c r="BL28" s="14">
        <v>47362</v>
      </c>
      <c r="BM28" s="14">
        <v>47392</v>
      </c>
      <c r="BN28" s="14">
        <v>47423</v>
      </c>
      <c r="BO28" s="14">
        <v>47453</v>
      </c>
      <c r="BP28" s="14">
        <v>47484</v>
      </c>
      <c r="BQ28" s="14">
        <v>47515</v>
      </c>
      <c r="BR28" s="14">
        <v>47543</v>
      </c>
      <c r="BS28" s="14">
        <v>47574</v>
      </c>
      <c r="BT28" s="14">
        <v>47604</v>
      </c>
      <c r="BU28" s="14">
        <v>47635</v>
      </c>
      <c r="BV28" s="14">
        <v>47665</v>
      </c>
      <c r="BW28" s="14">
        <v>47696</v>
      </c>
      <c r="BX28" s="14">
        <v>47727</v>
      </c>
      <c r="BY28" s="14">
        <v>47757</v>
      </c>
      <c r="BZ28" s="14">
        <v>47788</v>
      </c>
      <c r="CA28" s="14">
        <v>47818</v>
      </c>
      <c r="CB28" s="14">
        <v>47849</v>
      </c>
      <c r="CC28" s="14">
        <v>47880</v>
      </c>
      <c r="CD28" s="14">
        <v>47908</v>
      </c>
      <c r="CE28" s="14">
        <v>47939</v>
      </c>
      <c r="CF28" s="14">
        <v>47969</v>
      </c>
      <c r="CG28" s="14">
        <v>48000</v>
      </c>
      <c r="CH28" s="14">
        <v>48030</v>
      </c>
      <c r="CI28" s="14">
        <v>48061</v>
      </c>
      <c r="CJ28" s="14">
        <v>48092</v>
      </c>
      <c r="CK28" s="14">
        <v>48122</v>
      </c>
      <c r="CL28" s="14">
        <v>48153</v>
      </c>
      <c r="CM28" s="14">
        <v>48183</v>
      </c>
      <c r="CN28" s="14">
        <v>48214</v>
      </c>
      <c r="CO28" s="14">
        <v>48245</v>
      </c>
      <c r="CP28" s="14">
        <v>48274</v>
      </c>
      <c r="CQ28" s="14">
        <v>48305</v>
      </c>
      <c r="CR28" s="14">
        <v>48335</v>
      </c>
      <c r="CS28" s="14">
        <v>48366</v>
      </c>
      <c r="CT28" s="14">
        <v>48396</v>
      </c>
      <c r="CU28" s="14">
        <v>48427</v>
      </c>
      <c r="CV28" s="14">
        <v>48458</v>
      </c>
      <c r="CW28" s="14">
        <v>48488</v>
      </c>
      <c r="CX28" s="14">
        <v>48519</v>
      </c>
      <c r="CY28" s="14">
        <v>48549</v>
      </c>
      <c r="CZ28" s="14">
        <v>48580</v>
      </c>
      <c r="DA28" s="14">
        <v>48611</v>
      </c>
      <c r="DB28" s="14">
        <v>48639</v>
      </c>
      <c r="DC28" s="14">
        <v>48670</v>
      </c>
      <c r="DD28" s="14">
        <v>48700</v>
      </c>
      <c r="DE28" s="14">
        <v>48731</v>
      </c>
      <c r="DF28" s="14">
        <v>48761</v>
      </c>
      <c r="DG28" s="14">
        <v>48792</v>
      </c>
      <c r="DH28" s="14">
        <v>48823</v>
      </c>
      <c r="DI28" s="14">
        <v>48853</v>
      </c>
      <c r="DJ28" s="14">
        <v>48884</v>
      </c>
      <c r="DK28" s="14">
        <v>48914</v>
      </c>
      <c r="DL28" s="14">
        <v>48945</v>
      </c>
      <c r="DM28" s="14">
        <v>48976</v>
      </c>
      <c r="DN28" s="14">
        <v>49004</v>
      </c>
      <c r="DO28" s="14">
        <v>49035</v>
      </c>
      <c r="DP28" s="14">
        <v>49065</v>
      </c>
      <c r="DQ28" s="14">
        <v>49096</v>
      </c>
      <c r="DR28" s="14">
        <v>49126</v>
      </c>
      <c r="DS28" s="14">
        <v>49157</v>
      </c>
      <c r="DT28" s="14">
        <v>49188</v>
      </c>
      <c r="DU28" s="14">
        <v>49218</v>
      </c>
      <c r="DV28" s="14">
        <v>49249</v>
      </c>
      <c r="DW28" s="14">
        <v>49279</v>
      </c>
      <c r="DX28" s="14">
        <v>49310</v>
      </c>
      <c r="DY28" s="14">
        <v>49341</v>
      </c>
      <c r="DZ28" s="14">
        <v>49369</v>
      </c>
      <c r="EA28" s="14">
        <v>49400</v>
      </c>
      <c r="EB28" s="14">
        <v>49430</v>
      </c>
      <c r="EC28" s="14">
        <v>49461</v>
      </c>
      <c r="ED28" s="14">
        <v>49491</v>
      </c>
      <c r="EE28" s="14">
        <v>49522</v>
      </c>
      <c r="EF28" s="14">
        <v>49553</v>
      </c>
      <c r="EG28" s="14">
        <v>49583</v>
      </c>
      <c r="EH28" s="14">
        <v>49614</v>
      </c>
      <c r="EI28" s="14">
        <v>49644</v>
      </c>
      <c r="EJ28" s="14">
        <v>49675</v>
      </c>
      <c r="EK28" s="14">
        <v>49706</v>
      </c>
      <c r="EL28" s="14">
        <v>49735</v>
      </c>
      <c r="EM28" s="14">
        <v>49766</v>
      </c>
      <c r="EN28" s="14">
        <v>49796</v>
      </c>
      <c r="EO28" s="14">
        <v>49827</v>
      </c>
      <c r="EP28" s="14">
        <v>49857</v>
      </c>
      <c r="EQ28" s="14">
        <v>49888</v>
      </c>
      <c r="ER28" s="14">
        <v>49919</v>
      </c>
      <c r="ES28" s="14">
        <v>49949</v>
      </c>
      <c r="ET28" s="14">
        <v>49980</v>
      </c>
      <c r="EU28" s="14">
        <v>50010</v>
      </c>
      <c r="EV28" s="14">
        <v>50041</v>
      </c>
      <c r="EW28" s="14">
        <v>50072</v>
      </c>
      <c r="EX28" s="14">
        <v>50100</v>
      </c>
      <c r="EY28" s="14">
        <v>50131</v>
      </c>
      <c r="EZ28" s="14">
        <v>50161</v>
      </c>
      <c r="FA28" s="14">
        <v>50192</v>
      </c>
      <c r="FB28" s="14">
        <v>50222</v>
      </c>
      <c r="FC28" s="14">
        <v>50253</v>
      </c>
      <c r="FD28" s="14">
        <v>50284</v>
      </c>
      <c r="FE28" s="14">
        <v>50314</v>
      </c>
      <c r="FF28" s="14">
        <v>50345</v>
      </c>
      <c r="FG28" s="14">
        <v>50375</v>
      </c>
      <c r="FH28" s="14">
        <v>50406</v>
      </c>
      <c r="FI28" s="14">
        <v>50437</v>
      </c>
      <c r="FJ28" s="14">
        <v>50465</v>
      </c>
      <c r="FK28" s="14">
        <v>50496</v>
      </c>
      <c r="FL28" s="14">
        <v>50526</v>
      </c>
      <c r="FM28" s="14">
        <v>50557</v>
      </c>
      <c r="FN28" s="14">
        <v>50587</v>
      </c>
      <c r="FO28" s="14">
        <v>50618</v>
      </c>
      <c r="FP28" s="14">
        <v>50649</v>
      </c>
      <c r="FQ28" s="14">
        <v>50679</v>
      </c>
      <c r="FR28" s="14">
        <v>50710</v>
      </c>
      <c r="FS28" s="14">
        <v>50740</v>
      </c>
      <c r="FT28" s="14">
        <v>50771</v>
      </c>
      <c r="FU28" s="14">
        <v>50802</v>
      </c>
      <c r="FV28" s="14">
        <v>50830</v>
      </c>
      <c r="FW28" s="14">
        <v>50861</v>
      </c>
      <c r="FX28" s="14">
        <v>50891</v>
      </c>
      <c r="FY28" s="14">
        <v>50922</v>
      </c>
      <c r="FZ28" s="14">
        <v>50952</v>
      </c>
      <c r="GA28" s="14">
        <v>50983</v>
      </c>
      <c r="GB28" s="14">
        <v>51014</v>
      </c>
      <c r="GC28" s="14">
        <v>51044</v>
      </c>
      <c r="GD28" s="14">
        <v>51075</v>
      </c>
      <c r="GE28" s="14">
        <v>51105</v>
      </c>
      <c r="GF28" s="14">
        <v>51136</v>
      </c>
      <c r="GG28" s="14">
        <v>51167</v>
      </c>
      <c r="GH28" s="14">
        <v>51196</v>
      </c>
      <c r="GI28" s="14">
        <v>51227</v>
      </c>
      <c r="GJ28" s="14">
        <v>51257</v>
      </c>
      <c r="GK28" s="14">
        <v>51288</v>
      </c>
      <c r="GL28" s="14">
        <v>51318</v>
      </c>
      <c r="GM28" s="14">
        <v>51349</v>
      </c>
      <c r="GN28" s="14">
        <v>51380</v>
      </c>
      <c r="GO28" s="14">
        <v>51410</v>
      </c>
      <c r="GP28" s="14">
        <v>51441</v>
      </c>
      <c r="GQ28" s="14">
        <v>51471</v>
      </c>
      <c r="GR28" s="14">
        <v>51502</v>
      </c>
      <c r="GS28" s="14">
        <v>51533</v>
      </c>
      <c r="GT28" s="14">
        <v>51561</v>
      </c>
      <c r="GU28" s="14">
        <v>51592</v>
      </c>
      <c r="GV28" s="14">
        <v>51622</v>
      </c>
      <c r="GW28" s="14">
        <v>51653</v>
      </c>
      <c r="GX28" s="14">
        <v>51683</v>
      </c>
      <c r="GY28" s="14">
        <v>51714</v>
      </c>
      <c r="GZ28" s="14">
        <v>51745</v>
      </c>
      <c r="HA28" s="14">
        <v>51775</v>
      </c>
      <c r="HB28" s="14">
        <v>51806</v>
      </c>
      <c r="HC28" s="14">
        <v>51836</v>
      </c>
      <c r="HD28" s="14">
        <v>51867</v>
      </c>
      <c r="HE28" s="14">
        <v>51898</v>
      </c>
      <c r="HF28" s="14">
        <v>51926</v>
      </c>
      <c r="HG28" s="14">
        <v>51957</v>
      </c>
      <c r="HH28" s="14">
        <v>51987</v>
      </c>
      <c r="HI28" s="14">
        <v>52018</v>
      </c>
      <c r="HJ28" s="14">
        <v>52048</v>
      </c>
      <c r="HK28" s="14">
        <v>52079</v>
      </c>
      <c r="HL28" s="14">
        <v>52110</v>
      </c>
      <c r="HM28" s="14">
        <v>52140</v>
      </c>
      <c r="HN28" s="14">
        <v>52171</v>
      </c>
      <c r="HO28" s="14">
        <v>52201</v>
      </c>
      <c r="HP28" s="14">
        <v>52232</v>
      </c>
      <c r="HQ28" s="14">
        <v>52263</v>
      </c>
      <c r="HR28" s="14">
        <v>52291</v>
      </c>
      <c r="HS28" s="14">
        <v>52322</v>
      </c>
      <c r="HT28" s="14">
        <v>52352</v>
      </c>
      <c r="HU28" s="14">
        <v>52383</v>
      </c>
      <c r="HV28" s="14">
        <v>52413</v>
      </c>
      <c r="HW28" s="14">
        <v>52444</v>
      </c>
      <c r="HX28" s="14">
        <v>52475</v>
      </c>
      <c r="HY28" s="14">
        <v>52505</v>
      </c>
      <c r="HZ28" s="14">
        <v>52536</v>
      </c>
      <c r="IA28" s="14">
        <v>52566</v>
      </c>
      <c r="IB28" s="14">
        <v>52597</v>
      </c>
      <c r="IC28" s="14">
        <v>52628</v>
      </c>
      <c r="ID28" s="14">
        <v>52657</v>
      </c>
      <c r="IE28" s="14">
        <v>52688</v>
      </c>
      <c r="IF28" s="14">
        <v>52718</v>
      </c>
      <c r="IG28" s="14">
        <v>52749</v>
      </c>
      <c r="IH28" s="14">
        <v>52779</v>
      </c>
      <c r="II28" s="14">
        <v>52810</v>
      </c>
      <c r="IJ28" s="14">
        <v>52841</v>
      </c>
      <c r="IK28" s="14">
        <v>52871</v>
      </c>
      <c r="IL28" s="14">
        <v>52902</v>
      </c>
      <c r="IM28" s="14">
        <v>52932</v>
      </c>
      <c r="IN28" s="14"/>
    </row>
    <row r="29" spans="1:248" x14ac:dyDescent="0.3"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</row>
    <row r="30" spans="1:248" x14ac:dyDescent="0.3">
      <c r="A30" t="s">
        <v>818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R30" s="30"/>
      <c r="S30" s="30"/>
      <c r="T30" s="30"/>
      <c r="U30" s="30"/>
      <c r="V30" s="30"/>
      <c r="X30" s="30"/>
      <c r="Y30" s="30"/>
      <c r="Z30" s="30"/>
      <c r="AA30" s="30"/>
      <c r="AB30" s="30"/>
      <c r="AC30" s="30">
        <f>+'Capex GoodWe'!M152</f>
        <v>49414068.942789257</v>
      </c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</row>
    <row r="31" spans="1:248" x14ac:dyDescent="0.3">
      <c r="A31" t="s">
        <v>915</v>
      </c>
      <c r="C31" s="30">
        <f>+Producción!C13*'Capital propio'!B6</f>
        <v>0</v>
      </c>
      <c r="D31" s="30"/>
      <c r="E31" s="30"/>
      <c r="F31" s="30"/>
      <c r="G31" s="30"/>
      <c r="I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X31" s="30"/>
      <c r="Y31" s="30"/>
      <c r="Z31" s="30"/>
      <c r="AA31" s="30"/>
      <c r="AB31" s="30"/>
      <c r="AC31" s="30"/>
      <c r="AD31" s="30">
        <f>+Producción!AF13*'Capital propio'!AD6</f>
        <v>73353.812531326999</v>
      </c>
      <c r="AE31" s="30">
        <f>+Producción!AG13*'Capital propio'!AE6</f>
        <v>107980.0632909238</v>
      </c>
      <c r="AF31" s="30">
        <f>+Producción!AH13*'Capital propio'!AF6</f>
        <v>133077.12918661747</v>
      </c>
      <c r="AG31" s="30">
        <f>+Producción!AI13*'Capital propio'!AG6</f>
        <v>139264.87269862788</v>
      </c>
      <c r="AH31" s="30">
        <f>+Producción!AJ13*'Capital propio'!AH6</f>
        <v>133138.39134570176</v>
      </c>
      <c r="AI31" s="30">
        <f>+Producción!AK13*'Capital propio'!AI6</f>
        <v>97061.39746922128</v>
      </c>
      <c r="AJ31" s="30">
        <f>+Producción!AL13*'Capital propio'!AJ6</f>
        <v>93741.820390895329</v>
      </c>
      <c r="AK31" s="30">
        <f>+Producción!AM13*'Capital propio'!AK6</f>
        <v>104111.87906910428</v>
      </c>
      <c r="AL31" s="30">
        <f>+Producción!AN13*'Capital propio'!AL6</f>
        <v>74662.166337170376</v>
      </c>
      <c r="AM31" s="30">
        <f>+Producción!AO13*'Capital propio'!AM6</f>
        <v>74540.301594974066</v>
      </c>
      <c r="AN31" s="30">
        <f>+Producción!AP13*'Capital propio'!AN6</f>
        <v>100770.25862166229</v>
      </c>
      <c r="AO31" s="30">
        <f>+Producción!AQ13*'Capital propio'!AO6</f>
        <v>84149.282516921987</v>
      </c>
      <c r="AP31" s="30">
        <f>+Producción!AR13*'Capital propio'!AP6</f>
        <v>75554.42690726681</v>
      </c>
      <c r="AQ31" s="30">
        <f>+Producción!AS13*'Capital propio'!AQ6</f>
        <v>111219.46518965153</v>
      </c>
      <c r="AR31" s="30">
        <f>+Producción!AT13*'Capital propio'!AR6</f>
        <v>137069.44306221599</v>
      </c>
      <c r="AS31" s="30">
        <f>+Producción!AU13*'Capital propio'!AS6</f>
        <v>143442.8188795867</v>
      </c>
      <c r="AT31" s="30">
        <f>+Producción!AV13*'Capital propio'!AT6</f>
        <v>137132.54308607284</v>
      </c>
      <c r="AU31" s="30">
        <f>+Producción!AW13*'Capital propio'!AU6</f>
        <v>99973.239393297918</v>
      </c>
      <c r="AV31" s="30">
        <f>+Producción!AX13*'Capital propio'!AV6</f>
        <v>96554.075002622194</v>
      </c>
      <c r="AW31" s="30">
        <f>+Producción!AY13*'Capital propio'!AW6</f>
        <v>107235.23544117741</v>
      </c>
      <c r="AX31" s="30">
        <f>+Producción!AZ13*'Capital propio'!AX6</f>
        <v>76902.031327285484</v>
      </c>
      <c r="AY31" s="30">
        <f>+Producción!BA13*'Capital propio'!AY6</f>
        <v>76776.510642823298</v>
      </c>
      <c r="AZ31" s="30">
        <f>+Producción!BB13*'Capital propio'!AZ6</f>
        <v>103793.36638031216</v>
      </c>
      <c r="BA31" s="30">
        <f>+Producción!BC13*'Capital propio'!BA6</f>
        <v>86673.760992429641</v>
      </c>
      <c r="BB31" s="30">
        <f>+Producción!BD13*'Capital propio'!BB6</f>
        <v>77821.059714484814</v>
      </c>
      <c r="BC31" s="30">
        <f>+Producción!BE13*'Capital propio'!BC6</f>
        <v>114556.04914534107</v>
      </c>
      <c r="BD31" s="30">
        <f>+Producción!BF13*'Capital propio'!BD6</f>
        <v>141181.52635408248</v>
      </c>
      <c r="BE31" s="30">
        <f>+Producción!BG13*'Capital propio'!BE6</f>
        <v>147746.1034459743</v>
      </c>
      <c r="BF31" s="30">
        <f>+Producción!BH13*'Capital propio'!BF6</f>
        <v>141246.51937865501</v>
      </c>
      <c r="BG31" s="30">
        <f>+Producción!BI13*'Capital propio'!BG6</f>
        <v>102972.43657509686</v>
      </c>
      <c r="BH31" s="30">
        <f>+Producción!BJ13*'Capital propio'!BH6</f>
        <v>99450.697252700862</v>
      </c>
      <c r="BI31" s="30">
        <f>+Producción!BK13*'Capital propio'!BI6</f>
        <v>110452.29250441275</v>
      </c>
      <c r="BJ31" s="30">
        <f>+Producción!BL13*'Capital propio'!BJ6</f>
        <v>79209.092267104046</v>
      </c>
      <c r="BK31" s="30">
        <f>+Producción!BM13*'Capital propio'!BK6</f>
        <v>79079.805962107988</v>
      </c>
      <c r="BL31" s="30">
        <f>+Producción!BN13*'Capital propio'!BL6</f>
        <v>106907.16737172153</v>
      </c>
      <c r="BM31" s="30">
        <f>+Producción!BO13*'Capital propio'!BM6</f>
        <v>89273.973822202533</v>
      </c>
      <c r="BN31" s="30">
        <f>+Producción!BP13*'Capital propio'!BN6</f>
        <v>80155.691505919371</v>
      </c>
      <c r="BO31" s="30">
        <f>+Producción!BQ13*'Capital propio'!BO6</f>
        <v>117992.73061970131</v>
      </c>
      <c r="BP31" s="30">
        <f>+Producción!BR13*'Capital propio'!BP6</f>
        <v>145416.97214470495</v>
      </c>
      <c r="BQ31" s="30">
        <f>+Producción!BS13*'Capital propio'!BQ6</f>
        <v>152178.48654935355</v>
      </c>
      <c r="BR31" s="30">
        <f>+Producción!BT13*'Capital propio'!BR6</f>
        <v>145483.91496001469</v>
      </c>
      <c r="BS31" s="30">
        <f>+Producción!BU13*'Capital propio'!BS6</f>
        <v>106061.60967234976</v>
      </c>
      <c r="BT31" s="30">
        <f>+Producción!BV13*'Capital propio'!BT6</f>
        <v>102434.21817028189</v>
      </c>
      <c r="BU31" s="30">
        <f>+Producción!BW13*'Capital propio'!BU6</f>
        <v>113765.86127954515</v>
      </c>
      <c r="BV31" s="30">
        <f>+Producción!BX13*'Capital propio'!BV6</f>
        <v>81585.365035117167</v>
      </c>
      <c r="BW31" s="30">
        <f>+Producción!BY13*'Capital propio'!BW6</f>
        <v>81452.200140971239</v>
      </c>
      <c r="BX31" s="30">
        <f>+Producción!BZ13*'Capital propio'!BX6</f>
        <v>110114.38239287319</v>
      </c>
      <c r="BY31" s="30">
        <f>+Producción!CA13*'Capital propio'!BY6</f>
        <v>91952.19303686863</v>
      </c>
      <c r="BZ31" s="30">
        <f>+Producción!CB13*'Capital propio'!BZ6</f>
        <v>82560.362251096944</v>
      </c>
      <c r="CA31" s="30">
        <f>+Producción!CC13*'Capital propio'!CA6</f>
        <v>121532.51253829234</v>
      </c>
      <c r="CB31" s="30">
        <f>+Producción!CD13*'Capital propio'!CB6</f>
        <v>149779.4813090461</v>
      </c>
      <c r="CC31" s="30">
        <f>+Producción!CE13*'Capital propio'!CC6</f>
        <v>156743.84114583416</v>
      </c>
      <c r="CD31" s="30">
        <f>+Producción!CF13*'Capital propio'!CD6</f>
        <v>149848.43240881513</v>
      </c>
      <c r="CE31" s="30">
        <f>+Producción!CG13*'Capital propio'!CE6</f>
        <v>109243.45796252028</v>
      </c>
      <c r="CF31" s="30">
        <f>+Producción!CH13*'Capital propio'!CF6</f>
        <v>105507.24471539035</v>
      </c>
      <c r="CG31" s="30">
        <f>+Producción!CI13*'Capital propio'!CG6</f>
        <v>117178.83711793149</v>
      </c>
      <c r="CH31" s="30">
        <f>+Producción!CJ13*'Capital propio'!CH6</f>
        <v>84032.925986170681</v>
      </c>
      <c r="CI31" s="30">
        <f>+Producción!CK13*'Capital propio'!CI6</f>
        <v>83895.766145200381</v>
      </c>
      <c r="CJ31" s="30">
        <f>+Producción!CL13*'Capital propio'!CJ6</f>
        <v>113417.81386465939</v>
      </c>
      <c r="CK31" s="30">
        <f>+Producción!CM13*'Capital propio'!CK6</f>
        <v>94710.758827974685</v>
      </c>
      <c r="CL31" s="30">
        <f>+Producción!CN13*'Capital propio'!CL6</f>
        <v>85037.173118629857</v>
      </c>
      <c r="CM31" s="30">
        <f>+Producción!CO13*'Capital propio'!CM6</f>
        <v>125178.48791444111</v>
      </c>
      <c r="CN31" s="30">
        <f>+Producción!CP13*'Capital propio'!CN6</f>
        <v>154272.86574831748</v>
      </c>
      <c r="CO31" s="30">
        <f>+Producción!CQ13*'Capital propio'!CO6</f>
        <v>161446.1563802092</v>
      </c>
      <c r="CP31" s="30">
        <f>+Producción!CR13*'Capital propio'!CP6</f>
        <v>154343.88538107957</v>
      </c>
      <c r="CQ31" s="30">
        <f>+Producción!CS13*'Capital propio'!CQ6</f>
        <v>112520.76170139588</v>
      </c>
      <c r="CR31" s="30">
        <f>+Producción!CT13*'Capital propio'!CR6</f>
        <v>108672.46205685206</v>
      </c>
      <c r="CS31" s="30">
        <f>+Producción!CU13*'Capital propio'!CS6</f>
        <v>120694.20223146945</v>
      </c>
      <c r="CT31" s="30">
        <f>+Producción!CV13*'Capital propio'!CT6</f>
        <v>86553.913765755802</v>
      </c>
      <c r="CU31" s="30">
        <f>+Producción!CW13*'Capital propio'!CU6</f>
        <v>86412.639129556395</v>
      </c>
      <c r="CV31" s="30">
        <f>+Producción!CX13*'Capital propio'!CV6</f>
        <v>116820.34828059917</v>
      </c>
      <c r="CW31" s="30">
        <f>+Producción!CY13*'Capital propio'!CW6</f>
        <v>97552.08159281392</v>
      </c>
      <c r="CX31" s="30">
        <f>+Producción!CZ13*'Capital propio'!CX6</f>
        <v>87588.288312188743</v>
      </c>
      <c r="CY31" s="30">
        <f>+Producción!DA13*'Capital propio'!CY6</f>
        <v>128933.84255187435</v>
      </c>
      <c r="CZ31" s="30">
        <f>+Producción!DB13*'Capital propio'!CZ6</f>
        <v>158901.05172076702</v>
      </c>
      <c r="DA31" s="30">
        <f>+Producción!DC13*'Capital propio'!DA6</f>
        <v>166289.5410716155</v>
      </c>
      <c r="DB31" s="30">
        <f>+Producción!DD13*'Capital propio'!DB6</f>
        <v>158974.20194251195</v>
      </c>
      <c r="DC31" s="30">
        <f>+Producción!DE13*'Capital propio'!DC6</f>
        <v>115896.38455243775</v>
      </c>
      <c r="DD31" s="30">
        <f>+Producción!DF13*'Capital propio'!DD6</f>
        <v>111932.63591855763</v>
      </c>
      <c r="DE31" s="30">
        <f>+Producción!DG13*'Capital propio'!DE6</f>
        <v>124315.02829841353</v>
      </c>
      <c r="DF31" s="30">
        <f>+Producción!DH13*'Capital propio'!DF6</f>
        <v>89150.531178728474</v>
      </c>
      <c r="DG31" s="30">
        <f>+Producción!DI13*'Capital propio'!DG6</f>
        <v>89005.018303443096</v>
      </c>
      <c r="DH31" s="30">
        <f>+Producción!DJ13*'Capital propio'!DH6</f>
        <v>120324.95872901713</v>
      </c>
      <c r="DI31" s="30">
        <f>+Producción!DK13*'Capital propio'!DI6</f>
        <v>100478.64404059833</v>
      </c>
      <c r="DJ31" s="30">
        <f>+Producción!DL13*'Capital propio'!DJ6</f>
        <v>90215.936961554413</v>
      </c>
      <c r="DK31" s="30">
        <f>+Producción!DM13*'Capital propio'!DK6</f>
        <v>132801.8578284306</v>
      </c>
      <c r="DL31" s="30">
        <f>+Producción!DN13*'Capital propio'!DL6</f>
        <v>163668.08327239004</v>
      </c>
      <c r="DM31" s="30">
        <f>+Producción!DO13*'Capital propio'!DM6</f>
        <v>171278.22730376397</v>
      </c>
      <c r="DN31" s="30">
        <f>+Producción!DP13*'Capital propio'!DN6</f>
        <v>163743.42800078733</v>
      </c>
      <c r="DO31" s="30">
        <f>+Producción!DQ13*'Capital propio'!DO6</f>
        <v>119373.27608901089</v>
      </c>
      <c r="DP31" s="30">
        <f>+Producción!DR13*'Capital propio'!DP6</f>
        <v>115290.61499611435</v>
      </c>
      <c r="DQ31" s="30">
        <f>+Producción!DS13*'Capital propio'!DQ6</f>
        <v>128044.47914736594</v>
      </c>
      <c r="DR31" s="30">
        <f>+Producción!DT13*'Capital propio'!DR6</f>
        <v>91825.047114090339</v>
      </c>
      <c r="DS31" s="30">
        <f>+Producción!DU13*'Capital propio'!DS6</f>
        <v>91675.168852546383</v>
      </c>
      <c r="DT31" s="30">
        <f>+Producción!DV13*'Capital propio'!DT6</f>
        <v>123934.70749088765</v>
      </c>
      <c r="DU31" s="30">
        <f>+Producción!DW13*'Capital propio'!DU6</f>
        <v>103493.00336181629</v>
      </c>
      <c r="DV31" s="30">
        <f>+Producción!DX13*'Capital propio'!DV6</f>
        <v>92922.415070401054</v>
      </c>
      <c r="DW31" s="30">
        <f>+Producción!DY13*'Capital propio'!DW6</f>
        <v>136785.91356328351</v>
      </c>
      <c r="DX31" s="30">
        <f>+Producción!DZ13*'Capital propio'!DX6</f>
        <v>168578.12577056172</v>
      </c>
      <c r="DY31" s="30">
        <f>+Producción!EA13*'Capital propio'!DY6</f>
        <v>176416.57412287689</v>
      </c>
      <c r="DZ31" s="30">
        <f>+Producción!EB13*'Capital propio'!DZ6</f>
        <v>168655.73084081095</v>
      </c>
      <c r="EA31" s="30">
        <f>+Producción!EC13*'Capital propio'!EA6</f>
        <v>122954.47437168122</v>
      </c>
      <c r="EB31" s="30">
        <f>+Producción!ED13*'Capital propio'!EB6</f>
        <v>118749.33344599779</v>
      </c>
      <c r="EC31" s="30">
        <f>+Producción!EE13*'Capital propio'!EC6</f>
        <v>131885.81352178691</v>
      </c>
      <c r="ED31" s="30">
        <f>+Producción!EF13*'Capital propio'!ED6</f>
        <v>94579.798527513049</v>
      </c>
      <c r="EE31" s="30">
        <f>+Producción!EG13*'Capital propio'!EE6</f>
        <v>94425.423918122789</v>
      </c>
      <c r="EF31" s="30">
        <f>+Producción!EH13*'Capital propio'!EF6</f>
        <v>127652.7487156143</v>
      </c>
      <c r="EG31" s="30">
        <f>+Producción!EI13*'Capital propio'!EG6</f>
        <v>106597.79346267077</v>
      </c>
      <c r="EH31" s="30">
        <f>+Producción!EJ13*'Capital propio'!EH6</f>
        <v>95710.087522513073</v>
      </c>
      <c r="EI31" s="30">
        <f>+Producción!EK13*'Capital propio'!EI6</f>
        <v>140889.490970182</v>
      </c>
      <c r="EJ31" s="30">
        <f>+Producción!EL13*'Capital propio'!EJ6</f>
        <v>173635.4695436786</v>
      </c>
      <c r="EK31" s="30">
        <f>+Producción!EM13*'Capital propio'!EK6</f>
        <v>181709.0713465632</v>
      </c>
      <c r="EL31" s="30">
        <f>+Producción!EN13*'Capital propio'!EL6</f>
        <v>173715.40276603529</v>
      </c>
      <c r="EM31" s="30">
        <f>+Producción!EO13*'Capital propio'!EM6</f>
        <v>126643.10860283166</v>
      </c>
      <c r="EN31" s="30">
        <f>+Producción!EP13*'Capital propio'!EN6</f>
        <v>122311.81344937772</v>
      </c>
      <c r="EO31" s="30">
        <f>+Producción!EQ13*'Capital propio'!EO6</f>
        <v>135842.38792744055</v>
      </c>
      <c r="EP31" s="30">
        <f>+Producción!ER13*'Capital propio'!EP6</f>
        <v>97417.19248333844</v>
      </c>
      <c r="EQ31" s="30">
        <f>+Producción!ES13*'Capital propio'!EQ6</f>
        <v>97258.186635666469</v>
      </c>
      <c r="ER31" s="30">
        <f>+Producción!ET13*'Capital propio'!ER6</f>
        <v>131482.33117708273</v>
      </c>
      <c r="ES31" s="30">
        <f>+Producción!EU13*'Capital propio'!ES6</f>
        <v>109795.72726655091</v>
      </c>
      <c r="ET31" s="30">
        <f>+Producción!EV13*'Capital propio'!ET6</f>
        <v>98581.390148188468</v>
      </c>
      <c r="EU31" s="30">
        <f>+Producción!EW13*'Capital propio'!EU6</f>
        <v>145116.17569928747</v>
      </c>
      <c r="EV31" s="30">
        <f>+Producción!EX13*'Capital propio'!EV6</f>
        <v>178844.53362998893</v>
      </c>
      <c r="EW31" s="30">
        <f>+Producción!EY13*'Capital propio'!EW6</f>
        <v>187160.3434869601</v>
      </c>
      <c r="EX31" s="30">
        <f>+Producción!EZ13*'Capital propio'!EX6</f>
        <v>178926.86484901636</v>
      </c>
      <c r="EY31" s="30">
        <f>+Producción!FA13*'Capital propio'!EY6</f>
        <v>130442.40186091662</v>
      </c>
      <c r="EZ31" s="30">
        <f>+Producción!FB13*'Capital propio'!EZ6</f>
        <v>125981.16785285907</v>
      </c>
      <c r="FA31" s="30">
        <f>+Producción!FC13*'Capital propio'!FA6</f>
        <v>139917.65956526375</v>
      </c>
      <c r="FB31" s="30">
        <f>+Producción!FD13*'Capital propio'!FB6</f>
        <v>100339.7082578386</v>
      </c>
      <c r="FC31" s="30">
        <f>+Producción!FE13*'Capital propio'!FC6</f>
        <v>100175.93223473647</v>
      </c>
      <c r="FD31" s="30">
        <f>+Producción!FF13*'Capital propio'!FD6</f>
        <v>135426.80111239522</v>
      </c>
      <c r="FE31" s="30">
        <f>+Producción!FG13*'Capital propio'!FE6</f>
        <v>113089.59908454743</v>
      </c>
      <c r="FF31" s="30">
        <f>+Producción!FH13*'Capital propio'!FF6</f>
        <v>101538.83185263413</v>
      </c>
      <c r="FG31" s="30">
        <f>+Producción!FI13*'Capital propio'!FG6</f>
        <v>149469.66097026612</v>
      </c>
      <c r="FH31" s="30">
        <f>+Producción!FJ13*'Capital propio'!FH6</f>
        <v>184209.86963888863</v>
      </c>
      <c r="FI31" s="30">
        <f>+Producción!FK13*'Capital propio'!FI6</f>
        <v>192775.15379156891</v>
      </c>
      <c r="FJ31" s="30">
        <f>+Producción!FL13*'Capital propio'!FJ6</f>
        <v>184294.67079448685</v>
      </c>
      <c r="FK31" s="30">
        <f>+Producción!FM13*'Capital propio'!FK6</f>
        <v>134355.67391674413</v>
      </c>
      <c r="FL31" s="30">
        <f>+Producción!FN13*'Capital propio'!FL6</f>
        <v>129760.60288844485</v>
      </c>
      <c r="FM31" s="30">
        <f>+Producción!FO13*'Capital propio'!FM6</f>
        <v>144115.18935222167</v>
      </c>
      <c r="FN31" s="30">
        <f>+Producción!FP13*'Capital propio'!FN6</f>
        <v>103349.89950557376</v>
      </c>
      <c r="FO31" s="30">
        <f>+Producción!FQ13*'Capital propio'!FO6</f>
        <v>103181.21020177857</v>
      </c>
      <c r="FP31" s="30">
        <f>+Producción!FR13*'Capital propio'!FP6</f>
        <v>139489.60514576707</v>
      </c>
      <c r="FQ31" s="30">
        <f>+Producción!FS13*'Capital propio'!FQ6</f>
        <v>116482.28705708386</v>
      </c>
      <c r="FR31" s="30">
        <f>+Producción!FT13*'Capital propio'!FR6</f>
        <v>104584.99680821315</v>
      </c>
      <c r="FS31" s="30">
        <f>+Producción!FU13*'Capital propio'!FS6</f>
        <v>153953.7507993741</v>
      </c>
      <c r="FT31" s="30">
        <f>+Producción!FV13*'Capital propio'!FT6</f>
        <v>189736.16572805529</v>
      </c>
      <c r="FU31" s="30">
        <f>+Producción!FW13*'Capital propio'!FU6</f>
        <v>198558.408405316</v>
      </c>
      <c r="FV31" s="30">
        <f>+Producción!FX13*'Capital propio'!FV6</f>
        <v>189823.51091832147</v>
      </c>
      <c r="FW31" s="30">
        <f>+Producción!FY13*'Capital propio'!FW6</f>
        <v>138386.34413424644</v>
      </c>
      <c r="FX31" s="30">
        <f>+Producción!FZ13*'Capital propio'!FX6</f>
        <v>133653.42097509821</v>
      </c>
      <c r="FY31" s="30">
        <f>+Producción!GA13*'Capital propio'!FY6</f>
        <v>148438.64503278834</v>
      </c>
      <c r="FZ31" s="30">
        <f>+Producción!GB13*'Capital propio'!FZ6</f>
        <v>106450.39649074098</v>
      </c>
      <c r="GA31" s="30">
        <f>+Producción!GC13*'Capital propio'!GA6</f>
        <v>106276.64650783192</v>
      </c>
      <c r="GB31" s="30">
        <f>+Producción!GD13*'Capital propio'!GB6</f>
        <v>143674.29330014007</v>
      </c>
      <c r="GC31" s="30">
        <f>+Producción!GE13*'Capital propio'!GC6</f>
        <v>119976.75566879637</v>
      </c>
      <c r="GD31" s="30">
        <f>+Producción!GF13*'Capital propio'!GD6</f>
        <v>107722.54671245955</v>
      </c>
      <c r="GE31" s="30">
        <f>+Producción!GG13*'Capital propio'!GE6</f>
        <v>158572.36332335533</v>
      </c>
      <c r="GF31" s="30">
        <f>+Producción!GH13*'Capital propio'!GF6</f>
        <v>195428.25069989695</v>
      </c>
      <c r="GG31" s="30">
        <f>+Producción!GI13*'Capital propio'!GG6</f>
        <v>204515.16065747547</v>
      </c>
      <c r="GH31" s="30">
        <f>+Producción!GJ13*'Capital propio'!GH6</f>
        <v>195518.21624587112</v>
      </c>
      <c r="GI31" s="30">
        <f>+Producción!GK13*'Capital propio'!GI6</f>
        <v>142537.93445827384</v>
      </c>
      <c r="GJ31" s="30">
        <f>+Producción!GL13*'Capital propio'!GJ6</f>
        <v>137663.02360435115</v>
      </c>
      <c r="GK31" s="30">
        <f>+Producción!GM13*'Capital propio'!GK6</f>
        <v>152891.80438377199</v>
      </c>
      <c r="GL31" s="30">
        <f>+Producción!GN13*'Capital propio'!GL6</f>
        <v>109643.90838546322</v>
      </c>
      <c r="GM31" s="30">
        <f>+Producción!GO13*'Capital propio'!GM6</f>
        <v>109464.94590306688</v>
      </c>
      <c r="GN31" s="30">
        <f>+Producción!GP13*'Capital propio'!GN6</f>
        <v>147984.52209914429</v>
      </c>
      <c r="GO31" s="30">
        <f>+Producción!GQ13*'Capital propio'!GO6</f>
        <v>123576.05833886025</v>
      </c>
      <c r="GP31" s="30">
        <f>+Producción!GR13*'Capital propio'!GP6</f>
        <v>110954.22311383333</v>
      </c>
      <c r="GQ31" s="30">
        <f>+Producción!GS13*'Capital propio'!GQ6</f>
        <v>163329.53422305599</v>
      </c>
      <c r="GR31" s="30">
        <f>+Producción!GT13*'Capital propio'!GR6</f>
        <v>201291.09822089385</v>
      </c>
      <c r="GS31" s="30">
        <f>+Producción!GU13*'Capital propio'!GS6</f>
        <v>210650.61547719975</v>
      </c>
      <c r="GT31" s="30">
        <f>+Producción!GV13*'Capital propio'!GT6</f>
        <v>201383.76273324725</v>
      </c>
      <c r="GU31" s="30">
        <f>+Producción!GW13*'Capital propio'!GU6</f>
        <v>146814.07249202207</v>
      </c>
      <c r="GV31" s="30">
        <f>+Producción!GX13*'Capital propio'!GV6</f>
        <v>141792.91431248168</v>
      </c>
      <c r="GW31" s="30">
        <f>+Producción!GY13*'Capital propio'!GW6</f>
        <v>157478.55851528514</v>
      </c>
      <c r="GX31" s="30">
        <f>+Producción!GZ13*'Capital propio'!GX6</f>
        <v>112933.22563702712</v>
      </c>
      <c r="GY31" s="30">
        <f>+Producción!HA13*'Capital propio'!GY6</f>
        <v>112748.89428015889</v>
      </c>
      <c r="GZ31" s="30">
        <f>+Producción!HB13*'Capital propio'!GZ6</f>
        <v>152424.05776211861</v>
      </c>
      <c r="HA31" s="30">
        <f>+Producción!HC13*'Capital propio'!HA6</f>
        <v>127283.34008902607</v>
      </c>
      <c r="HB31" s="30">
        <f>+Producción!HD13*'Capital propio'!HB6</f>
        <v>114282.84980724833</v>
      </c>
      <c r="HC31" s="30">
        <f>+Producción!HE13*'Capital propio'!HC6</f>
        <v>168229.42024974769</v>
      </c>
      <c r="HD31" s="30">
        <f>+Producción!HF13*'Capital propio'!HD6</f>
        <v>207329.83116752066</v>
      </c>
      <c r="HE31" s="30">
        <f>+Producción!HG13*'Capital propio'!HE6</f>
        <v>216970.13394151576</v>
      </c>
      <c r="HF31" s="30">
        <f>+Producción!HH13*'Capital propio'!HF6</f>
        <v>207425.27561524467</v>
      </c>
      <c r="HG31" s="30">
        <f>+Producción!HI13*'Capital propio'!HG6</f>
        <v>151218.4946667827</v>
      </c>
      <c r="HH31" s="30">
        <f>+Producción!HJ13*'Capital propio'!HH6</f>
        <v>146046.70174185612</v>
      </c>
      <c r="HI31" s="30">
        <f>+Producción!HK13*'Capital propio'!HI6</f>
        <v>162202.91527074372</v>
      </c>
      <c r="HJ31" s="30">
        <f>+Producción!HL13*'Capital propio'!HJ6</f>
        <v>116321.22240613794</v>
      </c>
      <c r="HK31" s="30">
        <f>+Producción!HM13*'Capital propio'!HK6</f>
        <v>116131.36110856365</v>
      </c>
      <c r="HL31" s="30">
        <f>+Producción!HN13*'Capital propio'!HL6</f>
        <v>156996.77949498218</v>
      </c>
      <c r="HM31" s="30">
        <f>+Producción!HO13*'Capital propio'!HM6</f>
        <v>131101.84029169686</v>
      </c>
      <c r="HN31" s="30">
        <f>+Producción!HP13*'Capital propio'!HN6</f>
        <v>117711.33530146579</v>
      </c>
      <c r="HO31" s="30">
        <f>+Producción!HQ13*'Capital propio'!HO6</f>
        <v>173276.30285724011</v>
      </c>
      <c r="HP31" s="30">
        <f>+Producción!HR13*'Capital propio'!HP6</f>
        <v>213549.72610254629</v>
      </c>
      <c r="HQ31" s="30">
        <f>+Producción!HS13*'Capital propio'!HQ6</f>
        <v>223479.23795976126</v>
      </c>
      <c r="HR31" s="30">
        <f>+Producción!HT13*'Capital propio'!HR6</f>
        <v>213648.03388370204</v>
      </c>
      <c r="HS31" s="30">
        <f>+Producción!HU13*'Capital propio'!HS6</f>
        <v>155755.04950678619</v>
      </c>
      <c r="HT31" s="30">
        <f>+Producción!HV13*'Capital propio'!HT6</f>
        <v>150428.10279411182</v>
      </c>
      <c r="HU31" s="30">
        <f>+Producción!HW13*'Capital propio'!HU6</f>
        <v>167069.00272886601</v>
      </c>
      <c r="HV31" s="30">
        <f>+Producción!HX13*'Capital propio'!HV6</f>
        <v>119810.85907832209</v>
      </c>
      <c r="HW31" s="30">
        <f>+Producción!HY13*'Capital propio'!HW6</f>
        <v>119615.30194182057</v>
      </c>
      <c r="HX31" s="30">
        <f>+Producción!HZ13*'Capital propio'!HX6</f>
        <v>161706.68287983164</v>
      </c>
      <c r="HY31" s="30">
        <f>+Producción!IA13*'Capital propio'!HY6</f>
        <v>135034.89550044775</v>
      </c>
      <c r="HZ31" s="30">
        <f>+Producción!IB13*'Capital propio'!HZ6</f>
        <v>121242.67536050978</v>
      </c>
      <c r="IA31" s="30">
        <f>+Producción!IC13*'Capital propio'!IA6</f>
        <v>178474.59194295731</v>
      </c>
      <c r="IB31" s="30">
        <f>+Producción!ID13*'Capital propio'!IB6</f>
        <v>219956.21788562267</v>
      </c>
      <c r="IC31" s="30">
        <f>+Producción!IE13*'Capital propio'!IC6</f>
        <v>230183.61509855412</v>
      </c>
      <c r="ID31" s="30">
        <f>+Producción!IF13*'Capital propio'!ID6</f>
        <v>220057.4749002131</v>
      </c>
      <c r="IE31" s="30">
        <f>+Producción!IG13*'Capital propio'!IE6</f>
        <v>160427.70099198978</v>
      </c>
      <c r="IF31" s="30">
        <f>+Producción!IH13*'Capital propio'!IF6</f>
        <v>154940.94587793516</v>
      </c>
      <c r="IG31" s="30">
        <f>+Producción!II13*'Capital propio'!IG6</f>
        <v>172081.07281073197</v>
      </c>
      <c r="IH31" s="30">
        <f>+Producción!IJ13*'Capital propio'!IH6</f>
        <v>123405.18485067174</v>
      </c>
      <c r="II31" s="30">
        <f>+Producción!IK13*'Capital propio'!II6</f>
        <v>123203.76100007519</v>
      </c>
      <c r="IJ31" s="30">
        <f>+Producción!IL13*'Capital propio'!IJ6</f>
        <v>166557.8833662266</v>
      </c>
      <c r="IK31" s="30">
        <f>+Producción!IM13*'Capital propio'!IK6</f>
        <v>139085.9423654612</v>
      </c>
      <c r="IL31" s="30">
        <f>+Producción!IN13*'Capital propio'!IL6</f>
        <v>124879.95562132508</v>
      </c>
      <c r="IM31" s="30">
        <f>+Producción!IO13*'Capital propio'!IM6</f>
        <v>183828.82970124605</v>
      </c>
      <c r="IN31" s="30"/>
    </row>
    <row r="32" spans="1:248" x14ac:dyDescent="0.3">
      <c r="A32" t="s">
        <v>916</v>
      </c>
      <c r="C32" s="30">
        <f>+C31*$B$1</f>
        <v>0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X32" s="30"/>
      <c r="Y32" s="30"/>
      <c r="Z32" s="30"/>
      <c r="AA32" s="30"/>
      <c r="AB32" s="30"/>
      <c r="AC32" s="30"/>
      <c r="AD32" s="30">
        <f t="shared" ref="AD32" si="30">+AD31*$B$1</f>
        <v>14670.762506265401</v>
      </c>
      <c r="AE32" s="30">
        <f t="shared" ref="AE32:CP32" si="31">+AE31*$B$1</f>
        <v>21596.012658184762</v>
      </c>
      <c r="AF32" s="30">
        <f t="shared" si="31"/>
        <v>26615.425837323495</v>
      </c>
      <c r="AG32" s="30">
        <f t="shared" si="31"/>
        <v>27852.974539725576</v>
      </c>
      <c r="AH32" s="30">
        <f t="shared" si="31"/>
        <v>26627.678269140353</v>
      </c>
      <c r="AI32" s="30">
        <f t="shared" si="31"/>
        <v>19412.279493844257</v>
      </c>
      <c r="AJ32" s="30">
        <f t="shared" si="31"/>
        <v>18748.364078179067</v>
      </c>
      <c r="AK32" s="30">
        <f t="shared" si="31"/>
        <v>20822.375813820858</v>
      </c>
      <c r="AL32" s="30">
        <f t="shared" si="31"/>
        <v>14932.433267434077</v>
      </c>
      <c r="AM32" s="30">
        <f t="shared" si="31"/>
        <v>14908.060318994814</v>
      </c>
      <c r="AN32" s="30">
        <f t="shared" si="31"/>
        <v>20154.051724332458</v>
      </c>
      <c r="AO32" s="30">
        <f t="shared" si="31"/>
        <v>16829.856503384399</v>
      </c>
      <c r="AP32" s="30">
        <f t="shared" si="31"/>
        <v>15110.885381453363</v>
      </c>
      <c r="AQ32" s="30">
        <f t="shared" si="31"/>
        <v>22243.893037930306</v>
      </c>
      <c r="AR32" s="30">
        <f t="shared" si="31"/>
        <v>27413.888612443199</v>
      </c>
      <c r="AS32" s="30">
        <f t="shared" si="31"/>
        <v>28688.563775917341</v>
      </c>
      <c r="AT32" s="30">
        <f t="shared" si="31"/>
        <v>27426.508617214567</v>
      </c>
      <c r="AU32" s="30">
        <f t="shared" si="31"/>
        <v>19994.647878659584</v>
      </c>
      <c r="AV32" s="30">
        <f t="shared" si="31"/>
        <v>19310.815000524439</v>
      </c>
      <c r="AW32" s="30">
        <f t="shared" si="31"/>
        <v>21447.047088235486</v>
      </c>
      <c r="AX32" s="30">
        <f t="shared" si="31"/>
        <v>15380.406265457097</v>
      </c>
      <c r="AY32" s="30">
        <f t="shared" si="31"/>
        <v>15355.302128564661</v>
      </c>
      <c r="AZ32" s="30">
        <f t="shared" si="31"/>
        <v>20758.673276062433</v>
      </c>
      <c r="BA32" s="30">
        <f t="shared" si="31"/>
        <v>17334.75219848593</v>
      </c>
      <c r="BB32" s="30">
        <f t="shared" si="31"/>
        <v>15564.211942896964</v>
      </c>
      <c r="BC32" s="30">
        <f t="shared" si="31"/>
        <v>22911.209829068215</v>
      </c>
      <c r="BD32" s="30">
        <f t="shared" si="31"/>
        <v>28236.305270816498</v>
      </c>
      <c r="BE32" s="30">
        <f t="shared" si="31"/>
        <v>29549.220689194859</v>
      </c>
      <c r="BF32" s="30">
        <f t="shared" si="31"/>
        <v>28249.303875731002</v>
      </c>
      <c r="BG32" s="30">
        <f t="shared" si="31"/>
        <v>20594.487315019374</v>
      </c>
      <c r="BH32" s="30">
        <f t="shared" si="31"/>
        <v>19890.139450540173</v>
      </c>
      <c r="BI32" s="30">
        <f t="shared" si="31"/>
        <v>22090.458500882552</v>
      </c>
      <c r="BJ32" s="30">
        <f t="shared" si="31"/>
        <v>15841.81845342081</v>
      </c>
      <c r="BK32" s="30">
        <f t="shared" si="31"/>
        <v>15815.961192421599</v>
      </c>
      <c r="BL32" s="30">
        <f t="shared" si="31"/>
        <v>21381.433474344307</v>
      </c>
      <c r="BM32" s="30">
        <f t="shared" si="31"/>
        <v>17854.794764440507</v>
      </c>
      <c r="BN32" s="30">
        <f t="shared" si="31"/>
        <v>16031.138301183875</v>
      </c>
      <c r="BO32" s="30">
        <f t="shared" si="31"/>
        <v>23598.546123940265</v>
      </c>
      <c r="BP32" s="30">
        <f t="shared" si="31"/>
        <v>29083.394428940992</v>
      </c>
      <c r="BQ32" s="30">
        <f t="shared" si="31"/>
        <v>30435.697309870709</v>
      </c>
      <c r="BR32" s="30">
        <f t="shared" si="31"/>
        <v>29096.78299200294</v>
      </c>
      <c r="BS32" s="30">
        <f t="shared" si="31"/>
        <v>21212.321934469954</v>
      </c>
      <c r="BT32" s="30">
        <f t="shared" si="31"/>
        <v>20486.843634056379</v>
      </c>
      <c r="BU32" s="30">
        <f t="shared" si="31"/>
        <v>22753.17225590903</v>
      </c>
      <c r="BV32" s="30">
        <f t="shared" si="31"/>
        <v>16317.073007023435</v>
      </c>
      <c r="BW32" s="30">
        <f t="shared" si="31"/>
        <v>16290.440028194249</v>
      </c>
      <c r="BX32" s="30">
        <f t="shared" si="31"/>
        <v>22022.876478574639</v>
      </c>
      <c r="BY32" s="30">
        <f t="shared" si="31"/>
        <v>18390.438607373726</v>
      </c>
      <c r="BZ32" s="30">
        <f t="shared" si="31"/>
        <v>16512.072450219388</v>
      </c>
      <c r="CA32" s="30">
        <f t="shared" si="31"/>
        <v>24306.502507658472</v>
      </c>
      <c r="CB32" s="30">
        <f t="shared" si="31"/>
        <v>29955.896261809219</v>
      </c>
      <c r="CC32" s="30">
        <f t="shared" si="31"/>
        <v>31348.768229166832</v>
      </c>
      <c r="CD32" s="30">
        <f t="shared" si="31"/>
        <v>29969.686481763027</v>
      </c>
      <c r="CE32" s="30">
        <f t="shared" si="31"/>
        <v>21848.691592504056</v>
      </c>
      <c r="CF32" s="30">
        <f t="shared" si="31"/>
        <v>21101.44894307807</v>
      </c>
      <c r="CG32" s="30">
        <f t="shared" si="31"/>
        <v>23435.767423586298</v>
      </c>
      <c r="CH32" s="30">
        <f t="shared" si="31"/>
        <v>16806.585197234137</v>
      </c>
      <c r="CI32" s="30">
        <f t="shared" si="31"/>
        <v>16779.153229040076</v>
      </c>
      <c r="CJ32" s="30">
        <f t="shared" si="31"/>
        <v>22683.56277293188</v>
      </c>
      <c r="CK32" s="30">
        <f t="shared" si="31"/>
        <v>18942.151765594939</v>
      </c>
      <c r="CL32" s="30">
        <f t="shared" si="31"/>
        <v>17007.434623725971</v>
      </c>
      <c r="CM32" s="30">
        <f t="shared" si="31"/>
        <v>25035.697582888224</v>
      </c>
      <c r="CN32" s="30">
        <f t="shared" si="31"/>
        <v>30854.573149663498</v>
      </c>
      <c r="CO32" s="30">
        <f t="shared" si="31"/>
        <v>32289.231276041843</v>
      </c>
      <c r="CP32" s="30">
        <f t="shared" si="31"/>
        <v>30868.777076215916</v>
      </c>
      <c r="CQ32" s="30">
        <f t="shared" ref="CQ32:FB32" si="32">+CQ31*$B$1</f>
        <v>22504.152340279179</v>
      </c>
      <c r="CR32" s="30">
        <f t="shared" si="32"/>
        <v>21734.492411370415</v>
      </c>
      <c r="CS32" s="30">
        <f t="shared" si="32"/>
        <v>24138.840446293892</v>
      </c>
      <c r="CT32" s="30">
        <f t="shared" si="32"/>
        <v>17310.782753151161</v>
      </c>
      <c r="CU32" s="30">
        <f t="shared" si="32"/>
        <v>17282.527825911278</v>
      </c>
      <c r="CV32" s="30">
        <f t="shared" si="32"/>
        <v>23364.069656119835</v>
      </c>
      <c r="CW32" s="30">
        <f t="shared" si="32"/>
        <v>19510.416318562784</v>
      </c>
      <c r="CX32" s="30">
        <f t="shared" si="32"/>
        <v>17517.657662437749</v>
      </c>
      <c r="CY32" s="30">
        <f t="shared" si="32"/>
        <v>25786.76851037487</v>
      </c>
      <c r="CZ32" s="30">
        <f t="shared" si="32"/>
        <v>31780.210344153405</v>
      </c>
      <c r="DA32" s="30">
        <f t="shared" si="32"/>
        <v>33257.908214323099</v>
      </c>
      <c r="DB32" s="30">
        <f t="shared" si="32"/>
        <v>31794.840388502391</v>
      </c>
      <c r="DC32" s="30">
        <f t="shared" si="32"/>
        <v>23179.276910487552</v>
      </c>
      <c r="DD32" s="30">
        <f t="shared" si="32"/>
        <v>22386.527183711529</v>
      </c>
      <c r="DE32" s="30">
        <f t="shared" si="32"/>
        <v>24863.005659682705</v>
      </c>
      <c r="DF32" s="30">
        <f t="shared" si="32"/>
        <v>17830.106235745694</v>
      </c>
      <c r="DG32" s="30">
        <f t="shared" si="32"/>
        <v>17801.003660688621</v>
      </c>
      <c r="DH32" s="30">
        <f t="shared" si="32"/>
        <v>24064.991745803429</v>
      </c>
      <c r="DI32" s="30">
        <f t="shared" si="32"/>
        <v>20095.728808119668</v>
      </c>
      <c r="DJ32" s="30">
        <f t="shared" si="32"/>
        <v>18043.187392310883</v>
      </c>
      <c r="DK32" s="30">
        <f t="shared" si="32"/>
        <v>26560.37156568612</v>
      </c>
      <c r="DL32" s="30">
        <f t="shared" si="32"/>
        <v>32733.61665447801</v>
      </c>
      <c r="DM32" s="30">
        <f t="shared" si="32"/>
        <v>34255.645460752792</v>
      </c>
      <c r="DN32" s="30">
        <f t="shared" si="32"/>
        <v>32748.685600157467</v>
      </c>
      <c r="DO32" s="30">
        <f t="shared" si="32"/>
        <v>23874.655217802181</v>
      </c>
      <c r="DP32" s="30">
        <f t="shared" si="32"/>
        <v>23058.122999222873</v>
      </c>
      <c r="DQ32" s="30">
        <f t="shared" si="32"/>
        <v>25608.895829473189</v>
      </c>
      <c r="DR32" s="30">
        <f t="shared" si="32"/>
        <v>18365.009422818068</v>
      </c>
      <c r="DS32" s="30">
        <f t="shared" si="32"/>
        <v>18335.033770509279</v>
      </c>
      <c r="DT32" s="30">
        <f t="shared" si="32"/>
        <v>24786.941498177534</v>
      </c>
      <c r="DU32" s="30">
        <f t="shared" si="32"/>
        <v>20698.60067236326</v>
      </c>
      <c r="DV32" s="30">
        <f t="shared" si="32"/>
        <v>18584.483014080211</v>
      </c>
      <c r="DW32" s="30">
        <f t="shared" si="32"/>
        <v>27357.182712656704</v>
      </c>
      <c r="DX32" s="30">
        <f t="shared" si="32"/>
        <v>33715.625154112342</v>
      </c>
      <c r="DY32" s="30">
        <f t="shared" si="32"/>
        <v>35283.314824575376</v>
      </c>
      <c r="DZ32" s="30">
        <f t="shared" si="32"/>
        <v>33731.146168162195</v>
      </c>
      <c r="EA32" s="30">
        <f t="shared" si="32"/>
        <v>24590.894874336245</v>
      </c>
      <c r="EB32" s="30">
        <f t="shared" si="32"/>
        <v>23749.86668919956</v>
      </c>
      <c r="EC32" s="30">
        <f t="shared" si="32"/>
        <v>26377.162704357383</v>
      </c>
      <c r="ED32" s="30">
        <f t="shared" si="32"/>
        <v>18915.95970550261</v>
      </c>
      <c r="EE32" s="30">
        <f t="shared" si="32"/>
        <v>18885.084783624559</v>
      </c>
      <c r="EF32" s="30">
        <f t="shared" si="32"/>
        <v>25530.549743122861</v>
      </c>
      <c r="EG32" s="30">
        <f t="shared" si="32"/>
        <v>21319.558692534156</v>
      </c>
      <c r="EH32" s="30">
        <f t="shared" si="32"/>
        <v>19142.017504502615</v>
      </c>
      <c r="EI32" s="30">
        <f t="shared" si="32"/>
        <v>28177.898194036403</v>
      </c>
      <c r="EJ32" s="30">
        <f t="shared" si="32"/>
        <v>34727.093908735718</v>
      </c>
      <c r="EK32" s="30">
        <f t="shared" si="32"/>
        <v>36341.814269312643</v>
      </c>
      <c r="EL32" s="30">
        <f t="shared" si="32"/>
        <v>34743.080553207059</v>
      </c>
      <c r="EM32" s="30">
        <f t="shared" si="32"/>
        <v>25328.621720566334</v>
      </c>
      <c r="EN32" s="30">
        <f t="shared" si="32"/>
        <v>24462.362689875546</v>
      </c>
      <c r="EO32" s="30">
        <f t="shared" si="32"/>
        <v>27168.477585488112</v>
      </c>
      <c r="EP32" s="30">
        <f t="shared" si="32"/>
        <v>19483.438496667688</v>
      </c>
      <c r="EQ32" s="30">
        <f t="shared" si="32"/>
        <v>19451.637327133296</v>
      </c>
      <c r="ER32" s="30">
        <f t="shared" si="32"/>
        <v>26296.466235416548</v>
      </c>
      <c r="ES32" s="30">
        <f t="shared" si="32"/>
        <v>21959.145453310182</v>
      </c>
      <c r="ET32" s="30">
        <f t="shared" si="32"/>
        <v>19716.278029637695</v>
      </c>
      <c r="EU32" s="30">
        <f t="shared" si="32"/>
        <v>29023.235139857497</v>
      </c>
      <c r="EV32" s="30">
        <f t="shared" si="32"/>
        <v>35768.906725997789</v>
      </c>
      <c r="EW32" s="30">
        <f t="shared" si="32"/>
        <v>37432.068697392024</v>
      </c>
      <c r="EX32" s="30">
        <f t="shared" si="32"/>
        <v>35785.372969803277</v>
      </c>
      <c r="EY32" s="30">
        <f t="shared" si="32"/>
        <v>26088.480372183327</v>
      </c>
      <c r="EZ32" s="30">
        <f t="shared" si="32"/>
        <v>25196.233570571814</v>
      </c>
      <c r="FA32" s="30">
        <f t="shared" si="32"/>
        <v>27983.53191305275</v>
      </c>
      <c r="FB32" s="30">
        <f t="shared" si="32"/>
        <v>20067.941651567722</v>
      </c>
      <c r="FC32" s="30">
        <f t="shared" ref="FC32:HN32" si="33">+FC31*$B$1</f>
        <v>20035.186446947293</v>
      </c>
      <c r="FD32" s="30">
        <f t="shared" si="33"/>
        <v>27085.360222479045</v>
      </c>
      <c r="FE32" s="30">
        <f t="shared" si="33"/>
        <v>22617.919816909489</v>
      </c>
      <c r="FF32" s="30">
        <f t="shared" si="33"/>
        <v>20307.766370526828</v>
      </c>
      <c r="FG32" s="30">
        <f t="shared" si="33"/>
        <v>29893.932194053225</v>
      </c>
      <c r="FH32" s="30">
        <f t="shared" si="33"/>
        <v>36841.973927777726</v>
      </c>
      <c r="FI32" s="30">
        <f t="shared" si="33"/>
        <v>38555.030758313784</v>
      </c>
      <c r="FJ32" s="30">
        <f t="shared" si="33"/>
        <v>36858.934158897369</v>
      </c>
      <c r="FK32" s="30">
        <f t="shared" si="33"/>
        <v>26871.134783348825</v>
      </c>
      <c r="FL32" s="30">
        <f t="shared" si="33"/>
        <v>25952.120577688969</v>
      </c>
      <c r="FM32" s="30">
        <f t="shared" si="33"/>
        <v>28823.037870444336</v>
      </c>
      <c r="FN32" s="30">
        <f t="shared" si="33"/>
        <v>20669.979901114755</v>
      </c>
      <c r="FO32" s="30">
        <f t="shared" si="33"/>
        <v>20636.242040355715</v>
      </c>
      <c r="FP32" s="30">
        <f t="shared" si="33"/>
        <v>27897.921029153415</v>
      </c>
      <c r="FQ32" s="30">
        <f t="shared" si="33"/>
        <v>23296.457411416774</v>
      </c>
      <c r="FR32" s="30">
        <f t="shared" si="33"/>
        <v>20916.999361642633</v>
      </c>
      <c r="FS32" s="30">
        <f t="shared" si="33"/>
        <v>30790.75015987482</v>
      </c>
      <c r="FT32" s="30">
        <f t="shared" si="33"/>
        <v>37947.233145611062</v>
      </c>
      <c r="FU32" s="30">
        <f t="shared" si="33"/>
        <v>39711.681681063201</v>
      </c>
      <c r="FV32" s="30">
        <f t="shared" si="33"/>
        <v>37964.702183664296</v>
      </c>
      <c r="FW32" s="30">
        <f t="shared" si="33"/>
        <v>27677.268826849289</v>
      </c>
      <c r="FX32" s="30">
        <f t="shared" si="33"/>
        <v>26730.684195019643</v>
      </c>
      <c r="FY32" s="30">
        <f t="shared" si="33"/>
        <v>29687.729006557667</v>
      </c>
      <c r="FZ32" s="30">
        <f t="shared" si="33"/>
        <v>21290.079298148197</v>
      </c>
      <c r="GA32" s="30">
        <f t="shared" si="33"/>
        <v>21255.329301566384</v>
      </c>
      <c r="GB32" s="30">
        <f t="shared" si="33"/>
        <v>28734.858660028014</v>
      </c>
      <c r="GC32" s="30">
        <f t="shared" si="33"/>
        <v>23995.351133759275</v>
      </c>
      <c r="GD32" s="30">
        <f t="shared" si="33"/>
        <v>21544.509342491911</v>
      </c>
      <c r="GE32" s="30">
        <f t="shared" si="33"/>
        <v>31714.472664671066</v>
      </c>
      <c r="GF32" s="30">
        <f t="shared" si="33"/>
        <v>39085.650139979392</v>
      </c>
      <c r="GG32" s="30">
        <f t="shared" si="33"/>
        <v>40903.0321314951</v>
      </c>
      <c r="GH32" s="30">
        <f t="shared" si="33"/>
        <v>39103.643249174223</v>
      </c>
      <c r="GI32" s="30">
        <f t="shared" si="33"/>
        <v>28507.58689165477</v>
      </c>
      <c r="GJ32" s="30">
        <f t="shared" si="33"/>
        <v>27532.604720870233</v>
      </c>
      <c r="GK32" s="30">
        <f t="shared" si="33"/>
        <v>30578.360876754399</v>
      </c>
      <c r="GL32" s="30">
        <f t="shared" si="33"/>
        <v>21928.781677092644</v>
      </c>
      <c r="GM32" s="30">
        <f t="shared" si="33"/>
        <v>21892.989180613378</v>
      </c>
      <c r="GN32" s="30">
        <f t="shared" si="33"/>
        <v>29596.904419828861</v>
      </c>
      <c r="GO32" s="30">
        <f t="shared" si="33"/>
        <v>24715.211667772051</v>
      </c>
      <c r="GP32" s="30">
        <f t="shared" si="33"/>
        <v>22190.844622766668</v>
      </c>
      <c r="GQ32" s="30">
        <f t="shared" si="33"/>
        <v>32665.9068446112</v>
      </c>
      <c r="GR32" s="30">
        <f t="shared" si="33"/>
        <v>40258.219644178775</v>
      </c>
      <c r="GS32" s="30">
        <f t="shared" si="33"/>
        <v>42130.123095439951</v>
      </c>
      <c r="GT32" s="30">
        <f t="shared" si="33"/>
        <v>40276.752546649455</v>
      </c>
      <c r="GU32" s="30">
        <f t="shared" si="33"/>
        <v>29362.814498404416</v>
      </c>
      <c r="GV32" s="30">
        <f t="shared" si="33"/>
        <v>28358.582862496336</v>
      </c>
      <c r="GW32" s="30">
        <f t="shared" si="33"/>
        <v>31495.71170305703</v>
      </c>
      <c r="GX32" s="30">
        <f t="shared" si="33"/>
        <v>22586.645127405427</v>
      </c>
      <c r="GY32" s="30">
        <f t="shared" si="33"/>
        <v>22549.778856031779</v>
      </c>
      <c r="GZ32" s="30">
        <f t="shared" si="33"/>
        <v>30484.811552423722</v>
      </c>
      <c r="HA32" s="30">
        <f t="shared" si="33"/>
        <v>25456.668017805216</v>
      </c>
      <c r="HB32" s="30">
        <f t="shared" si="33"/>
        <v>22856.56996144967</v>
      </c>
      <c r="HC32" s="30">
        <f t="shared" si="33"/>
        <v>33645.884049949542</v>
      </c>
      <c r="HD32" s="30">
        <f t="shared" si="33"/>
        <v>41465.966233504136</v>
      </c>
      <c r="HE32" s="30">
        <f t="shared" si="33"/>
        <v>43394.026788303156</v>
      </c>
      <c r="HF32" s="30">
        <f t="shared" si="33"/>
        <v>41485.055123048936</v>
      </c>
      <c r="HG32" s="30">
        <f t="shared" si="33"/>
        <v>30243.698933356543</v>
      </c>
      <c r="HH32" s="30">
        <f t="shared" si="33"/>
        <v>29209.340348371225</v>
      </c>
      <c r="HI32" s="30">
        <f t="shared" si="33"/>
        <v>32440.583054148745</v>
      </c>
      <c r="HJ32" s="30">
        <f t="shared" si="33"/>
        <v>23264.24448122759</v>
      </c>
      <c r="HK32" s="30">
        <f t="shared" si="33"/>
        <v>23226.27222171273</v>
      </c>
      <c r="HL32" s="30">
        <f t="shared" si="33"/>
        <v>31399.355898996437</v>
      </c>
      <c r="HM32" s="30">
        <f t="shared" si="33"/>
        <v>26220.368058339373</v>
      </c>
      <c r="HN32" s="30">
        <f t="shared" si="33"/>
        <v>23542.267060293161</v>
      </c>
      <c r="HO32" s="30">
        <f t="shared" ref="HO32:IM32" si="34">+HO31*$B$1</f>
        <v>34655.260571448023</v>
      </c>
      <c r="HP32" s="30">
        <f t="shared" si="34"/>
        <v>42709.94522050926</v>
      </c>
      <c r="HQ32" s="30">
        <f t="shared" si="34"/>
        <v>44695.847591952253</v>
      </c>
      <c r="HR32" s="30">
        <f t="shared" si="34"/>
        <v>42729.606776740409</v>
      </c>
      <c r="HS32" s="30">
        <f t="shared" si="34"/>
        <v>31151.00990135724</v>
      </c>
      <c r="HT32" s="30">
        <f t="shared" si="34"/>
        <v>30085.620558822367</v>
      </c>
      <c r="HU32" s="30">
        <f t="shared" si="34"/>
        <v>33413.8005457732</v>
      </c>
      <c r="HV32" s="30">
        <f t="shared" si="34"/>
        <v>23962.17181566442</v>
      </c>
      <c r="HW32" s="30">
        <f t="shared" si="34"/>
        <v>23923.060388364116</v>
      </c>
      <c r="HX32" s="30">
        <f t="shared" si="34"/>
        <v>32341.336575966328</v>
      </c>
      <c r="HY32" s="30">
        <f t="shared" si="34"/>
        <v>27006.979100089549</v>
      </c>
      <c r="HZ32" s="30">
        <f t="shared" si="34"/>
        <v>24248.535072101957</v>
      </c>
      <c r="IA32" s="30">
        <f t="shared" si="34"/>
        <v>35694.918388591461</v>
      </c>
      <c r="IB32" s="30">
        <f t="shared" si="34"/>
        <v>43991.243577124536</v>
      </c>
      <c r="IC32" s="30">
        <f t="shared" si="34"/>
        <v>46036.723019710829</v>
      </c>
      <c r="ID32" s="30">
        <f t="shared" si="34"/>
        <v>44011.494980042626</v>
      </c>
      <c r="IE32" s="30">
        <f t="shared" si="34"/>
        <v>32085.540198397957</v>
      </c>
      <c r="IF32" s="30">
        <f t="shared" si="34"/>
        <v>30988.189175587031</v>
      </c>
      <c r="IG32" s="30">
        <f t="shared" si="34"/>
        <v>34416.214562146393</v>
      </c>
      <c r="IH32" s="30">
        <f t="shared" si="34"/>
        <v>24681.036970134348</v>
      </c>
      <c r="II32" s="30">
        <f t="shared" si="34"/>
        <v>24640.752200015038</v>
      </c>
      <c r="IJ32" s="30">
        <f t="shared" si="34"/>
        <v>33311.576673245319</v>
      </c>
      <c r="IK32" s="30">
        <f t="shared" si="34"/>
        <v>27817.188473092243</v>
      </c>
      <c r="IL32" s="30">
        <f t="shared" si="34"/>
        <v>24975.991124265016</v>
      </c>
      <c r="IM32" s="30">
        <f t="shared" si="34"/>
        <v>36765.765940249214</v>
      </c>
      <c r="IN32" s="30"/>
    </row>
    <row r="33" spans="1:248" x14ac:dyDescent="0.3">
      <c r="A33" t="s">
        <v>771</v>
      </c>
      <c r="C33" s="30">
        <f>+Producción!C14*'Capital propio'!B5</f>
        <v>0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X33" s="30"/>
      <c r="Y33" s="30"/>
      <c r="Z33" s="30"/>
      <c r="AA33" s="30"/>
      <c r="AB33" s="30"/>
      <c r="AC33" s="30"/>
      <c r="AD33" s="30">
        <f>+Producción!AF14*AD5</f>
        <v>305231.13966652774</v>
      </c>
      <c r="AE33" s="30">
        <f>+Producción!AG14*AE5</f>
        <v>212525.1711685365</v>
      </c>
      <c r="AF33" s="30">
        <f>+Producción!AH14*AF5</f>
        <v>211855.88049086093</v>
      </c>
      <c r="AG33" s="30">
        <f>+Producción!AI14*AG5</f>
        <v>65883.009283283638</v>
      </c>
      <c r="AH33" s="30">
        <f>+Producción!AJ14*AH5</f>
        <v>0</v>
      </c>
      <c r="AI33" s="30">
        <f>+Producción!AK14*AI5</f>
        <v>0</v>
      </c>
      <c r="AJ33" s="30">
        <f>+Producción!AL14*AJ5</f>
        <v>0</v>
      </c>
      <c r="AK33" s="30">
        <f>+Producción!AM14*AK5</f>
        <v>0</v>
      </c>
      <c r="AL33" s="30">
        <f>+Producción!AN14*AL5</f>
        <v>0</v>
      </c>
      <c r="AM33" s="30">
        <f>+Producción!AO14*AM5</f>
        <v>0</v>
      </c>
      <c r="AN33" s="30">
        <f>+Producción!AP14*AN5</f>
        <v>0</v>
      </c>
      <c r="AO33" s="30">
        <f>+Producción!AQ14*AO5</f>
        <v>0</v>
      </c>
      <c r="AP33" s="30">
        <f>+Producción!AR14*AP5</f>
        <v>314388.07385652361</v>
      </c>
      <c r="AQ33" s="30">
        <f>+Producción!AS14*AQ5</f>
        <v>218900.9263035926</v>
      </c>
      <c r="AR33" s="30">
        <f>+Producción!AT14*AR5</f>
        <v>218211.55690558677</v>
      </c>
      <c r="AS33" s="30">
        <f>+Producción!AU14*AS5</f>
        <v>67859.499561782155</v>
      </c>
      <c r="AT33" s="30">
        <f>+Producción!AV14*AT5</f>
        <v>0</v>
      </c>
      <c r="AU33" s="30">
        <f>+Producción!AW14*AU5</f>
        <v>0</v>
      </c>
      <c r="AV33" s="30">
        <f>+Producción!AX14*AV5</f>
        <v>0</v>
      </c>
      <c r="AW33" s="30">
        <f>+Producción!AY14*AW5</f>
        <v>0</v>
      </c>
      <c r="AX33" s="30">
        <f>+Producción!AZ14*AX5</f>
        <v>0</v>
      </c>
      <c r="AY33" s="30">
        <f>+Producción!BA14*AY5</f>
        <v>0</v>
      </c>
      <c r="AZ33" s="30">
        <f>+Producción!BB14*AZ5</f>
        <v>0</v>
      </c>
      <c r="BA33" s="30">
        <f>+Producción!BC14*BA5</f>
        <v>0</v>
      </c>
      <c r="BB33" s="30">
        <f>+Producción!BD14*BB5</f>
        <v>323819.71607221931</v>
      </c>
      <c r="BC33" s="30">
        <f>+Producción!BE14*BC5</f>
        <v>225467.95409270038</v>
      </c>
      <c r="BD33" s="30">
        <f>+Producción!BF14*BD5</f>
        <v>224757.90361275439</v>
      </c>
      <c r="BE33" s="30">
        <f>+Producción!BG14*BE5</f>
        <v>69895.284548635624</v>
      </c>
      <c r="BF33" s="30">
        <f>+Producción!BH14*BF5</f>
        <v>0</v>
      </c>
      <c r="BG33" s="30">
        <f>+Producción!BI14*BG5</f>
        <v>0</v>
      </c>
      <c r="BH33" s="30">
        <f>+Producción!BJ14*BH5</f>
        <v>0</v>
      </c>
      <c r="BI33" s="30">
        <f>+Producción!BK14*BI5</f>
        <v>0</v>
      </c>
      <c r="BJ33" s="30">
        <f>+Producción!BL14*BJ5</f>
        <v>0</v>
      </c>
      <c r="BK33" s="30">
        <f>+Producción!BM14*BK5</f>
        <v>0</v>
      </c>
      <c r="BL33" s="30">
        <f>+Producción!BN14*BL5</f>
        <v>0</v>
      </c>
      <c r="BM33" s="30">
        <f>+Producción!BO14*BM5</f>
        <v>0</v>
      </c>
      <c r="BN33" s="30">
        <f>+Producción!BP14*BN5</f>
        <v>333534.30755438592</v>
      </c>
      <c r="BO33" s="30">
        <f>+Producción!BQ14*BO5</f>
        <v>232231.99271548141</v>
      </c>
      <c r="BP33" s="30">
        <f>+Producción!BR14*BP5</f>
        <v>231500.64072113702</v>
      </c>
      <c r="BQ33" s="30">
        <f>+Producción!BS14*BQ5</f>
        <v>71992.143085094693</v>
      </c>
      <c r="BR33" s="30">
        <f>+Producción!BT14*BR5</f>
        <v>0</v>
      </c>
      <c r="BS33" s="30">
        <f>+Producción!BU14*BS5</f>
        <v>0</v>
      </c>
      <c r="BT33" s="30">
        <f>+Producción!BV14*BT5</f>
        <v>0</v>
      </c>
      <c r="BU33" s="30">
        <f>+Producción!BW14*BU5</f>
        <v>0</v>
      </c>
      <c r="BV33" s="30">
        <f>+Producción!BX14*BV5</f>
        <v>0</v>
      </c>
      <c r="BW33" s="30">
        <f>+Producción!BY14*BW5</f>
        <v>0</v>
      </c>
      <c r="BX33" s="30">
        <f>+Producción!BZ14*BX5</f>
        <v>0</v>
      </c>
      <c r="BY33" s="30">
        <f>+Producción!CA14*BY5</f>
        <v>0</v>
      </c>
      <c r="BZ33" s="30">
        <f>+Producción!CB14*BZ5</f>
        <v>343540.33678101748</v>
      </c>
      <c r="CA33" s="30">
        <f>+Producción!CC14*CA5</f>
        <v>239198.95249694586</v>
      </c>
      <c r="CB33" s="30">
        <f>+Producción!CD14*CB5</f>
        <v>238445.65994277113</v>
      </c>
      <c r="CC33" s="30">
        <f>+Producción!CE14*CC5</f>
        <v>74151.907377647542</v>
      </c>
      <c r="CD33" s="30">
        <f>+Producción!CF14*CD5</f>
        <v>0</v>
      </c>
      <c r="CE33" s="30">
        <f>+Producción!CG14*CE5</f>
        <v>0</v>
      </c>
      <c r="CF33" s="30">
        <f>+Producción!CH14*CF5</f>
        <v>0</v>
      </c>
      <c r="CG33" s="30">
        <f>+Producción!CI14*CG5</f>
        <v>0</v>
      </c>
      <c r="CH33" s="30">
        <f>+Producción!CJ14*CH5</f>
        <v>0</v>
      </c>
      <c r="CI33" s="30">
        <f>+Producción!CK14*CI5</f>
        <v>0</v>
      </c>
      <c r="CJ33" s="30">
        <f>+Producción!CL14*CJ5</f>
        <v>0</v>
      </c>
      <c r="CK33" s="30">
        <f>+Producción!CM14*CK5</f>
        <v>0</v>
      </c>
      <c r="CL33" s="30">
        <f>+Producción!CN14*CL5</f>
        <v>353846.54688444803</v>
      </c>
      <c r="CM33" s="30">
        <f>+Producción!CO14*CM5</f>
        <v>246374.92107185425</v>
      </c>
      <c r="CN33" s="30">
        <f>+Producción!CP14*CN5</f>
        <v>245599.02974105428</v>
      </c>
      <c r="CO33" s="30">
        <f>+Producción!CQ14*CO5</f>
        <v>76376.464598976963</v>
      </c>
      <c r="CP33" s="30">
        <f>+Producción!CR14*CP5</f>
        <v>0</v>
      </c>
      <c r="CQ33" s="30">
        <f>+Producción!CS14*CQ5</f>
        <v>0</v>
      </c>
      <c r="CR33" s="30">
        <f>+Producción!CT14*CR5</f>
        <v>0</v>
      </c>
      <c r="CS33" s="30">
        <f>+Producción!CU14*CS5</f>
        <v>0</v>
      </c>
      <c r="CT33" s="30">
        <f>+Producción!CV14*CT5</f>
        <v>0</v>
      </c>
      <c r="CU33" s="30">
        <f>+Producción!CW14*CU5</f>
        <v>0</v>
      </c>
      <c r="CV33" s="30">
        <f>+Producción!CX14*CV5</f>
        <v>0</v>
      </c>
      <c r="CW33" s="30">
        <f>+Producción!CY14*CW5</f>
        <v>0</v>
      </c>
      <c r="CX33" s="30">
        <f>+Producción!CZ14*CX5</f>
        <v>364461.94329098152</v>
      </c>
      <c r="CY33" s="30">
        <f>+Producción!DA14*CY5</f>
        <v>253766.16870400988</v>
      </c>
      <c r="CZ33" s="30">
        <f>+Producción!DB14*CZ5</f>
        <v>252967.00063328593</v>
      </c>
      <c r="DA33" s="30">
        <f>+Producción!DC14*DA5</f>
        <v>78667.758536946276</v>
      </c>
      <c r="DB33" s="30">
        <f>+Producción!DD14*DB5</f>
        <v>0</v>
      </c>
      <c r="DC33" s="30">
        <f>+Producción!DE14*DC5</f>
        <v>0</v>
      </c>
      <c r="DD33" s="30">
        <f>+Producción!DF14*DD5</f>
        <v>0</v>
      </c>
      <c r="DE33" s="30">
        <f>+Producción!DG14*DE5</f>
        <v>0</v>
      </c>
      <c r="DF33" s="30">
        <f>+Producción!DH14*DF5</f>
        <v>0</v>
      </c>
      <c r="DG33" s="30">
        <f>+Producción!DI14*DG5</f>
        <v>0</v>
      </c>
      <c r="DH33" s="30">
        <f>+Producción!DJ14*DH5</f>
        <v>0</v>
      </c>
      <c r="DI33" s="30">
        <f>+Producción!DK14*DI5</f>
        <v>0</v>
      </c>
      <c r="DJ33" s="30">
        <f>+Producción!DL14*DJ5</f>
        <v>375395.80158971093</v>
      </c>
      <c r="DK33" s="30">
        <f>+Producción!DM14*DK5</f>
        <v>261379.15376513018</v>
      </c>
      <c r="DL33" s="30">
        <f>+Producción!DN14*DL5</f>
        <v>260556.01065228452</v>
      </c>
      <c r="DM33" s="30">
        <f>+Producción!DO14*DM5</f>
        <v>81027.791293054674</v>
      </c>
      <c r="DN33" s="30">
        <f>+Producción!DP14*DN5</f>
        <v>0</v>
      </c>
      <c r="DO33" s="30">
        <f>+Producción!DQ14*DO5</f>
        <v>0</v>
      </c>
      <c r="DP33" s="30">
        <f>+Producción!DR14*DP5</f>
        <v>0</v>
      </c>
      <c r="DQ33" s="30">
        <f>+Producción!DS14*DQ5</f>
        <v>0</v>
      </c>
      <c r="DR33" s="30">
        <f>+Producción!DT14*DR5</f>
        <v>0</v>
      </c>
      <c r="DS33" s="30">
        <f>+Producción!DU14*DS5</f>
        <v>0</v>
      </c>
      <c r="DT33" s="30">
        <f>+Producción!DV14*DT5</f>
        <v>0</v>
      </c>
      <c r="DU33" s="30">
        <f>+Producción!DW14*DU5</f>
        <v>0</v>
      </c>
      <c r="DV33" s="30">
        <f>+Producción!DX14*DV5</f>
        <v>386657.67563740228</v>
      </c>
      <c r="DW33" s="30">
        <f>+Producción!DY14*DW5</f>
        <v>269220.52837808407</v>
      </c>
      <c r="DX33" s="30">
        <f>+Producción!DZ14*DX5</f>
        <v>268372.69097185304</v>
      </c>
      <c r="DY33" s="30">
        <f>+Producción!EA14*DY5</f>
        <v>83458.625031846299</v>
      </c>
      <c r="DZ33" s="30">
        <f>+Producción!EB14*DZ5</f>
        <v>0</v>
      </c>
      <c r="EA33" s="30">
        <f>+Producción!EC14*EA5</f>
        <v>0</v>
      </c>
      <c r="EB33" s="30">
        <f>+Producción!ED14*EB5</f>
        <v>0</v>
      </c>
      <c r="EC33" s="30">
        <f>+Producción!EE14*EC5</f>
        <v>0</v>
      </c>
      <c r="ED33" s="30">
        <f>+Producción!EF14*ED5</f>
        <v>0</v>
      </c>
      <c r="EE33" s="30">
        <f>+Producción!EG14*EE5</f>
        <v>0</v>
      </c>
      <c r="EF33" s="30">
        <f>+Producción!EH14*EF5</f>
        <v>0</v>
      </c>
      <c r="EG33" s="30">
        <f>+Producción!EI14*EG5</f>
        <v>0</v>
      </c>
      <c r="EH33" s="30">
        <f>+Producción!EJ14*EH5</f>
        <v>398257.40590652433</v>
      </c>
      <c r="EI33" s="30">
        <f>+Producción!EK14*EI5</f>
        <v>277297.14422942657</v>
      </c>
      <c r="EJ33" s="30">
        <f>+Producción!EL14*EJ5</f>
        <v>276423.87170100864</v>
      </c>
      <c r="EK33" s="30">
        <f>+Producción!EM14*EK5</f>
        <v>85962.383782801699</v>
      </c>
      <c r="EL33" s="30">
        <f>+Producción!EN14*EL5</f>
        <v>0</v>
      </c>
      <c r="EM33" s="30">
        <f>+Producción!EO14*EM5</f>
        <v>0</v>
      </c>
      <c r="EN33" s="30">
        <f>+Producción!EP14*EN5</f>
        <v>0</v>
      </c>
      <c r="EO33" s="30">
        <f>+Producción!EQ14*EO5</f>
        <v>0</v>
      </c>
      <c r="EP33" s="30">
        <f>+Producción!ER14*EP5</f>
        <v>0</v>
      </c>
      <c r="EQ33" s="30">
        <f>+Producción!ES14*EQ5</f>
        <v>0</v>
      </c>
      <c r="ER33" s="30">
        <f>+Producción!ET14*ER5</f>
        <v>0</v>
      </c>
      <c r="ES33" s="30">
        <f>+Producción!EU14*ES5</f>
        <v>0</v>
      </c>
      <c r="ET33" s="30">
        <f>+Producción!EV14*ET5</f>
        <v>410205.1280837201</v>
      </c>
      <c r="EU33" s="30">
        <f>+Producción!EW14*EU5</f>
        <v>285616.05855630944</v>
      </c>
      <c r="EV33" s="30">
        <f>+Producción!EX14*EV5</f>
        <v>284716.58785203891</v>
      </c>
      <c r="EW33" s="30">
        <f>+Producción!EY14*EW5</f>
        <v>88541.255296285759</v>
      </c>
      <c r="EX33" s="30">
        <f>+Producción!EZ14*EX5</f>
        <v>0</v>
      </c>
      <c r="EY33" s="30">
        <f>+Producción!FA14*EY5</f>
        <v>0</v>
      </c>
      <c r="EZ33" s="30">
        <f>+Producción!FB14*EZ5</f>
        <v>0</v>
      </c>
      <c r="FA33" s="30">
        <f>+Producción!FC14*FA5</f>
        <v>0</v>
      </c>
      <c r="FB33" s="30">
        <f>+Producción!FD14*FB5</f>
        <v>0</v>
      </c>
      <c r="FC33" s="30">
        <f>+Producción!FE14*FC5</f>
        <v>0</v>
      </c>
      <c r="FD33" s="30">
        <f>+Producción!FF14*FD5</f>
        <v>0</v>
      </c>
      <c r="FE33" s="30">
        <f>+Producción!FG14*FE5</f>
        <v>0</v>
      </c>
      <c r="FF33" s="30">
        <f>+Producción!FH14*FF5</f>
        <v>422511.28192623163</v>
      </c>
      <c r="FG33" s="30">
        <f>+Producción!FI14*FG5</f>
        <v>294184.5403129987</v>
      </c>
      <c r="FH33" s="30">
        <f>+Producción!FJ14*FH5</f>
        <v>293258.08548760007</v>
      </c>
      <c r="FI33" s="30">
        <f>+Producción!FK14*FI5</f>
        <v>91197.492955174326</v>
      </c>
      <c r="FJ33" s="30">
        <f>+Producción!FL14*FJ5</f>
        <v>0</v>
      </c>
      <c r="FK33" s="30">
        <f>+Producción!FM14*FK5</f>
        <v>0</v>
      </c>
      <c r="FL33" s="30">
        <f>+Producción!FN14*FL5</f>
        <v>0</v>
      </c>
      <c r="FM33" s="30">
        <f>+Producción!FO14*FM5</f>
        <v>0</v>
      </c>
      <c r="FN33" s="30">
        <f>+Producción!FP14*FN5</f>
        <v>0</v>
      </c>
      <c r="FO33" s="30">
        <f>+Producción!FQ14*FO5</f>
        <v>0</v>
      </c>
      <c r="FP33" s="30">
        <f>+Producción!FR14*FP5</f>
        <v>0</v>
      </c>
      <c r="FQ33" s="30">
        <f>+Producción!FS14*FQ5</f>
        <v>0</v>
      </c>
      <c r="FR33" s="30">
        <f>+Producción!FT14*FR5</f>
        <v>435186.62038401858</v>
      </c>
      <c r="FS33" s="30">
        <f>+Producción!FU14*FS5</f>
        <v>303010.07652238861</v>
      </c>
      <c r="FT33" s="30">
        <f>+Producción!FV14*FT5</f>
        <v>302055.82805222803</v>
      </c>
      <c r="FU33" s="30">
        <f>+Producción!FW14*FU5</f>
        <v>93933.417743829545</v>
      </c>
      <c r="FV33" s="30">
        <f>+Producción!FX14*FV5</f>
        <v>0</v>
      </c>
      <c r="FW33" s="30">
        <f>+Producción!FY14*FW5</f>
        <v>0</v>
      </c>
      <c r="FX33" s="30">
        <f>+Producción!FZ14*FX5</f>
        <v>0</v>
      </c>
      <c r="FY33" s="30">
        <f>+Producción!GA14*FY5</f>
        <v>0</v>
      </c>
      <c r="FZ33" s="30">
        <f>+Producción!GB14*FZ5</f>
        <v>0</v>
      </c>
      <c r="GA33" s="30">
        <f>+Producción!GC14*GA5</f>
        <v>0</v>
      </c>
      <c r="GB33" s="30">
        <f>+Producción!GD14*GB5</f>
        <v>0</v>
      </c>
      <c r="GC33" s="30">
        <f>+Producción!GE14*GC5</f>
        <v>0</v>
      </c>
      <c r="GD33" s="30">
        <f>+Producción!GF14*GD5</f>
        <v>448242.21899553918</v>
      </c>
      <c r="GE33" s="30">
        <f>+Producción!GG14*GE5</f>
        <v>312100.37881806033</v>
      </c>
      <c r="GF33" s="30">
        <f>+Producción!GH14*GF5</f>
        <v>311117.50289379491</v>
      </c>
      <c r="GG33" s="30">
        <f>+Producción!GI14*GG5</f>
        <v>96751.420276144432</v>
      </c>
      <c r="GH33" s="30">
        <f>+Producción!GJ14*GH5</f>
        <v>0</v>
      </c>
      <c r="GI33" s="30">
        <f>+Producción!GK14*GI5</f>
        <v>0</v>
      </c>
      <c r="GJ33" s="30">
        <f>+Producción!GL14*GJ5</f>
        <v>0</v>
      </c>
      <c r="GK33" s="30">
        <f>+Producción!GM14*GK5</f>
        <v>0</v>
      </c>
      <c r="GL33" s="30">
        <f>+Producción!GN14*GL5</f>
        <v>0</v>
      </c>
      <c r="GM33" s="30">
        <f>+Producción!GO14*GM5</f>
        <v>0</v>
      </c>
      <c r="GN33" s="30">
        <f>+Producción!GP14*GN5</f>
        <v>0</v>
      </c>
      <c r="GO33" s="30">
        <f>+Producción!GQ14*GO5</f>
        <v>0</v>
      </c>
      <c r="GP33" s="30">
        <f>+Producción!GR14*GP5</f>
        <v>461689.4855654054</v>
      </c>
      <c r="GQ33" s="30">
        <f>+Producción!GS14*GQ5</f>
        <v>321463.39018260216</v>
      </c>
      <c r="GR33" s="30">
        <f>+Producción!GT14*GR5</f>
        <v>320451.02798060875</v>
      </c>
      <c r="GS33" s="30">
        <f>+Producción!GU14*GS5</f>
        <v>99653.96288442878</v>
      </c>
      <c r="GT33" s="30">
        <f>+Producción!GV14*GT5</f>
        <v>0</v>
      </c>
      <c r="GU33" s="30">
        <f>+Producción!GW14*GU5</f>
        <v>0</v>
      </c>
      <c r="GV33" s="30">
        <f>+Producción!GX14*GV5</f>
        <v>0</v>
      </c>
      <c r="GW33" s="30">
        <f>+Producción!GY14*GW5</f>
        <v>0</v>
      </c>
      <c r="GX33" s="30">
        <f>+Producción!GZ14*GX5</f>
        <v>0</v>
      </c>
      <c r="GY33" s="30">
        <f>+Producción!HA14*GY5</f>
        <v>0</v>
      </c>
      <c r="GZ33" s="30">
        <f>+Producción!HB14*GZ5</f>
        <v>0</v>
      </c>
      <c r="HA33" s="30">
        <f>+Producción!HC14*HA5</f>
        <v>0</v>
      </c>
      <c r="HB33" s="30">
        <f>+Producción!HD14*HB5</f>
        <v>475540.17013236758</v>
      </c>
      <c r="HC33" s="30">
        <f>+Producción!HE14*HC5</f>
        <v>331107.29188808025</v>
      </c>
      <c r="HD33" s="30">
        <f>+Producción!HF14*HD5</f>
        <v>330064.55882002704</v>
      </c>
      <c r="HE33" s="30">
        <f>+Producción!HG14*HE5</f>
        <v>102643.58177096165</v>
      </c>
      <c r="HF33" s="30">
        <f>+Producción!HH14*HF5</f>
        <v>0</v>
      </c>
      <c r="HG33" s="30">
        <f>+Producción!HI14*HG5</f>
        <v>0</v>
      </c>
      <c r="HH33" s="30">
        <f>+Producción!HJ14*HH5</f>
        <v>0</v>
      </c>
      <c r="HI33" s="30">
        <f>+Producción!HK14*HI5</f>
        <v>0</v>
      </c>
      <c r="HJ33" s="30">
        <f>+Producción!HL14*HJ5</f>
        <v>0</v>
      </c>
      <c r="HK33" s="30">
        <f>+Producción!HM14*HK5</f>
        <v>0</v>
      </c>
      <c r="HL33" s="30">
        <f>+Producción!HN14*HL5</f>
        <v>0</v>
      </c>
      <c r="HM33" s="30">
        <f>+Producción!HO14*HM5</f>
        <v>0</v>
      </c>
      <c r="HN33" s="30">
        <f>+Producción!HP14*HN5</f>
        <v>489806.37523633859</v>
      </c>
      <c r="HO33" s="30">
        <f>+Producción!HQ14*HO5</f>
        <v>341040.51064472261</v>
      </c>
      <c r="HP33" s="30">
        <f>+Producción!HR14*HP5</f>
        <v>339966.4955846279</v>
      </c>
      <c r="HQ33" s="30">
        <f>+Producción!HS14*HQ5</f>
        <v>105722.8892240905</v>
      </c>
      <c r="HR33" s="30">
        <f>+Producción!HT14*HR5</f>
        <v>0</v>
      </c>
      <c r="HS33" s="30">
        <f>+Producción!HU14*HS5</f>
        <v>0</v>
      </c>
      <c r="HT33" s="30">
        <f>+Producción!HV14*HT5</f>
        <v>0</v>
      </c>
      <c r="HU33" s="30">
        <f>+Producción!HW14*HU5</f>
        <v>0</v>
      </c>
      <c r="HV33" s="30">
        <f>+Producción!HX14*HV5</f>
        <v>0</v>
      </c>
      <c r="HW33" s="30">
        <f>+Producción!HY14*HW5</f>
        <v>0</v>
      </c>
      <c r="HX33" s="30">
        <f>+Producción!HZ14*HX5</f>
        <v>0</v>
      </c>
      <c r="HY33" s="30">
        <f>+Producción!IA14*HY5</f>
        <v>0</v>
      </c>
      <c r="HZ33" s="30">
        <f>+Producción!IB14*HZ5</f>
        <v>504500.56649342878</v>
      </c>
      <c r="IA33" s="30">
        <f>+Producción!IC14*IA5</f>
        <v>351271.72596406436</v>
      </c>
      <c r="IB33" s="30">
        <f>+Producción!ID14*IB5</f>
        <v>350165.4904521667</v>
      </c>
      <c r="IC33" s="30">
        <f>+Producción!IE14*IC5</f>
        <v>108894.57590081322</v>
      </c>
      <c r="ID33" s="30">
        <f>+Producción!IF14*ID5</f>
        <v>0</v>
      </c>
      <c r="IE33" s="30">
        <f>+Producción!IG14*IE5</f>
        <v>0</v>
      </c>
      <c r="IF33" s="30">
        <f>+Producción!IH14*IF5</f>
        <v>0</v>
      </c>
      <c r="IG33" s="30">
        <f>+Producción!II14*IG5</f>
        <v>0</v>
      </c>
      <c r="IH33" s="30">
        <f>+Producción!IJ14*IH5</f>
        <v>0</v>
      </c>
      <c r="II33" s="30">
        <f>+Producción!IK14*II5</f>
        <v>0</v>
      </c>
      <c r="IJ33" s="30">
        <f>+Producción!IL14*IJ5</f>
        <v>0</v>
      </c>
      <c r="IK33" s="30">
        <f>+Producción!IM14*IK5</f>
        <v>0</v>
      </c>
      <c r="IL33" s="30">
        <f>+Producción!IN14*IL5</f>
        <v>519635.58348823164</v>
      </c>
      <c r="IM33" s="30">
        <f>+Producción!IO14*IM5</f>
        <v>361809.87774298625</v>
      </c>
      <c r="IN33" s="30"/>
    </row>
    <row r="34" spans="1:248" x14ac:dyDescent="0.3">
      <c r="A34" t="s">
        <v>917</v>
      </c>
      <c r="C34" s="30">
        <f>+C33*$B$1</f>
        <v>0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X34" s="30"/>
      <c r="Y34" s="30"/>
      <c r="Z34" s="30"/>
      <c r="AA34" s="30"/>
      <c r="AB34" s="30"/>
      <c r="AC34" s="30"/>
      <c r="AD34" s="30">
        <f t="shared" ref="AD34" si="35">+AD33*$B$1</f>
        <v>61046.227933305549</v>
      </c>
      <c r="AE34" s="30">
        <f t="shared" ref="AE34:CP34" si="36">+AE33*$B$1</f>
        <v>42505.034233707302</v>
      </c>
      <c r="AF34" s="30">
        <f t="shared" si="36"/>
        <v>42371.176098172189</v>
      </c>
      <c r="AG34" s="30">
        <f t="shared" si="36"/>
        <v>13176.601856656729</v>
      </c>
      <c r="AH34" s="30">
        <f t="shared" si="36"/>
        <v>0</v>
      </c>
      <c r="AI34" s="30">
        <f t="shared" si="36"/>
        <v>0</v>
      </c>
      <c r="AJ34" s="30">
        <f t="shared" si="36"/>
        <v>0</v>
      </c>
      <c r="AK34" s="30">
        <f t="shared" si="36"/>
        <v>0</v>
      </c>
      <c r="AL34" s="30">
        <f t="shared" si="36"/>
        <v>0</v>
      </c>
      <c r="AM34" s="30">
        <f t="shared" si="36"/>
        <v>0</v>
      </c>
      <c r="AN34" s="30">
        <f t="shared" si="36"/>
        <v>0</v>
      </c>
      <c r="AO34" s="30">
        <f t="shared" si="36"/>
        <v>0</v>
      </c>
      <c r="AP34" s="30">
        <f t="shared" si="36"/>
        <v>62877.614771304725</v>
      </c>
      <c r="AQ34" s="30">
        <f t="shared" si="36"/>
        <v>43780.185260718521</v>
      </c>
      <c r="AR34" s="30">
        <f t="shared" si="36"/>
        <v>43642.311381117353</v>
      </c>
      <c r="AS34" s="30">
        <f t="shared" si="36"/>
        <v>13571.899912356432</v>
      </c>
      <c r="AT34" s="30">
        <f t="shared" si="36"/>
        <v>0</v>
      </c>
      <c r="AU34" s="30">
        <f t="shared" si="36"/>
        <v>0</v>
      </c>
      <c r="AV34" s="30">
        <f t="shared" si="36"/>
        <v>0</v>
      </c>
      <c r="AW34" s="30">
        <f t="shared" si="36"/>
        <v>0</v>
      </c>
      <c r="AX34" s="30">
        <f t="shared" si="36"/>
        <v>0</v>
      </c>
      <c r="AY34" s="30">
        <f t="shared" si="36"/>
        <v>0</v>
      </c>
      <c r="AZ34" s="30">
        <f t="shared" si="36"/>
        <v>0</v>
      </c>
      <c r="BA34" s="30">
        <f t="shared" si="36"/>
        <v>0</v>
      </c>
      <c r="BB34" s="30">
        <f t="shared" si="36"/>
        <v>64763.943214443862</v>
      </c>
      <c r="BC34" s="30">
        <f t="shared" si="36"/>
        <v>45093.590818540077</v>
      </c>
      <c r="BD34" s="30">
        <f t="shared" si="36"/>
        <v>44951.580722550883</v>
      </c>
      <c r="BE34" s="30">
        <f t="shared" si="36"/>
        <v>13979.056909727125</v>
      </c>
      <c r="BF34" s="30">
        <f t="shared" si="36"/>
        <v>0</v>
      </c>
      <c r="BG34" s="30">
        <f t="shared" si="36"/>
        <v>0</v>
      </c>
      <c r="BH34" s="30">
        <f t="shared" si="36"/>
        <v>0</v>
      </c>
      <c r="BI34" s="30">
        <f t="shared" si="36"/>
        <v>0</v>
      </c>
      <c r="BJ34" s="30">
        <f t="shared" si="36"/>
        <v>0</v>
      </c>
      <c r="BK34" s="30">
        <f t="shared" si="36"/>
        <v>0</v>
      </c>
      <c r="BL34" s="30">
        <f t="shared" si="36"/>
        <v>0</v>
      </c>
      <c r="BM34" s="30">
        <f t="shared" si="36"/>
        <v>0</v>
      </c>
      <c r="BN34" s="30">
        <f t="shared" si="36"/>
        <v>66706.861510877192</v>
      </c>
      <c r="BO34" s="30">
        <f t="shared" si="36"/>
        <v>46446.398543096286</v>
      </c>
      <c r="BP34" s="30">
        <f t="shared" si="36"/>
        <v>46300.128144227405</v>
      </c>
      <c r="BQ34" s="30">
        <f t="shared" si="36"/>
        <v>14398.428617018939</v>
      </c>
      <c r="BR34" s="30">
        <f t="shared" si="36"/>
        <v>0</v>
      </c>
      <c r="BS34" s="30">
        <f t="shared" si="36"/>
        <v>0</v>
      </c>
      <c r="BT34" s="30">
        <f t="shared" si="36"/>
        <v>0</v>
      </c>
      <c r="BU34" s="30">
        <f t="shared" si="36"/>
        <v>0</v>
      </c>
      <c r="BV34" s="30">
        <f t="shared" si="36"/>
        <v>0</v>
      </c>
      <c r="BW34" s="30">
        <f t="shared" si="36"/>
        <v>0</v>
      </c>
      <c r="BX34" s="30">
        <f t="shared" si="36"/>
        <v>0</v>
      </c>
      <c r="BY34" s="30">
        <f t="shared" si="36"/>
        <v>0</v>
      </c>
      <c r="BZ34" s="30">
        <f t="shared" si="36"/>
        <v>68708.067356203494</v>
      </c>
      <c r="CA34" s="30">
        <f t="shared" si="36"/>
        <v>47839.790499389172</v>
      </c>
      <c r="CB34" s="30">
        <f t="shared" si="36"/>
        <v>47689.131988554233</v>
      </c>
      <c r="CC34" s="30">
        <f t="shared" si="36"/>
        <v>14830.38147552951</v>
      </c>
      <c r="CD34" s="30">
        <f t="shared" si="36"/>
        <v>0</v>
      </c>
      <c r="CE34" s="30">
        <f t="shared" si="36"/>
        <v>0</v>
      </c>
      <c r="CF34" s="30">
        <f t="shared" si="36"/>
        <v>0</v>
      </c>
      <c r="CG34" s="30">
        <f t="shared" si="36"/>
        <v>0</v>
      </c>
      <c r="CH34" s="30">
        <f t="shared" si="36"/>
        <v>0</v>
      </c>
      <c r="CI34" s="30">
        <f t="shared" si="36"/>
        <v>0</v>
      </c>
      <c r="CJ34" s="30">
        <f t="shared" si="36"/>
        <v>0</v>
      </c>
      <c r="CK34" s="30">
        <f t="shared" si="36"/>
        <v>0</v>
      </c>
      <c r="CL34" s="30">
        <f t="shared" si="36"/>
        <v>70769.309376889607</v>
      </c>
      <c r="CM34" s="30">
        <f t="shared" si="36"/>
        <v>49274.984214370852</v>
      </c>
      <c r="CN34" s="30">
        <f t="shared" si="36"/>
        <v>49119.805948210858</v>
      </c>
      <c r="CO34" s="30">
        <f t="shared" si="36"/>
        <v>15275.292919795393</v>
      </c>
      <c r="CP34" s="30">
        <f t="shared" si="36"/>
        <v>0</v>
      </c>
      <c r="CQ34" s="30">
        <f t="shared" ref="CQ34:FB34" si="37">+CQ33*$B$1</f>
        <v>0</v>
      </c>
      <c r="CR34" s="30">
        <f t="shared" si="37"/>
        <v>0</v>
      </c>
      <c r="CS34" s="30">
        <f t="shared" si="37"/>
        <v>0</v>
      </c>
      <c r="CT34" s="30">
        <f t="shared" si="37"/>
        <v>0</v>
      </c>
      <c r="CU34" s="30">
        <f t="shared" si="37"/>
        <v>0</v>
      </c>
      <c r="CV34" s="30">
        <f t="shared" si="37"/>
        <v>0</v>
      </c>
      <c r="CW34" s="30">
        <f t="shared" si="37"/>
        <v>0</v>
      </c>
      <c r="CX34" s="30">
        <f t="shared" si="37"/>
        <v>72892.388658196302</v>
      </c>
      <c r="CY34" s="30">
        <f t="shared" si="37"/>
        <v>50753.233740801981</v>
      </c>
      <c r="CZ34" s="30">
        <f t="shared" si="37"/>
        <v>50593.400126657187</v>
      </c>
      <c r="DA34" s="30">
        <f t="shared" si="37"/>
        <v>15733.551707389255</v>
      </c>
      <c r="DB34" s="30">
        <f t="shared" si="37"/>
        <v>0</v>
      </c>
      <c r="DC34" s="30">
        <f t="shared" si="37"/>
        <v>0</v>
      </c>
      <c r="DD34" s="30">
        <f t="shared" si="37"/>
        <v>0</v>
      </c>
      <c r="DE34" s="30">
        <f t="shared" si="37"/>
        <v>0</v>
      </c>
      <c r="DF34" s="30">
        <f t="shared" si="37"/>
        <v>0</v>
      </c>
      <c r="DG34" s="30">
        <f t="shared" si="37"/>
        <v>0</v>
      </c>
      <c r="DH34" s="30">
        <f t="shared" si="37"/>
        <v>0</v>
      </c>
      <c r="DI34" s="30">
        <f t="shared" si="37"/>
        <v>0</v>
      </c>
      <c r="DJ34" s="30">
        <f t="shared" si="37"/>
        <v>75079.160317942195</v>
      </c>
      <c r="DK34" s="30">
        <f t="shared" si="37"/>
        <v>52275.830753026035</v>
      </c>
      <c r="DL34" s="30">
        <f t="shared" si="37"/>
        <v>52111.202130456906</v>
      </c>
      <c r="DM34" s="30">
        <f t="shared" si="37"/>
        <v>16205.558258610936</v>
      </c>
      <c r="DN34" s="30">
        <f t="shared" si="37"/>
        <v>0</v>
      </c>
      <c r="DO34" s="30">
        <f t="shared" si="37"/>
        <v>0</v>
      </c>
      <c r="DP34" s="30">
        <f t="shared" si="37"/>
        <v>0</v>
      </c>
      <c r="DQ34" s="30">
        <f t="shared" si="37"/>
        <v>0</v>
      </c>
      <c r="DR34" s="30">
        <f t="shared" si="37"/>
        <v>0</v>
      </c>
      <c r="DS34" s="30">
        <f t="shared" si="37"/>
        <v>0</v>
      </c>
      <c r="DT34" s="30">
        <f t="shared" si="37"/>
        <v>0</v>
      </c>
      <c r="DU34" s="30">
        <f t="shared" si="37"/>
        <v>0</v>
      </c>
      <c r="DV34" s="30">
        <f t="shared" si="37"/>
        <v>77331.535127480456</v>
      </c>
      <c r="DW34" s="30">
        <f t="shared" si="37"/>
        <v>53844.105675616818</v>
      </c>
      <c r="DX34" s="30">
        <f t="shared" si="37"/>
        <v>53674.538194370609</v>
      </c>
      <c r="DY34" s="30">
        <f t="shared" si="37"/>
        <v>16691.725006369259</v>
      </c>
      <c r="DZ34" s="30">
        <f t="shared" si="37"/>
        <v>0</v>
      </c>
      <c r="EA34" s="30">
        <f t="shared" si="37"/>
        <v>0</v>
      </c>
      <c r="EB34" s="30">
        <f t="shared" si="37"/>
        <v>0</v>
      </c>
      <c r="EC34" s="30">
        <f t="shared" si="37"/>
        <v>0</v>
      </c>
      <c r="ED34" s="30">
        <f t="shared" si="37"/>
        <v>0</v>
      </c>
      <c r="EE34" s="30">
        <f t="shared" si="37"/>
        <v>0</v>
      </c>
      <c r="EF34" s="30">
        <f t="shared" si="37"/>
        <v>0</v>
      </c>
      <c r="EG34" s="30">
        <f t="shared" si="37"/>
        <v>0</v>
      </c>
      <c r="EH34" s="30">
        <f t="shared" si="37"/>
        <v>79651.481181304873</v>
      </c>
      <c r="EI34" s="30">
        <f t="shared" si="37"/>
        <v>55459.428845885319</v>
      </c>
      <c r="EJ34" s="30">
        <f t="shared" si="37"/>
        <v>55284.77434020173</v>
      </c>
      <c r="EK34" s="30">
        <f t="shared" si="37"/>
        <v>17192.47675656034</v>
      </c>
      <c r="EL34" s="30">
        <f t="shared" si="37"/>
        <v>0</v>
      </c>
      <c r="EM34" s="30">
        <f t="shared" si="37"/>
        <v>0</v>
      </c>
      <c r="EN34" s="30">
        <f t="shared" si="37"/>
        <v>0</v>
      </c>
      <c r="EO34" s="30">
        <f t="shared" si="37"/>
        <v>0</v>
      </c>
      <c r="EP34" s="30">
        <f t="shared" si="37"/>
        <v>0</v>
      </c>
      <c r="EQ34" s="30">
        <f t="shared" si="37"/>
        <v>0</v>
      </c>
      <c r="ER34" s="30">
        <f t="shared" si="37"/>
        <v>0</v>
      </c>
      <c r="ES34" s="30">
        <f t="shared" si="37"/>
        <v>0</v>
      </c>
      <c r="ET34" s="30">
        <f t="shared" si="37"/>
        <v>82041.025616744024</v>
      </c>
      <c r="EU34" s="30">
        <f t="shared" si="37"/>
        <v>57123.211711261887</v>
      </c>
      <c r="EV34" s="30">
        <f t="shared" si="37"/>
        <v>56943.317570407788</v>
      </c>
      <c r="EW34" s="30">
        <f t="shared" si="37"/>
        <v>17708.251059257153</v>
      </c>
      <c r="EX34" s="30">
        <f t="shared" si="37"/>
        <v>0</v>
      </c>
      <c r="EY34" s="30">
        <f t="shared" si="37"/>
        <v>0</v>
      </c>
      <c r="EZ34" s="30">
        <f t="shared" si="37"/>
        <v>0</v>
      </c>
      <c r="FA34" s="30">
        <f t="shared" si="37"/>
        <v>0</v>
      </c>
      <c r="FB34" s="30">
        <f t="shared" si="37"/>
        <v>0</v>
      </c>
      <c r="FC34" s="30">
        <f t="shared" ref="FC34:HN34" si="38">+FC33*$B$1</f>
        <v>0</v>
      </c>
      <c r="FD34" s="30">
        <f t="shared" si="38"/>
        <v>0</v>
      </c>
      <c r="FE34" s="30">
        <f t="shared" si="38"/>
        <v>0</v>
      </c>
      <c r="FF34" s="30">
        <f t="shared" si="38"/>
        <v>84502.256385246335</v>
      </c>
      <c r="FG34" s="30">
        <f t="shared" si="38"/>
        <v>58836.908062599745</v>
      </c>
      <c r="FH34" s="30">
        <f t="shared" si="38"/>
        <v>58651.617097520015</v>
      </c>
      <c r="FI34" s="30">
        <f t="shared" si="38"/>
        <v>18239.498591034866</v>
      </c>
      <c r="FJ34" s="30">
        <f t="shared" si="38"/>
        <v>0</v>
      </c>
      <c r="FK34" s="30">
        <f t="shared" si="38"/>
        <v>0</v>
      </c>
      <c r="FL34" s="30">
        <f t="shared" si="38"/>
        <v>0</v>
      </c>
      <c r="FM34" s="30">
        <f t="shared" si="38"/>
        <v>0</v>
      </c>
      <c r="FN34" s="30">
        <f t="shared" si="38"/>
        <v>0</v>
      </c>
      <c r="FO34" s="30">
        <f t="shared" si="38"/>
        <v>0</v>
      </c>
      <c r="FP34" s="30">
        <f t="shared" si="38"/>
        <v>0</v>
      </c>
      <c r="FQ34" s="30">
        <f t="shared" si="38"/>
        <v>0</v>
      </c>
      <c r="FR34" s="30">
        <f t="shared" si="38"/>
        <v>87037.324076803721</v>
      </c>
      <c r="FS34" s="30">
        <f t="shared" si="38"/>
        <v>60602.015304477725</v>
      </c>
      <c r="FT34" s="30">
        <f t="shared" si="38"/>
        <v>60411.165610445605</v>
      </c>
      <c r="FU34" s="30">
        <f t="shared" si="38"/>
        <v>18786.683548765908</v>
      </c>
      <c r="FV34" s="30">
        <f t="shared" si="38"/>
        <v>0</v>
      </c>
      <c r="FW34" s="30">
        <f t="shared" si="38"/>
        <v>0</v>
      </c>
      <c r="FX34" s="30">
        <f t="shared" si="38"/>
        <v>0</v>
      </c>
      <c r="FY34" s="30">
        <f t="shared" si="38"/>
        <v>0</v>
      </c>
      <c r="FZ34" s="30">
        <f t="shared" si="38"/>
        <v>0</v>
      </c>
      <c r="GA34" s="30">
        <f t="shared" si="38"/>
        <v>0</v>
      </c>
      <c r="GB34" s="30">
        <f t="shared" si="38"/>
        <v>0</v>
      </c>
      <c r="GC34" s="30">
        <f t="shared" si="38"/>
        <v>0</v>
      </c>
      <c r="GD34" s="30">
        <f t="shared" si="38"/>
        <v>89648.443799107845</v>
      </c>
      <c r="GE34" s="30">
        <f t="shared" si="38"/>
        <v>62420.075763612069</v>
      </c>
      <c r="GF34" s="30">
        <f t="shared" si="38"/>
        <v>62223.500578758983</v>
      </c>
      <c r="GG34" s="30">
        <f t="shared" si="38"/>
        <v>19350.284055228887</v>
      </c>
      <c r="GH34" s="30">
        <f t="shared" si="38"/>
        <v>0</v>
      </c>
      <c r="GI34" s="30">
        <f t="shared" si="38"/>
        <v>0</v>
      </c>
      <c r="GJ34" s="30">
        <f t="shared" si="38"/>
        <v>0</v>
      </c>
      <c r="GK34" s="30">
        <f t="shared" si="38"/>
        <v>0</v>
      </c>
      <c r="GL34" s="30">
        <f t="shared" si="38"/>
        <v>0</v>
      </c>
      <c r="GM34" s="30">
        <f t="shared" si="38"/>
        <v>0</v>
      </c>
      <c r="GN34" s="30">
        <f t="shared" si="38"/>
        <v>0</v>
      </c>
      <c r="GO34" s="30">
        <f t="shared" si="38"/>
        <v>0</v>
      </c>
      <c r="GP34" s="30">
        <f t="shared" si="38"/>
        <v>92337.897113081082</v>
      </c>
      <c r="GQ34" s="30">
        <f t="shared" si="38"/>
        <v>64292.678036520432</v>
      </c>
      <c r="GR34" s="30">
        <f t="shared" si="38"/>
        <v>64090.205596121756</v>
      </c>
      <c r="GS34" s="30">
        <f t="shared" si="38"/>
        <v>19930.792576885757</v>
      </c>
      <c r="GT34" s="30">
        <f t="shared" si="38"/>
        <v>0</v>
      </c>
      <c r="GU34" s="30">
        <f t="shared" si="38"/>
        <v>0</v>
      </c>
      <c r="GV34" s="30">
        <f t="shared" si="38"/>
        <v>0</v>
      </c>
      <c r="GW34" s="30">
        <f t="shared" si="38"/>
        <v>0</v>
      </c>
      <c r="GX34" s="30">
        <f t="shared" si="38"/>
        <v>0</v>
      </c>
      <c r="GY34" s="30">
        <f t="shared" si="38"/>
        <v>0</v>
      </c>
      <c r="GZ34" s="30">
        <f t="shared" si="38"/>
        <v>0</v>
      </c>
      <c r="HA34" s="30">
        <f t="shared" si="38"/>
        <v>0</v>
      </c>
      <c r="HB34" s="30">
        <f t="shared" si="38"/>
        <v>95108.034026473528</v>
      </c>
      <c r="HC34" s="30">
        <f t="shared" si="38"/>
        <v>66221.458377616058</v>
      </c>
      <c r="HD34" s="30">
        <f t="shared" si="38"/>
        <v>66012.911764005417</v>
      </c>
      <c r="HE34" s="30">
        <f t="shared" si="38"/>
        <v>20528.716354192333</v>
      </c>
      <c r="HF34" s="30">
        <f t="shared" si="38"/>
        <v>0</v>
      </c>
      <c r="HG34" s="30">
        <f t="shared" si="38"/>
        <v>0</v>
      </c>
      <c r="HH34" s="30">
        <f t="shared" si="38"/>
        <v>0</v>
      </c>
      <c r="HI34" s="30">
        <f t="shared" si="38"/>
        <v>0</v>
      </c>
      <c r="HJ34" s="30">
        <f t="shared" si="38"/>
        <v>0</v>
      </c>
      <c r="HK34" s="30">
        <f t="shared" si="38"/>
        <v>0</v>
      </c>
      <c r="HL34" s="30">
        <f t="shared" si="38"/>
        <v>0</v>
      </c>
      <c r="HM34" s="30">
        <f t="shared" si="38"/>
        <v>0</v>
      </c>
      <c r="HN34" s="30">
        <f t="shared" si="38"/>
        <v>97961.275047267729</v>
      </c>
      <c r="HO34" s="30">
        <f t="shared" ref="HO34:IM34" si="39">+HO33*$B$1</f>
        <v>68208.10212894452</v>
      </c>
      <c r="HP34" s="30">
        <f t="shared" si="39"/>
        <v>67993.299116925584</v>
      </c>
      <c r="HQ34" s="30">
        <f t="shared" si="39"/>
        <v>21144.577844818101</v>
      </c>
      <c r="HR34" s="30">
        <f t="shared" si="39"/>
        <v>0</v>
      </c>
      <c r="HS34" s="30">
        <f t="shared" si="39"/>
        <v>0</v>
      </c>
      <c r="HT34" s="30">
        <f t="shared" si="39"/>
        <v>0</v>
      </c>
      <c r="HU34" s="30">
        <f t="shared" si="39"/>
        <v>0</v>
      </c>
      <c r="HV34" s="30">
        <f t="shared" si="39"/>
        <v>0</v>
      </c>
      <c r="HW34" s="30">
        <f t="shared" si="39"/>
        <v>0</v>
      </c>
      <c r="HX34" s="30">
        <f t="shared" si="39"/>
        <v>0</v>
      </c>
      <c r="HY34" s="30">
        <f t="shared" si="39"/>
        <v>0</v>
      </c>
      <c r="HZ34" s="30">
        <f t="shared" si="39"/>
        <v>100900.11329868576</v>
      </c>
      <c r="IA34" s="30">
        <f t="shared" si="39"/>
        <v>70254.345192812878</v>
      </c>
      <c r="IB34" s="30">
        <f t="shared" si="39"/>
        <v>70033.098090433341</v>
      </c>
      <c r="IC34" s="30">
        <f t="shared" si="39"/>
        <v>21778.915180162643</v>
      </c>
      <c r="ID34" s="30">
        <f t="shared" si="39"/>
        <v>0</v>
      </c>
      <c r="IE34" s="30">
        <f t="shared" si="39"/>
        <v>0</v>
      </c>
      <c r="IF34" s="30">
        <f t="shared" si="39"/>
        <v>0</v>
      </c>
      <c r="IG34" s="30">
        <f t="shared" si="39"/>
        <v>0</v>
      </c>
      <c r="IH34" s="30">
        <f t="shared" si="39"/>
        <v>0</v>
      </c>
      <c r="II34" s="30">
        <f t="shared" si="39"/>
        <v>0</v>
      </c>
      <c r="IJ34" s="30">
        <f t="shared" si="39"/>
        <v>0</v>
      </c>
      <c r="IK34" s="30">
        <f t="shared" si="39"/>
        <v>0</v>
      </c>
      <c r="IL34" s="30">
        <f t="shared" si="39"/>
        <v>103927.11669764633</v>
      </c>
      <c r="IM34" s="30">
        <f t="shared" si="39"/>
        <v>72361.975548597256</v>
      </c>
      <c r="IN34" s="30"/>
    </row>
    <row r="35" spans="1:248" x14ac:dyDescent="0.3">
      <c r="A35" t="s">
        <v>918</v>
      </c>
      <c r="B35" s="30"/>
      <c r="C35" s="30">
        <f>Producción!C15*C8</f>
        <v>0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X35" s="30"/>
      <c r="Y35" s="30"/>
      <c r="Z35" s="30"/>
      <c r="AA35" s="30"/>
      <c r="AB35" s="30"/>
      <c r="AC35" s="30"/>
      <c r="AD35" s="30">
        <f>Producción!AF15*AD8</f>
        <v>0</v>
      </c>
      <c r="AE35" s="30">
        <f>Producción!AG15*AE8</f>
        <v>0</v>
      </c>
      <c r="AF35" s="30">
        <f>Producción!AH15*AF8</f>
        <v>0</v>
      </c>
      <c r="AG35" s="30">
        <f>Producción!AI15*AG8</f>
        <v>0</v>
      </c>
      <c r="AH35" s="30">
        <f>Producción!AJ15*AH8</f>
        <v>-181752.54727993876</v>
      </c>
      <c r="AI35" s="30">
        <f>Producción!AK15*AI8</f>
        <v>-294855.73939479742</v>
      </c>
      <c r="AJ35" s="30">
        <f>Producción!AL15*AJ8</f>
        <v>-260519.88284000003</v>
      </c>
      <c r="AK35" s="30">
        <f>Producción!AM15*AK8</f>
        <v>-195537.95008000016</v>
      </c>
      <c r="AL35" s="30">
        <f>Producción!AN15*AL8</f>
        <v>-397234.61356000014</v>
      </c>
      <c r="AM35" s="30">
        <f>Producción!AO15*AM8</f>
        <v>-389226.56877064961</v>
      </c>
      <c r="AN35" s="30">
        <f>Producción!AP15*AN8</f>
        <v>-270817.41453438357</v>
      </c>
      <c r="AO35" s="30">
        <f>Producción!AQ15*AO8</f>
        <v>-238115.22285113367</v>
      </c>
      <c r="AP35" s="30">
        <f>Producción!AR15*AP8</f>
        <v>0</v>
      </c>
      <c r="AQ35" s="30">
        <f>Producción!AS15*AQ8</f>
        <v>0</v>
      </c>
      <c r="AR35" s="30">
        <f>Producción!AT15*AR8</f>
        <v>0</v>
      </c>
      <c r="AS35" s="30">
        <f>Producción!AU15*AS8</f>
        <v>0</v>
      </c>
      <c r="AT35" s="30">
        <f>Producción!AV15*AT8</f>
        <v>-190840.17464393569</v>
      </c>
      <c r="AU35" s="30">
        <f>Producción!AW15*AU8</f>
        <v>-309598.52636453731</v>
      </c>
      <c r="AV35" s="30">
        <f>Producción!AX15*AV8</f>
        <v>-260519.88284000003</v>
      </c>
      <c r="AW35" s="30">
        <f>Producción!AY15*AW8</f>
        <v>-195537.95008000016</v>
      </c>
      <c r="AX35" s="30">
        <f>Producción!AZ15*AX8</f>
        <v>-397234.61356000014</v>
      </c>
      <c r="AY35" s="30">
        <f>Producción!BA15*AY8</f>
        <v>-408687.89720918209</v>
      </c>
      <c r="AZ35" s="30">
        <f>Producción!BB15*AZ8</f>
        <v>-284358.28526110278</v>
      </c>
      <c r="BA35" s="30">
        <f>Producción!BC15*BA8</f>
        <v>-250020.98399369037</v>
      </c>
      <c r="BB35" s="30">
        <f>Producción!BD15*BB8</f>
        <v>0</v>
      </c>
      <c r="BC35" s="30">
        <f>Producción!BE15*BC8</f>
        <v>0</v>
      </c>
      <c r="BD35" s="30">
        <f>Producción!BF15*BD8</f>
        <v>0</v>
      </c>
      <c r="BE35" s="30">
        <f>Producción!BG15*BE8</f>
        <v>0</v>
      </c>
      <c r="BF35" s="30">
        <f>Producción!BH15*BF8</f>
        <v>-200382.18337613251</v>
      </c>
      <c r="BG35" s="30">
        <f>Producción!BI15*BG8</f>
        <v>-325078.45268276421</v>
      </c>
      <c r="BH35" s="30">
        <f>Producción!BJ15*BH8</f>
        <v>-260519.88284000003</v>
      </c>
      <c r="BI35" s="30">
        <f>Producción!BK15*BI8</f>
        <v>-195537.95008000016</v>
      </c>
      <c r="BJ35" s="30">
        <f>Producción!BL15*BJ8</f>
        <v>-397234.61356000014</v>
      </c>
      <c r="BK35" s="30">
        <f>Producción!BM15*BK8</f>
        <v>-429122.29206964123</v>
      </c>
      <c r="BL35" s="30">
        <f>Producción!BN15*BL8</f>
        <v>-298576.19952415791</v>
      </c>
      <c r="BM35" s="30">
        <f>Producción!BO15*BM8</f>
        <v>-262522.03319337487</v>
      </c>
      <c r="BN35" s="30">
        <f>Producción!BP15*BN8</f>
        <v>0</v>
      </c>
      <c r="BO35" s="30">
        <f>Producción!BQ15*BO8</f>
        <v>0</v>
      </c>
      <c r="BP35" s="30">
        <f>Producción!BR15*BP8</f>
        <v>0</v>
      </c>
      <c r="BQ35" s="30">
        <f>Producción!BS15*BQ8</f>
        <v>0</v>
      </c>
      <c r="BR35" s="30">
        <f>Producción!BT15*BR8</f>
        <v>-210401.29254493915</v>
      </c>
      <c r="BS35" s="30">
        <f>Producción!BU15*BS8</f>
        <v>-341332.37531690247</v>
      </c>
      <c r="BT35" s="30">
        <f>Producción!BV15*BT8</f>
        <v>-271414.08828272438</v>
      </c>
      <c r="BU35" s="30">
        <f>Producción!BW15*BU8</f>
        <v>-195537.95008000016</v>
      </c>
      <c r="BV35" s="30">
        <f>Producción!BX15*BV8</f>
        <v>-397234.61356000014</v>
      </c>
      <c r="BW35" s="30">
        <f>Producción!BY15*BW8</f>
        <v>-450578.40667312336</v>
      </c>
      <c r="BX35" s="30">
        <f>Producción!BZ15*BX8</f>
        <v>-313505.00950036582</v>
      </c>
      <c r="BY35" s="30">
        <f>Producción!CA15*BY8</f>
        <v>-275648.13485304365</v>
      </c>
      <c r="BZ35" s="30">
        <f>Producción!CB15*BZ8</f>
        <v>0</v>
      </c>
      <c r="CA35" s="30">
        <f>Producción!CC15*CA8</f>
        <v>0</v>
      </c>
      <c r="CB35" s="30">
        <f>Producción!CD15*CB8</f>
        <v>0</v>
      </c>
      <c r="CC35" s="30">
        <f>Producción!CE15*CC8</f>
        <v>0</v>
      </c>
      <c r="CD35" s="30">
        <f>Producción!CF15*CD8</f>
        <v>-220921.35717218608</v>
      </c>
      <c r="CE35" s="30">
        <f>Producción!CG15*CE8</f>
        <v>-358398.99408274761</v>
      </c>
      <c r="CF35" s="30">
        <f>Producción!CH15*CF8</f>
        <v>-284984.79269686062</v>
      </c>
      <c r="CG35" s="30">
        <f>Producción!CI15*CG8</f>
        <v>-195537.95008000016</v>
      </c>
      <c r="CH35" s="30">
        <f>Producción!CJ15*CH8</f>
        <v>-412409.79606531136</v>
      </c>
      <c r="CI35" s="30">
        <f>Producción!CK15*CI8</f>
        <v>-473107.32700677961</v>
      </c>
      <c r="CJ35" s="30">
        <f>Producción!CL15*CJ8</f>
        <v>-171519.41599999997</v>
      </c>
      <c r="CK35" s="30">
        <f>Producción!CM15*CK8</f>
        <v>-143883.71980000005</v>
      </c>
      <c r="CL35" s="30">
        <f>Producción!CN15*CL8</f>
        <v>0</v>
      </c>
      <c r="CM35" s="30">
        <f>Producción!CO15*CM8</f>
        <v>0</v>
      </c>
      <c r="CN35" s="30">
        <f>Producción!CP15*CN8</f>
        <v>0</v>
      </c>
      <c r="CO35" s="30">
        <f>Producción!CQ15*CO8</f>
        <v>0</v>
      </c>
      <c r="CP35" s="30">
        <f>Producción!CR15*CP8</f>
        <v>-231967.42503079539</v>
      </c>
      <c r="CQ35" s="30">
        <f>Producción!CS15*CQ8</f>
        <v>-376318.94378688501</v>
      </c>
      <c r="CR35" s="30">
        <f>Producción!CT15*CR8</f>
        <v>-299234.0323317037</v>
      </c>
      <c r="CS35" s="30">
        <f>Producción!CU15*CS8</f>
        <v>-197739.42569938154</v>
      </c>
      <c r="CT35" s="30">
        <f>Producción!CV15*CT8</f>
        <v>-433030.28586857696</v>
      </c>
      <c r="CU35" s="30">
        <f>Producción!CW15*CU8</f>
        <v>-496762.69335711864</v>
      </c>
      <c r="CV35" s="30">
        <f>Producción!CX15*CV8</f>
        <v>-171519.41599999997</v>
      </c>
      <c r="CW35" s="30">
        <f>Producción!CY15*CW8</f>
        <v>-143883.71980000005</v>
      </c>
      <c r="CX35" s="30">
        <f>Producción!CZ15*CX8</f>
        <v>0</v>
      </c>
      <c r="CY35" s="30">
        <f>Producción!DA15*CY8</f>
        <v>0</v>
      </c>
      <c r="CZ35" s="30">
        <f>Producción!DB15*CZ8</f>
        <v>0</v>
      </c>
      <c r="DA35" s="30">
        <f>Producción!DC15*DA8</f>
        <v>0</v>
      </c>
      <c r="DB35" s="30">
        <f>Producción!DD15*DB8</f>
        <v>-243565.79628233518</v>
      </c>
      <c r="DC35" s="30">
        <f>Producción!DE15*DC8</f>
        <v>-395134.89097622928</v>
      </c>
      <c r="DD35" s="30">
        <f>Producción!DF15*DD8</f>
        <v>-314195.73394828883</v>
      </c>
      <c r="DE35" s="30">
        <f>Producción!DG15*DE8</f>
        <v>-207626.39698435063</v>
      </c>
      <c r="DF35" s="30">
        <f>Producción!DH15*DF8</f>
        <v>-454681.80016200576</v>
      </c>
      <c r="DG35" s="30">
        <f>Producción!DI15*DG8</f>
        <v>-521600.8280249745</v>
      </c>
      <c r="DH35" s="30">
        <f>Producción!DJ15*DH8</f>
        <v>-171519.41599999997</v>
      </c>
      <c r="DI35" s="30">
        <f>Producción!DK15*DI8</f>
        <v>-143883.71980000005</v>
      </c>
      <c r="DJ35" s="30">
        <f>Producción!DL15*DJ8</f>
        <v>0</v>
      </c>
      <c r="DK35" s="30">
        <f>Producción!DM15*DK8</f>
        <v>0</v>
      </c>
      <c r="DL35" s="30">
        <f>Producción!DN15*DL8</f>
        <v>0</v>
      </c>
      <c r="DM35" s="30">
        <f>Producción!DO15*DM8</f>
        <v>0</v>
      </c>
      <c r="DN35" s="30">
        <f>Producción!DP15*DN8</f>
        <v>-255744.08609645194</v>
      </c>
      <c r="DO35" s="30">
        <f>Producción!DQ15*DO8</f>
        <v>-414891.63552504079</v>
      </c>
      <c r="DP35" s="30">
        <f>Producción!DR15*DP8</f>
        <v>-329905.52064570331</v>
      </c>
      <c r="DQ35" s="30">
        <f>Producción!DS15*DQ8</f>
        <v>-218007.71683356815</v>
      </c>
      <c r="DR35" s="30">
        <f>Producción!DT15*DR8</f>
        <v>-477415.89017010608</v>
      </c>
      <c r="DS35" s="30">
        <f>Producción!DU15*DS8</f>
        <v>-547680.86942622333</v>
      </c>
      <c r="DT35" s="30">
        <f>Producción!DV15*DT8</f>
        <v>-171519.41599999997</v>
      </c>
      <c r="DU35" s="30">
        <f>Producción!DW15*DU8</f>
        <v>-143883.71980000005</v>
      </c>
      <c r="DV35" s="30">
        <f>Producción!DX15*DV8</f>
        <v>0</v>
      </c>
      <c r="DW35" s="30">
        <f>Producción!DY15*DW8</f>
        <v>0</v>
      </c>
      <c r="DX35" s="30">
        <f>Producción!DZ15*DX8</f>
        <v>0</v>
      </c>
      <c r="DY35" s="30">
        <f>Producción!EA15*DY8</f>
        <v>0</v>
      </c>
      <c r="DZ35" s="30">
        <f>Producción!EB15*DZ8</f>
        <v>-268531.29040127457</v>
      </c>
      <c r="EA35" s="30">
        <f>Producción!EC15*EA8</f>
        <v>-435636.21730129281</v>
      </c>
      <c r="EB35" s="30">
        <f>Producción!ED15*EB8</f>
        <v>-346400.79667798849</v>
      </c>
      <c r="EC35" s="30">
        <f>Producción!EE15*EC8</f>
        <v>-228908.10267524657</v>
      </c>
      <c r="ED35" s="30">
        <f>Producción!EF15*ED8</f>
        <v>-501286.68467861146</v>
      </c>
      <c r="EE35" s="30">
        <f>Producción!EG15*EE8</f>
        <v>-575064.91289753444</v>
      </c>
      <c r="EF35" s="30">
        <f>Producción!EH15*EF8</f>
        <v>-171519.41599999997</v>
      </c>
      <c r="EG35" s="30">
        <f>Producción!EI15*EG8</f>
        <v>-143883.71980000005</v>
      </c>
      <c r="EH35" s="30">
        <f>Producción!EJ15*EH8</f>
        <v>0</v>
      </c>
      <c r="EI35" s="30">
        <f>Producción!EK15*EI8</f>
        <v>0</v>
      </c>
      <c r="EJ35" s="30">
        <f>Producción!EL15*EJ8</f>
        <v>0</v>
      </c>
      <c r="EK35" s="30">
        <f>Producción!EM15*EK8</f>
        <v>0</v>
      </c>
      <c r="EL35" s="30">
        <f>Producción!EN15*EL8</f>
        <v>-281957.85492133832</v>
      </c>
      <c r="EM35" s="30">
        <f>Producción!EO15*EM8</f>
        <v>-457418.02816635754</v>
      </c>
      <c r="EN35" s="30">
        <f>Producción!EP15*EN8</f>
        <v>-363720.8365118879</v>
      </c>
      <c r="EO35" s="30">
        <f>Producción!EQ15*EO8</f>
        <v>-240353.50780900894</v>
      </c>
      <c r="EP35" s="30">
        <f>Producción!ER15*EP8</f>
        <v>-526351.01891254203</v>
      </c>
      <c r="EQ35" s="30">
        <f>Producción!ES15*EQ8</f>
        <v>-603818.15854241129</v>
      </c>
      <c r="ER35" s="30">
        <f>Producción!ET15*ER8</f>
        <v>-171519.41599999997</v>
      </c>
      <c r="ES35" s="30">
        <f>Producción!EU15*ES8</f>
        <v>-143883.71980000005</v>
      </c>
      <c r="ET35" s="30">
        <f>Producción!EV15*ET8</f>
        <v>0</v>
      </c>
      <c r="EU35" s="30">
        <f>Producción!EW15*EU8</f>
        <v>0</v>
      </c>
      <c r="EV35" s="30">
        <f>Producción!EX15*EV8</f>
        <v>0</v>
      </c>
      <c r="EW35" s="30">
        <f>Producción!EY15*EW8</f>
        <v>0</v>
      </c>
      <c r="EX35" s="30">
        <f>Producción!EZ15*EX8</f>
        <v>-214914.82404999994</v>
      </c>
      <c r="EY35" s="30">
        <f>Producción!FA15*EY8</f>
        <v>-352778.78449999989</v>
      </c>
      <c r="EZ35" s="30">
        <f>Producción!FB15*EZ8</f>
        <v>-325649.85355000006</v>
      </c>
      <c r="FA35" s="30">
        <f>Producción!FC15*FA8</f>
        <v>-244422.43760000018</v>
      </c>
      <c r="FB35" s="30">
        <f>Producción!FD15*FB8</f>
        <v>-496543.26695000019</v>
      </c>
      <c r="FC35" s="30">
        <f>Producción!FE15*FC8</f>
        <v>-417466.76990000001</v>
      </c>
      <c r="FD35" s="30">
        <f>Producción!FF15*FD8</f>
        <v>-171519.41599999997</v>
      </c>
      <c r="FE35" s="30">
        <f>Producción!FG15*FE8</f>
        <v>-143883.71980000005</v>
      </c>
      <c r="FF35" s="30">
        <f>Producción!FH15*FF8</f>
        <v>0</v>
      </c>
      <c r="FG35" s="30">
        <f>Producción!FI15*FG8</f>
        <v>0</v>
      </c>
      <c r="FH35" s="30">
        <f>Producción!FJ15*FH8</f>
        <v>0</v>
      </c>
      <c r="FI35" s="30">
        <f>Producción!FK15*FI8</f>
        <v>0</v>
      </c>
      <c r="FJ35" s="30">
        <f>Producción!FL15*FJ8</f>
        <v>-214914.82404999994</v>
      </c>
      <c r="FK35" s="30">
        <f>Producción!FM15*FK8</f>
        <v>-352778.78449999989</v>
      </c>
      <c r="FL35" s="30">
        <f>Producción!FN15*FL8</f>
        <v>-325649.85355000006</v>
      </c>
      <c r="FM35" s="30">
        <f>Producción!FO15*FM8</f>
        <v>-244422.43760000018</v>
      </c>
      <c r="FN35" s="30">
        <f>Producción!FP15*FN8</f>
        <v>-496543.26695000019</v>
      </c>
      <c r="FO35" s="30">
        <f>Producción!FQ15*FO8</f>
        <v>-417466.76990000001</v>
      </c>
      <c r="FP35" s="30">
        <f>Producción!FR15*FP8</f>
        <v>-171519.41599999997</v>
      </c>
      <c r="FQ35" s="30">
        <f>Producción!FS15*FQ8</f>
        <v>-143883.71980000005</v>
      </c>
      <c r="FR35" s="30">
        <f>Producción!FT15*FR8</f>
        <v>0</v>
      </c>
      <c r="FS35" s="30">
        <f>Producción!FU15*FS8</f>
        <v>0</v>
      </c>
      <c r="FT35" s="30">
        <f>Producción!FV15*FT8</f>
        <v>0</v>
      </c>
      <c r="FU35" s="30">
        <f>Producción!FW15*FU8</f>
        <v>0</v>
      </c>
      <c r="FV35" s="30">
        <f>Producción!FX15*FV8</f>
        <v>-214914.82404999994</v>
      </c>
      <c r="FW35" s="30">
        <f>Producción!FY15*FW8</f>
        <v>-352778.78449999989</v>
      </c>
      <c r="FX35" s="30">
        <f>Producción!FZ15*FX8</f>
        <v>-325649.85355000006</v>
      </c>
      <c r="FY35" s="30">
        <f>Producción!GA15*FY8</f>
        <v>-244422.43760000018</v>
      </c>
      <c r="FZ35" s="30">
        <f>Producción!GB15*FZ8</f>
        <v>-496543.26695000019</v>
      </c>
      <c r="GA35" s="30">
        <f>Producción!GC15*GA8</f>
        <v>-417466.76990000001</v>
      </c>
      <c r="GB35" s="30">
        <f>Producción!GD15*GB8</f>
        <v>-171519.41599999997</v>
      </c>
      <c r="GC35" s="30">
        <f>Producción!GE15*GC8</f>
        <v>-143883.71980000005</v>
      </c>
      <c r="GD35" s="30">
        <f>Producción!GF15*GD8</f>
        <v>0</v>
      </c>
      <c r="GE35" s="30">
        <f>Producción!GG15*GE8</f>
        <v>0</v>
      </c>
      <c r="GF35" s="30">
        <f>Producción!GH15*GF8</f>
        <v>0</v>
      </c>
      <c r="GG35" s="30">
        <f>Producción!GI15*GG8</f>
        <v>0</v>
      </c>
      <c r="GH35" s="30">
        <f>Producción!GJ15*GH8</f>
        <v>-214914.82404999994</v>
      </c>
      <c r="GI35" s="30">
        <f>Producción!GK15*GI8</f>
        <v>-352778.78449999989</v>
      </c>
      <c r="GJ35" s="30">
        <f>Producción!GL15*GJ8</f>
        <v>-325649.85355000006</v>
      </c>
      <c r="GK35" s="30">
        <f>Producción!GM15*GK8</f>
        <v>-244422.43760000018</v>
      </c>
      <c r="GL35" s="30">
        <f>Producción!GN15*GL8</f>
        <v>-496543.26695000019</v>
      </c>
      <c r="GM35" s="30">
        <f>Producción!GO15*GM8</f>
        <v>-417466.76990000001</v>
      </c>
      <c r="GN35" s="30">
        <f>Producción!GP15*GN8</f>
        <v>-171519.41599999997</v>
      </c>
      <c r="GO35" s="30">
        <f>Producción!GQ15*GO8</f>
        <v>-143883.71980000005</v>
      </c>
      <c r="GP35" s="30">
        <f>Producción!GR15*GP8</f>
        <v>0</v>
      </c>
      <c r="GQ35" s="30">
        <f>Producción!GS15*GQ8</f>
        <v>0</v>
      </c>
      <c r="GR35" s="30">
        <f>Producción!GT15*GR8</f>
        <v>0</v>
      </c>
      <c r="GS35" s="30">
        <f>Producción!GU15*GS8</f>
        <v>0</v>
      </c>
      <c r="GT35" s="30">
        <f>Producción!GV15*GT8</f>
        <v>-214914.82404999994</v>
      </c>
      <c r="GU35" s="30">
        <f>Producción!GW15*GU8</f>
        <v>-352778.78449999989</v>
      </c>
      <c r="GV35" s="30">
        <f>Producción!GX15*GV8</f>
        <v>-325649.85355000006</v>
      </c>
      <c r="GW35" s="30">
        <f>Producción!GY15*GW8</f>
        <v>-244422.43760000018</v>
      </c>
      <c r="GX35" s="30">
        <f>Producción!GZ15*GX8</f>
        <v>-496543.26695000019</v>
      </c>
      <c r="GY35" s="30">
        <f>Producción!HA15*GY8</f>
        <v>-417466.76990000001</v>
      </c>
      <c r="GZ35" s="30">
        <f>Producción!HB15*GZ8</f>
        <v>-171519.41599999997</v>
      </c>
      <c r="HA35" s="30">
        <f>Producción!HC15*HA8</f>
        <v>-143883.71980000005</v>
      </c>
      <c r="HB35" s="30">
        <f>Producción!HD15*HB8</f>
        <v>0</v>
      </c>
      <c r="HC35" s="30">
        <f>Producción!HE15*HC8</f>
        <v>0</v>
      </c>
      <c r="HD35" s="30">
        <f>Producción!HF15*HD8</f>
        <v>0</v>
      </c>
      <c r="HE35" s="30">
        <f>Producción!HG15*HE8</f>
        <v>0</v>
      </c>
      <c r="HF35" s="30">
        <f>Producción!HH15*HF8</f>
        <v>-214914.82404999994</v>
      </c>
      <c r="HG35" s="30">
        <f>Producción!HI15*HG8</f>
        <v>-352778.78449999989</v>
      </c>
      <c r="HH35" s="30">
        <f>Producción!HJ15*HH8</f>
        <v>-325649.85355000006</v>
      </c>
      <c r="HI35" s="30">
        <f>Producción!HK15*HI8</f>
        <v>-244422.43760000018</v>
      </c>
      <c r="HJ35" s="30">
        <f>Producción!HL15*HJ8</f>
        <v>-496543.26695000019</v>
      </c>
      <c r="HK35" s="30">
        <f>Producción!HM15*HK8</f>
        <v>-417466.76990000001</v>
      </c>
      <c r="HL35" s="30">
        <f>Producción!HN15*HL8</f>
        <v>-171519.41599999997</v>
      </c>
      <c r="HM35" s="30">
        <f>Producción!HO15*HM8</f>
        <v>-143883.71980000005</v>
      </c>
      <c r="HN35" s="30">
        <f>Producción!HP15*HN8</f>
        <v>0</v>
      </c>
      <c r="HO35" s="30">
        <f>Producción!HQ15*HO8</f>
        <v>0</v>
      </c>
      <c r="HP35" s="30">
        <f>Producción!HR15*HP8</f>
        <v>0</v>
      </c>
      <c r="HQ35" s="30">
        <f>Producción!HS15*HQ8</f>
        <v>0</v>
      </c>
      <c r="HR35" s="30">
        <f>Producción!HT15*HR8</f>
        <v>-214914.82404999994</v>
      </c>
      <c r="HS35" s="30">
        <f>Producción!HU15*HS8</f>
        <v>-352778.78449999989</v>
      </c>
      <c r="HT35" s="30">
        <f>Producción!HV15*HT8</f>
        <v>-325649.85355000006</v>
      </c>
      <c r="HU35" s="30">
        <f>Producción!HW15*HU8</f>
        <v>-244422.43760000018</v>
      </c>
      <c r="HV35" s="30">
        <f>Producción!HX15*HV8</f>
        <v>-496543.26695000019</v>
      </c>
      <c r="HW35" s="30">
        <f>Producción!HY15*HW8</f>
        <v>-417466.76990000001</v>
      </c>
      <c r="HX35" s="30">
        <f>Producción!HZ15*HX8</f>
        <v>-171519.41599999997</v>
      </c>
      <c r="HY35" s="30">
        <f>Producción!IA15*HY8</f>
        <v>-143883.71980000005</v>
      </c>
      <c r="HZ35" s="30">
        <f>Producción!IB15*HZ8</f>
        <v>0</v>
      </c>
      <c r="IA35" s="30">
        <f>Producción!IC15*IA8</f>
        <v>0</v>
      </c>
      <c r="IB35" s="30">
        <f>Producción!ID15*IB8</f>
        <v>0</v>
      </c>
      <c r="IC35" s="30">
        <f>Producción!IE15*IC8</f>
        <v>0</v>
      </c>
      <c r="ID35" s="30">
        <f>Producción!IF15*ID8</f>
        <v>-214914.82404999994</v>
      </c>
      <c r="IE35" s="30">
        <f>Producción!IG15*IE8</f>
        <v>-352778.78449999989</v>
      </c>
      <c r="IF35" s="30">
        <f>Producción!IH15*IF8</f>
        <v>-325649.85355000006</v>
      </c>
      <c r="IG35" s="30">
        <f>Producción!II15*IG8</f>
        <v>-244422.43760000018</v>
      </c>
      <c r="IH35" s="30">
        <f>Producción!IJ15*IH8</f>
        <v>-496543.26695000019</v>
      </c>
      <c r="II35" s="30">
        <f>Producción!IK15*II8</f>
        <v>-417466.76990000001</v>
      </c>
      <c r="IJ35" s="30">
        <f>Producción!IL15*IJ8</f>
        <v>-171519.41599999997</v>
      </c>
      <c r="IK35" s="30">
        <f>Producción!IM15*IK8</f>
        <v>-143883.71980000005</v>
      </c>
      <c r="IL35" s="30">
        <f>Producción!IN15*IL8</f>
        <v>0</v>
      </c>
      <c r="IM35" s="30">
        <f>Producción!IO15*IM8</f>
        <v>0</v>
      </c>
      <c r="IN35" s="30"/>
    </row>
    <row r="36" spans="1:248" x14ac:dyDescent="0.3">
      <c r="A36" t="s">
        <v>919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</row>
    <row r="37" spans="1:248" x14ac:dyDescent="0.3">
      <c r="A37" t="s">
        <v>643</v>
      </c>
      <c r="B37" s="30"/>
      <c r="C37" s="30">
        <f>+Producción!E24</f>
        <v>0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X37" s="30"/>
      <c r="Y37" s="30"/>
      <c r="Z37" s="30"/>
      <c r="AA37" s="30"/>
      <c r="AB37" s="30"/>
      <c r="AC37" s="30"/>
      <c r="AD37" s="30">
        <f>+Producción!AF24</f>
        <v>0</v>
      </c>
      <c r="AE37" s="30">
        <f>+Producción!AG24</f>
        <v>0</v>
      </c>
      <c r="AF37" s="30">
        <f>+Producción!AH24</f>
        <v>200000</v>
      </c>
      <c r="AG37" s="30">
        <f>+Producción!AI24</f>
        <v>0</v>
      </c>
      <c r="AH37" s="30">
        <f>+Producción!AJ24</f>
        <v>0</v>
      </c>
      <c r="AI37" s="30">
        <f>+Producción!AK24</f>
        <v>206000</v>
      </c>
      <c r="AJ37" s="30">
        <f>+Producción!AL24</f>
        <v>0</v>
      </c>
      <c r="AK37" s="30">
        <f>+Producción!AM24</f>
        <v>0</v>
      </c>
      <c r="AL37" s="30">
        <f>+Producción!AN24</f>
        <v>206000</v>
      </c>
      <c r="AM37" s="30">
        <f>+Producción!AO24</f>
        <v>0</v>
      </c>
      <c r="AN37" s="30">
        <f>+Producción!AP24</f>
        <v>0</v>
      </c>
      <c r="AO37" s="30">
        <f>+Producción!AQ24</f>
        <v>206000</v>
      </c>
      <c r="AP37" s="30">
        <f>+Producción!AR24</f>
        <v>0</v>
      </c>
      <c r="AQ37" s="30">
        <f>+Producción!AS24</f>
        <v>0</v>
      </c>
      <c r="AR37" s="30">
        <f>+Producción!AT24</f>
        <v>206000</v>
      </c>
      <c r="AS37" s="30">
        <f>+Producción!AU24</f>
        <v>0</v>
      </c>
      <c r="AT37" s="30">
        <f>+Producción!AV24</f>
        <v>0</v>
      </c>
      <c r="AU37" s="30">
        <f>+Producción!AW24</f>
        <v>206000</v>
      </c>
      <c r="AV37" s="30">
        <f>+Producción!AX24</f>
        <v>0</v>
      </c>
      <c r="AW37" s="30">
        <f>+Producción!AY24</f>
        <v>0</v>
      </c>
      <c r="AX37" s="30">
        <f>+Producción!AZ24</f>
        <v>206000</v>
      </c>
      <c r="AY37" s="30">
        <f>+Producción!BA24</f>
        <v>0</v>
      </c>
      <c r="AZ37" s="30">
        <f>+Producción!BB24</f>
        <v>0</v>
      </c>
      <c r="BA37" s="30">
        <f>+Producción!BC24</f>
        <v>206000</v>
      </c>
      <c r="BB37" s="30">
        <f>+Producción!BD24</f>
        <v>0</v>
      </c>
      <c r="BC37" s="30">
        <f>+Producción!BE24</f>
        <v>0</v>
      </c>
      <c r="BD37" s="30">
        <f>+Producción!BF24</f>
        <v>206000</v>
      </c>
      <c r="BE37" s="30">
        <f>+Producción!BG24</f>
        <v>0</v>
      </c>
      <c r="BF37" s="30">
        <f>+Producción!BH24</f>
        <v>0</v>
      </c>
      <c r="BG37" s="30">
        <f>+Producción!BI24</f>
        <v>206000</v>
      </c>
      <c r="BH37" s="30">
        <f>+Producción!BJ24</f>
        <v>0</v>
      </c>
      <c r="BI37" s="30">
        <f>+Producción!BK24</f>
        <v>0</v>
      </c>
      <c r="BJ37" s="30">
        <f>+Producción!BL24</f>
        <v>206000</v>
      </c>
      <c r="BK37" s="30">
        <f>+Producción!BM24</f>
        <v>0</v>
      </c>
      <c r="BL37" s="30">
        <f>+Producción!BN24</f>
        <v>0</v>
      </c>
      <c r="BM37" s="30">
        <f>+Producción!BO24</f>
        <v>206000</v>
      </c>
      <c r="BN37" s="30">
        <f>+Producción!BP24</f>
        <v>0</v>
      </c>
      <c r="BO37" s="30">
        <f>+Producción!BQ24</f>
        <v>0</v>
      </c>
      <c r="BP37" s="30">
        <f>+Producción!BR24</f>
        <v>206000</v>
      </c>
      <c r="BQ37" s="30">
        <f>+Producción!BS24</f>
        <v>0</v>
      </c>
      <c r="BR37" s="30">
        <f>+Producción!BT24</f>
        <v>0</v>
      </c>
      <c r="BS37" s="30">
        <f>+Producción!BU24</f>
        <v>206000</v>
      </c>
      <c r="BT37" s="30">
        <f>+Producción!BV24</f>
        <v>0</v>
      </c>
      <c r="BU37" s="30">
        <f>+Producción!BW24</f>
        <v>0</v>
      </c>
      <c r="BV37" s="30">
        <f>+Producción!BX24</f>
        <v>206000</v>
      </c>
      <c r="BW37" s="30">
        <f>+Producción!BY24</f>
        <v>0</v>
      </c>
      <c r="BX37" s="30">
        <f>+Producción!BZ24</f>
        <v>0</v>
      </c>
      <c r="BY37" s="30">
        <f>+Producción!CA24</f>
        <v>206000</v>
      </c>
      <c r="BZ37" s="30">
        <f>+Producción!CB24</f>
        <v>0</v>
      </c>
      <c r="CA37" s="30">
        <f>+Producción!CC24</f>
        <v>0</v>
      </c>
      <c r="CB37" s="30">
        <f>+Producción!CD24</f>
        <v>206000</v>
      </c>
      <c r="CC37" s="30">
        <f>+Producción!CE24</f>
        <v>0</v>
      </c>
      <c r="CD37" s="30">
        <f>+Producción!CF24</f>
        <v>0</v>
      </c>
      <c r="CE37" s="30">
        <f>+Producción!CG24</f>
        <v>206000</v>
      </c>
      <c r="CF37" s="30">
        <f>+Producción!CH24</f>
        <v>0</v>
      </c>
      <c r="CG37" s="30">
        <f>+Producción!CI24</f>
        <v>0</v>
      </c>
      <c r="CH37" s="30">
        <f>+Producción!CJ24</f>
        <v>206000</v>
      </c>
      <c r="CI37" s="30">
        <f>+Producción!CK24</f>
        <v>0</v>
      </c>
      <c r="CJ37" s="30">
        <f>+Producción!CL24</f>
        <v>0</v>
      </c>
      <c r="CK37" s="30">
        <f>+Producción!CM24</f>
        <v>206000</v>
      </c>
      <c r="CL37" s="30">
        <f>+Producción!CN24</f>
        <v>0</v>
      </c>
      <c r="CM37" s="30">
        <f>+Producción!CO24</f>
        <v>0</v>
      </c>
      <c r="CN37" s="30">
        <f>+Producción!CP24</f>
        <v>206000</v>
      </c>
      <c r="CO37" s="30">
        <f>+Producción!CQ24</f>
        <v>0</v>
      </c>
      <c r="CP37" s="30">
        <f>+Producción!CR24</f>
        <v>0</v>
      </c>
      <c r="CQ37" s="30">
        <f>+Producción!CS24</f>
        <v>206000</v>
      </c>
      <c r="CR37" s="30">
        <f>+Producción!CT24</f>
        <v>0</v>
      </c>
      <c r="CS37" s="30">
        <f>+Producción!CU24</f>
        <v>0</v>
      </c>
      <c r="CT37" s="30">
        <f>+Producción!CV24</f>
        <v>206000</v>
      </c>
      <c r="CU37" s="30">
        <f>+Producción!CW24</f>
        <v>0</v>
      </c>
      <c r="CV37" s="30">
        <f>+Producción!CX24</f>
        <v>0</v>
      </c>
      <c r="CW37" s="30">
        <f>+Producción!CY24</f>
        <v>206000</v>
      </c>
      <c r="CX37" s="30">
        <f>+Producción!CZ24</f>
        <v>0</v>
      </c>
      <c r="CY37" s="30">
        <f>+Producción!DA24</f>
        <v>0</v>
      </c>
      <c r="CZ37" s="30">
        <f>+Producción!DB24</f>
        <v>206000</v>
      </c>
      <c r="DA37" s="30">
        <f>+Producción!DC24</f>
        <v>0</v>
      </c>
      <c r="DB37" s="30">
        <f>+Producción!DD24</f>
        <v>0</v>
      </c>
      <c r="DC37" s="30">
        <f>+Producción!DE24</f>
        <v>206000</v>
      </c>
      <c r="DD37" s="30">
        <f>+Producción!DF24</f>
        <v>0</v>
      </c>
      <c r="DE37" s="30">
        <f>+Producción!DG24</f>
        <v>0</v>
      </c>
      <c r="DF37" s="30">
        <f>+Producción!DH24</f>
        <v>206000</v>
      </c>
      <c r="DG37" s="30">
        <f>+Producción!DI24</f>
        <v>0</v>
      </c>
      <c r="DH37" s="30">
        <f>+Producción!DJ24</f>
        <v>0</v>
      </c>
      <c r="DI37" s="30">
        <f>+Producción!DK24</f>
        <v>206000</v>
      </c>
      <c r="DJ37" s="30">
        <f>+Producción!DL24</f>
        <v>0</v>
      </c>
      <c r="DK37" s="30">
        <f>+Producción!DM24</f>
        <v>0</v>
      </c>
      <c r="DL37" s="30">
        <f>+Producción!DN24</f>
        <v>206000</v>
      </c>
      <c r="DM37" s="30">
        <f>+Producción!DO24</f>
        <v>0</v>
      </c>
      <c r="DN37" s="30">
        <f>+Producción!DP24</f>
        <v>0</v>
      </c>
      <c r="DO37" s="30">
        <f>+Producción!DQ24</f>
        <v>206000</v>
      </c>
      <c r="DP37" s="30">
        <f>+Producción!DR24</f>
        <v>0</v>
      </c>
      <c r="DQ37" s="30">
        <f>+Producción!DS24</f>
        <v>0</v>
      </c>
      <c r="DR37" s="30">
        <f>+Producción!DT24</f>
        <v>206000</v>
      </c>
      <c r="DS37" s="30">
        <f>+Producción!DU24</f>
        <v>0</v>
      </c>
      <c r="DT37" s="30">
        <f>+Producción!DV24</f>
        <v>0</v>
      </c>
      <c r="DU37" s="30">
        <f>+Producción!DW24</f>
        <v>206000</v>
      </c>
      <c r="DV37" s="30">
        <f>+Producción!DX24</f>
        <v>0</v>
      </c>
      <c r="DW37" s="30">
        <f>+Producción!DY24</f>
        <v>0</v>
      </c>
      <c r="DX37" s="30">
        <f>+Producción!DZ24</f>
        <v>206000</v>
      </c>
      <c r="DY37" s="30">
        <f>+Producción!EA24</f>
        <v>0</v>
      </c>
      <c r="DZ37" s="30">
        <f>+Producción!EB24</f>
        <v>0</v>
      </c>
      <c r="EA37" s="30">
        <f>+Producción!EC24</f>
        <v>206000</v>
      </c>
      <c r="EB37" s="30">
        <f>+Producción!ED24</f>
        <v>0</v>
      </c>
      <c r="EC37" s="30">
        <f>+Producción!EE24</f>
        <v>0</v>
      </c>
      <c r="ED37" s="30">
        <f>+Producción!EF24</f>
        <v>206000</v>
      </c>
      <c r="EE37" s="30">
        <f>+Producción!EG24</f>
        <v>0</v>
      </c>
      <c r="EF37" s="30">
        <f>+Producción!EH24</f>
        <v>0</v>
      </c>
      <c r="EG37" s="30">
        <f>+Producción!EI24</f>
        <v>206000</v>
      </c>
      <c r="EH37" s="30">
        <f>+Producción!EJ24</f>
        <v>0</v>
      </c>
      <c r="EI37" s="30">
        <f>+Producción!EK24</f>
        <v>0</v>
      </c>
      <c r="EJ37" s="30">
        <f>+Producción!EL24</f>
        <v>206000</v>
      </c>
      <c r="EK37" s="30">
        <f>+Producción!EM24</f>
        <v>0</v>
      </c>
      <c r="EL37" s="30">
        <f>+Producción!EN24</f>
        <v>0</v>
      </c>
      <c r="EM37" s="30">
        <f>+Producción!EO24</f>
        <v>206000</v>
      </c>
      <c r="EN37" s="30">
        <f>+Producción!EP24</f>
        <v>0</v>
      </c>
      <c r="EO37" s="30">
        <f>+Producción!EQ24</f>
        <v>0</v>
      </c>
      <c r="EP37" s="30">
        <f>+Producción!ER24</f>
        <v>206000</v>
      </c>
      <c r="EQ37" s="30">
        <f>+Producción!ES24</f>
        <v>0</v>
      </c>
      <c r="ER37" s="30">
        <f>+Producción!ET24</f>
        <v>0</v>
      </c>
      <c r="ES37" s="30">
        <f>+Producción!EU24</f>
        <v>206000</v>
      </c>
      <c r="ET37" s="30">
        <f>+Producción!EV24</f>
        <v>0</v>
      </c>
      <c r="EU37" s="30">
        <f>+Producción!EW24</f>
        <v>0</v>
      </c>
      <c r="EV37" s="30">
        <f>+Producción!EX24</f>
        <v>206000</v>
      </c>
      <c r="EW37" s="30">
        <f>+Producción!EY24</f>
        <v>0</v>
      </c>
      <c r="EX37" s="30">
        <f>+Producción!EZ24</f>
        <v>0</v>
      </c>
      <c r="EY37" s="30">
        <f>+Producción!FA24</f>
        <v>206000</v>
      </c>
      <c r="EZ37" s="30">
        <f>+Producción!FB24</f>
        <v>0</v>
      </c>
      <c r="FA37" s="30">
        <f>+Producción!FC24</f>
        <v>0</v>
      </c>
      <c r="FB37" s="30">
        <f>+Producción!FD24</f>
        <v>206000</v>
      </c>
      <c r="FC37" s="30">
        <f>+Producción!FE24</f>
        <v>0</v>
      </c>
      <c r="FD37" s="30">
        <f>+Producción!FF24</f>
        <v>0</v>
      </c>
      <c r="FE37" s="30">
        <f>+Producción!FG24</f>
        <v>206000</v>
      </c>
      <c r="FF37" s="30">
        <f>+Producción!FH24</f>
        <v>0</v>
      </c>
      <c r="FG37" s="30">
        <f>+Producción!FI24</f>
        <v>0</v>
      </c>
      <c r="FH37" s="30">
        <f>+Producción!FJ24</f>
        <v>206000</v>
      </c>
      <c r="FI37" s="30">
        <f>+Producción!FK24</f>
        <v>0</v>
      </c>
      <c r="FJ37" s="30">
        <f>+Producción!FL24</f>
        <v>0</v>
      </c>
      <c r="FK37" s="30">
        <f>+Producción!FM24</f>
        <v>206000</v>
      </c>
      <c r="FL37" s="30">
        <f>+Producción!FN24</f>
        <v>0</v>
      </c>
      <c r="FM37" s="30">
        <f>+Producción!FO24</f>
        <v>0</v>
      </c>
      <c r="FN37" s="30">
        <f>+Producción!FP24</f>
        <v>206000</v>
      </c>
      <c r="FO37" s="30">
        <f>+Producción!FQ24</f>
        <v>0</v>
      </c>
      <c r="FP37" s="30">
        <f>+Producción!FR24</f>
        <v>0</v>
      </c>
      <c r="FQ37" s="30">
        <f>+Producción!FS24</f>
        <v>206000</v>
      </c>
      <c r="FR37" s="30">
        <f>+Producción!FT24</f>
        <v>0</v>
      </c>
      <c r="FS37" s="30">
        <f>+Producción!FU24</f>
        <v>0</v>
      </c>
      <c r="FT37" s="30">
        <f>+Producción!FV24</f>
        <v>206000</v>
      </c>
      <c r="FU37" s="30">
        <f>+Producción!FW24</f>
        <v>0</v>
      </c>
      <c r="FV37" s="30">
        <f>+Producción!FX24</f>
        <v>0</v>
      </c>
      <c r="FW37" s="30">
        <f>+Producción!FY24</f>
        <v>206000</v>
      </c>
      <c r="FX37" s="30">
        <f>+Producción!FZ24</f>
        <v>0</v>
      </c>
      <c r="FY37" s="30">
        <f>+Producción!GA24</f>
        <v>0</v>
      </c>
      <c r="FZ37" s="30">
        <f>+Producción!GB24</f>
        <v>206000</v>
      </c>
      <c r="GA37" s="30">
        <f>+Producción!GC24</f>
        <v>0</v>
      </c>
      <c r="GB37" s="30">
        <f>+Producción!GD24</f>
        <v>0</v>
      </c>
      <c r="GC37" s="30">
        <f>+Producción!GE24</f>
        <v>206000</v>
      </c>
      <c r="GD37" s="30">
        <f>+Producción!GF24</f>
        <v>0</v>
      </c>
      <c r="GE37" s="30">
        <f>+Producción!GG24</f>
        <v>0</v>
      </c>
      <c r="GF37" s="30">
        <f>+Producción!GH24</f>
        <v>206000</v>
      </c>
      <c r="GG37" s="30">
        <f>+Producción!GI24</f>
        <v>0</v>
      </c>
      <c r="GH37" s="30">
        <f>+Producción!GJ24</f>
        <v>0</v>
      </c>
      <c r="GI37" s="30">
        <f>+Producción!GK24</f>
        <v>206000</v>
      </c>
      <c r="GJ37" s="30">
        <f>+Producción!GL24</f>
        <v>0</v>
      </c>
      <c r="GK37" s="30">
        <f>+Producción!GM24</f>
        <v>0</v>
      </c>
      <c r="GL37" s="30">
        <f>+Producción!GN24</f>
        <v>206000</v>
      </c>
      <c r="GM37" s="30">
        <f>+Producción!GO24</f>
        <v>0</v>
      </c>
      <c r="GN37" s="30">
        <f>+Producción!GP24</f>
        <v>0</v>
      </c>
      <c r="GO37" s="30">
        <f>+Producción!GQ24</f>
        <v>206000</v>
      </c>
      <c r="GP37" s="30">
        <f>+Producción!GR24</f>
        <v>0</v>
      </c>
      <c r="GQ37" s="30">
        <f>+Producción!GS24</f>
        <v>0</v>
      </c>
      <c r="GR37" s="30">
        <f>+Producción!GT24</f>
        <v>206000</v>
      </c>
      <c r="GS37" s="30">
        <f>+Producción!GU24</f>
        <v>0</v>
      </c>
      <c r="GT37" s="30">
        <f>+Producción!GV24</f>
        <v>0</v>
      </c>
      <c r="GU37" s="30">
        <f>+Producción!GW24</f>
        <v>206000</v>
      </c>
      <c r="GV37" s="30">
        <f>+Producción!GX24</f>
        <v>0</v>
      </c>
      <c r="GW37" s="30">
        <f>+Producción!GY24</f>
        <v>0</v>
      </c>
      <c r="GX37" s="30">
        <f>+Producción!GZ24</f>
        <v>206000</v>
      </c>
      <c r="GY37" s="30">
        <f>+Producción!HA24</f>
        <v>0</v>
      </c>
      <c r="GZ37" s="30">
        <f>+Producción!HB24</f>
        <v>0</v>
      </c>
      <c r="HA37" s="30">
        <f>+Producción!HC24</f>
        <v>206000</v>
      </c>
      <c r="HB37" s="30">
        <f>+Producción!HD24</f>
        <v>0</v>
      </c>
      <c r="HC37" s="30">
        <f>+Producción!HE24</f>
        <v>0</v>
      </c>
      <c r="HD37" s="30">
        <f>+Producción!HF24</f>
        <v>206000</v>
      </c>
      <c r="HE37" s="30">
        <f>+Producción!HG24</f>
        <v>0</v>
      </c>
      <c r="HF37" s="30">
        <f>+Producción!HH24</f>
        <v>0</v>
      </c>
      <c r="HG37" s="30">
        <f>+Producción!HI24</f>
        <v>206000</v>
      </c>
      <c r="HH37" s="30">
        <f>+Producción!HJ24</f>
        <v>0</v>
      </c>
      <c r="HI37" s="30">
        <f>+Producción!HK24</f>
        <v>0</v>
      </c>
      <c r="HJ37" s="30">
        <f>+Producción!HL24</f>
        <v>206000</v>
      </c>
      <c r="HK37" s="30">
        <f>+Producción!HM24</f>
        <v>0</v>
      </c>
      <c r="HL37" s="30">
        <f>+Producción!HN24</f>
        <v>0</v>
      </c>
      <c r="HM37" s="30">
        <f>+Producción!HO24</f>
        <v>206000</v>
      </c>
      <c r="HN37" s="30">
        <f>+Producción!HP24</f>
        <v>0</v>
      </c>
      <c r="HO37" s="30">
        <f>+Producción!HQ24</f>
        <v>0</v>
      </c>
      <c r="HP37" s="30">
        <f>+Producción!HR24</f>
        <v>206000</v>
      </c>
      <c r="HQ37" s="30">
        <f>+Producción!HS24</f>
        <v>0</v>
      </c>
      <c r="HR37" s="30">
        <f>+Producción!HT24</f>
        <v>0</v>
      </c>
      <c r="HS37" s="30">
        <f>+Producción!HU24</f>
        <v>206000</v>
      </c>
      <c r="HT37" s="30">
        <f>+Producción!HV24</f>
        <v>0</v>
      </c>
      <c r="HU37" s="30">
        <f>+Producción!HW24</f>
        <v>0</v>
      </c>
      <c r="HV37" s="30">
        <f>+Producción!HX24</f>
        <v>206000</v>
      </c>
      <c r="HW37" s="30">
        <f>+Producción!HY24</f>
        <v>0</v>
      </c>
      <c r="HX37" s="30">
        <f>+Producción!HZ24</f>
        <v>0</v>
      </c>
      <c r="HY37" s="30">
        <f>+Producción!IA24</f>
        <v>206000</v>
      </c>
      <c r="HZ37" s="30">
        <f>+Producción!IB24</f>
        <v>0</v>
      </c>
      <c r="IA37" s="30">
        <f>+Producción!IC24</f>
        <v>0</v>
      </c>
      <c r="IB37" s="30">
        <f>+Producción!ID24</f>
        <v>206000</v>
      </c>
      <c r="IC37" s="30">
        <f>+Producción!IE24</f>
        <v>0</v>
      </c>
      <c r="ID37" s="30">
        <f>+Producción!IF24</f>
        <v>0</v>
      </c>
      <c r="IE37" s="30">
        <f>+Producción!IG24</f>
        <v>206000</v>
      </c>
      <c r="IF37" s="30">
        <f>+Producción!IH24</f>
        <v>0</v>
      </c>
      <c r="IG37" s="30">
        <f>+Producción!II24</f>
        <v>0</v>
      </c>
      <c r="IH37" s="30">
        <f>+Producción!IJ24</f>
        <v>206000</v>
      </c>
      <c r="II37" s="30">
        <f>+Producción!IK24</f>
        <v>0</v>
      </c>
      <c r="IJ37" s="30">
        <f>+Producción!IL24</f>
        <v>0</v>
      </c>
      <c r="IK37" s="30">
        <f>+Producción!IM24</f>
        <v>206000</v>
      </c>
      <c r="IL37" s="30">
        <f>+Producción!IN24</f>
        <v>0</v>
      </c>
      <c r="IM37" s="30">
        <f>+Producción!IO24</f>
        <v>0</v>
      </c>
      <c r="IN37" s="30"/>
    </row>
    <row r="38" spans="1:248" x14ac:dyDescent="0.3">
      <c r="A38" t="s">
        <v>777</v>
      </c>
      <c r="B38" s="30"/>
      <c r="C38" s="30">
        <f>+Producción!E25</f>
        <v>0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X38" s="30"/>
      <c r="Y38" s="30"/>
      <c r="Z38" s="30"/>
      <c r="AA38" s="30"/>
      <c r="AB38" s="30"/>
      <c r="AC38" s="30"/>
      <c r="AD38" s="30">
        <f>+Producción!AF25</f>
        <v>0</v>
      </c>
      <c r="AE38" s="30">
        <f>+Producción!AG25</f>
        <v>0</v>
      </c>
      <c r="AF38" s="30">
        <f>+Producción!AH25</f>
        <v>0</v>
      </c>
      <c r="AG38" s="30">
        <f>+Producción!AI25</f>
        <v>0</v>
      </c>
      <c r="AH38" s="30">
        <f>+Producción!AJ25</f>
        <v>0</v>
      </c>
      <c r="AI38" s="30">
        <f>+Producción!AK25</f>
        <v>0</v>
      </c>
      <c r="AJ38" s="30">
        <f>+Producción!AL25</f>
        <v>0</v>
      </c>
      <c r="AK38" s="30">
        <f>+Producción!AM25</f>
        <v>0</v>
      </c>
      <c r="AL38" s="30">
        <f>+Producción!AN25</f>
        <v>0</v>
      </c>
      <c r="AM38" s="30">
        <f>+Producción!AO25</f>
        <v>0</v>
      </c>
      <c r="AN38" s="30">
        <f>+Producción!AP25</f>
        <v>0</v>
      </c>
      <c r="AO38" s="30">
        <f>+Producción!AQ25</f>
        <v>0</v>
      </c>
      <c r="AP38" s="30">
        <f>+Producción!AR25</f>
        <v>0</v>
      </c>
      <c r="AQ38" s="30">
        <f>+Producción!AS25</f>
        <v>0</v>
      </c>
      <c r="AR38" s="30">
        <f>+Producción!AT25</f>
        <v>0</v>
      </c>
      <c r="AS38" s="30">
        <f>+Producción!AU25</f>
        <v>0</v>
      </c>
      <c r="AT38" s="30">
        <f>+Producción!AV25</f>
        <v>0</v>
      </c>
      <c r="AU38" s="30">
        <f>+Producción!AW25</f>
        <v>0</v>
      </c>
      <c r="AV38" s="30">
        <f>+Producción!AX25</f>
        <v>0</v>
      </c>
      <c r="AW38" s="30">
        <f>+Producción!AY25</f>
        <v>0</v>
      </c>
      <c r="AX38" s="30">
        <f>+Producción!AZ25</f>
        <v>0</v>
      </c>
      <c r="AY38" s="30">
        <f>+Producción!BA25</f>
        <v>0</v>
      </c>
      <c r="AZ38" s="30">
        <f>+Producción!BB25</f>
        <v>0</v>
      </c>
      <c r="BA38" s="30">
        <f>+Producción!BC25</f>
        <v>0</v>
      </c>
      <c r="BB38" s="30">
        <f>+Producción!BD25</f>
        <v>0</v>
      </c>
      <c r="BC38" s="30">
        <f>+Producción!BE25</f>
        <v>0</v>
      </c>
      <c r="BD38" s="30">
        <f>+Producción!BF25</f>
        <v>0</v>
      </c>
      <c r="BE38" s="30">
        <f>+Producción!BG25</f>
        <v>0</v>
      </c>
      <c r="BF38" s="30">
        <f>+Producción!BH25</f>
        <v>0</v>
      </c>
      <c r="BG38" s="30">
        <f>+Producción!BI25</f>
        <v>0</v>
      </c>
      <c r="BH38" s="30">
        <f>+Producción!BJ25</f>
        <v>0</v>
      </c>
      <c r="BI38" s="30">
        <f>+Producción!BK25</f>
        <v>0</v>
      </c>
      <c r="BJ38" s="30">
        <f>+Producción!BL25</f>
        <v>0</v>
      </c>
      <c r="BK38" s="30">
        <f>+Producción!BM25</f>
        <v>0</v>
      </c>
      <c r="BL38" s="30">
        <f>+Producción!BN25</f>
        <v>0</v>
      </c>
      <c r="BM38" s="30">
        <f>+Producción!BO25</f>
        <v>0</v>
      </c>
      <c r="BN38" s="30">
        <f>+Producción!BP25</f>
        <v>0</v>
      </c>
      <c r="BO38" s="30">
        <f>+Producción!BQ25</f>
        <v>0</v>
      </c>
      <c r="BP38" s="30">
        <f>+Producción!BR25</f>
        <v>0</v>
      </c>
      <c r="BQ38" s="30">
        <f>+Producción!BS25</f>
        <v>0</v>
      </c>
      <c r="BR38" s="30">
        <f>+Producción!BT25</f>
        <v>0</v>
      </c>
      <c r="BS38" s="30">
        <f>+Producción!BU25</f>
        <v>0</v>
      </c>
      <c r="BT38" s="30">
        <f>+Producción!BV25</f>
        <v>0</v>
      </c>
      <c r="BU38" s="30">
        <f>+Producción!BW25</f>
        <v>61767.586178486563</v>
      </c>
      <c r="BV38" s="30">
        <f>+Producción!BX25</f>
        <v>61767.586178486563</v>
      </c>
      <c r="BW38" s="30">
        <f>+Producción!BY25</f>
        <v>61767.586178486563</v>
      </c>
      <c r="BX38" s="30">
        <f>+Producción!BZ25</f>
        <v>61767.586178486563</v>
      </c>
      <c r="BY38" s="30">
        <f>+Producción!CA25</f>
        <v>61767.586178486563</v>
      </c>
      <c r="BZ38" s="30">
        <f>+Producción!CB25</f>
        <v>61767.586178486563</v>
      </c>
      <c r="CA38" s="30">
        <f>+Producción!CC25</f>
        <v>61767.586178486563</v>
      </c>
      <c r="CB38" s="30">
        <f>+Producción!CD25</f>
        <v>63620.61376384116</v>
      </c>
      <c r="CC38" s="30">
        <f>+Producción!CE25</f>
        <v>63620.61376384116</v>
      </c>
      <c r="CD38" s="30">
        <f>+Producción!CF25</f>
        <v>63620.61376384116</v>
      </c>
      <c r="CE38" s="30">
        <f>+Producción!CG25</f>
        <v>63620.61376384116</v>
      </c>
      <c r="CF38" s="30">
        <f>+Producción!CH25</f>
        <v>63620.61376384116</v>
      </c>
      <c r="CG38" s="30">
        <f>+Producción!CI25</f>
        <v>63620.61376384116</v>
      </c>
      <c r="CH38" s="30">
        <f>+Producción!CJ25</f>
        <v>63620.61376384116</v>
      </c>
      <c r="CI38" s="30">
        <f>+Producción!CK25</f>
        <v>63620.61376384116</v>
      </c>
      <c r="CJ38" s="30">
        <f>+Producción!CL25</f>
        <v>63620.61376384116</v>
      </c>
      <c r="CK38" s="30">
        <f>+Producción!CM25</f>
        <v>63620.61376384116</v>
      </c>
      <c r="CL38" s="30">
        <f>+Producción!CN25</f>
        <v>63620.61376384116</v>
      </c>
      <c r="CM38" s="30">
        <f>+Producción!CO25</f>
        <v>63620.61376384116</v>
      </c>
      <c r="CN38" s="30">
        <f>+Producción!CP25</f>
        <v>65529.232176756399</v>
      </c>
      <c r="CO38" s="30">
        <f>+Producción!CQ25</f>
        <v>65529.232176756399</v>
      </c>
      <c r="CP38" s="30">
        <f>+Producción!CR25</f>
        <v>65529.232176756399</v>
      </c>
      <c r="CQ38" s="30">
        <f>+Producción!CS25</f>
        <v>65529.232176756399</v>
      </c>
      <c r="CR38" s="30">
        <f>+Producción!CT25</f>
        <v>65529.232176756399</v>
      </c>
      <c r="CS38" s="30">
        <f>+Producción!CU25</f>
        <v>65529.232176756399</v>
      </c>
      <c r="CT38" s="30">
        <f>+Producción!CV25</f>
        <v>65529.232176756399</v>
      </c>
      <c r="CU38" s="30">
        <f>+Producción!CW25</f>
        <v>65529.232176756399</v>
      </c>
      <c r="CV38" s="30">
        <f>+Producción!CX25</f>
        <v>65529.232176756399</v>
      </c>
      <c r="CW38" s="30">
        <f>+Producción!CY25</f>
        <v>65529.232176756399</v>
      </c>
      <c r="CX38" s="30">
        <f>+Producción!CZ25</f>
        <v>65529.232176756399</v>
      </c>
      <c r="CY38" s="30">
        <f>+Producción!DA25</f>
        <v>65529.232176756399</v>
      </c>
      <c r="CZ38" s="30">
        <f>+Producción!DB25</f>
        <v>67495.109142059096</v>
      </c>
      <c r="DA38" s="30">
        <f>+Producción!DC25</f>
        <v>67495.109142059096</v>
      </c>
      <c r="DB38" s="30">
        <f>+Producción!DD25</f>
        <v>67495.109142059096</v>
      </c>
      <c r="DC38" s="30">
        <f>+Producción!DE25</f>
        <v>67495.109142059096</v>
      </c>
      <c r="DD38" s="30">
        <f>+Producción!DF25</f>
        <v>67495.109142059096</v>
      </c>
      <c r="DE38" s="30">
        <f>+Producción!DG25</f>
        <v>67495.109142059096</v>
      </c>
      <c r="DF38" s="30">
        <f>+Producción!DH25</f>
        <v>67495.109142059096</v>
      </c>
      <c r="DG38" s="30">
        <f>+Producción!DI25</f>
        <v>67495.109142059096</v>
      </c>
      <c r="DH38" s="30">
        <f>+Producción!DJ25</f>
        <v>67495.109142059096</v>
      </c>
      <c r="DI38" s="30">
        <f>+Producción!DK25</f>
        <v>67495.109142059096</v>
      </c>
      <c r="DJ38" s="30">
        <f>+Producción!DL25</f>
        <v>67495.109142059096</v>
      </c>
      <c r="DK38" s="30">
        <f>+Producción!DM25</f>
        <v>67495.109142059096</v>
      </c>
      <c r="DL38" s="30">
        <f>+Producción!DN25</f>
        <v>69519.962416320865</v>
      </c>
      <c r="DM38" s="30">
        <f>+Producción!DO25</f>
        <v>69519.962416320865</v>
      </c>
      <c r="DN38" s="30">
        <f>+Producción!DP25</f>
        <v>69519.962416320865</v>
      </c>
      <c r="DO38" s="30">
        <f>+Producción!DQ25</f>
        <v>69519.962416320865</v>
      </c>
      <c r="DP38" s="30">
        <f>+Producción!DR25</f>
        <v>69519.962416320865</v>
      </c>
      <c r="DQ38" s="30">
        <f>+Producción!DS25</f>
        <v>69519.962416320865</v>
      </c>
      <c r="DR38" s="30">
        <f>+Producción!DT25</f>
        <v>69519.962416320865</v>
      </c>
      <c r="DS38" s="30">
        <f>+Producción!DU25</f>
        <v>69519.962416320865</v>
      </c>
      <c r="DT38" s="30">
        <f>+Producción!DV25</f>
        <v>69519.962416320865</v>
      </c>
      <c r="DU38" s="30">
        <f>+Producción!DW25</f>
        <v>69519.962416320865</v>
      </c>
      <c r="DV38" s="30">
        <f>+Producción!DX25</f>
        <v>69519.962416320865</v>
      </c>
      <c r="DW38" s="30">
        <f>+Producción!DY25</f>
        <v>69519.962416320865</v>
      </c>
      <c r="DX38" s="30">
        <f>+Producción!DZ25</f>
        <v>71605.561288810495</v>
      </c>
      <c r="DY38" s="30">
        <f>+Producción!EA25</f>
        <v>71605.561288810495</v>
      </c>
      <c r="DZ38" s="30">
        <f>+Producción!EB25</f>
        <v>71605.561288810495</v>
      </c>
      <c r="EA38" s="30">
        <f>+Producción!EC25</f>
        <v>71605.561288810495</v>
      </c>
      <c r="EB38" s="30">
        <f>+Producción!ED25</f>
        <v>71605.561288810495</v>
      </c>
      <c r="EC38" s="30">
        <f>+Producción!EE25</f>
        <v>71605.561288810495</v>
      </c>
      <c r="ED38" s="30">
        <f>+Producción!EF25</f>
        <v>71605.561288810495</v>
      </c>
      <c r="EE38" s="30">
        <f>+Producción!EG25</f>
        <v>71605.561288810495</v>
      </c>
      <c r="EF38" s="30">
        <f>+Producción!EH25</f>
        <v>71605.561288810495</v>
      </c>
      <c r="EG38" s="30">
        <f>+Producción!EI25</f>
        <v>71605.561288810495</v>
      </c>
      <c r="EH38" s="30">
        <f>+Producción!EJ25</f>
        <v>71605.561288810495</v>
      </c>
      <c r="EI38" s="30">
        <f>+Producción!EK25</f>
        <v>71605.561288810495</v>
      </c>
      <c r="EJ38" s="30">
        <f>+Producción!EL25</f>
        <v>73753.728127474809</v>
      </c>
      <c r="EK38" s="30">
        <f>+Producción!EM25</f>
        <v>73753.728127474809</v>
      </c>
      <c r="EL38" s="30">
        <f>+Producción!EN25</f>
        <v>73753.728127474809</v>
      </c>
      <c r="EM38" s="30">
        <f>+Producción!EO25</f>
        <v>73753.728127474809</v>
      </c>
      <c r="EN38" s="30">
        <f>+Producción!EP25</f>
        <v>73753.728127474809</v>
      </c>
      <c r="EO38" s="30">
        <f>+Producción!EQ25</f>
        <v>73753.728127474809</v>
      </c>
      <c r="EP38" s="30">
        <f>+Producción!ER25</f>
        <v>73753.728127474809</v>
      </c>
      <c r="EQ38" s="30">
        <f>+Producción!ES25</f>
        <v>73753.728127474809</v>
      </c>
      <c r="ER38" s="30">
        <f>+Producción!ET25</f>
        <v>73753.728127474809</v>
      </c>
      <c r="ES38" s="30">
        <f>+Producción!EU25</f>
        <v>73753.728127474809</v>
      </c>
      <c r="ET38" s="30">
        <f>+Producción!EV25</f>
        <v>73753.728127474809</v>
      </c>
      <c r="EU38" s="30">
        <f>+Producción!EW25</f>
        <v>73753.728127474809</v>
      </c>
      <c r="EV38" s="30">
        <f>+Producción!EX25</f>
        <v>75966.33997129905</v>
      </c>
      <c r="EW38" s="30">
        <f>+Producción!EY25</f>
        <v>75966.33997129905</v>
      </c>
      <c r="EX38" s="30">
        <f>+Producción!EZ25</f>
        <v>75966.33997129905</v>
      </c>
      <c r="EY38" s="30">
        <f>+Producción!FA25</f>
        <v>75966.33997129905</v>
      </c>
      <c r="EZ38" s="30">
        <f>+Producción!FB25</f>
        <v>75966.33997129905</v>
      </c>
      <c r="FA38" s="30">
        <f>+Producción!FC25</f>
        <v>75966.33997129905</v>
      </c>
      <c r="FB38" s="30">
        <f>+Producción!FD25</f>
        <v>75966.33997129905</v>
      </c>
      <c r="FC38" s="30">
        <f>+Producción!FE25</f>
        <v>75966.33997129905</v>
      </c>
      <c r="FD38" s="30">
        <f>+Producción!FF25</f>
        <v>75966.33997129905</v>
      </c>
      <c r="FE38" s="30">
        <f>+Producción!FG25</f>
        <v>75966.33997129905</v>
      </c>
      <c r="FF38" s="30">
        <f>+Producción!FH25</f>
        <v>75966.33997129905</v>
      </c>
      <c r="FG38" s="30">
        <f>+Producción!FI25</f>
        <v>75966.33997129905</v>
      </c>
      <c r="FH38" s="30">
        <f>+Producción!FJ25</f>
        <v>78245.330170438028</v>
      </c>
      <c r="FI38" s="30">
        <f>+Producción!FK25</f>
        <v>78245.330170438028</v>
      </c>
      <c r="FJ38" s="30">
        <f>+Producción!FL25</f>
        <v>78245.330170438028</v>
      </c>
      <c r="FK38" s="30">
        <f>+Producción!FM25</f>
        <v>78245.330170438028</v>
      </c>
      <c r="FL38" s="30">
        <f>+Producción!FN25</f>
        <v>78245.330170438028</v>
      </c>
      <c r="FM38" s="30">
        <f>+Producción!FO25</f>
        <v>78245.330170438028</v>
      </c>
      <c r="FN38" s="30">
        <f>+Producción!FP25</f>
        <v>78245.330170438028</v>
      </c>
      <c r="FO38" s="30">
        <f>+Producción!FQ25</f>
        <v>78245.330170438028</v>
      </c>
      <c r="FP38" s="30">
        <f>+Producción!FR25</f>
        <v>78245.330170438028</v>
      </c>
      <c r="FQ38" s="30">
        <f>+Producción!FS25</f>
        <v>78245.330170438028</v>
      </c>
      <c r="FR38" s="30">
        <f>+Producción!FT25</f>
        <v>78245.330170438028</v>
      </c>
      <c r="FS38" s="30">
        <f>+Producción!FU25</f>
        <v>78245.330170438028</v>
      </c>
      <c r="FT38" s="30">
        <f>+Producción!FV25</f>
        <v>80592.690075551174</v>
      </c>
      <c r="FU38" s="30">
        <f>+Producción!FW25</f>
        <v>80592.690075551174</v>
      </c>
      <c r="FV38" s="30">
        <f>+Producción!FX25</f>
        <v>80592.690075551174</v>
      </c>
      <c r="FW38" s="30">
        <f>+Producción!FY25</f>
        <v>80592.690075551174</v>
      </c>
      <c r="FX38" s="30">
        <f>+Producción!FZ25</f>
        <v>80592.690075551174</v>
      </c>
      <c r="FY38" s="30">
        <f>+Producción!GA25</f>
        <v>80592.690075551174</v>
      </c>
      <c r="FZ38" s="30">
        <f>+Producción!GB25</f>
        <v>80592.690075551174</v>
      </c>
      <c r="GA38" s="30">
        <f>+Producción!GC25</f>
        <v>80592.690075551174</v>
      </c>
      <c r="GB38" s="30">
        <f>+Producción!GD25</f>
        <v>80592.690075551174</v>
      </c>
      <c r="GC38" s="30">
        <f>+Producción!GE25</f>
        <v>80592.690075551174</v>
      </c>
      <c r="GD38" s="30">
        <f>+Producción!GF25</f>
        <v>80592.690075551174</v>
      </c>
      <c r="GE38" s="30">
        <f>+Producción!GG25</f>
        <v>80592.690075551174</v>
      </c>
      <c r="GF38" s="30">
        <f>+Producción!GH25</f>
        <v>83010.470777817711</v>
      </c>
      <c r="GG38" s="30">
        <f>+Producción!GI25</f>
        <v>83010.470777817711</v>
      </c>
      <c r="GH38" s="30">
        <f>+Producción!GJ25</f>
        <v>83010.470777817711</v>
      </c>
      <c r="GI38" s="30">
        <f>+Producción!GK25</f>
        <v>83010.470777817711</v>
      </c>
      <c r="GJ38" s="30">
        <f>+Producción!GL25</f>
        <v>83010.470777817711</v>
      </c>
      <c r="GK38" s="30">
        <f>+Producción!GM25</f>
        <v>83010.470777817711</v>
      </c>
      <c r="GL38" s="30">
        <f>+Producción!GN25</f>
        <v>83010.470777817711</v>
      </c>
      <c r="GM38" s="30">
        <f>+Producción!GO25</f>
        <v>83010.470777817711</v>
      </c>
      <c r="GN38" s="30">
        <f>+Producción!GP25</f>
        <v>83010.470777817711</v>
      </c>
      <c r="GO38" s="30">
        <f>+Producción!GQ25</f>
        <v>83010.470777817711</v>
      </c>
      <c r="GP38" s="30">
        <f>+Producción!GR25</f>
        <v>83010.470777817711</v>
      </c>
      <c r="GQ38" s="30">
        <f>+Producción!GS25</f>
        <v>83010.470777817711</v>
      </c>
      <c r="GR38" s="30">
        <f>+Producción!GT25</f>
        <v>85500.784901152248</v>
      </c>
      <c r="GS38" s="30">
        <f>+Producción!GU25</f>
        <v>85500.784901152248</v>
      </c>
      <c r="GT38" s="30">
        <f>+Producción!GV25</f>
        <v>85500.784901152248</v>
      </c>
      <c r="GU38" s="30">
        <f>+Producción!GW25</f>
        <v>85500.784901152248</v>
      </c>
      <c r="GV38" s="30">
        <f>+Producción!GX25</f>
        <v>85500.784901152248</v>
      </c>
      <c r="GW38" s="30">
        <f>+Producción!GY25</f>
        <v>85500.784901152248</v>
      </c>
      <c r="GX38" s="30">
        <f>+Producción!GZ25</f>
        <v>85500.784901152248</v>
      </c>
      <c r="GY38" s="30">
        <f>+Producción!HA25</f>
        <v>85500.784901152248</v>
      </c>
      <c r="GZ38" s="30">
        <f>+Producción!HB25</f>
        <v>85500.784901152248</v>
      </c>
      <c r="HA38" s="30">
        <f>+Producción!HC25</f>
        <v>85500.784901152248</v>
      </c>
      <c r="HB38" s="30">
        <f>+Producción!HD25</f>
        <v>85500.784901152248</v>
      </c>
      <c r="HC38" s="30">
        <f>+Producción!HE25</f>
        <v>85500.784901152248</v>
      </c>
      <c r="HD38" s="30">
        <f>+Producción!HF25</f>
        <v>88065.808448186814</v>
      </c>
      <c r="HE38" s="30">
        <f>+Producción!HG25</f>
        <v>88065.808448186814</v>
      </c>
      <c r="HF38" s="30">
        <f>+Producción!HH25</f>
        <v>88065.808448186814</v>
      </c>
      <c r="HG38" s="30">
        <f>+Producción!HI25</f>
        <v>88065.808448186814</v>
      </c>
      <c r="HH38" s="30">
        <f>+Producción!HJ25</f>
        <v>88065.808448186814</v>
      </c>
      <c r="HI38" s="30">
        <f>+Producción!HK25</f>
        <v>88065.808448186814</v>
      </c>
      <c r="HJ38" s="30">
        <f>+Producción!HL25</f>
        <v>88065.808448186814</v>
      </c>
      <c r="HK38" s="30">
        <f>+Producción!HM25</f>
        <v>88065.808448186814</v>
      </c>
      <c r="HL38" s="30">
        <f>+Producción!HN25</f>
        <v>88065.808448186814</v>
      </c>
      <c r="HM38" s="30">
        <f>+Producción!HO25</f>
        <v>88065.808448186814</v>
      </c>
      <c r="HN38" s="30">
        <f>+Producción!HP25</f>
        <v>88065.808448186814</v>
      </c>
      <c r="HO38" s="30">
        <f>+Producción!HQ25</f>
        <v>88065.808448186814</v>
      </c>
      <c r="HP38" s="30">
        <f>+Producción!HR25</f>
        <v>90707.782701632415</v>
      </c>
      <c r="HQ38" s="30">
        <f>+Producción!HS25</f>
        <v>90707.782701632415</v>
      </c>
      <c r="HR38" s="30">
        <f>+Producción!HT25</f>
        <v>90707.782701632415</v>
      </c>
      <c r="HS38" s="30">
        <f>+Producción!HU25</f>
        <v>90707.782701632415</v>
      </c>
      <c r="HT38" s="30">
        <f>+Producción!HV25</f>
        <v>90707.782701632415</v>
      </c>
      <c r="HU38" s="30">
        <f>+Producción!HW25</f>
        <v>90707.782701632415</v>
      </c>
      <c r="HV38" s="30">
        <f>+Producción!HX25</f>
        <v>90707.782701632415</v>
      </c>
      <c r="HW38" s="30">
        <f>+Producción!HY25</f>
        <v>90707.782701632415</v>
      </c>
      <c r="HX38" s="30">
        <f>+Producción!HZ25</f>
        <v>90707.782701632415</v>
      </c>
      <c r="HY38" s="30">
        <f>+Producción!IA25</f>
        <v>90707.782701632415</v>
      </c>
      <c r="HZ38" s="30">
        <f>+Producción!IB25</f>
        <v>90707.782701632415</v>
      </c>
      <c r="IA38" s="30">
        <f>+Producción!IC25</f>
        <v>90707.782701632415</v>
      </c>
      <c r="IB38" s="30">
        <f>+Producción!ID25</f>
        <v>93429.016182681386</v>
      </c>
      <c r="IC38" s="30">
        <f>+Producción!IE25</f>
        <v>93429.016182681386</v>
      </c>
      <c r="ID38" s="30">
        <f>+Producción!IF25</f>
        <v>93429.016182681386</v>
      </c>
      <c r="IE38" s="30">
        <f>+Producción!IG25</f>
        <v>93429.016182681386</v>
      </c>
      <c r="IF38" s="30">
        <f>+Producción!IH25</f>
        <v>93429.016182681386</v>
      </c>
      <c r="IG38" s="30">
        <f>+Producción!II25</f>
        <v>93429.016182681386</v>
      </c>
      <c r="IH38" s="30">
        <f>+Producción!IJ25</f>
        <v>93429.016182681386</v>
      </c>
      <c r="II38" s="30">
        <f>+Producción!IK25</f>
        <v>93429.016182681386</v>
      </c>
      <c r="IJ38" s="30">
        <f>+Producción!IL25</f>
        <v>93429.016182681386</v>
      </c>
      <c r="IK38" s="30">
        <f>+Producción!IM25</f>
        <v>93429.016182681386</v>
      </c>
      <c r="IL38" s="30">
        <f>+Producción!IN25</f>
        <v>93429.016182681386</v>
      </c>
      <c r="IM38" s="30">
        <f>+Producción!IO25</f>
        <v>93429.016182681386</v>
      </c>
      <c r="IN38" s="30"/>
    </row>
    <row r="39" spans="1:248" x14ac:dyDescent="0.3">
      <c r="A39" t="s">
        <v>644</v>
      </c>
      <c r="C39" s="30">
        <f ca="1">+Producción!D26</f>
        <v>2.227257692153025E-2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X39" s="30"/>
      <c r="Y39" s="30"/>
      <c r="Z39" s="30"/>
      <c r="AA39" s="30"/>
      <c r="AB39" s="30"/>
      <c r="AC39" s="30"/>
      <c r="AD39" s="30">
        <f>+Producción!AF26</f>
        <v>25000</v>
      </c>
      <c r="AE39" s="30">
        <f>+Producción!AG26</f>
        <v>25000</v>
      </c>
      <c r="AF39" s="30">
        <f>+Producción!AH26</f>
        <v>25750</v>
      </c>
      <c r="AG39" s="30">
        <f>+Producción!AI26</f>
        <v>25750</v>
      </c>
      <c r="AH39" s="30">
        <f>+Producción!AJ26</f>
        <v>25750</v>
      </c>
      <c r="AI39" s="30">
        <f>+Producción!AK26</f>
        <v>25750</v>
      </c>
      <c r="AJ39" s="30">
        <f>+Producción!AL26</f>
        <v>25750</v>
      </c>
      <c r="AK39" s="30">
        <f>+Producción!AM26</f>
        <v>25750</v>
      </c>
      <c r="AL39" s="30">
        <f>+Producción!AN26</f>
        <v>25750</v>
      </c>
      <c r="AM39" s="30">
        <f>+Producción!AO26</f>
        <v>25750</v>
      </c>
      <c r="AN39" s="30">
        <f>+Producción!AP26</f>
        <v>25750</v>
      </c>
      <c r="AO39" s="30">
        <f>+Producción!AQ26</f>
        <v>25750</v>
      </c>
      <c r="AP39" s="30">
        <f>+Producción!AR26</f>
        <v>25750</v>
      </c>
      <c r="AQ39" s="30">
        <f>+Producción!AS26</f>
        <v>25750</v>
      </c>
      <c r="AR39" s="30">
        <f>+Producción!AT26</f>
        <v>26522.5</v>
      </c>
      <c r="AS39" s="30">
        <f>+Producción!AU26</f>
        <v>26522.5</v>
      </c>
      <c r="AT39" s="30">
        <f>+Producción!AV26</f>
        <v>26522.5</v>
      </c>
      <c r="AU39" s="30">
        <f>+Producción!AW26</f>
        <v>26522.5</v>
      </c>
      <c r="AV39" s="30">
        <f>+Producción!AX26</f>
        <v>26522.5</v>
      </c>
      <c r="AW39" s="30">
        <f>+Producción!AY26</f>
        <v>26522.5</v>
      </c>
      <c r="AX39" s="30">
        <f>+Producción!AZ26</f>
        <v>26522.5</v>
      </c>
      <c r="AY39" s="30">
        <f>+Producción!BA26</f>
        <v>26522.5</v>
      </c>
      <c r="AZ39" s="30">
        <f>+Producción!BB26</f>
        <v>26522.5</v>
      </c>
      <c r="BA39" s="30">
        <f>+Producción!BC26</f>
        <v>26522.5</v>
      </c>
      <c r="BB39" s="30">
        <f>+Producción!BD26</f>
        <v>26522.5</v>
      </c>
      <c r="BC39" s="30">
        <f>+Producción!BE26</f>
        <v>26522.5</v>
      </c>
      <c r="BD39" s="30">
        <f>+Producción!BF26</f>
        <v>27318.174999999999</v>
      </c>
      <c r="BE39" s="30">
        <f>+Producción!BG26</f>
        <v>27318.174999999999</v>
      </c>
      <c r="BF39" s="30">
        <f>+Producción!BH26</f>
        <v>27318.174999999999</v>
      </c>
      <c r="BG39" s="30">
        <f>+Producción!BI26</f>
        <v>27318.174999999999</v>
      </c>
      <c r="BH39" s="30">
        <f>+Producción!BJ26</f>
        <v>27318.174999999999</v>
      </c>
      <c r="BI39" s="30">
        <f>+Producción!BK26</f>
        <v>27318.174999999999</v>
      </c>
      <c r="BJ39" s="30">
        <f>+Producción!BL26</f>
        <v>27318.174999999999</v>
      </c>
      <c r="BK39" s="30">
        <f>+Producción!BM26</f>
        <v>27318.174999999999</v>
      </c>
      <c r="BL39" s="30">
        <f>+Producción!BN26</f>
        <v>27318.174999999999</v>
      </c>
      <c r="BM39" s="30">
        <f>+Producción!BO26</f>
        <v>27318.174999999999</v>
      </c>
      <c r="BN39" s="30">
        <f>+Producción!BP26</f>
        <v>27318.174999999999</v>
      </c>
      <c r="BO39" s="30">
        <f>+Producción!BQ26</f>
        <v>27318.174999999999</v>
      </c>
      <c r="BP39" s="30">
        <f>+Producción!BR26</f>
        <v>28137.720249999998</v>
      </c>
      <c r="BQ39" s="30">
        <f>+Producción!BS26</f>
        <v>28137.720249999998</v>
      </c>
      <c r="BR39" s="30">
        <f>+Producción!BT26</f>
        <v>28137.720249999998</v>
      </c>
      <c r="BS39" s="30">
        <f>+Producción!BU26</f>
        <v>28137.720249999998</v>
      </c>
      <c r="BT39" s="30">
        <f>+Producción!BV26</f>
        <v>28137.720249999998</v>
      </c>
      <c r="BU39" s="30">
        <f>+Producción!BW26</f>
        <v>28137.720249999998</v>
      </c>
      <c r="BV39" s="30">
        <f>+Producción!BX26</f>
        <v>28137.720249999998</v>
      </c>
      <c r="BW39" s="30">
        <f>+Producción!BY26</f>
        <v>28137.720249999998</v>
      </c>
      <c r="BX39" s="30">
        <f>+Producción!BZ26</f>
        <v>28137.720249999998</v>
      </c>
      <c r="BY39" s="30">
        <f>+Producción!CA26</f>
        <v>28137.720249999998</v>
      </c>
      <c r="BZ39" s="30">
        <f>+Producción!CB26</f>
        <v>28137.720249999998</v>
      </c>
      <c r="CA39" s="30">
        <f>+Producción!CC26</f>
        <v>28137.720249999998</v>
      </c>
      <c r="CB39" s="30">
        <f>+Producción!CD26</f>
        <v>28981.851857499998</v>
      </c>
      <c r="CC39" s="30">
        <f>+Producción!CE26</f>
        <v>28981.851857499998</v>
      </c>
      <c r="CD39" s="30">
        <f>+Producción!CF26</f>
        <v>28981.851857499998</v>
      </c>
      <c r="CE39" s="30">
        <f>+Producción!CG26</f>
        <v>28981.851857499998</v>
      </c>
      <c r="CF39" s="30">
        <f>+Producción!CH26</f>
        <v>28981.851857499998</v>
      </c>
      <c r="CG39" s="30">
        <f>+Producción!CI26</f>
        <v>28981.851857499998</v>
      </c>
      <c r="CH39" s="30">
        <f>+Producción!CJ26</f>
        <v>28981.851857499998</v>
      </c>
      <c r="CI39" s="30">
        <f>+Producción!CK26</f>
        <v>28981.851857499998</v>
      </c>
      <c r="CJ39" s="30">
        <f>+Producción!CL26</f>
        <v>28981.851857499998</v>
      </c>
      <c r="CK39" s="30">
        <f>+Producción!CM26</f>
        <v>28981.851857499998</v>
      </c>
      <c r="CL39" s="30">
        <f>+Producción!CN26</f>
        <v>28981.851857499998</v>
      </c>
      <c r="CM39" s="30">
        <f>+Producción!CO26</f>
        <v>28981.851857499998</v>
      </c>
      <c r="CN39" s="30">
        <f>+Producción!CP26</f>
        <v>29851.307413225</v>
      </c>
      <c r="CO39" s="30">
        <f>+Producción!CQ26</f>
        <v>29851.307413225</v>
      </c>
      <c r="CP39" s="30">
        <f>+Producción!CR26</f>
        <v>29851.307413225</v>
      </c>
      <c r="CQ39" s="30">
        <f>+Producción!CS26</f>
        <v>29851.307413225</v>
      </c>
      <c r="CR39" s="30">
        <f>+Producción!CT26</f>
        <v>29851.307413225</v>
      </c>
      <c r="CS39" s="30">
        <f>+Producción!CU26</f>
        <v>29851.307413225</v>
      </c>
      <c r="CT39" s="30">
        <f>+Producción!CV26</f>
        <v>29851.307413225</v>
      </c>
      <c r="CU39" s="30">
        <f>+Producción!CW26</f>
        <v>29851.307413225</v>
      </c>
      <c r="CV39" s="30">
        <f>+Producción!CX26</f>
        <v>29851.307413225</v>
      </c>
      <c r="CW39" s="30">
        <f>+Producción!CY26</f>
        <v>29851.307413225</v>
      </c>
      <c r="CX39" s="30">
        <f>+Producción!CZ26</f>
        <v>29851.307413225</v>
      </c>
      <c r="CY39" s="30">
        <f>+Producción!DA26</f>
        <v>29851.307413225</v>
      </c>
      <c r="CZ39" s="30">
        <f>+Producción!DB26</f>
        <v>30746.84663562175</v>
      </c>
      <c r="DA39" s="30">
        <f>+Producción!DC26</f>
        <v>30746.84663562175</v>
      </c>
      <c r="DB39" s="30">
        <f>+Producción!DD26</f>
        <v>30746.84663562175</v>
      </c>
      <c r="DC39" s="30">
        <f>+Producción!DE26</f>
        <v>30746.84663562175</v>
      </c>
      <c r="DD39" s="30">
        <f>+Producción!DF26</f>
        <v>30746.84663562175</v>
      </c>
      <c r="DE39" s="30">
        <f>+Producción!DG26</f>
        <v>30746.84663562175</v>
      </c>
      <c r="DF39" s="30">
        <f>+Producción!DH26</f>
        <v>30746.84663562175</v>
      </c>
      <c r="DG39" s="30">
        <f>+Producción!DI26</f>
        <v>30746.84663562175</v>
      </c>
      <c r="DH39" s="30">
        <f>+Producción!DJ26</f>
        <v>30746.84663562175</v>
      </c>
      <c r="DI39" s="30">
        <f>+Producción!DK26</f>
        <v>30746.84663562175</v>
      </c>
      <c r="DJ39" s="30">
        <f>+Producción!DL26</f>
        <v>30746.84663562175</v>
      </c>
      <c r="DK39" s="30">
        <f>+Producción!DM26</f>
        <v>30746.84663562175</v>
      </c>
      <c r="DL39" s="30">
        <f>+Producción!DN26</f>
        <v>31669.252034690402</v>
      </c>
      <c r="DM39" s="30">
        <f>+Producción!DO26</f>
        <v>31669.252034690402</v>
      </c>
      <c r="DN39" s="30">
        <f>+Producción!DP26</f>
        <v>31669.252034690402</v>
      </c>
      <c r="DO39" s="30">
        <f>+Producción!DQ26</f>
        <v>31669.252034690402</v>
      </c>
      <c r="DP39" s="30">
        <f>+Producción!DR26</f>
        <v>31669.252034690402</v>
      </c>
      <c r="DQ39" s="30">
        <f>+Producción!DS26</f>
        <v>31669.252034690402</v>
      </c>
      <c r="DR39" s="30">
        <f>+Producción!DT26</f>
        <v>31669.252034690402</v>
      </c>
      <c r="DS39" s="30">
        <f>+Producción!DU26</f>
        <v>31669.252034690402</v>
      </c>
      <c r="DT39" s="30">
        <f>+Producción!DV26</f>
        <v>31669.252034690402</v>
      </c>
      <c r="DU39" s="30">
        <f>+Producción!DW26</f>
        <v>31669.252034690402</v>
      </c>
      <c r="DV39" s="30">
        <f>+Producción!DX26</f>
        <v>31669.252034690402</v>
      </c>
      <c r="DW39" s="30">
        <f>+Producción!DY26</f>
        <v>31669.252034690402</v>
      </c>
      <c r="DX39" s="30">
        <f>+Producción!DZ26</f>
        <v>32619.329595731117</v>
      </c>
      <c r="DY39" s="30">
        <f>+Producción!EA26</f>
        <v>32619.329595731117</v>
      </c>
      <c r="DZ39" s="30">
        <f>+Producción!EB26</f>
        <v>32619.329595731117</v>
      </c>
      <c r="EA39" s="30">
        <f>+Producción!EC26</f>
        <v>32619.329595731117</v>
      </c>
      <c r="EB39" s="30">
        <f>+Producción!ED26</f>
        <v>32619.329595731117</v>
      </c>
      <c r="EC39" s="30">
        <f>+Producción!EE26</f>
        <v>32619.329595731117</v>
      </c>
      <c r="ED39" s="30">
        <f>+Producción!EF26</f>
        <v>32619.329595731117</v>
      </c>
      <c r="EE39" s="30">
        <f>+Producción!EG26</f>
        <v>32619.329595731117</v>
      </c>
      <c r="EF39" s="30">
        <f>+Producción!EH26</f>
        <v>32619.329595731117</v>
      </c>
      <c r="EG39" s="30">
        <f>+Producción!EI26</f>
        <v>32619.329595731117</v>
      </c>
      <c r="EH39" s="30">
        <f>+Producción!EJ26</f>
        <v>32619.329595731117</v>
      </c>
      <c r="EI39" s="30">
        <f>+Producción!EK26</f>
        <v>32619.329595731117</v>
      </c>
      <c r="EJ39" s="30">
        <f>+Producción!EL26</f>
        <v>33597.909483603049</v>
      </c>
      <c r="EK39" s="30">
        <f>+Producción!EM26</f>
        <v>33597.909483603049</v>
      </c>
      <c r="EL39" s="30">
        <f>+Producción!EN26</f>
        <v>33597.909483603049</v>
      </c>
      <c r="EM39" s="30">
        <f>+Producción!EO26</f>
        <v>33597.909483603049</v>
      </c>
      <c r="EN39" s="30">
        <f>+Producción!EP26</f>
        <v>33597.909483603049</v>
      </c>
      <c r="EO39" s="30">
        <f>+Producción!EQ26</f>
        <v>33597.909483603049</v>
      </c>
      <c r="EP39" s="30">
        <f>+Producción!ER26</f>
        <v>33597.909483603049</v>
      </c>
      <c r="EQ39" s="30">
        <f>+Producción!ES26</f>
        <v>33597.909483603049</v>
      </c>
      <c r="ER39" s="30">
        <f>+Producción!ET26</f>
        <v>33597.909483603049</v>
      </c>
      <c r="ES39" s="30">
        <f>+Producción!EU26</f>
        <v>33597.909483603049</v>
      </c>
      <c r="ET39" s="30">
        <f>+Producción!EV26</f>
        <v>33597.909483603049</v>
      </c>
      <c r="EU39" s="30">
        <f>+Producción!EW26</f>
        <v>33597.909483603049</v>
      </c>
      <c r="EV39" s="30">
        <f>+Producción!EX26</f>
        <v>34605.846768111143</v>
      </c>
      <c r="EW39" s="30">
        <f>+Producción!EY26</f>
        <v>34605.846768111143</v>
      </c>
      <c r="EX39" s="30">
        <f>+Producción!EZ26</f>
        <v>34605.846768111143</v>
      </c>
      <c r="EY39" s="30">
        <f>+Producción!FA26</f>
        <v>34605.846768111143</v>
      </c>
      <c r="EZ39" s="30">
        <f>+Producción!FB26</f>
        <v>34605.846768111143</v>
      </c>
      <c r="FA39" s="30">
        <f>+Producción!FC26</f>
        <v>34605.846768111143</v>
      </c>
      <c r="FB39" s="30">
        <f>+Producción!FD26</f>
        <v>34605.846768111143</v>
      </c>
      <c r="FC39" s="30">
        <f>+Producción!FE26</f>
        <v>34605.846768111143</v>
      </c>
      <c r="FD39" s="30">
        <f>+Producción!FF26</f>
        <v>34605.846768111143</v>
      </c>
      <c r="FE39" s="30">
        <f>+Producción!FG26</f>
        <v>34605.846768111143</v>
      </c>
      <c r="FF39" s="30">
        <f>+Producción!FH26</f>
        <v>34605.846768111143</v>
      </c>
      <c r="FG39" s="30">
        <f>+Producción!FI26</f>
        <v>34605.846768111143</v>
      </c>
      <c r="FH39" s="30">
        <f>+Producción!FJ26</f>
        <v>35644.02217115448</v>
      </c>
      <c r="FI39" s="30">
        <f>+Producción!FK26</f>
        <v>35644.02217115448</v>
      </c>
      <c r="FJ39" s="30">
        <f>+Producción!FL26</f>
        <v>35644.02217115448</v>
      </c>
      <c r="FK39" s="30">
        <f>+Producción!FM26</f>
        <v>35644.02217115448</v>
      </c>
      <c r="FL39" s="30">
        <f>+Producción!FN26</f>
        <v>35644.02217115448</v>
      </c>
      <c r="FM39" s="30">
        <f>+Producción!FO26</f>
        <v>35644.02217115448</v>
      </c>
      <c r="FN39" s="30">
        <f>+Producción!FP26</f>
        <v>35644.02217115448</v>
      </c>
      <c r="FO39" s="30">
        <f>+Producción!FQ26</f>
        <v>35644.02217115448</v>
      </c>
      <c r="FP39" s="30">
        <f>+Producción!FR26</f>
        <v>35644.02217115448</v>
      </c>
      <c r="FQ39" s="30">
        <f>+Producción!FS26</f>
        <v>35644.02217115448</v>
      </c>
      <c r="FR39" s="30">
        <f>+Producción!FT26</f>
        <v>35644.02217115448</v>
      </c>
      <c r="FS39" s="30">
        <f>+Producción!FU26</f>
        <v>35644.02217115448</v>
      </c>
      <c r="FT39" s="30">
        <f>+Producción!FV26</f>
        <v>36713.342836289114</v>
      </c>
      <c r="FU39" s="30">
        <f>+Producción!FW26</f>
        <v>36713.342836289114</v>
      </c>
      <c r="FV39" s="30">
        <f>+Producción!FX26</f>
        <v>36713.342836289114</v>
      </c>
      <c r="FW39" s="30">
        <f>+Producción!FY26</f>
        <v>36713.342836289114</v>
      </c>
      <c r="FX39" s="30">
        <f>+Producción!FZ26</f>
        <v>36713.342836289114</v>
      </c>
      <c r="FY39" s="30">
        <f>+Producción!GA26</f>
        <v>36713.342836289114</v>
      </c>
      <c r="FZ39" s="30">
        <f>+Producción!GB26</f>
        <v>36713.342836289114</v>
      </c>
      <c r="GA39" s="30">
        <f>+Producción!GC26</f>
        <v>36713.342836289114</v>
      </c>
      <c r="GB39" s="30">
        <f>+Producción!GD26</f>
        <v>36713.342836289114</v>
      </c>
      <c r="GC39" s="30">
        <f>+Producción!GE26</f>
        <v>36713.342836289114</v>
      </c>
      <c r="GD39" s="30">
        <f>+Producción!GF26</f>
        <v>36713.342836289114</v>
      </c>
      <c r="GE39" s="30">
        <f>+Producción!GG26</f>
        <v>36713.342836289114</v>
      </c>
      <c r="GF39" s="30">
        <f>+Producción!GH26</f>
        <v>37814.743121377789</v>
      </c>
      <c r="GG39" s="30">
        <f>+Producción!GI26</f>
        <v>37814.743121377789</v>
      </c>
      <c r="GH39" s="30">
        <f>+Producción!GJ26</f>
        <v>37814.743121377789</v>
      </c>
      <c r="GI39" s="30">
        <f>+Producción!GK26</f>
        <v>37814.743121377789</v>
      </c>
      <c r="GJ39" s="30">
        <f>+Producción!GL26</f>
        <v>37814.743121377789</v>
      </c>
      <c r="GK39" s="30">
        <f>+Producción!GM26</f>
        <v>37814.743121377789</v>
      </c>
      <c r="GL39" s="30">
        <f>+Producción!GN26</f>
        <v>37814.743121377789</v>
      </c>
      <c r="GM39" s="30">
        <f>+Producción!GO26</f>
        <v>37814.743121377789</v>
      </c>
      <c r="GN39" s="30">
        <f>+Producción!GP26</f>
        <v>37814.743121377789</v>
      </c>
      <c r="GO39" s="30">
        <f>+Producción!GQ26</f>
        <v>37814.743121377789</v>
      </c>
      <c r="GP39" s="30">
        <f>+Producción!GR26</f>
        <v>37814.743121377789</v>
      </c>
      <c r="GQ39" s="30">
        <f>+Producción!GS26</f>
        <v>37814.743121377789</v>
      </c>
      <c r="GR39" s="30">
        <f>+Producción!GT26</f>
        <v>38949.185415019121</v>
      </c>
      <c r="GS39" s="30">
        <f>+Producción!GU26</f>
        <v>38949.185415019121</v>
      </c>
      <c r="GT39" s="30">
        <f>+Producción!GV26</f>
        <v>38949.185415019121</v>
      </c>
      <c r="GU39" s="30">
        <f>+Producción!GW26</f>
        <v>38949.185415019121</v>
      </c>
      <c r="GV39" s="30">
        <f>+Producción!GX26</f>
        <v>38949.185415019121</v>
      </c>
      <c r="GW39" s="30">
        <f>+Producción!GY26</f>
        <v>38949.185415019121</v>
      </c>
      <c r="GX39" s="30">
        <f>+Producción!GZ26</f>
        <v>38949.185415019121</v>
      </c>
      <c r="GY39" s="30">
        <f>+Producción!HA26</f>
        <v>38949.185415019121</v>
      </c>
      <c r="GZ39" s="30">
        <f>+Producción!HB26</f>
        <v>38949.185415019121</v>
      </c>
      <c r="HA39" s="30">
        <f>+Producción!HC26</f>
        <v>38949.185415019121</v>
      </c>
      <c r="HB39" s="30">
        <f>+Producción!HD26</f>
        <v>38949.185415019121</v>
      </c>
      <c r="HC39" s="30">
        <f>+Producción!HE26</f>
        <v>38949.185415019121</v>
      </c>
      <c r="HD39" s="30">
        <f>+Producción!HF26</f>
        <v>40117.660977469699</v>
      </c>
      <c r="HE39" s="30">
        <f>+Producción!HG26</f>
        <v>40117.660977469699</v>
      </c>
      <c r="HF39" s="30">
        <f>+Producción!HH26</f>
        <v>40117.660977469699</v>
      </c>
      <c r="HG39" s="30">
        <f>+Producción!HI26</f>
        <v>40117.660977469699</v>
      </c>
      <c r="HH39" s="30">
        <f>+Producción!HJ26</f>
        <v>40117.660977469699</v>
      </c>
      <c r="HI39" s="30">
        <f>+Producción!HK26</f>
        <v>40117.660977469699</v>
      </c>
      <c r="HJ39" s="30">
        <f>+Producción!HL26</f>
        <v>40117.660977469699</v>
      </c>
      <c r="HK39" s="30">
        <f>+Producción!HM26</f>
        <v>40117.660977469699</v>
      </c>
      <c r="HL39" s="30">
        <f>+Producción!HN26</f>
        <v>40117.660977469699</v>
      </c>
      <c r="HM39" s="30">
        <f>+Producción!HO26</f>
        <v>40117.660977469699</v>
      </c>
      <c r="HN39" s="30">
        <f>+Producción!HP26</f>
        <v>40117.660977469699</v>
      </c>
      <c r="HO39" s="30">
        <f>+Producción!HQ26</f>
        <v>40117.660977469699</v>
      </c>
      <c r="HP39" s="30">
        <f>+Producción!HR26</f>
        <v>41321.190806793791</v>
      </c>
      <c r="HQ39" s="30">
        <f>+Producción!HS26</f>
        <v>41321.190806793791</v>
      </c>
      <c r="HR39" s="30">
        <f>+Producción!HT26</f>
        <v>41321.190806793791</v>
      </c>
      <c r="HS39" s="30">
        <f>+Producción!HU26</f>
        <v>41321.190806793791</v>
      </c>
      <c r="HT39" s="30">
        <f>+Producción!HV26</f>
        <v>41321.190806793791</v>
      </c>
      <c r="HU39" s="30">
        <f>+Producción!HW26</f>
        <v>41321.190806793791</v>
      </c>
      <c r="HV39" s="30">
        <f>+Producción!HX26</f>
        <v>41321.190806793791</v>
      </c>
      <c r="HW39" s="30">
        <f>+Producción!HY26</f>
        <v>41321.190806793791</v>
      </c>
      <c r="HX39" s="30">
        <f>+Producción!HZ26</f>
        <v>41321.190806793791</v>
      </c>
      <c r="HY39" s="30">
        <f>+Producción!IA26</f>
        <v>41321.190806793791</v>
      </c>
      <c r="HZ39" s="30">
        <f>+Producción!IB26</f>
        <v>41321.190806793791</v>
      </c>
      <c r="IA39" s="30">
        <f>+Producción!IC26</f>
        <v>41321.190806793791</v>
      </c>
      <c r="IB39" s="30">
        <f>+Producción!ID26</f>
        <v>42560.826530997605</v>
      </c>
      <c r="IC39" s="30">
        <f>+Producción!IE26</f>
        <v>42560.826530997605</v>
      </c>
      <c r="ID39" s="30">
        <f>+Producción!IF26</f>
        <v>42560.826530997605</v>
      </c>
      <c r="IE39" s="30">
        <f>+Producción!IG26</f>
        <v>42560.826530997605</v>
      </c>
      <c r="IF39" s="30">
        <f>+Producción!IH26</f>
        <v>42560.826530997605</v>
      </c>
      <c r="IG39" s="30">
        <f>+Producción!II26</f>
        <v>42560.826530997605</v>
      </c>
      <c r="IH39" s="30">
        <f>+Producción!IJ26</f>
        <v>42560.826530997605</v>
      </c>
      <c r="II39" s="30">
        <f>+Producción!IK26</f>
        <v>43837.651326927531</v>
      </c>
      <c r="IJ39" s="30">
        <f>+Producción!IL26</f>
        <v>45152.78086673536</v>
      </c>
      <c r="IK39" s="30">
        <f>+Producción!IM26</f>
        <v>45152.78086673536</v>
      </c>
      <c r="IL39" s="30">
        <f>+Producción!IN26</f>
        <v>45152.78086673536</v>
      </c>
      <c r="IM39" s="30">
        <f>+Producción!IO26</f>
        <v>45152.78086673536</v>
      </c>
      <c r="IN39" s="30"/>
    </row>
    <row r="40" spans="1:248" x14ac:dyDescent="0.3">
      <c r="A40" s="6" t="s">
        <v>920</v>
      </c>
      <c r="B40" s="30">
        <f t="shared" ref="B40:G40" si="40">+SUM(B30:B39)</f>
        <v>0</v>
      </c>
      <c r="C40" s="30">
        <f t="shared" ca="1" si="40"/>
        <v>2.227257692153025E-2</v>
      </c>
      <c r="D40" s="30">
        <f t="shared" si="40"/>
        <v>0</v>
      </c>
      <c r="E40" s="30">
        <f t="shared" si="40"/>
        <v>0</v>
      </c>
      <c r="F40" s="30">
        <f t="shared" si="40"/>
        <v>0</v>
      </c>
      <c r="G40" s="30">
        <f t="shared" si="40"/>
        <v>0</v>
      </c>
      <c r="H40" s="30">
        <f t="shared" ref="H40:BO40" si="41">+SUM(H30:H39)</f>
        <v>0</v>
      </c>
      <c r="I40" s="30">
        <f t="shared" si="41"/>
        <v>0</v>
      </c>
      <c r="J40" s="30"/>
      <c r="K40" s="30"/>
      <c r="L40" s="30"/>
      <c r="M40" s="30"/>
      <c r="N40" s="30"/>
      <c r="O40" s="30"/>
      <c r="Q40" s="30"/>
      <c r="R40" s="30"/>
      <c r="S40" s="30"/>
      <c r="T40" s="30"/>
      <c r="U40" s="30"/>
      <c r="V40" s="30"/>
      <c r="X40" s="30"/>
      <c r="Y40" s="30"/>
      <c r="Z40" s="30"/>
      <c r="AA40" s="30"/>
      <c r="AB40" s="30"/>
      <c r="AC40" s="30">
        <f t="shared" ref="AC40" si="42">+SUM(AC30:AC39)</f>
        <v>49414068.942789257</v>
      </c>
      <c r="AD40" s="30">
        <f t="shared" si="41"/>
        <v>479301.94263742567</v>
      </c>
      <c r="AE40" s="30">
        <f t="shared" si="41"/>
        <v>409606.28135135234</v>
      </c>
      <c r="AF40" s="30">
        <f t="shared" si="41"/>
        <v>639669.61161297408</v>
      </c>
      <c r="AG40" s="30">
        <f t="shared" si="41"/>
        <v>271927.45837829378</v>
      </c>
      <c r="AH40" s="30">
        <f t="shared" si="41"/>
        <v>3763.5223349033622</v>
      </c>
      <c r="AI40" s="30">
        <f t="shared" si="41"/>
        <v>53367.937568268098</v>
      </c>
      <c r="AJ40" s="30">
        <f t="shared" si="41"/>
        <v>-122279.69837092565</v>
      </c>
      <c r="AK40" s="30">
        <f t="shared" si="41"/>
        <v>-44853.695197075023</v>
      </c>
      <c r="AL40" s="30">
        <f t="shared" si="41"/>
        <v>-75890.013955395669</v>
      </c>
      <c r="AM40" s="30">
        <f t="shared" si="41"/>
        <v>-274028.20685668074</v>
      </c>
      <c r="AN40" s="30">
        <f t="shared" si="41"/>
        <v>-124143.10418838882</v>
      </c>
      <c r="AO40" s="30">
        <f t="shared" si="41"/>
        <v>94613.916169172706</v>
      </c>
      <c r="AP40" s="30">
        <f t="shared" si="41"/>
        <v>493681.00091654848</v>
      </c>
      <c r="AQ40" s="30">
        <f t="shared" si="41"/>
        <v>421894.46979189297</v>
      </c>
      <c r="AR40" s="30">
        <f t="shared" si="41"/>
        <v>658859.69996136334</v>
      </c>
      <c r="AS40" s="30">
        <f t="shared" si="41"/>
        <v>280085.28212964267</v>
      </c>
      <c r="AT40" s="30">
        <f t="shared" si="41"/>
        <v>241.37705935171107</v>
      </c>
      <c r="AU40" s="30">
        <f t="shared" si="41"/>
        <v>42891.860907420196</v>
      </c>
      <c r="AV40" s="30">
        <f t="shared" si="41"/>
        <v>-118132.4928368534</v>
      </c>
      <c r="AW40" s="30">
        <f t="shared" si="41"/>
        <v>-40333.167550587255</v>
      </c>
      <c r="AX40" s="30">
        <f t="shared" si="41"/>
        <v>-72429.675967257586</v>
      </c>
      <c r="AY40" s="30">
        <f t="shared" si="41"/>
        <v>-290033.58443779417</v>
      </c>
      <c r="AZ40" s="30">
        <f t="shared" si="41"/>
        <v>-133283.74560472817</v>
      </c>
      <c r="BA40" s="30">
        <f t="shared" si="41"/>
        <v>86510.029197225202</v>
      </c>
      <c r="BB40" s="30">
        <f t="shared" si="41"/>
        <v>508491.43094404496</v>
      </c>
      <c r="BC40" s="30">
        <f t="shared" si="41"/>
        <v>434551.30388564977</v>
      </c>
      <c r="BD40" s="30">
        <f t="shared" si="41"/>
        <v>672445.49096020428</v>
      </c>
      <c r="BE40" s="30">
        <f t="shared" si="41"/>
        <v>288487.8405935319</v>
      </c>
      <c r="BF40" s="30">
        <f t="shared" si="41"/>
        <v>-3568.18512174649</v>
      </c>
      <c r="BG40" s="30">
        <f t="shared" si="41"/>
        <v>31806.646207352005</v>
      </c>
      <c r="BH40" s="30">
        <f t="shared" si="41"/>
        <v>-113860.87113675899</v>
      </c>
      <c r="BI40" s="30">
        <f t="shared" si="41"/>
        <v>-35677.024074704837</v>
      </c>
      <c r="BJ40" s="30">
        <f t="shared" si="41"/>
        <v>-68865.527839475297</v>
      </c>
      <c r="BK40" s="30">
        <f t="shared" si="41"/>
        <v>-306908.34991511167</v>
      </c>
      <c r="BL40" s="30">
        <f t="shared" si="41"/>
        <v>-142969.42367809208</v>
      </c>
      <c r="BM40" s="30">
        <f t="shared" si="41"/>
        <v>77924.910393268176</v>
      </c>
      <c r="BN40" s="30">
        <f t="shared" si="41"/>
        <v>523746.17387236637</v>
      </c>
      <c r="BO40" s="30">
        <f t="shared" si="41"/>
        <v>447587.84300221928</v>
      </c>
      <c r="BP40" s="30">
        <f t="shared" ref="BP40:DR40" si="43">+SUM(BP30:BP39)</f>
        <v>686438.85568901035</v>
      </c>
      <c r="BQ40" s="30">
        <f t="shared" si="43"/>
        <v>297142.47581133788</v>
      </c>
      <c r="BR40" s="30">
        <f t="shared" si="43"/>
        <v>-7682.8743429215247</v>
      </c>
      <c r="BS40" s="30">
        <f t="shared" si="43"/>
        <v>20079.276539917235</v>
      </c>
      <c r="BT40" s="30">
        <f t="shared" si="43"/>
        <v>-120355.30622838611</v>
      </c>
      <c r="BU40" s="30">
        <f t="shared" si="43"/>
        <v>30886.389883940596</v>
      </c>
      <c r="BV40" s="30">
        <f t="shared" si="43"/>
        <v>-3426.8690893729581</v>
      </c>
      <c r="BW40" s="30">
        <f t="shared" si="43"/>
        <v>-262930.46007547126</v>
      </c>
      <c r="BX40" s="30">
        <f t="shared" si="43"/>
        <v>-91462.444200431448</v>
      </c>
      <c r="BY40" s="30">
        <f t="shared" si="43"/>
        <v>130599.80321968526</v>
      </c>
      <c r="BZ40" s="30">
        <f t="shared" si="43"/>
        <v>601226.14526702394</v>
      </c>
      <c r="CA40" s="30">
        <f t="shared" si="43"/>
        <v>522783.06447077246</v>
      </c>
      <c r="CB40" s="30">
        <f t="shared" si="43"/>
        <v>764472.6351235219</v>
      </c>
      <c r="CC40" s="30">
        <f t="shared" si="43"/>
        <v>369677.36384951917</v>
      </c>
      <c r="CD40" s="30">
        <f t="shared" si="43"/>
        <v>51499.227339733239</v>
      </c>
      <c r="CE40" s="30">
        <f t="shared" si="43"/>
        <v>71295.621093617898</v>
      </c>
      <c r="CF40" s="30">
        <f t="shared" si="43"/>
        <v>-65773.633417051024</v>
      </c>
      <c r="CG40" s="30">
        <f t="shared" si="43"/>
        <v>37679.120082858797</v>
      </c>
      <c r="CH40" s="30">
        <f t="shared" si="43"/>
        <v>-12967.819260565368</v>
      </c>
      <c r="CI40" s="30">
        <f t="shared" si="43"/>
        <v>-279829.94201119803</v>
      </c>
      <c r="CJ40" s="30">
        <f t="shared" si="43"/>
        <v>57184.426258932472</v>
      </c>
      <c r="CK40" s="30">
        <f t="shared" si="43"/>
        <v>268371.65641491074</v>
      </c>
      <c r="CL40" s="30">
        <f t="shared" si="43"/>
        <v>619262.92962503468</v>
      </c>
      <c r="CM40" s="30">
        <f t="shared" si="43"/>
        <v>538466.55640489561</v>
      </c>
      <c r="CN40" s="30">
        <f t="shared" si="43"/>
        <v>781226.81417722744</v>
      </c>
      <c r="CO40" s="30">
        <f t="shared" si="43"/>
        <v>380767.68476500473</v>
      </c>
      <c r="CP40" s="30">
        <f t="shared" si="43"/>
        <v>48625.777016481501</v>
      </c>
      <c r="CQ40" s="30">
        <f t="shared" si="43"/>
        <v>60086.509844771441</v>
      </c>
      <c r="CR40" s="30">
        <f t="shared" si="43"/>
        <v>-73446.538273499813</v>
      </c>
      <c r="CS40" s="30">
        <f t="shared" si="43"/>
        <v>42474.156568363192</v>
      </c>
      <c r="CT40" s="30">
        <f t="shared" si="43"/>
        <v>-27785.049759688587</v>
      </c>
      <c r="CU40" s="30">
        <f t="shared" si="43"/>
        <v>-297686.9868116696</v>
      </c>
      <c r="CV40" s="30">
        <f t="shared" si="43"/>
        <v>64045.541526700428</v>
      </c>
      <c r="CW40" s="30">
        <f t="shared" si="43"/>
        <v>274559.31770135806</v>
      </c>
      <c r="CX40" s="30">
        <f t="shared" si="43"/>
        <v>637840.81751378567</v>
      </c>
      <c r="CY40" s="30">
        <f t="shared" si="43"/>
        <v>554620.55309704249</v>
      </c>
      <c r="CZ40" s="30">
        <f t="shared" si="43"/>
        <v>798483.61860254442</v>
      </c>
      <c r="DA40" s="30">
        <f t="shared" si="43"/>
        <v>392190.71530795499</v>
      </c>
      <c r="DB40" s="30">
        <f t="shared" si="43"/>
        <v>45445.201826360018</v>
      </c>
      <c r="DC40" s="30">
        <f t="shared" si="43"/>
        <v>48182.726264376892</v>
      </c>
      <c r="DD40" s="30">
        <f t="shared" si="43"/>
        <v>-81634.615068338811</v>
      </c>
      <c r="DE40" s="30">
        <f t="shared" si="43"/>
        <v>39793.592751426448</v>
      </c>
      <c r="DF40" s="30">
        <f t="shared" si="43"/>
        <v>-43459.206969850755</v>
      </c>
      <c r="DG40" s="30">
        <f t="shared" si="43"/>
        <v>-316552.85028316197</v>
      </c>
      <c r="DH40" s="30">
        <f t="shared" si="43"/>
        <v>71112.490252501448</v>
      </c>
      <c r="DI40" s="30">
        <f t="shared" si="43"/>
        <v>280932.60882639879</v>
      </c>
      <c r="DJ40" s="30">
        <f t="shared" si="43"/>
        <v>656976.04203919927</v>
      </c>
      <c r="DK40" s="30">
        <f t="shared" si="43"/>
        <v>571259.16968995379</v>
      </c>
      <c r="DL40" s="30">
        <f t="shared" si="43"/>
        <v>816258.12716062076</v>
      </c>
      <c r="DM40" s="30">
        <f t="shared" si="43"/>
        <v>403956.43676719366</v>
      </c>
      <c r="DN40" s="30">
        <f t="shared" si="43"/>
        <v>41937.241955504142</v>
      </c>
      <c r="DO40" s="30">
        <f t="shared" si="43"/>
        <v>35545.510232783563</v>
      </c>
      <c r="DP40" s="30">
        <f t="shared" si="43"/>
        <v>-90367.568199354806</v>
      </c>
      <c r="DQ40" s="30">
        <f t="shared" si="43"/>
        <v>36834.872594282264</v>
      </c>
      <c r="DR40" s="30">
        <f t="shared" si="43"/>
        <v>-60036.619182186434</v>
      </c>
      <c r="DS40" s="30">
        <f t="shared" ref="DS40:FH40" si="44">+SUM(DS30:DS39)</f>
        <v>-336481.4523521564</v>
      </c>
      <c r="DT40" s="30">
        <f t="shared" si="44"/>
        <v>78391.447440076503</v>
      </c>
      <c r="DU40" s="30">
        <f t="shared" si="44"/>
        <v>287497.09868519078</v>
      </c>
      <c r="DV40" s="30">
        <f t="shared" si="44"/>
        <v>676685.32330037525</v>
      </c>
      <c r="DW40" s="30">
        <f t="shared" si="44"/>
        <v>588396.94478065229</v>
      </c>
      <c r="DX40" s="30">
        <f t="shared" si="44"/>
        <v>834565.8709754392</v>
      </c>
      <c r="DY40" s="30">
        <f t="shared" si="44"/>
        <v>416075.12987020944</v>
      </c>
      <c r="DZ40" s="30">
        <f t="shared" si="44"/>
        <v>38080.477492240199</v>
      </c>
      <c r="EA40" s="30">
        <f t="shared" si="44"/>
        <v>22134.04282926628</v>
      </c>
      <c r="EB40" s="30">
        <f t="shared" si="44"/>
        <v>-99676.705658249542</v>
      </c>
      <c r="EC40" s="30">
        <f t="shared" si="44"/>
        <v>33579.764435439341</v>
      </c>
      <c r="ED40" s="30">
        <f t="shared" si="44"/>
        <v>-77566.035561054188</v>
      </c>
      <c r="EE40" s="30">
        <f t="shared" si="44"/>
        <v>-357529.51331124548</v>
      </c>
      <c r="EF40" s="30">
        <f t="shared" si="44"/>
        <v>85888.773343278823</v>
      </c>
      <c r="EG40" s="30">
        <f t="shared" si="44"/>
        <v>294258.52323974646</v>
      </c>
      <c r="EH40" s="30">
        <f t="shared" si="44"/>
        <v>696985.88299938641</v>
      </c>
      <c r="EI40" s="30">
        <f t="shared" si="44"/>
        <v>606048.85312407184</v>
      </c>
      <c r="EJ40" s="30">
        <f t="shared" si="44"/>
        <v>853422.84710470261</v>
      </c>
      <c r="EK40" s="30">
        <f t="shared" si="44"/>
        <v>428557.3837663157</v>
      </c>
      <c r="EL40" s="30">
        <f t="shared" si="44"/>
        <v>33852.266008981875</v>
      </c>
      <c r="EM40" s="30">
        <f t="shared" si="44"/>
        <v>7905.3397681183342</v>
      </c>
      <c r="EN40" s="30">
        <f t="shared" si="44"/>
        <v>-109595.02276155679</v>
      </c>
      <c r="EO40" s="30">
        <f t="shared" si="44"/>
        <v>30008.995314997585</v>
      </c>
      <c r="EP40" s="30">
        <f t="shared" si="44"/>
        <v>-96098.750321458036</v>
      </c>
      <c r="EQ40" s="30">
        <f t="shared" si="44"/>
        <v>-379756.69696853374</v>
      </c>
      <c r="ER40" s="30">
        <f t="shared" si="44"/>
        <v>93611.019023577159</v>
      </c>
      <c r="ES40" s="30">
        <f t="shared" si="44"/>
        <v>301222.79053093889</v>
      </c>
      <c r="ET40" s="30">
        <f t="shared" si="44"/>
        <v>717895.45948936814</v>
      </c>
      <c r="EU40" s="30">
        <f t="shared" si="44"/>
        <v>624230.31871779414</v>
      </c>
      <c r="EV40" s="30">
        <f t="shared" si="44"/>
        <v>872845.53251784353</v>
      </c>
      <c r="EW40" s="30">
        <f t="shared" si="44"/>
        <v>441414.10527930525</v>
      </c>
      <c r="EX40" s="30">
        <f t="shared" si="44"/>
        <v>110369.60050822989</v>
      </c>
      <c r="EY40" s="30">
        <f t="shared" si="44"/>
        <v>120324.28447251025</v>
      </c>
      <c r="EZ40" s="30">
        <f t="shared" si="44"/>
        <v>-63900.265387158979</v>
      </c>
      <c r="FA40" s="30">
        <f t="shared" si="44"/>
        <v>34050.940617726512</v>
      </c>
      <c r="FB40" s="30">
        <f t="shared" si="44"/>
        <v>-59563.430301183682</v>
      </c>
      <c r="FC40" s="30">
        <f t="shared" si="44"/>
        <v>-186683.4644789061</v>
      </c>
      <c r="FD40" s="30">
        <f t="shared" si="44"/>
        <v>101564.93207428447</v>
      </c>
      <c r="FE40" s="30">
        <f t="shared" si="44"/>
        <v>308395.9858408671</v>
      </c>
      <c r="FF40" s="30">
        <f t="shared" si="44"/>
        <v>739432.32327404909</v>
      </c>
      <c r="FG40" s="30">
        <f t="shared" si="44"/>
        <v>642957.22827932797</v>
      </c>
      <c r="FH40" s="30">
        <f t="shared" si="44"/>
        <v>892850.89849337901</v>
      </c>
      <c r="FI40" s="30">
        <f t="shared" ref="FI40:GJ40" si="45">+SUM(FI30:FI39)</f>
        <v>454656.52843768441</v>
      </c>
      <c r="FJ40" s="30">
        <f t="shared" si="45"/>
        <v>120128.13324497681</v>
      </c>
      <c r="FK40" s="30">
        <f t="shared" si="45"/>
        <v>128337.37654168557</v>
      </c>
      <c r="FL40" s="30">
        <f t="shared" si="45"/>
        <v>-56047.777742273734</v>
      </c>
      <c r="FM40" s="30">
        <f t="shared" si="45"/>
        <v>42405.141964258328</v>
      </c>
      <c r="FN40" s="30">
        <f t="shared" si="45"/>
        <v>-52634.035201719184</v>
      </c>
      <c r="FO40" s="30">
        <f t="shared" si="45"/>
        <v>-179759.96531627318</v>
      </c>
      <c r="FP40" s="30">
        <f t="shared" si="45"/>
        <v>109757.46251651304</v>
      </c>
      <c r="FQ40" s="30">
        <f t="shared" si="45"/>
        <v>315784.37701009313</v>
      </c>
      <c r="FR40" s="30">
        <f t="shared" si="45"/>
        <v>761615.29297227063</v>
      </c>
      <c r="FS40" s="30">
        <f t="shared" si="45"/>
        <v>662245.94512770779</v>
      </c>
      <c r="FT40" s="30">
        <f t="shared" si="45"/>
        <v>913456.42544818029</v>
      </c>
      <c r="FU40" s="30">
        <f t="shared" si="45"/>
        <v>468296.22429081495</v>
      </c>
      <c r="FV40" s="30">
        <f t="shared" si="45"/>
        <v>130179.4219638261</v>
      </c>
      <c r="FW40" s="30">
        <f t="shared" si="45"/>
        <v>136590.86137293611</v>
      </c>
      <c r="FX40" s="30">
        <f t="shared" si="45"/>
        <v>-47959.715468041904</v>
      </c>
      <c r="FY40" s="30">
        <f t="shared" si="45"/>
        <v>51009.969351186111</v>
      </c>
      <c r="FZ40" s="30">
        <f t="shared" si="45"/>
        <v>-45496.758249270744</v>
      </c>
      <c r="GA40" s="30">
        <f t="shared" si="45"/>
        <v>-172628.76117876146</v>
      </c>
      <c r="GB40" s="30">
        <f t="shared" si="45"/>
        <v>118195.76887200841</v>
      </c>
      <c r="GC40" s="30">
        <f t="shared" si="45"/>
        <v>323394.4199143959</v>
      </c>
      <c r="GD40" s="30">
        <f t="shared" si="45"/>
        <v>784463.75176143867</v>
      </c>
      <c r="GE40" s="30">
        <f t="shared" si="45"/>
        <v>682113.32348153903</v>
      </c>
      <c r="GF40" s="30">
        <f t="shared" si="45"/>
        <v>934680.11821162573</v>
      </c>
      <c r="GG40" s="30">
        <f t="shared" si="45"/>
        <v>482345.11101953936</v>
      </c>
      <c r="GH40" s="30">
        <f t="shared" si="45"/>
        <v>140532.24934424093</v>
      </c>
      <c r="GI40" s="30">
        <f t="shared" si="45"/>
        <v>145091.95074912423</v>
      </c>
      <c r="GJ40" s="30">
        <f t="shared" si="45"/>
        <v>-39629.011325583167</v>
      </c>
      <c r="GK40" s="30">
        <f t="shared" ref="GK40:HE40" si="46">+SUM(GK30:GK39)</f>
        <v>59872.941559721701</v>
      </c>
      <c r="GL40" s="30">
        <f t="shared" si="46"/>
        <v>-38145.36298824886</v>
      </c>
      <c r="GM40" s="30">
        <f t="shared" si="46"/>
        <v>-165283.62091712427</v>
      </c>
      <c r="GN40" s="30">
        <f t="shared" si="46"/>
        <v>126887.22441816867</v>
      </c>
      <c r="GO40" s="30">
        <f t="shared" si="46"/>
        <v>331232.76410582778</v>
      </c>
      <c r="GP40" s="30">
        <f t="shared" si="46"/>
        <v>807997.66431428201</v>
      </c>
      <c r="GQ40" s="30">
        <f t="shared" si="46"/>
        <v>702576.72318598523</v>
      </c>
      <c r="GR40" s="30">
        <f t="shared" si="46"/>
        <v>956540.52175797452</v>
      </c>
      <c r="GS40" s="30">
        <f t="shared" si="46"/>
        <v>496815.46435012564</v>
      </c>
      <c r="GT40" s="30">
        <f t="shared" si="46"/>
        <v>151195.66154606815</v>
      </c>
      <c r="GU40" s="30">
        <f t="shared" si="46"/>
        <v>153848.07280659798</v>
      </c>
      <c r="GV40" s="30">
        <f t="shared" si="46"/>
        <v>-31048.386058850665</v>
      </c>
      <c r="GW40" s="30">
        <f t="shared" si="46"/>
        <v>69001.802934513355</v>
      </c>
      <c r="GX40" s="30">
        <f t="shared" si="46"/>
        <v>-30573.425869396291</v>
      </c>
      <c r="GY40" s="30">
        <f t="shared" si="46"/>
        <v>-157718.12644763797</v>
      </c>
      <c r="GZ40" s="30">
        <f t="shared" si="46"/>
        <v>135839.42363071372</v>
      </c>
      <c r="HA40" s="30">
        <f t="shared" si="46"/>
        <v>339306.25862300262</v>
      </c>
      <c r="HB40" s="30">
        <f t="shared" si="46"/>
        <v>832237.59424371051</v>
      </c>
      <c r="HC40" s="30">
        <f t="shared" si="46"/>
        <v>723654.0248815649</v>
      </c>
      <c r="HD40" s="30">
        <f t="shared" si="46"/>
        <v>979056.73741071392</v>
      </c>
      <c r="HE40" s="30">
        <f t="shared" si="46"/>
        <v>511719.92828062939</v>
      </c>
      <c r="HF40" s="30">
        <f t="shared" ref="HF40:IM40" si="47">+SUM(HF30:HF39)</f>
        <v>162178.97611395016</v>
      </c>
      <c r="HG40" s="30">
        <f t="shared" si="47"/>
        <v>162866.87852579585</v>
      </c>
      <c r="HH40" s="30">
        <f t="shared" si="47"/>
        <v>-22210.342034116213</v>
      </c>
      <c r="HI40" s="30">
        <f t="shared" si="47"/>
        <v>78404.530150548788</v>
      </c>
      <c r="HJ40" s="30">
        <f t="shared" si="47"/>
        <v>-22774.33063697812</v>
      </c>
      <c r="HK40" s="30">
        <f t="shared" si="47"/>
        <v>-149925.66714406709</v>
      </c>
      <c r="HL40" s="30">
        <f t="shared" si="47"/>
        <v>145060.18881963516</v>
      </c>
      <c r="HM40" s="30">
        <f t="shared" si="47"/>
        <v>347621.9579756927</v>
      </c>
      <c r="HN40" s="30">
        <f t="shared" si="47"/>
        <v>857204.7220710218</v>
      </c>
      <c r="HO40" s="30">
        <f t="shared" si="47"/>
        <v>745363.64562801179</v>
      </c>
      <c r="HP40" s="30">
        <f t="shared" si="47"/>
        <v>1002248.4395330353</v>
      </c>
      <c r="HQ40" s="30">
        <f t="shared" si="47"/>
        <v>527071.52612904832</v>
      </c>
      <c r="HR40" s="30">
        <f t="shared" si="47"/>
        <v>173491.7901188687</v>
      </c>
      <c r="HS40" s="30">
        <f t="shared" si="47"/>
        <v>172156.24841656972</v>
      </c>
      <c r="HT40" s="30">
        <f t="shared" si="47"/>
        <v>-13107.156688639676</v>
      </c>
      <c r="HU40" s="30">
        <f t="shared" si="47"/>
        <v>88089.33918306524</v>
      </c>
      <c r="HV40" s="30">
        <f t="shared" si="47"/>
        <v>-14741.262547587467</v>
      </c>
      <c r="HW40" s="30">
        <f t="shared" si="47"/>
        <v>-141899.43406138913</v>
      </c>
      <c r="HX40" s="30">
        <f t="shared" si="47"/>
        <v>154557.57696422422</v>
      </c>
      <c r="HY40" s="30">
        <f t="shared" si="47"/>
        <v>356187.12830896344</v>
      </c>
      <c r="HZ40" s="30">
        <f t="shared" si="47"/>
        <v>882920.86373315239</v>
      </c>
      <c r="IA40" s="30">
        <f t="shared" si="47"/>
        <v>767724.55499685206</v>
      </c>
      <c r="IB40" s="30">
        <f t="shared" si="47"/>
        <v>1026135.8927190263</v>
      </c>
      <c r="IC40" s="30">
        <f t="shared" si="47"/>
        <v>542883.67191291973</v>
      </c>
      <c r="ID40" s="30">
        <f t="shared" si="47"/>
        <v>185143.9885439348</v>
      </c>
      <c r="IE40" s="30">
        <f t="shared" si="47"/>
        <v>181724.29940406684</v>
      </c>
      <c r="IF40" s="30">
        <f t="shared" si="47"/>
        <v>-3730.8757827988811</v>
      </c>
      <c r="IG40" s="30">
        <f t="shared" si="47"/>
        <v>98064.692486557178</v>
      </c>
      <c r="IH40" s="30">
        <f t="shared" si="47"/>
        <v>-6467.2024155151084</v>
      </c>
      <c r="II40" s="30">
        <f t="shared" si="47"/>
        <v>-132355.5891903009</v>
      </c>
      <c r="IJ40" s="30">
        <f t="shared" si="47"/>
        <v>166931.8410888887</v>
      </c>
      <c r="IK40" s="30">
        <f t="shared" si="47"/>
        <v>367601.20808797015</v>
      </c>
      <c r="IL40" s="30">
        <f t="shared" si="47"/>
        <v>912000.44398088485</v>
      </c>
      <c r="IM40" s="30">
        <f t="shared" si="47"/>
        <v>793348.2459824956</v>
      </c>
      <c r="IN40" s="30"/>
    </row>
    <row r="41" spans="1:248" x14ac:dyDescent="0.3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</row>
    <row r="42" spans="1:248" x14ac:dyDescent="0.3">
      <c r="B42" s="73">
        <f>+B23-B41</f>
        <v>0</v>
      </c>
      <c r="C42">
        <v>2024</v>
      </c>
      <c r="D42">
        <v>2025</v>
      </c>
      <c r="E42">
        <v>2026</v>
      </c>
      <c r="F42">
        <v>2027</v>
      </c>
      <c r="G42">
        <v>2028</v>
      </c>
      <c r="H42">
        <v>2029</v>
      </c>
      <c r="I42">
        <v>2030</v>
      </c>
      <c r="J42">
        <v>2031</v>
      </c>
      <c r="K42">
        <v>2032</v>
      </c>
      <c r="L42">
        <v>2033</v>
      </c>
      <c r="M42">
        <v>2034</v>
      </c>
      <c r="N42">
        <v>2035</v>
      </c>
      <c r="O42">
        <v>2036</v>
      </c>
      <c r="P42">
        <v>2037</v>
      </c>
      <c r="Q42">
        <v>2038</v>
      </c>
      <c r="R42">
        <v>2039</v>
      </c>
      <c r="S42">
        <v>2040</v>
      </c>
      <c r="T42">
        <v>2041</v>
      </c>
      <c r="U42">
        <v>2042</v>
      </c>
      <c r="V42">
        <v>2043</v>
      </c>
      <c r="W42">
        <v>2044</v>
      </c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</row>
    <row r="43" spans="1:248" x14ac:dyDescent="0.3">
      <c r="A43" s="6" t="s">
        <v>921</v>
      </c>
      <c r="B43" s="30"/>
      <c r="C43" s="30">
        <f ca="1">+SUMIFS(40:40,27:27,C42)</f>
        <v>2.227257692153025E-2</v>
      </c>
      <c r="D43" s="30">
        <f>+SUMIFS(40:40,27:27,D42)</f>
        <v>0</v>
      </c>
      <c r="E43" s="30">
        <f>+SUMIFS(40:40,27:27,E42)</f>
        <v>50302977.166778035</v>
      </c>
      <c r="F43" s="30">
        <f t="shared" ref="F43:M43" si="48">+SUMIFS(40:40,27:27,F42)</f>
        <v>1337723.1982035874</v>
      </c>
      <c r="G43" s="30">
        <f t="shared" si="48"/>
        <v>1357418.3176874775</v>
      </c>
      <c r="H43" s="30">
        <f>+SUMIFS(40:40,27:27,H42)</f>
        <v>1370149.5232630528</v>
      </c>
      <c r="I43" s="30">
        <f>+SUMIFS(40:40,27:27,I42)</f>
        <v>1803298.0569451044</v>
      </c>
      <c r="J43" s="30">
        <f t="shared" si="48"/>
        <v>2419338.14150421</v>
      </c>
      <c r="K43" s="30">
        <f t="shared" si="48"/>
        <v>2445328.5973658767</v>
      </c>
      <c r="L43" s="30">
        <f t="shared" si="48"/>
        <v>2462729.4932393646</v>
      </c>
      <c r="M43" s="30">
        <f t="shared" si="48"/>
        <v>2478617.3631829815</v>
      </c>
      <c r="N43" s="30">
        <f>+SUMIFS(40:40,27:27,N42)</f>
        <v>2492845.0637785289</v>
      </c>
      <c r="O43" s="30">
        <f t="shared" ref="O43:Q43" si="49">+SUMIFS(40:40,27:27,O42)</f>
        <v>2505255.9496732457</v>
      </c>
      <c r="P43" s="30">
        <f t="shared" si="49"/>
        <v>3061207.7726968951</v>
      </c>
      <c r="Q43" s="30">
        <f t="shared" si="49"/>
        <v>3199339.3780483026</v>
      </c>
      <c r="R43" s="30">
        <f>+SUMIFS(40:40,27:27,R42)</f>
        <v>3341614.9315602519</v>
      </c>
      <c r="S43" s="30">
        <f t="shared" ref="S43:U43" si="50">+SUMIFS(40:40,27:27,S42)</f>
        <v>3488158.7516775592</v>
      </c>
      <c r="T43" s="30">
        <f t="shared" si="50"/>
        <v>3639098.8863983867</v>
      </c>
      <c r="U43" s="30">
        <f t="shared" si="50"/>
        <v>3794567.2251608381</v>
      </c>
      <c r="V43" s="30">
        <f>+SUMIFS(40:40,27:27,V42)</f>
        <v>3954699.6140861632</v>
      </c>
      <c r="W43" s="30">
        <f>+SUMIFS(40:40,27:27,W42)</f>
        <v>4131280.6168181286</v>
      </c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</row>
    <row r="44" spans="1:248" x14ac:dyDescent="0.3">
      <c r="B44" s="38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</row>
    <row r="45" spans="1:248" x14ac:dyDescent="0.3">
      <c r="B45" s="30"/>
      <c r="C45" s="30"/>
      <c r="D45" s="38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</row>
    <row r="46" spans="1:248" x14ac:dyDescent="0.3">
      <c r="A46" s="6" t="s">
        <v>922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>
        <f t="shared" ref="T46:AG46" si="51">+T22-T40</f>
        <v>0</v>
      </c>
      <c r="U46" s="30">
        <f t="shared" si="51"/>
        <v>0</v>
      </c>
      <c r="V46" s="30">
        <f t="shared" si="51"/>
        <v>0</v>
      </c>
      <c r="W46" s="30">
        <f t="shared" si="51"/>
        <v>0</v>
      </c>
      <c r="X46" s="30">
        <f t="shared" si="51"/>
        <v>0</v>
      </c>
      <c r="Y46" s="30">
        <f t="shared" si="51"/>
        <v>0</v>
      </c>
      <c r="Z46" s="30">
        <f t="shared" si="51"/>
        <v>0</v>
      </c>
      <c r="AA46" s="30">
        <f t="shared" si="51"/>
        <v>0</v>
      </c>
      <c r="AB46" s="30">
        <f t="shared" si="51"/>
        <v>0</v>
      </c>
      <c r="AC46" s="30">
        <f t="shared" si="51"/>
        <v>-49414068.942789257</v>
      </c>
      <c r="AD46" s="30">
        <f t="shared" si="51"/>
        <v>1628916.0530025747</v>
      </c>
      <c r="AE46" s="30">
        <f t="shared" si="51"/>
        <v>1686806.4805286478</v>
      </c>
      <c r="AF46" s="30">
        <f t="shared" si="51"/>
        <v>1730231.0657070256</v>
      </c>
      <c r="AG46" s="30">
        <f t="shared" si="51"/>
        <v>1757588.9788617063</v>
      </c>
      <c r="AH46" s="30">
        <f t="shared" ref="AH46:BM46" si="52">+AH22-AH40</f>
        <v>2315659.020045097</v>
      </c>
      <c r="AI46" s="30">
        <f t="shared" si="52"/>
        <v>1675015.0441669321</v>
      </c>
      <c r="AJ46" s="30">
        <f t="shared" si="52"/>
        <v>1837450.5794813258</v>
      </c>
      <c r="AK46" s="30">
        <f t="shared" si="52"/>
        <v>1910432.6638306752</v>
      </c>
      <c r="AL46" s="30">
        <f t="shared" si="52"/>
        <v>1463940.6084061959</v>
      </c>
      <c r="AM46" s="30">
        <f t="shared" si="52"/>
        <v>1808646.8339726808</v>
      </c>
      <c r="AN46" s="30">
        <f t="shared" si="52"/>
        <v>1856855.9073883891</v>
      </c>
      <c r="AO46" s="30">
        <f t="shared" si="52"/>
        <v>1489320.3928308275</v>
      </c>
      <c r="AP46" s="30">
        <f t="shared" si="52"/>
        <v>1677783.5345926518</v>
      </c>
      <c r="AQ46" s="30">
        <f t="shared" si="52"/>
        <v>1737410.674944507</v>
      </c>
      <c r="AR46" s="30">
        <f t="shared" si="52"/>
        <v>1782137.997678237</v>
      </c>
      <c r="AS46" s="30">
        <f t="shared" si="52"/>
        <v>1810316.6482275575</v>
      </c>
      <c r="AT46" s="30">
        <f t="shared" si="52"/>
        <v>2388763.8415920488</v>
      </c>
      <c r="AU46" s="30">
        <f t="shared" si="52"/>
        <v>1737342.610279836</v>
      </c>
      <c r="AV46" s="30">
        <f t="shared" si="52"/>
        <v>1884758.5003805656</v>
      </c>
      <c r="AW46" s="30">
        <f t="shared" si="52"/>
        <v>1961879.5052431952</v>
      </c>
      <c r="AX46" s="30">
        <f t="shared" si="52"/>
        <v>1502121.7882515816</v>
      </c>
      <c r="AY46" s="30">
        <f t="shared" si="52"/>
        <v>1870690.7703672745</v>
      </c>
      <c r="AZ46" s="30">
        <f t="shared" si="52"/>
        <v>1917977.9329007282</v>
      </c>
      <c r="BA46" s="30">
        <f t="shared" si="52"/>
        <v>1544942.3090727751</v>
      </c>
      <c r="BB46" s="30">
        <f t="shared" si="52"/>
        <v>1728117.0406304309</v>
      </c>
      <c r="BC46" s="30">
        <f t="shared" si="52"/>
        <v>1789532.9951928421</v>
      </c>
      <c r="BD46" s="30">
        <f t="shared" si="52"/>
        <v>1841782.1376085842</v>
      </c>
      <c r="BE46" s="30">
        <f t="shared" si="52"/>
        <v>1864626.1476743843</v>
      </c>
      <c r="BF46" s="30">
        <f t="shared" si="52"/>
        <v>2464243.560332689</v>
      </c>
      <c r="BG46" s="30">
        <f t="shared" si="52"/>
        <v>1801834.8591155221</v>
      </c>
      <c r="BH46" s="30">
        <f t="shared" si="52"/>
        <v>1933485.6589067827</v>
      </c>
      <c r="BI46" s="30">
        <f t="shared" si="52"/>
        <v>2014869.7518980911</v>
      </c>
      <c r="BJ46" s="30">
        <f t="shared" si="52"/>
        <v>1541448.4034923294</v>
      </c>
      <c r="BK46" s="30">
        <f t="shared" si="52"/>
        <v>1934985.2514224763</v>
      </c>
      <c r="BL46" s="30">
        <f t="shared" si="52"/>
        <v>1981204.4365929719</v>
      </c>
      <c r="BM46" s="30">
        <f t="shared" si="52"/>
        <v>1602470.9980248318</v>
      </c>
      <c r="BN46" s="30">
        <f t="shared" ref="BN46:CS46" si="53">+BN22-BN40</f>
        <v>1779960.551849344</v>
      </c>
      <c r="BO46" s="30">
        <f t="shared" si="53"/>
        <v>1843218.9850486279</v>
      </c>
      <c r="BP46" s="30">
        <f t="shared" si="53"/>
        <v>1903215.601736842</v>
      </c>
      <c r="BQ46" s="30">
        <f t="shared" si="53"/>
        <v>1920564.9321046157</v>
      </c>
      <c r="BR46" s="30">
        <f t="shared" si="53"/>
        <v>2542178.5108101927</v>
      </c>
      <c r="BS46" s="30">
        <f t="shared" si="53"/>
        <v>1868571.4739426428</v>
      </c>
      <c r="BT46" s="30">
        <f t="shared" si="53"/>
        <v>1994568.8376315103</v>
      </c>
      <c r="BU46" s="30">
        <f t="shared" si="53"/>
        <v>2007682.1197741469</v>
      </c>
      <c r="BV46" s="30">
        <f t="shared" si="53"/>
        <v>1520187.2310118126</v>
      </c>
      <c r="BW46" s="30">
        <f t="shared" si="53"/>
        <v>1939849.668628057</v>
      </c>
      <c r="BX46" s="30">
        <f t="shared" si="53"/>
        <v>1984844.5075027579</v>
      </c>
      <c r="BY46" s="30">
        <f t="shared" si="53"/>
        <v>1600207.9824509576</v>
      </c>
      <c r="BZ46" s="30">
        <f t="shared" si="53"/>
        <v>1771591.7822263378</v>
      </c>
      <c r="CA46" s="30">
        <f t="shared" si="53"/>
        <v>1836747.9684216001</v>
      </c>
      <c r="CB46" s="30">
        <f t="shared" si="53"/>
        <v>1902871.4560251054</v>
      </c>
      <c r="CC46" s="30">
        <f t="shared" si="53"/>
        <v>1914561.2663039132</v>
      </c>
      <c r="CD46" s="30">
        <f t="shared" si="53"/>
        <v>2559031.2782215555</v>
      </c>
      <c r="CE46" s="30">
        <f t="shared" si="53"/>
        <v>1874014.6519034191</v>
      </c>
      <c r="CF46" s="30">
        <f t="shared" si="53"/>
        <v>1996213.5707622692</v>
      </c>
      <c r="CG46" s="30">
        <f t="shared" si="53"/>
        <v>2062046.4448649718</v>
      </c>
      <c r="CH46" s="30">
        <f t="shared" si="53"/>
        <v>1575230.9920406782</v>
      </c>
      <c r="CI46" s="30">
        <f t="shared" si="53"/>
        <v>2007056.7268203613</v>
      </c>
      <c r="CJ46" s="30">
        <f t="shared" si="53"/>
        <v>1892999.098942464</v>
      </c>
      <c r="CK46" s="30">
        <f t="shared" si="53"/>
        <v>1514360.3628258519</v>
      </c>
      <c r="CL46" s="30">
        <f t="shared" si="53"/>
        <v>1824739.5356931281</v>
      </c>
      <c r="CM46" s="30">
        <f t="shared" si="53"/>
        <v>1891850.4074742482</v>
      </c>
      <c r="CN46" s="30">
        <f t="shared" si="53"/>
        <v>1966137.5997058593</v>
      </c>
      <c r="CO46" s="30">
        <f t="shared" si="53"/>
        <v>1971998.1042930305</v>
      </c>
      <c r="CP46" s="30">
        <f t="shared" si="53"/>
        <v>2640220.6437116461</v>
      </c>
      <c r="CQ46" s="30">
        <f t="shared" si="53"/>
        <v>1943583.071342177</v>
      </c>
      <c r="CR46" s="30">
        <f t="shared" si="53"/>
        <v>2061799.6737390745</v>
      </c>
      <c r="CS46" s="30">
        <f t="shared" si="53"/>
        <v>2120243.1753279022</v>
      </c>
      <c r="CT46" s="30">
        <f t="shared" ref="CT46:DR46" si="54">+CT22-CT40</f>
        <v>1636916.1177232049</v>
      </c>
      <c r="CU46" s="30">
        <f t="shared" si="54"/>
        <v>2076730.5751651081</v>
      </c>
      <c r="CV46" s="30">
        <f t="shared" si="54"/>
        <v>1944643.4894307381</v>
      </c>
      <c r="CW46" s="30">
        <f t="shared" si="54"/>
        <v>1561654.6621166274</v>
      </c>
      <c r="CX46" s="30">
        <f t="shared" si="54"/>
        <v>1879481.7217639219</v>
      </c>
      <c r="CY46" s="30">
        <f t="shared" si="54"/>
        <v>1948605.9196984756</v>
      </c>
      <c r="CZ46" s="30">
        <f t="shared" si="54"/>
        <v>2031301.7276970348</v>
      </c>
      <c r="DA46" s="30">
        <f t="shared" si="54"/>
        <v>2031158.0474218216</v>
      </c>
      <c r="DB46" s="30">
        <f t="shared" si="54"/>
        <v>2724066.611523611</v>
      </c>
      <c r="DC46" s="30">
        <f t="shared" si="54"/>
        <v>2015596.9423581799</v>
      </c>
      <c r="DD46" s="30">
        <f t="shared" si="54"/>
        <v>2129638.3445978807</v>
      </c>
      <c r="DE46" s="30">
        <f t="shared" si="54"/>
        <v>2187805.259101727</v>
      </c>
      <c r="DF46" s="30">
        <f t="shared" si="54"/>
        <v>1700864.2069722726</v>
      </c>
      <c r="DG46" s="30">
        <f t="shared" si="54"/>
        <v>2148967.7462872034</v>
      </c>
      <c r="DH46" s="30">
        <f t="shared" si="54"/>
        <v>1997837.2116336604</v>
      </c>
      <c r="DI46" s="30">
        <f t="shared" si="54"/>
        <v>1610367.7903861261</v>
      </c>
      <c r="DJ46" s="30">
        <f t="shared" si="54"/>
        <v>1935866.1734168399</v>
      </c>
      <c r="DK46" s="30">
        <f t="shared" si="54"/>
        <v>2007064.0972894304</v>
      </c>
      <c r="DL46" s="30">
        <f t="shared" si="54"/>
        <v>2098420.7795279459</v>
      </c>
      <c r="DM46" s="30">
        <f t="shared" si="54"/>
        <v>2092092.7888444762</v>
      </c>
      <c r="DN46" s="30">
        <f t="shared" si="54"/>
        <v>2810659.9257949665</v>
      </c>
      <c r="DO46" s="30">
        <f t="shared" si="54"/>
        <v>2090147.5484484502</v>
      </c>
      <c r="DP46" s="30">
        <f t="shared" si="54"/>
        <v>2199811.4096147832</v>
      </c>
      <c r="DQ46" s="30">
        <f t="shared" si="54"/>
        <v>2257591.9448144659</v>
      </c>
      <c r="DR46" s="30">
        <f t="shared" si="54"/>
        <v>1767163.7691846811</v>
      </c>
      <c r="DS46" s="30">
        <f t="shared" ref="DS46:FH46" si="55">+DS22-DS40</f>
        <v>2223868.7952363193</v>
      </c>
      <c r="DT46" s="30">
        <f t="shared" si="55"/>
        <v>2052626.7455026703</v>
      </c>
      <c r="DU46" s="30">
        <f t="shared" si="55"/>
        <v>1660542.3125037104</v>
      </c>
      <c r="DV46" s="30">
        <f t="shared" si="55"/>
        <v>1993942.1586193447</v>
      </c>
      <c r="DW46" s="30">
        <f t="shared" si="55"/>
        <v>2067276.0202081124</v>
      </c>
      <c r="DX46" s="30">
        <f t="shared" si="55"/>
        <v>2167553.4029137846</v>
      </c>
      <c r="DY46" s="30">
        <f t="shared" si="55"/>
        <v>2154855.5725098108</v>
      </c>
      <c r="DZ46" s="30">
        <f t="shared" si="55"/>
        <v>2900094.6052907445</v>
      </c>
      <c r="EA46" s="30">
        <f t="shared" si="55"/>
        <v>2167329.8076124042</v>
      </c>
      <c r="EB46" s="30">
        <f t="shared" si="55"/>
        <v>2272403.8623161409</v>
      </c>
      <c r="EC46" s="30">
        <f t="shared" si="55"/>
        <v>2329679.8574955715</v>
      </c>
      <c r="ED46" s="30">
        <f t="shared" si="55"/>
        <v>1835907.0000636235</v>
      </c>
      <c r="EE46" s="30">
        <f t="shared" si="55"/>
        <v>2301538.4764819331</v>
      </c>
      <c r="EF46" s="30">
        <f t="shared" si="55"/>
        <v>2109059.9653877504</v>
      </c>
      <c r="EG46" s="30">
        <f t="shared" si="55"/>
        <v>1712222.0702848216</v>
      </c>
      <c r="EH46" s="30">
        <f t="shared" si="55"/>
        <v>2053760.4233779258</v>
      </c>
      <c r="EI46" s="30">
        <f t="shared" si="55"/>
        <v>2129294.3008143567</v>
      </c>
      <c r="EJ46" s="30">
        <f t="shared" si="55"/>
        <v>2238760.005001198</v>
      </c>
      <c r="EK46" s="30">
        <f t="shared" si="55"/>
        <v>2219501.2396851047</v>
      </c>
      <c r="EL46" s="30">
        <f t="shared" si="55"/>
        <v>2992468.0692574922</v>
      </c>
      <c r="EM46" s="30">
        <f t="shared" si="55"/>
        <v>2247242.4261868023</v>
      </c>
      <c r="EN46" s="30">
        <f t="shared" si="55"/>
        <v>2347503.9941191846</v>
      </c>
      <c r="EO46" s="30">
        <f t="shared" si="55"/>
        <v>2404148.4152739435</v>
      </c>
      <c r="EP46" s="30">
        <f t="shared" si="55"/>
        <v>1907189.9437591045</v>
      </c>
      <c r="EQ46" s="30">
        <f t="shared" si="55"/>
        <v>2382085.9290343421</v>
      </c>
      <c r="ER46" s="30">
        <f t="shared" si="55"/>
        <v>2167186.181869383</v>
      </c>
      <c r="ES46" s="30">
        <f t="shared" si="55"/>
        <v>1765452.2207993662</v>
      </c>
      <c r="ET46" s="30">
        <f t="shared" si="55"/>
        <v>2115373.2360792635</v>
      </c>
      <c r="EU46" s="30">
        <f t="shared" si="55"/>
        <v>2193173.129838787</v>
      </c>
      <c r="EV46" s="30">
        <f t="shared" si="55"/>
        <v>2312102.8051512344</v>
      </c>
      <c r="EW46" s="30">
        <f t="shared" si="55"/>
        <v>2286086.276875658</v>
      </c>
      <c r="EX46" s="30">
        <f t="shared" si="55"/>
        <v>3006740.3448162386</v>
      </c>
      <c r="EY46" s="30">
        <f t="shared" si="55"/>
        <v>2202477.9144610581</v>
      </c>
      <c r="EZ46" s="30">
        <f t="shared" si="55"/>
        <v>2368946.5058855158</v>
      </c>
      <c r="FA46" s="30">
        <f t="shared" si="55"/>
        <v>2473131.192288883</v>
      </c>
      <c r="FB46" s="30">
        <f t="shared" si="55"/>
        <v>1924987.3595419594</v>
      </c>
      <c r="FC46" s="30">
        <f t="shared" si="55"/>
        <v>2249082.5735066892</v>
      </c>
      <c r="FD46" s="30">
        <f t="shared" si="55"/>
        <v>2227056.1848454643</v>
      </c>
      <c r="FE46" s="30">
        <f t="shared" si="55"/>
        <v>1820279.2758293475</v>
      </c>
      <c r="FF46" s="30">
        <f t="shared" si="55"/>
        <v>2178834.4331616415</v>
      </c>
      <c r="FG46" s="30">
        <f t="shared" si="55"/>
        <v>2258968.323733951</v>
      </c>
      <c r="FH46" s="30">
        <f t="shared" si="55"/>
        <v>2387645.8893057704</v>
      </c>
      <c r="FI46" s="30">
        <f t="shared" ref="FI46:GJ46" si="56">+FI22-FI40</f>
        <v>2354668.8651819276</v>
      </c>
      <c r="FJ46" s="30">
        <f t="shared" si="56"/>
        <v>3090495.1104392256</v>
      </c>
      <c r="FK46" s="30">
        <f t="shared" si="56"/>
        <v>2264148.8883598899</v>
      </c>
      <c r="FL46" s="30">
        <f t="shared" si="56"/>
        <v>2430245.4054555814</v>
      </c>
      <c r="FM46" s="30">
        <f t="shared" si="56"/>
        <v>2539992.4549295497</v>
      </c>
      <c r="FN46" s="30">
        <f t="shared" si="56"/>
        <v>1974020.6823197184</v>
      </c>
      <c r="FO46" s="30">
        <f t="shared" si="56"/>
        <v>2304031.0476148902</v>
      </c>
      <c r="FP46" s="30">
        <f t="shared" si="56"/>
        <v>2288722.2879108284</v>
      </c>
      <c r="FQ46" s="30">
        <f t="shared" si="56"/>
        <v>1876751.1425102279</v>
      </c>
      <c r="FR46" s="30">
        <f t="shared" si="56"/>
        <v>2244199.4661564901</v>
      </c>
      <c r="FS46" s="30">
        <f t="shared" si="56"/>
        <v>2326737.3734459691</v>
      </c>
      <c r="FT46" s="30">
        <f t="shared" si="56"/>
        <v>2465455.2659849436</v>
      </c>
      <c r="FU46" s="30">
        <f t="shared" si="56"/>
        <v>2425308.9311373858</v>
      </c>
      <c r="FV46" s="30">
        <f t="shared" si="56"/>
        <v>3176762.5190309025</v>
      </c>
      <c r="FW46" s="30">
        <f t="shared" si="56"/>
        <v>2327669.9914756864</v>
      </c>
      <c r="FX46" s="30">
        <f t="shared" si="56"/>
        <v>2493383.2720127492</v>
      </c>
      <c r="FY46" s="30">
        <f t="shared" si="56"/>
        <v>2608859.5554494364</v>
      </c>
      <c r="FZ46" s="30">
        <f t="shared" si="56"/>
        <v>2024525.0047808099</v>
      </c>
      <c r="GA46" s="30">
        <f t="shared" si="56"/>
        <v>2360627.9759463365</v>
      </c>
      <c r="GB46" s="30">
        <f t="shared" si="56"/>
        <v>2352238.374068154</v>
      </c>
      <c r="GC46" s="30">
        <f t="shared" si="56"/>
        <v>1934917.1651915349</v>
      </c>
      <c r="GD46" s="30">
        <f t="shared" si="56"/>
        <v>2311525.450141185</v>
      </c>
      <c r="GE46" s="30">
        <f t="shared" si="56"/>
        <v>2396539.4946493478</v>
      </c>
      <c r="GF46" s="30">
        <f t="shared" si="56"/>
        <v>2545598.9239644925</v>
      </c>
      <c r="GG46" s="30">
        <f t="shared" si="56"/>
        <v>2498068.1990715074</v>
      </c>
      <c r="GH46" s="30">
        <f t="shared" si="56"/>
        <v>3265617.9498803299</v>
      </c>
      <c r="GI46" s="30">
        <f t="shared" si="56"/>
        <v>2393096.727684957</v>
      </c>
      <c r="GJ46" s="30">
        <f t="shared" si="56"/>
        <v>2558415.2745666313</v>
      </c>
      <c r="GK46" s="30">
        <f t="shared" ref="GK46:HE46" si="57">+GK22-GK40</f>
        <v>2679792.6689849198</v>
      </c>
      <c r="GL46" s="30">
        <f t="shared" si="57"/>
        <v>2076544.4569157343</v>
      </c>
      <c r="GM46" s="30">
        <f t="shared" si="57"/>
        <v>2418922.8121277266</v>
      </c>
      <c r="GN46" s="30">
        <f t="shared" si="57"/>
        <v>2417659.9428101978</v>
      </c>
      <c r="GO46" s="30">
        <f t="shared" si="57"/>
        <v>1994828.1685532809</v>
      </c>
      <c r="GP46" s="30">
        <f t="shared" si="57"/>
        <v>2380871.213645421</v>
      </c>
      <c r="GQ46" s="30">
        <f t="shared" si="57"/>
        <v>2468435.6794888289</v>
      </c>
      <c r="GR46" s="30">
        <f t="shared" si="57"/>
        <v>2628146.8916834267</v>
      </c>
      <c r="GS46" s="30">
        <f t="shared" si="57"/>
        <v>2573010.2450436526</v>
      </c>
      <c r="GT46" s="30">
        <f t="shared" si="57"/>
        <v>3357139.0436552395</v>
      </c>
      <c r="GU46" s="30">
        <f t="shared" si="57"/>
        <v>2460486.2659805054</v>
      </c>
      <c r="GV46" s="30">
        <f t="shared" si="57"/>
        <v>2625398.23719713</v>
      </c>
      <c r="GW46" s="30">
        <f t="shared" si="57"/>
        <v>2752853.775926467</v>
      </c>
      <c r="GX46" s="30">
        <f t="shared" si="57"/>
        <v>2130124.4926147065</v>
      </c>
      <c r="GY46" s="30">
        <f t="shared" si="57"/>
        <v>2478966.4933945588</v>
      </c>
      <c r="GZ46" s="30">
        <f t="shared" si="57"/>
        <v>2485044.1586145042</v>
      </c>
      <c r="HA46" s="30">
        <f t="shared" si="57"/>
        <v>2056536.5020158794</v>
      </c>
      <c r="HB46" s="30">
        <f t="shared" si="57"/>
        <v>2452297.3500547833</v>
      </c>
      <c r="HC46" s="30">
        <f t="shared" si="57"/>
        <v>2542488.7498734938</v>
      </c>
      <c r="HD46" s="30">
        <f t="shared" si="57"/>
        <v>2713171.2984339297</v>
      </c>
      <c r="HE46" s="30">
        <f t="shared" si="57"/>
        <v>2650200.5523949624</v>
      </c>
      <c r="HF46" s="30">
        <f t="shared" ref="HF46:IL46" si="58">+HF22-HF40</f>
        <v>3451405.770243397</v>
      </c>
      <c r="HG46" s="30">
        <f t="shared" si="58"/>
        <v>2529897.4904249208</v>
      </c>
      <c r="HH46" s="30">
        <f t="shared" si="58"/>
        <v>2694390.6887065442</v>
      </c>
      <c r="HI46" s="30">
        <f t="shared" si="58"/>
        <v>2828106.7160762614</v>
      </c>
      <c r="HJ46" s="30">
        <f t="shared" si="58"/>
        <v>2185311.9293846474</v>
      </c>
      <c r="HK46" s="30">
        <f t="shared" si="58"/>
        <v>2540811.4850993953</v>
      </c>
      <c r="HL46" s="30">
        <f t="shared" si="58"/>
        <v>2554449.9008929394</v>
      </c>
      <c r="HM46" s="30">
        <f t="shared" si="58"/>
        <v>2120096.0854823561</v>
      </c>
      <c r="HN46" s="30">
        <f t="shared" si="58"/>
        <v>2525866.2705564275</v>
      </c>
      <c r="HO46" s="30">
        <f t="shared" si="58"/>
        <v>2618763.4123696988</v>
      </c>
      <c r="HP46" s="30">
        <f t="shared" si="58"/>
        <v>2800746.4373869481</v>
      </c>
      <c r="HQ46" s="30">
        <f t="shared" si="58"/>
        <v>2729706.5689668115</v>
      </c>
      <c r="HR46" s="30">
        <f t="shared" si="58"/>
        <v>3548500.4986291984</v>
      </c>
      <c r="HS46" s="30">
        <f t="shared" si="58"/>
        <v>2601391.0516026691</v>
      </c>
      <c r="HT46" s="30">
        <f t="shared" si="58"/>
        <v>2765452.9137612404</v>
      </c>
      <c r="HU46" s="30">
        <f t="shared" si="58"/>
        <v>2905617.2444305494</v>
      </c>
      <c r="HV46" s="30">
        <f t="shared" si="58"/>
        <v>2242154.9892576868</v>
      </c>
      <c r="HW46" s="30">
        <f t="shared" si="58"/>
        <v>2604511.8265553773</v>
      </c>
      <c r="HX46" s="30">
        <f t="shared" si="58"/>
        <v>2625937.8154397276</v>
      </c>
      <c r="HY46" s="30">
        <f t="shared" si="58"/>
        <v>2185562.456452827</v>
      </c>
      <c r="HZ46" s="30">
        <f t="shared" si="58"/>
        <v>2601642.2586731198</v>
      </c>
      <c r="IA46" s="30">
        <f t="shared" si="58"/>
        <v>2697326.3147407901</v>
      </c>
      <c r="IB46" s="30">
        <f t="shared" si="58"/>
        <v>2890948.8305085567</v>
      </c>
      <c r="IC46" s="30">
        <f t="shared" si="58"/>
        <v>2811597.7660358157</v>
      </c>
      <c r="ID46" s="30">
        <f t="shared" si="58"/>
        <v>3648508.0688665751</v>
      </c>
      <c r="IE46" s="30">
        <f t="shared" si="58"/>
        <v>2675029.4196157483</v>
      </c>
      <c r="IF46" s="30">
        <f t="shared" si="58"/>
        <v>2838647.0055675777</v>
      </c>
      <c r="IG46" s="30">
        <f t="shared" si="58"/>
        <v>2985453.0886354661</v>
      </c>
      <c r="IH46" s="30">
        <f t="shared" si="58"/>
        <v>2300703.3409269173</v>
      </c>
      <c r="II46" s="30">
        <f t="shared" si="58"/>
        <v>2668846.3534591091</v>
      </c>
      <c r="IJ46" s="30">
        <f t="shared" si="58"/>
        <v>2696978.4130871817</v>
      </c>
      <c r="IK46" s="30">
        <f t="shared" si="58"/>
        <v>2250400.8642166737</v>
      </c>
      <c r="IL46" s="30">
        <f t="shared" si="58"/>
        <v>2677099.5720975758</v>
      </c>
      <c r="IM46" s="30">
        <f>+IM22-IM40</f>
        <v>2775654.1498472756</v>
      </c>
      <c r="IN46" s="30"/>
    </row>
    <row r="47" spans="1:248" x14ac:dyDescent="0.3">
      <c r="A47" t="s">
        <v>923</v>
      </c>
      <c r="B47" s="31">
        <f>+B46</f>
        <v>0</v>
      </c>
      <c r="C47" s="31">
        <f>+C46+B47</f>
        <v>0</v>
      </c>
      <c r="D47" s="31">
        <f>+D46+C47</f>
        <v>0</v>
      </c>
      <c r="E47" s="31">
        <f>+E46+D47</f>
        <v>0</v>
      </c>
      <c r="F47" s="31">
        <f t="shared" ref="F47:BO47" si="59">+F46+E47</f>
        <v>0</v>
      </c>
      <c r="G47" s="31">
        <f t="shared" si="59"/>
        <v>0</v>
      </c>
      <c r="H47" s="31">
        <f t="shared" si="59"/>
        <v>0</v>
      </c>
      <c r="I47" s="31">
        <f t="shared" si="59"/>
        <v>0</v>
      </c>
      <c r="J47" s="31">
        <f t="shared" si="59"/>
        <v>0</v>
      </c>
      <c r="K47" s="31">
        <f t="shared" si="59"/>
        <v>0</v>
      </c>
      <c r="L47" s="31">
        <f t="shared" si="59"/>
        <v>0</v>
      </c>
      <c r="M47" s="31">
        <f t="shared" si="59"/>
        <v>0</v>
      </c>
      <c r="N47" s="31">
        <f t="shared" si="59"/>
        <v>0</v>
      </c>
      <c r="O47" s="31">
        <f t="shared" si="59"/>
        <v>0</v>
      </c>
      <c r="P47" s="31">
        <f t="shared" si="59"/>
        <v>0</v>
      </c>
      <c r="Q47" s="31">
        <f t="shared" si="59"/>
        <v>0</v>
      </c>
      <c r="R47" s="31">
        <f t="shared" si="59"/>
        <v>0</v>
      </c>
      <c r="S47" s="31">
        <f>+S46+R47</f>
        <v>0</v>
      </c>
      <c r="T47" s="31">
        <f>+T46+S47</f>
        <v>0</v>
      </c>
      <c r="U47" s="31">
        <f t="shared" si="59"/>
        <v>0</v>
      </c>
      <c r="V47" s="31">
        <f t="shared" si="59"/>
        <v>0</v>
      </c>
      <c r="W47" s="31">
        <f t="shared" si="59"/>
        <v>0</v>
      </c>
      <c r="X47" s="31">
        <f t="shared" si="59"/>
        <v>0</v>
      </c>
      <c r="Y47" s="31">
        <f t="shared" si="59"/>
        <v>0</v>
      </c>
      <c r="Z47" s="31">
        <f t="shared" si="59"/>
        <v>0</v>
      </c>
      <c r="AA47" s="31">
        <f t="shared" si="59"/>
        <v>0</v>
      </c>
      <c r="AB47" s="31">
        <f t="shared" si="59"/>
        <v>0</v>
      </c>
      <c r="AC47" s="31">
        <f t="shared" si="59"/>
        <v>-49414068.942789257</v>
      </c>
      <c r="AD47" s="31">
        <f t="shared" si="59"/>
        <v>-47785152.889786683</v>
      </c>
      <c r="AE47" s="31">
        <f t="shared" si="59"/>
        <v>-46098346.409258038</v>
      </c>
      <c r="AF47" s="31">
        <f t="shared" si="59"/>
        <v>-44368115.34355101</v>
      </c>
      <c r="AG47" s="31">
        <f t="shared" si="59"/>
        <v>-42610526.364689305</v>
      </c>
      <c r="AH47" s="31">
        <f t="shared" si="59"/>
        <v>-40294867.344644211</v>
      </c>
      <c r="AI47" s="31">
        <f t="shared" si="59"/>
        <v>-38619852.300477281</v>
      </c>
      <c r="AJ47" s="31">
        <f t="shared" si="59"/>
        <v>-36782401.720995955</v>
      </c>
      <c r="AK47" s="31">
        <f t="shared" si="59"/>
        <v>-34871969.05716528</v>
      </c>
      <c r="AL47" s="31">
        <f t="shared" si="59"/>
        <v>-33408028.448759083</v>
      </c>
      <c r="AM47" s="31">
        <f t="shared" si="59"/>
        <v>-31599381.614786401</v>
      </c>
      <c r="AN47" s="31">
        <f t="shared" si="59"/>
        <v>-29742525.707398012</v>
      </c>
      <c r="AO47" s="31">
        <f t="shared" si="59"/>
        <v>-28253205.314567186</v>
      </c>
      <c r="AP47" s="31">
        <f t="shared" si="59"/>
        <v>-26575421.779974535</v>
      </c>
      <c r="AQ47" s="31">
        <f t="shared" si="59"/>
        <v>-24838011.10503003</v>
      </c>
      <c r="AR47" s="31">
        <f t="shared" si="59"/>
        <v>-23055873.107351795</v>
      </c>
      <c r="AS47" s="31">
        <f t="shared" si="59"/>
        <v>-21245556.459124237</v>
      </c>
      <c r="AT47" s="31">
        <f t="shared" si="59"/>
        <v>-18856792.61753219</v>
      </c>
      <c r="AU47" s="31">
        <f t="shared" si="59"/>
        <v>-17119450.007252354</v>
      </c>
      <c r="AV47" s="31">
        <f t="shared" si="59"/>
        <v>-15234691.506871788</v>
      </c>
      <c r="AW47" s="31">
        <f t="shared" si="59"/>
        <v>-13272812.001628593</v>
      </c>
      <c r="AX47" s="31">
        <f t="shared" si="59"/>
        <v>-11770690.21337701</v>
      </c>
      <c r="AY47" s="31">
        <f t="shared" si="59"/>
        <v>-9899999.443009736</v>
      </c>
      <c r="AZ47" s="31">
        <f t="shared" si="59"/>
        <v>-7982021.5101090074</v>
      </c>
      <c r="BA47" s="31">
        <f t="shared" si="59"/>
        <v>-6437079.2010362325</v>
      </c>
      <c r="BB47" s="31">
        <f t="shared" si="59"/>
        <v>-4708962.1604058016</v>
      </c>
      <c r="BC47" s="31">
        <f t="shared" si="59"/>
        <v>-2919429.1652129595</v>
      </c>
      <c r="BD47" s="31">
        <f t="shared" si="59"/>
        <v>-1077647.0276043753</v>
      </c>
      <c r="BE47" s="31">
        <f t="shared" si="59"/>
        <v>786979.12007000903</v>
      </c>
      <c r="BF47" s="31">
        <f t="shared" si="59"/>
        <v>3251222.680402698</v>
      </c>
      <c r="BG47" s="31">
        <f t="shared" si="59"/>
        <v>5053057.5395182204</v>
      </c>
      <c r="BH47" s="31">
        <f t="shared" si="59"/>
        <v>6986543.1984250033</v>
      </c>
      <c r="BI47" s="31">
        <f t="shared" si="59"/>
        <v>9001412.9503230937</v>
      </c>
      <c r="BJ47" s="31">
        <f t="shared" si="59"/>
        <v>10542861.353815423</v>
      </c>
      <c r="BK47" s="31">
        <f t="shared" si="59"/>
        <v>12477846.605237899</v>
      </c>
      <c r="BL47" s="31">
        <f t="shared" si="59"/>
        <v>14459051.041830871</v>
      </c>
      <c r="BM47" s="31">
        <f t="shared" si="59"/>
        <v>16061522.039855704</v>
      </c>
      <c r="BN47" s="31">
        <f t="shared" si="59"/>
        <v>17841482.591705047</v>
      </c>
      <c r="BO47" s="31">
        <f t="shared" si="59"/>
        <v>19684701.576753676</v>
      </c>
      <c r="BP47" s="31">
        <f t="shared" ref="BP47:DR47" si="60">+BP46+BO47</f>
        <v>21587917.17849052</v>
      </c>
      <c r="BQ47" s="31">
        <f t="shared" si="60"/>
        <v>23508482.110595137</v>
      </c>
      <c r="BR47" s="31">
        <f t="shared" si="60"/>
        <v>26050660.62140533</v>
      </c>
      <c r="BS47" s="31">
        <f t="shared" si="60"/>
        <v>27919232.095347971</v>
      </c>
      <c r="BT47" s="31">
        <f t="shared" si="60"/>
        <v>29913800.932979479</v>
      </c>
      <c r="BU47" s="31">
        <f t="shared" si="60"/>
        <v>31921483.052753627</v>
      </c>
      <c r="BV47" s="31">
        <f t="shared" si="60"/>
        <v>33441670.283765439</v>
      </c>
      <c r="BW47" s="31">
        <f t="shared" si="60"/>
        <v>35381519.952393495</v>
      </c>
      <c r="BX47" s="31">
        <f t="shared" si="60"/>
        <v>37366364.459896252</v>
      </c>
      <c r="BY47" s="31">
        <f t="shared" si="60"/>
        <v>38966572.442347206</v>
      </c>
      <c r="BZ47" s="31">
        <f t="shared" si="60"/>
        <v>40738164.224573545</v>
      </c>
      <c r="CA47" s="31">
        <f t="shared" si="60"/>
        <v>42574912.192995146</v>
      </c>
      <c r="CB47" s="31">
        <f t="shared" si="60"/>
        <v>44477783.649020255</v>
      </c>
      <c r="CC47" s="31">
        <f t="shared" si="60"/>
        <v>46392344.915324166</v>
      </c>
      <c r="CD47" s="31">
        <f t="shared" si="60"/>
        <v>48951376.193545721</v>
      </c>
      <c r="CE47" s="31">
        <f t="shared" si="60"/>
        <v>50825390.845449142</v>
      </c>
      <c r="CF47" s="31">
        <f t="shared" si="60"/>
        <v>52821604.416211411</v>
      </c>
      <c r="CG47" s="31">
        <f t="shared" si="60"/>
        <v>54883650.861076385</v>
      </c>
      <c r="CH47" s="31">
        <f t="shared" si="60"/>
        <v>56458881.853117064</v>
      </c>
      <c r="CI47" s="31">
        <f t="shared" si="60"/>
        <v>58465938.579937428</v>
      </c>
      <c r="CJ47" s="31">
        <f t="shared" si="60"/>
        <v>60358937.678879894</v>
      </c>
      <c r="CK47" s="31">
        <f t="shared" si="60"/>
        <v>61873298.041705742</v>
      </c>
      <c r="CL47" s="31">
        <f t="shared" si="60"/>
        <v>63698037.577398874</v>
      </c>
      <c r="CM47" s="31">
        <f t="shared" si="60"/>
        <v>65589887.984873123</v>
      </c>
      <c r="CN47" s="31">
        <f t="shared" si="60"/>
        <v>67556025.584578976</v>
      </c>
      <c r="CO47" s="31">
        <f t="shared" si="60"/>
        <v>69528023.68887201</v>
      </c>
      <c r="CP47" s="31">
        <f t="shared" si="60"/>
        <v>72168244.332583651</v>
      </c>
      <c r="CQ47" s="31">
        <f t="shared" si="60"/>
        <v>74111827.403925821</v>
      </c>
      <c r="CR47" s="31">
        <f t="shared" si="60"/>
        <v>76173627.077664897</v>
      </c>
      <c r="CS47" s="31">
        <f t="shared" si="60"/>
        <v>78293870.252992794</v>
      </c>
      <c r="CT47" s="31">
        <f t="shared" si="60"/>
        <v>79930786.370716006</v>
      </c>
      <c r="CU47" s="31">
        <f t="shared" si="60"/>
        <v>82007516.945881113</v>
      </c>
      <c r="CV47" s="31">
        <f t="shared" si="60"/>
        <v>83952160.435311854</v>
      </c>
      <c r="CW47" s="31">
        <f t="shared" si="60"/>
        <v>85513815.097428486</v>
      </c>
      <c r="CX47" s="31">
        <f t="shared" si="60"/>
        <v>87393296.81919241</v>
      </c>
      <c r="CY47" s="31">
        <f t="shared" si="60"/>
        <v>89341902.738890886</v>
      </c>
      <c r="CZ47" s="31">
        <f t="shared" si="60"/>
        <v>91373204.466587916</v>
      </c>
      <c r="DA47" s="31">
        <f t="shared" si="60"/>
        <v>93404362.514009744</v>
      </c>
      <c r="DB47" s="31">
        <f t="shared" si="60"/>
        <v>96128429.125533357</v>
      </c>
      <c r="DC47" s="31">
        <f t="shared" si="60"/>
        <v>98144026.067891538</v>
      </c>
      <c r="DD47" s="31">
        <f t="shared" si="60"/>
        <v>100273664.41248941</v>
      </c>
      <c r="DE47" s="31">
        <f t="shared" si="60"/>
        <v>102461469.67159115</v>
      </c>
      <c r="DF47" s="31">
        <f t="shared" si="60"/>
        <v>104162333.87856342</v>
      </c>
      <c r="DG47" s="31">
        <f t="shared" si="60"/>
        <v>106311301.62485062</v>
      </c>
      <c r="DH47" s="31">
        <f t="shared" si="60"/>
        <v>108309138.83648428</v>
      </c>
      <c r="DI47" s="31">
        <f t="shared" si="60"/>
        <v>109919506.62687041</v>
      </c>
      <c r="DJ47" s="31">
        <f t="shared" si="60"/>
        <v>111855372.80028725</v>
      </c>
      <c r="DK47" s="31">
        <f t="shared" si="60"/>
        <v>113862436.89757667</v>
      </c>
      <c r="DL47" s="31">
        <f t="shared" si="60"/>
        <v>115960857.67710462</v>
      </c>
      <c r="DM47" s="31">
        <f t="shared" si="60"/>
        <v>118052950.4659491</v>
      </c>
      <c r="DN47" s="31">
        <f t="shared" si="60"/>
        <v>120863610.39174408</v>
      </c>
      <c r="DO47" s="31">
        <f t="shared" si="60"/>
        <v>122953757.94019252</v>
      </c>
      <c r="DP47" s="31">
        <f t="shared" si="60"/>
        <v>125153569.34980731</v>
      </c>
      <c r="DQ47" s="31">
        <f t="shared" si="60"/>
        <v>127411161.29462177</v>
      </c>
      <c r="DR47" s="31">
        <f t="shared" si="60"/>
        <v>129178325.06380644</v>
      </c>
      <c r="DS47" s="31">
        <f t="shared" ref="DS47" si="61">+DS46+DR47</f>
        <v>131402193.85904276</v>
      </c>
      <c r="DT47" s="31">
        <f t="shared" ref="DT47" si="62">+DT46+DS47</f>
        <v>133454820.60454543</v>
      </c>
      <c r="DU47" s="31">
        <f t="shared" ref="DU47" si="63">+DU46+DT47</f>
        <v>135115362.91704914</v>
      </c>
      <c r="DV47" s="31">
        <f t="shared" ref="DV47" si="64">+DV46+DU47</f>
        <v>137109305.07566848</v>
      </c>
      <c r="DW47" s="31">
        <f t="shared" ref="DW47" si="65">+DW46+DV47</f>
        <v>139176581.0958766</v>
      </c>
      <c r="DX47" s="31">
        <f t="shared" ref="DX47" si="66">+DX46+DW47</f>
        <v>141344134.49879038</v>
      </c>
      <c r="DY47" s="31">
        <f t="shared" ref="DY47" si="67">+DY46+DX47</f>
        <v>143498990.07130021</v>
      </c>
      <c r="DZ47" s="31">
        <f t="shared" ref="DZ47" si="68">+DZ46+DY47</f>
        <v>146399084.67659095</v>
      </c>
      <c r="EA47" s="31">
        <f t="shared" ref="EA47" si="69">+EA46+DZ47</f>
        <v>148566414.48420334</v>
      </c>
      <c r="EB47" s="31">
        <f t="shared" ref="EB47" si="70">+EB46+EA47</f>
        <v>150838818.34651947</v>
      </c>
      <c r="EC47" s="31">
        <f t="shared" ref="EC47" si="71">+EC46+EB47</f>
        <v>153168498.20401505</v>
      </c>
      <c r="ED47" s="31">
        <f t="shared" ref="ED47" si="72">+ED46+EC47</f>
        <v>155004405.20407867</v>
      </c>
      <c r="EE47" s="31">
        <f t="shared" ref="EE47" si="73">+EE46+ED47</f>
        <v>157305943.68056062</v>
      </c>
      <c r="EF47" s="31">
        <f t="shared" ref="EF47" si="74">+EF46+EE47</f>
        <v>159415003.64594838</v>
      </c>
      <c r="EG47" s="31">
        <f t="shared" ref="EG47" si="75">+EG46+EF47</f>
        <v>161127225.71623319</v>
      </c>
      <c r="EH47" s="31">
        <f t="shared" ref="EH47" si="76">+EH46+EG47</f>
        <v>163180986.13961112</v>
      </c>
      <c r="EI47" s="31">
        <f t="shared" ref="EI47" si="77">+EI46+EH47</f>
        <v>165310280.44042549</v>
      </c>
      <c r="EJ47" s="31">
        <f t="shared" ref="EJ47" si="78">+EJ46+EI47</f>
        <v>167549040.44542667</v>
      </c>
      <c r="EK47" s="31">
        <f t="shared" ref="EK47" si="79">+EK46+EJ47</f>
        <v>169768541.68511179</v>
      </c>
      <c r="EL47" s="31">
        <f t="shared" ref="EL47" si="80">+EL46+EK47</f>
        <v>172761009.75436929</v>
      </c>
      <c r="EM47" s="31">
        <f t="shared" ref="EM47" si="81">+EM46+EL47</f>
        <v>175008252.18055609</v>
      </c>
      <c r="EN47" s="31">
        <f t="shared" ref="EN47" si="82">+EN46+EM47</f>
        <v>177355756.17467529</v>
      </c>
      <c r="EO47" s="31">
        <f t="shared" ref="EO47" si="83">+EO46+EN47</f>
        <v>179759904.58994922</v>
      </c>
      <c r="EP47" s="31">
        <f t="shared" ref="EP47" si="84">+EP46+EO47</f>
        <v>181667094.53370833</v>
      </c>
      <c r="EQ47" s="31">
        <f t="shared" ref="EQ47" si="85">+EQ46+EP47</f>
        <v>184049180.46274269</v>
      </c>
      <c r="ER47" s="31">
        <f t="shared" ref="ER47" si="86">+ER46+EQ47</f>
        <v>186216366.64461207</v>
      </c>
      <c r="ES47" s="31">
        <f t="shared" ref="ES47" si="87">+ES46+ER47</f>
        <v>187981818.86541143</v>
      </c>
      <c r="ET47" s="31">
        <f t="shared" ref="ET47" si="88">+ET46+ES47</f>
        <v>190097192.10149071</v>
      </c>
      <c r="EU47" s="31">
        <f t="shared" ref="EU47" si="89">+EU46+ET47</f>
        <v>192290365.2313295</v>
      </c>
      <c r="EV47" s="31">
        <f t="shared" ref="EV47" si="90">+EV46+EU47</f>
        <v>194602468.03648072</v>
      </c>
      <c r="EW47" s="31">
        <f t="shared" ref="EW47" si="91">+EW46+EV47</f>
        <v>196888554.31335637</v>
      </c>
      <c r="EX47" s="31">
        <f t="shared" ref="EX47" si="92">+EX46+EW47</f>
        <v>199895294.65817261</v>
      </c>
      <c r="EY47" s="31">
        <f t="shared" ref="EY47" si="93">+EY46+EX47</f>
        <v>202097772.57263365</v>
      </c>
      <c r="EZ47" s="31">
        <f t="shared" ref="EZ47" si="94">+EZ46+EY47</f>
        <v>204466719.07851917</v>
      </c>
      <c r="FA47" s="31">
        <f t="shared" ref="FA47" si="95">+FA46+EZ47</f>
        <v>206939850.27080804</v>
      </c>
      <c r="FB47" s="31">
        <f t="shared" ref="FB47" si="96">+FB46+FA47</f>
        <v>208864837.63034999</v>
      </c>
      <c r="FC47" s="31">
        <f t="shared" ref="FC47" si="97">+FC46+FB47</f>
        <v>211113920.20385668</v>
      </c>
      <c r="FD47" s="31">
        <f t="shared" ref="FD47" si="98">+FD46+FC47</f>
        <v>213340976.38870215</v>
      </c>
      <c r="FE47" s="31">
        <f t="shared" ref="FE47" si="99">+FE46+FD47</f>
        <v>215161255.6645315</v>
      </c>
      <c r="FF47" s="31">
        <f t="shared" ref="FF47" si="100">+FF46+FE47</f>
        <v>217340090.09769315</v>
      </c>
      <c r="FG47" s="31">
        <f t="shared" ref="FG47" si="101">+FG46+FF47</f>
        <v>219599058.4214271</v>
      </c>
      <c r="FH47" s="31">
        <f t="shared" ref="FH47" si="102">+FH46+FG47</f>
        <v>221986704.31073287</v>
      </c>
      <c r="FI47" s="31">
        <f t="shared" ref="FI47" si="103">+FI46+FH47</f>
        <v>224341373.17591479</v>
      </c>
      <c r="FJ47" s="31">
        <f t="shared" ref="FJ47" si="104">+FJ46+FI47</f>
        <v>227431868.28635401</v>
      </c>
      <c r="FK47" s="31">
        <f t="shared" ref="FK47" si="105">+FK46+FJ47</f>
        <v>229696017.17471391</v>
      </c>
      <c r="FL47" s="31">
        <f t="shared" ref="FL47" si="106">+FL46+FK47</f>
        <v>232126262.5801695</v>
      </c>
      <c r="FM47" s="31">
        <f t="shared" ref="FM47" si="107">+FM46+FL47</f>
        <v>234666255.03509906</v>
      </c>
      <c r="FN47" s="31">
        <f t="shared" ref="FN47" si="108">+FN46+FM47</f>
        <v>236640275.71741879</v>
      </c>
      <c r="FO47" s="31">
        <f t="shared" ref="FO47" si="109">+FO46+FN47</f>
        <v>238944306.76503369</v>
      </c>
      <c r="FP47" s="31">
        <f t="shared" ref="FP47" si="110">+FP46+FO47</f>
        <v>241233029.05294451</v>
      </c>
      <c r="FQ47" s="31">
        <f t="shared" ref="FQ47" si="111">+FQ46+FP47</f>
        <v>243109780.19545475</v>
      </c>
      <c r="FR47" s="31">
        <f t="shared" ref="FR47" si="112">+FR46+FQ47</f>
        <v>245353979.66161123</v>
      </c>
      <c r="FS47" s="31">
        <f t="shared" ref="FS47" si="113">+FS46+FR47</f>
        <v>247680717.03505719</v>
      </c>
      <c r="FT47" s="31">
        <f t="shared" ref="FT47" si="114">+FT46+FS47</f>
        <v>250146172.30104214</v>
      </c>
      <c r="FU47" s="31">
        <f t="shared" ref="FU47" si="115">+FU46+FT47</f>
        <v>252571481.23217952</v>
      </c>
      <c r="FV47" s="31">
        <f t="shared" ref="FV47" si="116">+FV46+FU47</f>
        <v>255748243.75121042</v>
      </c>
      <c r="FW47" s="31">
        <f t="shared" ref="FW47" si="117">+FW46+FV47</f>
        <v>258075913.74268609</v>
      </c>
      <c r="FX47" s="31">
        <f t="shared" ref="FX47" si="118">+FX46+FW47</f>
        <v>260569297.01469883</v>
      </c>
      <c r="FY47" s="31">
        <f t="shared" ref="FY47" si="119">+FY46+FX47</f>
        <v>263178156.57014826</v>
      </c>
      <c r="FZ47" s="31">
        <f t="shared" ref="FZ47" si="120">+FZ46+FY47</f>
        <v>265202681.57492906</v>
      </c>
      <c r="GA47" s="31">
        <f t="shared" ref="GA47" si="121">+GA46+FZ47</f>
        <v>267563309.5508754</v>
      </c>
      <c r="GB47" s="31">
        <f t="shared" ref="GB47" si="122">+GB46+GA47</f>
        <v>269915547.92494357</v>
      </c>
      <c r="GC47" s="31">
        <f t="shared" ref="GC47" si="123">+GC46+GB47</f>
        <v>271850465.0901351</v>
      </c>
      <c r="GD47" s="31">
        <f t="shared" ref="GD47" si="124">+GD46+GC47</f>
        <v>274161990.54027629</v>
      </c>
      <c r="GE47" s="31">
        <f t="shared" ref="GE47" si="125">+GE46+GD47</f>
        <v>276558530.03492564</v>
      </c>
      <c r="GF47" s="31">
        <f t="shared" ref="GF47" si="126">+GF46+GE47</f>
        <v>279104128.95889014</v>
      </c>
      <c r="GG47" s="31">
        <f t="shared" ref="GG47" si="127">+GG46+GF47</f>
        <v>281602197.15796167</v>
      </c>
      <c r="GH47" s="31">
        <f t="shared" ref="GH47" si="128">+GH46+GG47</f>
        <v>284867815.10784197</v>
      </c>
      <c r="GI47" s="31">
        <f t="shared" ref="GI47" si="129">+GI46+GH47</f>
        <v>287260911.83552694</v>
      </c>
      <c r="GJ47" s="31">
        <f t="shared" ref="GJ47" si="130">+GJ46+GI47</f>
        <v>289819327.11009359</v>
      </c>
      <c r="GK47" s="31">
        <f t="shared" ref="GK47" si="131">+GK46+GJ47</f>
        <v>292499119.77907848</v>
      </c>
      <c r="GL47" s="31">
        <f t="shared" ref="GL47" si="132">+GL46+GK47</f>
        <v>294575664.23599422</v>
      </c>
      <c r="GM47" s="31">
        <f t="shared" ref="GM47" si="133">+GM46+GL47</f>
        <v>296994587.04812193</v>
      </c>
      <c r="GN47" s="31">
        <f t="shared" ref="GN47" si="134">+GN46+GM47</f>
        <v>299412246.99093211</v>
      </c>
      <c r="GO47" s="31">
        <f t="shared" ref="GO47" si="135">+GO46+GN47</f>
        <v>301407075.1594854</v>
      </c>
      <c r="GP47" s="31">
        <f t="shared" ref="GP47" si="136">+GP46+GO47</f>
        <v>303787946.3731308</v>
      </c>
      <c r="GQ47" s="31">
        <f t="shared" ref="GQ47" si="137">+GQ46+GP47</f>
        <v>306256382.05261964</v>
      </c>
      <c r="GR47" s="31">
        <f t="shared" ref="GR47" si="138">+GR46+GQ47</f>
        <v>308884528.94430304</v>
      </c>
      <c r="GS47" s="31">
        <f t="shared" ref="GS47" si="139">+GS46+GR47</f>
        <v>311457539.18934667</v>
      </c>
      <c r="GT47" s="31">
        <f t="shared" ref="GT47" si="140">+GT46+GS47</f>
        <v>314814678.23300189</v>
      </c>
      <c r="GU47" s="31">
        <f t="shared" ref="GU47" si="141">+GU46+GT47</f>
        <v>317275164.49898237</v>
      </c>
      <c r="GV47" s="31">
        <f t="shared" ref="GV47" si="142">+GV46+GU47</f>
        <v>319900562.73617947</v>
      </c>
      <c r="GW47" s="31">
        <f t="shared" ref="GW47" si="143">+GW46+GV47</f>
        <v>322653416.51210594</v>
      </c>
      <c r="GX47" s="31">
        <f t="shared" ref="GX47" si="144">+GX46+GW47</f>
        <v>324783541.00472063</v>
      </c>
      <c r="GY47" s="31">
        <f t="shared" ref="GY47" si="145">+GY46+GX47</f>
        <v>327262507.49811518</v>
      </c>
      <c r="GZ47" s="31">
        <f t="shared" ref="GZ47" si="146">+GZ46+GY47</f>
        <v>329747551.6567297</v>
      </c>
      <c r="HA47" s="31">
        <f t="shared" ref="HA47" si="147">+HA46+GZ47</f>
        <v>331804088.15874559</v>
      </c>
      <c r="HB47" s="31">
        <f t="shared" ref="HB47" si="148">+HB46+HA47</f>
        <v>334256385.50880039</v>
      </c>
      <c r="HC47" s="31">
        <f t="shared" ref="HC47" si="149">+HC46+HB47</f>
        <v>336798874.25867391</v>
      </c>
      <c r="HD47" s="31">
        <f t="shared" ref="HD47" si="150">+HD46+HC47</f>
        <v>339512045.55710781</v>
      </c>
      <c r="HE47" s="31">
        <f t="shared" ref="HE47" si="151">+HE46+HD47</f>
        <v>342162246.10950279</v>
      </c>
      <c r="HF47" s="31">
        <f t="shared" ref="HF47" si="152">+HF46+HE47</f>
        <v>345613651.8797462</v>
      </c>
      <c r="HG47" s="31">
        <f t="shared" ref="HG47" si="153">+HG46+HF47</f>
        <v>348143549.37017113</v>
      </c>
      <c r="HH47" s="31">
        <f t="shared" ref="HH47" si="154">+HH46+HG47</f>
        <v>350837940.05887765</v>
      </c>
      <c r="HI47" s="31">
        <f t="shared" ref="HI47" si="155">+HI46+HH47</f>
        <v>353666046.7749539</v>
      </c>
      <c r="HJ47" s="31">
        <f t="shared" ref="HJ47" si="156">+HJ46+HI47</f>
        <v>355851358.70433855</v>
      </c>
      <c r="HK47" s="31">
        <f t="shared" ref="HK47" si="157">+HK46+HJ47</f>
        <v>358392170.18943793</v>
      </c>
      <c r="HL47" s="31">
        <f t="shared" ref="HL47" si="158">+HL46+HK47</f>
        <v>360946620.09033084</v>
      </c>
      <c r="HM47" s="31">
        <f t="shared" ref="HM47" si="159">+HM46+HL47</f>
        <v>363066716.1758132</v>
      </c>
      <c r="HN47" s="31">
        <f t="shared" ref="HN47" si="160">+HN46+HM47</f>
        <v>365592582.44636965</v>
      </c>
      <c r="HO47" s="31">
        <f t="shared" ref="HO47" si="161">+HO46+HN47</f>
        <v>368211345.85873938</v>
      </c>
      <c r="HP47" s="31">
        <f t="shared" ref="HP47" si="162">+HP46+HO47</f>
        <v>371012092.29612631</v>
      </c>
      <c r="HQ47" s="31">
        <f t="shared" ref="HQ47" si="163">+HQ46+HP47</f>
        <v>373741798.86509311</v>
      </c>
      <c r="HR47" s="31">
        <f t="shared" ref="HR47" si="164">+HR46+HQ47</f>
        <v>377290299.36372232</v>
      </c>
      <c r="HS47" s="31">
        <f t="shared" ref="HS47" si="165">+HS46+HR47</f>
        <v>379891690.41532499</v>
      </c>
      <c r="HT47" s="31">
        <f t="shared" ref="HT47" si="166">+HT46+HS47</f>
        <v>382657143.32908624</v>
      </c>
      <c r="HU47" s="31">
        <f t="shared" ref="HU47" si="167">+HU46+HT47</f>
        <v>385562760.57351679</v>
      </c>
      <c r="HV47" s="31">
        <f t="shared" ref="HV47" si="168">+HV46+HU47</f>
        <v>387804915.56277448</v>
      </c>
      <c r="HW47" s="31">
        <f t="shared" ref="HW47" si="169">+HW46+HV47</f>
        <v>390409427.38932985</v>
      </c>
      <c r="HX47" s="31">
        <f t="shared" ref="HX47" si="170">+HX46+HW47</f>
        <v>393035365.20476955</v>
      </c>
      <c r="HY47" s="31">
        <f t="shared" ref="HY47" si="171">+HY46+HX47</f>
        <v>395220927.6612224</v>
      </c>
      <c r="HZ47" s="31">
        <f t="shared" ref="HZ47" si="172">+HZ46+HY47</f>
        <v>397822569.91989553</v>
      </c>
      <c r="IA47" s="31">
        <f t="shared" ref="IA47" si="173">+IA46+HZ47</f>
        <v>400519896.23463631</v>
      </c>
      <c r="IB47" s="31">
        <f t="shared" ref="IB47" si="174">+IB46+IA47</f>
        <v>403410845.06514484</v>
      </c>
      <c r="IC47" s="31">
        <f t="shared" ref="IC47" si="175">+IC46+IB47</f>
        <v>406222442.83118063</v>
      </c>
      <c r="ID47" s="31">
        <f t="shared" ref="ID47" si="176">+ID46+IC47</f>
        <v>409870950.90004718</v>
      </c>
      <c r="IE47" s="31">
        <f t="shared" ref="IE47" si="177">+IE46+ID47</f>
        <v>412545980.31966293</v>
      </c>
      <c r="IF47" s="31">
        <f t="shared" ref="IF47" si="178">+IF46+IE47</f>
        <v>415384627.32523048</v>
      </c>
      <c r="IG47" s="31">
        <f t="shared" ref="IG47" si="179">+IG46+IF47</f>
        <v>418370080.41386592</v>
      </c>
      <c r="IH47" s="31">
        <f t="shared" ref="IH47" si="180">+IH46+IG47</f>
        <v>420670783.75479287</v>
      </c>
      <c r="II47" s="31">
        <f t="shared" ref="II47" si="181">+II46+IH47</f>
        <v>423339630.10825199</v>
      </c>
      <c r="IJ47" s="31">
        <f t="shared" ref="IJ47" si="182">+IJ46+II47</f>
        <v>426036608.52133918</v>
      </c>
      <c r="IK47" s="31">
        <f t="shared" ref="IK47" si="183">+IK46+IJ47</f>
        <v>428287009.38555586</v>
      </c>
      <c r="IL47" s="31">
        <f t="shared" ref="IL47" si="184">+IL46+IK47</f>
        <v>430964108.95765346</v>
      </c>
      <c r="IM47" s="31">
        <f t="shared" ref="IM47" si="185">+IM46+IL47</f>
        <v>433739763.10750073</v>
      </c>
      <c r="IN47" s="31"/>
    </row>
    <row r="48" spans="1:248" x14ac:dyDescent="0.3">
      <c r="C48" s="38"/>
    </row>
    <row r="49" spans="1:26" x14ac:dyDescent="0.3">
      <c r="E49">
        <v>2024</v>
      </c>
      <c r="F49">
        <v>2025</v>
      </c>
      <c r="G49">
        <v>2026</v>
      </c>
      <c r="H49">
        <v>2027</v>
      </c>
      <c r="I49">
        <v>2028</v>
      </c>
      <c r="J49">
        <v>2029</v>
      </c>
      <c r="K49">
        <v>2030</v>
      </c>
      <c r="L49">
        <v>2031</v>
      </c>
      <c r="M49">
        <v>2032</v>
      </c>
      <c r="N49">
        <v>2033</v>
      </c>
      <c r="O49">
        <v>2034</v>
      </c>
      <c r="P49">
        <v>2035</v>
      </c>
      <c r="Q49">
        <v>2036</v>
      </c>
      <c r="R49">
        <v>2037</v>
      </c>
      <c r="S49">
        <v>2038</v>
      </c>
      <c r="T49">
        <v>2039</v>
      </c>
      <c r="U49">
        <v>2040</v>
      </c>
      <c r="V49">
        <v>2041</v>
      </c>
      <c r="W49">
        <v>2042</v>
      </c>
      <c r="X49">
        <v>2043</v>
      </c>
      <c r="Y49">
        <v>2044</v>
      </c>
    </row>
    <row r="50" spans="1:26" x14ac:dyDescent="0.3">
      <c r="C50" t="s">
        <v>924</v>
      </c>
      <c r="D50" s="33"/>
      <c r="E50" s="30">
        <f t="shared" ref="E50:O50" si="186">+SUMIFS(46:46,27:27,E49)</f>
        <v>0</v>
      </c>
      <c r="F50" s="30">
        <f>+SUMIFS(46:46,27:27,F49)</f>
        <v>0</v>
      </c>
      <c r="G50" s="30">
        <f t="shared" si="186"/>
        <v>-46098346.409258038</v>
      </c>
      <c r="H50" s="30">
        <f>+SUMIFS(46:46,27:27,H49)</f>
        <v>21260335.304228015</v>
      </c>
      <c r="I50" s="30">
        <f t="shared" si="186"/>
        <v>21918581.939817071</v>
      </c>
      <c r="J50" s="30">
        <f t="shared" si="186"/>
        <v>22604130.741966635</v>
      </c>
      <c r="K50" s="30">
        <f t="shared" si="186"/>
        <v>22890210.616241477</v>
      </c>
      <c r="L50" s="30">
        <f t="shared" si="186"/>
        <v>23014975.791877966</v>
      </c>
      <c r="M50" s="30">
        <f t="shared" si="186"/>
        <v>23752014.754017763</v>
      </c>
      <c r="N50" s="30">
        <f t="shared" si="186"/>
        <v>24520534.158685785</v>
      </c>
      <c r="O50" s="30">
        <f t="shared" si="186"/>
        <v>25314144.198299926</v>
      </c>
      <c r="P50" s="30">
        <f t="shared" ref="P50:X50" si="187">+SUMIFS(46:46,27:27,P49)</f>
        <v>26133699.34454887</v>
      </c>
      <c r="Q50" s="30">
        <f t="shared" si="187"/>
        <v>26980084.790903974</v>
      </c>
      <c r="R50" s="30">
        <f t="shared" si="187"/>
        <v>27308693.190097641</v>
      </c>
      <c r="S50" s="30">
        <f t="shared" si="187"/>
        <v>28081658.613630068</v>
      </c>
      <c r="T50" s="30">
        <f t="shared" si="187"/>
        <v>28877812.999868475</v>
      </c>
      <c r="U50" s="30">
        <f t="shared" si="187"/>
        <v>29697852.01769403</v>
      </c>
      <c r="V50" s="30">
        <f t="shared" si="187"/>
        <v>30542492.206054345</v>
      </c>
      <c r="W50" s="30">
        <f t="shared" si="187"/>
        <v>31412471.600065477</v>
      </c>
      <c r="X50" s="30">
        <f t="shared" si="187"/>
        <v>32308550.375896946</v>
      </c>
      <c r="Y50" s="30">
        <f>+SUMIFS(46:46,27:27,Y49)</f>
        <v>33219866.872864477</v>
      </c>
      <c r="Z50" s="30"/>
    </row>
    <row r="51" spans="1:26" x14ac:dyDescent="0.3">
      <c r="C51" t="s">
        <v>925</v>
      </c>
      <c r="D51" s="33"/>
      <c r="E51" s="33">
        <f>+E50</f>
        <v>0</v>
      </c>
      <c r="F51" s="33">
        <f>+F50+E51</f>
        <v>0</v>
      </c>
      <c r="G51" s="33">
        <f>+G50+F51</f>
        <v>-46098346.409258038</v>
      </c>
      <c r="H51" s="33">
        <f t="shared" ref="H51:O51" si="188">+H50+G51</f>
        <v>-24838011.105030023</v>
      </c>
      <c r="I51" s="33">
        <f t="shared" si="188"/>
        <v>-2919429.1652129516</v>
      </c>
      <c r="J51" s="33">
        <f t="shared" si="188"/>
        <v>19684701.576753683</v>
      </c>
      <c r="K51" s="33">
        <f t="shared" si="188"/>
        <v>42574912.192995161</v>
      </c>
      <c r="L51" s="33">
        <f t="shared" si="188"/>
        <v>65589887.984873131</v>
      </c>
      <c r="M51" s="33">
        <f t="shared" si="188"/>
        <v>89341902.738890886</v>
      </c>
      <c r="N51" s="33">
        <f t="shared" si="188"/>
        <v>113862436.89757667</v>
      </c>
      <c r="O51" s="33">
        <f t="shared" si="188"/>
        <v>139176581.0958766</v>
      </c>
      <c r="P51" s="33">
        <f t="shared" ref="P51" si="189">+P50+O51</f>
        <v>165310280.44042549</v>
      </c>
      <c r="Q51" s="33">
        <f t="shared" ref="Q51" si="190">+Q50+P51</f>
        <v>192290365.23132947</v>
      </c>
      <c r="R51" s="33">
        <f t="shared" ref="R51" si="191">+R50+Q51</f>
        <v>219599058.4214271</v>
      </c>
      <c r="S51" s="33">
        <f t="shared" ref="S51" si="192">+S50+R51</f>
        <v>247680717.03505716</v>
      </c>
      <c r="T51" s="33">
        <f t="shared" ref="T51" si="193">+T50+S51</f>
        <v>276558530.03492564</v>
      </c>
      <c r="U51" s="33">
        <f t="shared" ref="U51" si="194">+U50+T51</f>
        <v>306256382.0526197</v>
      </c>
      <c r="V51" s="33">
        <f t="shared" ref="V51" si="195">+V50+U51</f>
        <v>336798874.25867403</v>
      </c>
      <c r="W51" s="33">
        <f t="shared" ref="W51" si="196">+W50+V51</f>
        <v>368211345.8587395</v>
      </c>
      <c r="X51" s="33">
        <f t="shared" ref="X51" si="197">+X50+W51</f>
        <v>400519896.23463643</v>
      </c>
      <c r="Y51" s="33">
        <f>+Y50+X51</f>
        <v>433739763.10750091</v>
      </c>
      <c r="Z51" s="33"/>
    </row>
    <row r="52" spans="1:26" x14ac:dyDescent="0.3">
      <c r="C52" t="s">
        <v>925</v>
      </c>
      <c r="F52" s="12">
        <f>+F51/1000000</f>
        <v>0</v>
      </c>
      <c r="G52" s="12">
        <f>+G51/1000000</f>
        <v>-46.098346409258035</v>
      </c>
      <c r="H52" s="12">
        <f t="shared" ref="H52:O52" si="198">+H51/1000000</f>
        <v>-24.838011105030024</v>
      </c>
      <c r="I52" s="12">
        <f t="shared" si="198"/>
        <v>-2.9194291652129518</v>
      </c>
      <c r="J52" s="12">
        <f t="shared" si="198"/>
        <v>19.684701576753682</v>
      </c>
      <c r="K52" s="12">
        <f t="shared" si="198"/>
        <v>42.574912192995164</v>
      </c>
      <c r="L52" s="12">
        <f t="shared" si="198"/>
        <v>65.58988798487313</v>
      </c>
      <c r="M52" s="12">
        <f t="shared" si="198"/>
        <v>89.34190273889088</v>
      </c>
      <c r="N52" s="12">
        <f t="shared" si="198"/>
        <v>113.86243689757667</v>
      </c>
      <c r="O52" s="12">
        <f t="shared" si="198"/>
        <v>139.1765810958766</v>
      </c>
      <c r="P52" s="12">
        <f t="shared" ref="P52:X52" si="199">+P51/1000000</f>
        <v>165.31028044042549</v>
      </c>
      <c r="Q52" s="12">
        <f t="shared" si="199"/>
        <v>192.29036523132947</v>
      </c>
      <c r="R52" s="12">
        <f t="shared" si="199"/>
        <v>219.59905842142709</v>
      </c>
      <c r="S52" s="12">
        <f t="shared" si="199"/>
        <v>247.68071703505717</v>
      </c>
      <c r="T52" s="12">
        <f t="shared" si="199"/>
        <v>276.55853003492564</v>
      </c>
      <c r="U52" s="12">
        <f t="shared" si="199"/>
        <v>306.2563820526197</v>
      </c>
      <c r="V52" s="12">
        <f t="shared" si="199"/>
        <v>336.798874258674</v>
      </c>
      <c r="W52" s="12">
        <f t="shared" si="199"/>
        <v>368.21134585873949</v>
      </c>
      <c r="X52" s="12">
        <f t="shared" si="199"/>
        <v>400.51989623463641</v>
      </c>
      <c r="Y52" s="12">
        <f>+Y51/1000000</f>
        <v>433.73976310750089</v>
      </c>
      <c r="Z52" s="12"/>
    </row>
    <row r="53" spans="1:26" x14ac:dyDescent="0.3">
      <c r="B53" s="6"/>
      <c r="C53" s="6"/>
      <c r="D53" s="6"/>
      <c r="E53" s="30"/>
      <c r="F53" s="38"/>
      <c r="G53" s="38"/>
      <c r="H53" s="38"/>
      <c r="I53" s="30"/>
      <c r="J53" s="30"/>
      <c r="K53" s="30"/>
      <c r="L53" s="30"/>
      <c r="M53" s="30"/>
      <c r="N53" s="30"/>
      <c r="O53" s="30"/>
    </row>
    <row r="54" spans="1:26" x14ac:dyDescent="0.3">
      <c r="D54" s="35"/>
    </row>
    <row r="55" spans="1:26" x14ac:dyDescent="0.3">
      <c r="A55" s="6" t="s">
        <v>926</v>
      </c>
      <c r="B55" s="6" t="s">
        <v>927</v>
      </c>
      <c r="C55" s="6" t="s">
        <v>928</v>
      </c>
    </row>
    <row r="56" spans="1:26" x14ac:dyDescent="0.3">
      <c r="A56" t="s">
        <v>929</v>
      </c>
      <c r="B56" s="35">
        <f>+NPV(11%,C25,E25:J25)</f>
        <v>74949078.398146689</v>
      </c>
      <c r="C56" s="35">
        <f>+NPV(11%,C25,D25:M25)</f>
        <v>96084148.856745616</v>
      </c>
    </row>
    <row r="57" spans="1:26" x14ac:dyDescent="0.3">
      <c r="A57" t="s">
        <v>930</v>
      </c>
      <c r="B57" s="35">
        <f ca="1">+NPV(11%,C43,E43:I43)</f>
        <v>44476563.746512935</v>
      </c>
      <c r="C57" s="35">
        <f ca="1">+NPV(11%,C43,D43:M43)</f>
        <v>43728489.830912724</v>
      </c>
    </row>
    <row r="58" spans="1:26" x14ac:dyDescent="0.3">
      <c r="A58" t="s">
        <v>931</v>
      </c>
      <c r="B58" s="35">
        <f ca="1">+B56-B57</f>
        <v>30472514.651633754</v>
      </c>
      <c r="C58" s="35">
        <f ca="1">+C56-C57</f>
        <v>52355659.025832891</v>
      </c>
    </row>
    <row r="59" spans="1:26" x14ac:dyDescent="0.3">
      <c r="A59" t="s">
        <v>932</v>
      </c>
      <c r="B59" s="35">
        <f>+NPV(11%,F50,G50:K50)</f>
        <v>18221863.440448463</v>
      </c>
      <c r="C59" s="35">
        <f>+NPV(11%,F50,G50:O50)</f>
        <v>58114781.540947065</v>
      </c>
    </row>
    <row r="60" spans="1:26" x14ac:dyDescent="0.3">
      <c r="A60" t="s">
        <v>933</v>
      </c>
      <c r="B60" s="9">
        <f>+IRR(F50:J50)</f>
        <v>0.19891601383313162</v>
      </c>
      <c r="C60" s="9">
        <f>+IRR(F50:O50)</f>
        <v>0.45921117230039799</v>
      </c>
    </row>
    <row r="61" spans="1:26" x14ac:dyDescent="0.3">
      <c r="A61" t="s">
        <v>934</v>
      </c>
      <c r="B61" s="85">
        <f>COUNTIFS(47:47,"&lt;0")/12</f>
        <v>2.3333333333333335</v>
      </c>
      <c r="C61" s="38"/>
    </row>
    <row r="62" spans="1:26" x14ac:dyDescent="0.3">
      <c r="B62" s="35"/>
    </row>
    <row r="63" spans="1:26" x14ac:dyDescent="0.3">
      <c r="A63" s="187" t="s">
        <v>935</v>
      </c>
      <c r="B63" s="187" t="s">
        <v>788</v>
      </c>
      <c r="C63" s="187" t="s">
        <v>936</v>
      </c>
      <c r="D63" s="187" t="s">
        <v>803</v>
      </c>
    </row>
    <row r="64" spans="1:26" x14ac:dyDescent="0.3">
      <c r="A64" s="121" t="s">
        <v>929</v>
      </c>
      <c r="B64" s="188">
        <f>+SUM(E25:J25)</f>
        <v>124180792.3892546</v>
      </c>
      <c r="C64" s="188">
        <f>+SUM(D25:M25)</f>
        <v>205154160.95404631</v>
      </c>
      <c r="D64" s="188">
        <f>+SUM(E25:X25)</f>
        <v>533325411.1555689</v>
      </c>
    </row>
    <row r="65" spans="1:4" x14ac:dyDescent="0.3">
      <c r="A65" s="121" t="s">
        <v>937</v>
      </c>
      <c r="B65" s="188">
        <f>+SUM(E43:J43)</f>
        <v>58590904.404381469</v>
      </c>
      <c r="C65" s="188">
        <f>+SUM(D43:M43)</f>
        <v>65977579.858169697</v>
      </c>
      <c r="D65" s="188">
        <f>+SUM(E43:X43)</f>
        <v>99585648.048068002</v>
      </c>
    </row>
    <row r="66" spans="1:4" x14ac:dyDescent="0.3">
      <c r="A66" s="121" t="s">
        <v>854</v>
      </c>
      <c r="B66" s="188">
        <f>+B64-B65</f>
        <v>65589887.984873131</v>
      </c>
      <c r="C66" s="188">
        <f>+C64-C65</f>
        <v>139176581.0958766</v>
      </c>
      <c r="D66" s="188">
        <f>+D64-D65</f>
        <v>433739763.10750091</v>
      </c>
    </row>
    <row r="67" spans="1:4" x14ac:dyDescent="0.3">
      <c r="A67" s="121" t="s">
        <v>938</v>
      </c>
      <c r="B67" s="189">
        <f>+B66/B64</f>
        <v>0.5281806205526246</v>
      </c>
      <c r="C67" s="189">
        <f>+C66/C64</f>
        <v>0.67839999173622212</v>
      </c>
      <c r="D67" s="189">
        <f>+D66/D64</f>
        <v>0.81327413626833689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2060-B5B5-4FE5-BB1C-9A8F091B9CBB}">
  <dimension ref="A1:IH86"/>
  <sheetViews>
    <sheetView topLeftCell="A34" workbookViewId="0">
      <selection activeCell="F37" sqref="F37"/>
    </sheetView>
  </sheetViews>
  <sheetFormatPr baseColWidth="10" defaultColWidth="11.44140625" defaultRowHeight="14.4" x14ac:dyDescent="0.3"/>
  <cols>
    <col min="1" max="1" width="30.44140625" bestFit="1" customWidth="1"/>
    <col min="2" max="5" width="12.5546875" bestFit="1" customWidth="1"/>
    <col min="6" max="23" width="13.5546875" bestFit="1" customWidth="1"/>
    <col min="24" max="65" width="11.5546875" bestFit="1" customWidth="1"/>
    <col min="66" max="242" width="12.5546875" bestFit="1" customWidth="1"/>
  </cols>
  <sheetData>
    <row r="1" spans="1:242" x14ac:dyDescent="0.3">
      <c r="A1" t="s">
        <v>905</v>
      </c>
      <c r="B1" s="9">
        <v>0</v>
      </c>
    </row>
    <row r="2" spans="1:242" x14ac:dyDescent="0.3">
      <c r="A2" s="6" t="s">
        <v>906</v>
      </c>
    </row>
    <row r="4" spans="1:242" x14ac:dyDescent="0.3">
      <c r="C4" s="14">
        <f>+Tarifas!S6</f>
        <v>45505</v>
      </c>
      <c r="D4" s="14">
        <f>+Tarifas!T6</f>
        <v>45536</v>
      </c>
      <c r="E4" s="14">
        <f>+Tarifas!U6</f>
        <v>45566</v>
      </c>
      <c r="F4" s="14">
        <f>+Tarifas!V6</f>
        <v>45597</v>
      </c>
      <c r="G4" s="14">
        <f>+Tarifas!W6</f>
        <v>45627</v>
      </c>
      <c r="H4" s="14">
        <f>+Tarifas!X6</f>
        <v>45658</v>
      </c>
      <c r="I4" s="14">
        <f>+Tarifas!Y6</f>
        <v>45689</v>
      </c>
      <c r="J4" s="14">
        <f>+Tarifas!Z6</f>
        <v>45717</v>
      </c>
      <c r="K4" s="14">
        <f>+Tarifas!AA6</f>
        <v>45748</v>
      </c>
      <c r="L4" s="14">
        <f>+Tarifas!AB6</f>
        <v>45778</v>
      </c>
      <c r="M4" s="14">
        <f>+Tarifas!AC6</f>
        <v>45809</v>
      </c>
      <c r="N4" s="14">
        <f>+Tarifas!AD6</f>
        <v>45839</v>
      </c>
      <c r="O4" s="14">
        <f>+Tarifas!AE6</f>
        <v>45870</v>
      </c>
      <c r="P4" s="14">
        <f>+Tarifas!AF6</f>
        <v>45901</v>
      </c>
      <c r="Q4" s="14">
        <f>+Tarifas!AG6</f>
        <v>45931</v>
      </c>
      <c r="R4" s="14">
        <f>+Tarifas!AH6</f>
        <v>45962</v>
      </c>
      <c r="S4" s="14">
        <f>+Tarifas!AI6</f>
        <v>45992</v>
      </c>
      <c r="T4" s="14">
        <f>+Tarifas!AJ6</f>
        <v>46023</v>
      </c>
      <c r="U4" s="14">
        <f>+Tarifas!AK6</f>
        <v>46054</v>
      </c>
      <c r="V4" s="14">
        <f>+Tarifas!AL6</f>
        <v>46082</v>
      </c>
      <c r="W4" s="14">
        <f>+Tarifas!AM6</f>
        <v>46113</v>
      </c>
      <c r="X4" s="14">
        <f>+Tarifas!AN6</f>
        <v>46143</v>
      </c>
      <c r="Y4" s="14">
        <f>+Tarifas!AO6</f>
        <v>46174</v>
      </c>
      <c r="Z4" s="14">
        <f>+Tarifas!AP6</f>
        <v>46204</v>
      </c>
      <c r="AA4" s="14">
        <f>+Tarifas!AQ6</f>
        <v>46235</v>
      </c>
      <c r="AB4" s="14">
        <f>+Tarifas!AR6</f>
        <v>46266</v>
      </c>
      <c r="AC4" s="14">
        <f>+Tarifas!AS6</f>
        <v>46296</v>
      </c>
      <c r="AD4" s="14">
        <f>+Tarifas!AT6</f>
        <v>46327</v>
      </c>
      <c r="AE4" s="14">
        <f>+Tarifas!AU6</f>
        <v>46357</v>
      </c>
      <c r="AF4" s="14">
        <f>+Tarifas!AV6</f>
        <v>46388</v>
      </c>
      <c r="AG4" s="14">
        <f>+Tarifas!AW6</f>
        <v>46419</v>
      </c>
      <c r="AH4" s="14">
        <f>+Tarifas!AX6</f>
        <v>46447</v>
      </c>
      <c r="AI4" s="14">
        <f>+Tarifas!AY6</f>
        <v>46478</v>
      </c>
      <c r="AJ4" s="14">
        <f>+Tarifas!AZ6</f>
        <v>46508</v>
      </c>
      <c r="AK4" s="14">
        <f>+Tarifas!BA6</f>
        <v>46539</v>
      </c>
      <c r="AL4" s="14">
        <f>+Tarifas!BB6</f>
        <v>46569</v>
      </c>
      <c r="AM4" s="14">
        <f>+Tarifas!BC6</f>
        <v>46600</v>
      </c>
      <c r="AN4" s="14">
        <f>+Tarifas!BD6</f>
        <v>46631</v>
      </c>
      <c r="AO4" s="14">
        <f>+Tarifas!BE6</f>
        <v>46661</v>
      </c>
      <c r="AP4" s="14">
        <f>+Tarifas!BF6</f>
        <v>46692</v>
      </c>
      <c r="AQ4" s="14">
        <f>+Tarifas!BG6</f>
        <v>46722</v>
      </c>
      <c r="AR4" s="14">
        <f>+Tarifas!BH6</f>
        <v>46753</v>
      </c>
      <c r="AS4" s="14">
        <f>+Tarifas!BI6</f>
        <v>46784</v>
      </c>
      <c r="AT4" s="14">
        <f>+Tarifas!BJ6</f>
        <v>46813</v>
      </c>
      <c r="AU4" s="14">
        <f>+Tarifas!BK6</f>
        <v>46844</v>
      </c>
      <c r="AV4" s="14">
        <f>+Tarifas!BL6</f>
        <v>46874</v>
      </c>
      <c r="AW4" s="14">
        <f>+Tarifas!BM6</f>
        <v>46905</v>
      </c>
      <c r="AX4" s="14">
        <f>+Tarifas!BN6</f>
        <v>46935</v>
      </c>
      <c r="AY4" s="14">
        <f>+Tarifas!BO6</f>
        <v>46966</v>
      </c>
      <c r="AZ4" s="14">
        <f>+Tarifas!BP6</f>
        <v>46997</v>
      </c>
      <c r="BA4" s="14">
        <f>+Tarifas!BQ6</f>
        <v>47027</v>
      </c>
      <c r="BB4" s="14">
        <f>+Tarifas!BR6</f>
        <v>47058</v>
      </c>
      <c r="BC4" s="14">
        <f>+Tarifas!BS6</f>
        <v>47088</v>
      </c>
      <c r="BD4" s="14">
        <f>+Tarifas!BT6</f>
        <v>47119</v>
      </c>
      <c r="BE4" s="14">
        <f>+Tarifas!BU6</f>
        <v>47150</v>
      </c>
      <c r="BF4" s="14">
        <f>+Tarifas!BV6</f>
        <v>47178</v>
      </c>
      <c r="BG4" s="14">
        <f>+Tarifas!BW6</f>
        <v>47209</v>
      </c>
      <c r="BH4" s="14">
        <f>+Tarifas!BX6</f>
        <v>47239</v>
      </c>
      <c r="BI4" s="14">
        <f>+Tarifas!BY6</f>
        <v>47270</v>
      </c>
      <c r="BJ4" s="14">
        <f>+Tarifas!BZ6</f>
        <v>47300</v>
      </c>
      <c r="BK4" s="14">
        <f>+Tarifas!CA6</f>
        <v>47331</v>
      </c>
      <c r="BL4" s="14">
        <f>+Tarifas!CB6</f>
        <v>47362</v>
      </c>
      <c r="BM4" s="14">
        <f>+Tarifas!CC6</f>
        <v>47392</v>
      </c>
      <c r="BN4" s="14">
        <f>+Tarifas!CD6</f>
        <v>47423</v>
      </c>
      <c r="BO4" s="14">
        <f>+Tarifas!CE6</f>
        <v>47453</v>
      </c>
      <c r="BP4" s="14">
        <f>+Tarifas!CF6</f>
        <v>47484</v>
      </c>
      <c r="BQ4" s="14">
        <f>+Tarifas!CG6</f>
        <v>47515</v>
      </c>
      <c r="BR4" s="14">
        <f>+Tarifas!CH6</f>
        <v>47543</v>
      </c>
      <c r="BS4" s="14">
        <f>+Tarifas!CI6</f>
        <v>47574</v>
      </c>
      <c r="BT4" s="14">
        <f>+Tarifas!CJ6</f>
        <v>47604</v>
      </c>
      <c r="BU4" s="14">
        <f>+Tarifas!CK6</f>
        <v>47635</v>
      </c>
      <c r="BV4" s="14">
        <f>+Tarifas!CL6</f>
        <v>47665</v>
      </c>
      <c r="BW4" s="14">
        <f>+Tarifas!CM6</f>
        <v>47696</v>
      </c>
      <c r="BX4" s="14">
        <f>+Tarifas!CN6</f>
        <v>47727</v>
      </c>
      <c r="BY4" s="14">
        <f>+Tarifas!CO6</f>
        <v>47757</v>
      </c>
      <c r="BZ4" s="14">
        <f>+Tarifas!CP6</f>
        <v>47788</v>
      </c>
      <c r="CA4" s="14">
        <f>+Tarifas!CQ6</f>
        <v>47818</v>
      </c>
      <c r="CB4" s="14">
        <f>+Tarifas!CR6</f>
        <v>47849</v>
      </c>
      <c r="CC4" s="14">
        <f>+Tarifas!CS6</f>
        <v>47880</v>
      </c>
      <c r="CD4" s="14">
        <f>+Tarifas!CT6</f>
        <v>47908</v>
      </c>
      <c r="CE4" s="14">
        <f>+Tarifas!CU6</f>
        <v>47939</v>
      </c>
      <c r="CF4" s="14">
        <f>+Tarifas!CV6</f>
        <v>47969</v>
      </c>
      <c r="CG4" s="14">
        <f>+Tarifas!CW6</f>
        <v>48000</v>
      </c>
      <c r="CH4" s="14">
        <f>+Tarifas!CX6</f>
        <v>48030</v>
      </c>
      <c r="CI4" s="14">
        <f>+Tarifas!CY6</f>
        <v>48061</v>
      </c>
      <c r="CJ4" s="14">
        <f>+Tarifas!CZ6</f>
        <v>48092</v>
      </c>
      <c r="CK4" s="14">
        <f>+Tarifas!DA6</f>
        <v>48122</v>
      </c>
      <c r="CL4" s="14">
        <f>+Tarifas!DB6</f>
        <v>48153</v>
      </c>
      <c r="CM4" s="14">
        <f>+Tarifas!DC6</f>
        <v>48183</v>
      </c>
      <c r="CN4" s="14">
        <f>+Tarifas!DD6</f>
        <v>48214</v>
      </c>
      <c r="CO4" s="14">
        <f>+Tarifas!DE6</f>
        <v>48245</v>
      </c>
      <c r="CP4" s="14">
        <f>+Tarifas!DF6</f>
        <v>48274</v>
      </c>
      <c r="CQ4" s="14">
        <f>+Tarifas!DG6</f>
        <v>48305</v>
      </c>
      <c r="CR4" s="14">
        <f>+Tarifas!DH6</f>
        <v>48335</v>
      </c>
      <c r="CS4" s="14">
        <f>+Tarifas!DI6</f>
        <v>48366</v>
      </c>
      <c r="CT4" s="14">
        <f>+Tarifas!DJ6</f>
        <v>48396</v>
      </c>
      <c r="CU4" s="14">
        <f>+Tarifas!DK6</f>
        <v>48427</v>
      </c>
      <c r="CV4" s="14">
        <f>+Tarifas!DL6</f>
        <v>48458</v>
      </c>
      <c r="CW4" s="14">
        <f>+Tarifas!DM6</f>
        <v>48488</v>
      </c>
      <c r="CX4" s="14">
        <f>+Tarifas!DN6</f>
        <v>48519</v>
      </c>
      <c r="CY4" s="14">
        <f>+Tarifas!DO6</f>
        <v>48549</v>
      </c>
      <c r="CZ4" s="14">
        <f>+Tarifas!DP6</f>
        <v>48580</v>
      </c>
      <c r="DA4" s="14">
        <f>+Tarifas!DQ6</f>
        <v>48611</v>
      </c>
      <c r="DB4" s="14">
        <f>+Tarifas!DR6</f>
        <v>48639</v>
      </c>
      <c r="DC4" s="14">
        <f>+Tarifas!DS6</f>
        <v>48670</v>
      </c>
      <c r="DD4" s="14">
        <f>+Tarifas!DT6</f>
        <v>48700</v>
      </c>
      <c r="DE4" s="14">
        <f>+Tarifas!DU6</f>
        <v>48731</v>
      </c>
      <c r="DF4" s="14">
        <f>+Tarifas!DV6</f>
        <v>48761</v>
      </c>
      <c r="DG4" s="14">
        <f>+Tarifas!DW6</f>
        <v>48792</v>
      </c>
      <c r="DH4" s="14">
        <f>+Tarifas!DX6</f>
        <v>48823</v>
      </c>
      <c r="DI4" s="14">
        <f>+Tarifas!DY6</f>
        <v>48853</v>
      </c>
      <c r="DJ4" s="14">
        <f>+Tarifas!DZ6</f>
        <v>48884</v>
      </c>
      <c r="DK4" s="14">
        <f>+Tarifas!EA6</f>
        <v>48914</v>
      </c>
      <c r="DL4" s="14">
        <f>+Tarifas!EB6</f>
        <v>48945</v>
      </c>
      <c r="DM4" s="14">
        <f>+Tarifas!EC6</f>
        <v>48976</v>
      </c>
      <c r="DN4" s="14">
        <f>+Tarifas!ED6</f>
        <v>49004</v>
      </c>
      <c r="DO4" s="14">
        <f>+Tarifas!EE6</f>
        <v>49035</v>
      </c>
      <c r="DP4" s="14">
        <f>+Tarifas!EF6</f>
        <v>49065</v>
      </c>
      <c r="DQ4" s="14">
        <f>+Tarifas!EG6</f>
        <v>49096</v>
      </c>
      <c r="DR4" s="14">
        <f>+Tarifas!EH6</f>
        <v>49126</v>
      </c>
      <c r="DS4" s="14">
        <f>+Tarifas!EI6</f>
        <v>49157</v>
      </c>
      <c r="DT4" s="14">
        <f>+Tarifas!EJ6</f>
        <v>49188</v>
      </c>
      <c r="DU4" s="14">
        <f>+Tarifas!EK6</f>
        <v>49218</v>
      </c>
      <c r="DV4" s="14">
        <f>+Tarifas!EL6</f>
        <v>49249</v>
      </c>
      <c r="DW4" s="14">
        <f>+Tarifas!EM6</f>
        <v>49279</v>
      </c>
      <c r="DX4" s="14">
        <f>+Tarifas!EN6</f>
        <v>49310</v>
      </c>
      <c r="DY4" s="14">
        <f>+Tarifas!EO6</f>
        <v>49341</v>
      </c>
      <c r="DZ4" s="14">
        <f>+Tarifas!EP6</f>
        <v>49369</v>
      </c>
      <c r="EA4" s="14">
        <f>+Tarifas!EQ6</f>
        <v>49400</v>
      </c>
      <c r="EB4" s="14">
        <f>+Tarifas!ER6</f>
        <v>49430</v>
      </c>
      <c r="EC4" s="14">
        <f>+Tarifas!ES6</f>
        <v>49461</v>
      </c>
      <c r="ED4" s="14">
        <f>+Tarifas!ET6</f>
        <v>49491</v>
      </c>
      <c r="EE4" s="14">
        <f>+Tarifas!EU6</f>
        <v>49522</v>
      </c>
      <c r="EF4" s="14">
        <f>+Tarifas!EV6</f>
        <v>49553</v>
      </c>
      <c r="EG4" s="14">
        <f>+Tarifas!EW6</f>
        <v>49583</v>
      </c>
      <c r="EH4" s="14">
        <f>+Tarifas!EX6</f>
        <v>49614</v>
      </c>
      <c r="EI4" s="14">
        <f>+Tarifas!EY6</f>
        <v>49644</v>
      </c>
      <c r="EJ4" s="14">
        <f>+Tarifas!EZ6</f>
        <v>49675</v>
      </c>
      <c r="EK4" s="14">
        <f>+Tarifas!FA6</f>
        <v>49706</v>
      </c>
      <c r="EL4" s="14">
        <f>+Tarifas!FB6</f>
        <v>49735</v>
      </c>
      <c r="EM4" s="14">
        <f>+Tarifas!FC6</f>
        <v>49766</v>
      </c>
      <c r="EN4" s="14">
        <f>+Tarifas!FD6</f>
        <v>49796</v>
      </c>
      <c r="EO4" s="14">
        <f>+Tarifas!FE6</f>
        <v>49827</v>
      </c>
      <c r="EP4" s="14">
        <f>+Tarifas!FF6</f>
        <v>49857</v>
      </c>
      <c r="EQ4" s="14">
        <f>+Tarifas!FG6</f>
        <v>49888</v>
      </c>
      <c r="ER4" s="14">
        <f>+Tarifas!FH6</f>
        <v>49919</v>
      </c>
      <c r="ES4" s="14">
        <f>+Tarifas!FI6</f>
        <v>49949</v>
      </c>
      <c r="ET4" s="14">
        <f>+Tarifas!FJ6</f>
        <v>49980</v>
      </c>
      <c r="EU4" s="14">
        <f>+Tarifas!FK6</f>
        <v>50010</v>
      </c>
      <c r="EV4" s="14">
        <f>+Tarifas!FL6</f>
        <v>50041</v>
      </c>
      <c r="EW4" s="14">
        <f>+Tarifas!FM6</f>
        <v>50072</v>
      </c>
      <c r="EX4" s="14">
        <f>+Tarifas!FN6</f>
        <v>50100</v>
      </c>
      <c r="EY4" s="14">
        <f>+Tarifas!FO6</f>
        <v>50131</v>
      </c>
      <c r="EZ4" s="14">
        <f>+Tarifas!FP6</f>
        <v>50161</v>
      </c>
      <c r="FA4" s="14">
        <f>+Tarifas!FQ6</f>
        <v>50192</v>
      </c>
      <c r="FB4" s="14">
        <f>+Tarifas!FR6</f>
        <v>50222</v>
      </c>
      <c r="FC4" s="14">
        <f>+Tarifas!FS6</f>
        <v>50253</v>
      </c>
      <c r="FD4" s="14">
        <f>+Tarifas!FT6</f>
        <v>50284</v>
      </c>
      <c r="FE4" s="14">
        <f>+Tarifas!FU6</f>
        <v>50314</v>
      </c>
      <c r="FF4" s="14">
        <f>+Tarifas!FV6</f>
        <v>50345</v>
      </c>
      <c r="FG4" s="14">
        <f>+Tarifas!FW6</f>
        <v>50375</v>
      </c>
      <c r="FH4" s="14">
        <f>+Tarifas!FX6</f>
        <v>50406</v>
      </c>
      <c r="FI4" s="14">
        <f>+Tarifas!FY6</f>
        <v>50437</v>
      </c>
      <c r="FJ4" s="14">
        <f>+Tarifas!FZ6</f>
        <v>50465</v>
      </c>
      <c r="FK4" s="14">
        <f>+Tarifas!GA6</f>
        <v>50496</v>
      </c>
      <c r="FL4" s="14">
        <f>+Tarifas!GB6</f>
        <v>50526</v>
      </c>
      <c r="FM4" s="14">
        <f>+Tarifas!GC6</f>
        <v>50557</v>
      </c>
      <c r="FN4" s="14">
        <f>+Tarifas!GD6</f>
        <v>50587</v>
      </c>
      <c r="FO4" s="14">
        <f>+Tarifas!GE6</f>
        <v>50618</v>
      </c>
      <c r="FP4" s="14">
        <f>+Tarifas!GF6</f>
        <v>50649</v>
      </c>
      <c r="FQ4" s="14">
        <f>+Tarifas!GG6</f>
        <v>50679</v>
      </c>
      <c r="FR4" s="14">
        <f>+Tarifas!GH6</f>
        <v>50710</v>
      </c>
      <c r="FS4" s="14">
        <f>+Tarifas!GI6</f>
        <v>50740</v>
      </c>
      <c r="FT4" s="14">
        <f>+Tarifas!GJ6</f>
        <v>50771</v>
      </c>
      <c r="FU4" s="14">
        <f>+Tarifas!GK6</f>
        <v>50802</v>
      </c>
      <c r="FV4" s="14">
        <f>+Tarifas!GL6</f>
        <v>50830</v>
      </c>
      <c r="FW4" s="14">
        <f>+Tarifas!GM6</f>
        <v>50861</v>
      </c>
      <c r="FX4" s="14">
        <f>+Tarifas!GN6</f>
        <v>50891</v>
      </c>
      <c r="FY4" s="14">
        <f>+Tarifas!GO6</f>
        <v>50922</v>
      </c>
      <c r="FZ4" s="14">
        <f>+Tarifas!GP6</f>
        <v>50952</v>
      </c>
      <c r="GA4" s="14">
        <f>+Tarifas!GQ6</f>
        <v>50983</v>
      </c>
      <c r="GB4" s="14">
        <f>+Tarifas!GR6</f>
        <v>51014</v>
      </c>
      <c r="GC4" s="14">
        <f>+Tarifas!GS6</f>
        <v>51044</v>
      </c>
      <c r="GD4" s="14">
        <f>+Tarifas!GT6</f>
        <v>51075</v>
      </c>
      <c r="GE4" s="14">
        <f>+Tarifas!GU6</f>
        <v>51105</v>
      </c>
      <c r="GF4" s="14">
        <f>+Tarifas!GV6</f>
        <v>51136</v>
      </c>
      <c r="GG4" s="14">
        <f>+Tarifas!GW6</f>
        <v>51167</v>
      </c>
      <c r="GH4" s="14">
        <f>+Tarifas!GX6</f>
        <v>51196</v>
      </c>
      <c r="GI4" s="14">
        <f>+Tarifas!GY6</f>
        <v>51227</v>
      </c>
      <c r="GJ4" s="14">
        <f>+Tarifas!GZ6</f>
        <v>51257</v>
      </c>
      <c r="GK4" s="14">
        <f>+Tarifas!HA6</f>
        <v>51288</v>
      </c>
      <c r="GL4" s="14">
        <f>+Tarifas!HB6</f>
        <v>51318</v>
      </c>
      <c r="GM4" s="14">
        <f>+Tarifas!HC6</f>
        <v>51349</v>
      </c>
      <c r="GN4" s="14">
        <f>+Tarifas!HD6</f>
        <v>51380</v>
      </c>
      <c r="GO4" s="14">
        <f>+Tarifas!HE6</f>
        <v>51410</v>
      </c>
      <c r="GP4" s="14">
        <f>+Tarifas!HF6</f>
        <v>51441</v>
      </c>
      <c r="GQ4" s="14">
        <f>+Tarifas!HG6</f>
        <v>51471</v>
      </c>
      <c r="GR4" s="14">
        <f>+Tarifas!HH6</f>
        <v>51502</v>
      </c>
      <c r="GS4" s="14">
        <f>+Tarifas!HI6</f>
        <v>51533</v>
      </c>
      <c r="GT4" s="14">
        <f>+Tarifas!HJ6</f>
        <v>51561</v>
      </c>
      <c r="GU4" s="14">
        <f>+Tarifas!HK6</f>
        <v>51592</v>
      </c>
      <c r="GV4" s="14">
        <f>+Tarifas!HL6</f>
        <v>51622</v>
      </c>
      <c r="GW4" s="14">
        <f>+Tarifas!HM6</f>
        <v>51653</v>
      </c>
      <c r="GX4" s="14">
        <f>+Tarifas!HN6</f>
        <v>51683</v>
      </c>
      <c r="GY4" s="14">
        <f>+Tarifas!HO6</f>
        <v>51714</v>
      </c>
      <c r="GZ4" s="14">
        <f>+Tarifas!HP6</f>
        <v>51745</v>
      </c>
      <c r="HA4" s="14">
        <f>+Tarifas!HQ6</f>
        <v>51775</v>
      </c>
      <c r="HB4" s="14">
        <f>+Tarifas!HR6</f>
        <v>51806</v>
      </c>
      <c r="HC4" s="14">
        <f>+Tarifas!HS6</f>
        <v>51836</v>
      </c>
      <c r="HD4" s="14">
        <f>+Tarifas!HT6</f>
        <v>51867</v>
      </c>
      <c r="HE4" s="14">
        <f>+Tarifas!HU6</f>
        <v>51898</v>
      </c>
      <c r="HF4" s="14">
        <f>+Tarifas!HV6</f>
        <v>51926</v>
      </c>
      <c r="HG4" s="14">
        <f>+Tarifas!HW6</f>
        <v>51957</v>
      </c>
      <c r="HH4" s="14">
        <f>+Tarifas!HX6</f>
        <v>51987</v>
      </c>
      <c r="HI4" s="14">
        <f>+Tarifas!HY6</f>
        <v>52018</v>
      </c>
      <c r="HJ4" s="14">
        <f>+Tarifas!HZ6</f>
        <v>52048</v>
      </c>
      <c r="HK4" s="14">
        <f>+Tarifas!IA6</f>
        <v>52079</v>
      </c>
      <c r="HL4" s="14">
        <f>+Tarifas!IB6</f>
        <v>52110</v>
      </c>
      <c r="HM4" s="14">
        <f>+Tarifas!IC6</f>
        <v>52140</v>
      </c>
      <c r="HN4" s="14">
        <f>+Tarifas!ID6</f>
        <v>52171</v>
      </c>
      <c r="HO4" s="14">
        <f>+Tarifas!IE6</f>
        <v>52201</v>
      </c>
      <c r="HP4" s="14">
        <f>+Tarifas!IF6</f>
        <v>52232</v>
      </c>
      <c r="HQ4" s="14">
        <f>+Tarifas!IG6</f>
        <v>52263</v>
      </c>
      <c r="HR4" s="14">
        <f>+Tarifas!IH6</f>
        <v>52291</v>
      </c>
      <c r="HS4" s="14">
        <f>+Tarifas!II6</f>
        <v>52322</v>
      </c>
      <c r="HT4" s="14">
        <f>+Tarifas!IJ6</f>
        <v>52352</v>
      </c>
      <c r="HU4" s="14">
        <f>+Tarifas!IK6</f>
        <v>52383</v>
      </c>
      <c r="HV4" s="14">
        <f>+Tarifas!IL6</f>
        <v>52413</v>
      </c>
      <c r="HW4" s="14">
        <f>+Tarifas!IM6</f>
        <v>52444</v>
      </c>
      <c r="HX4" s="14">
        <f>+Tarifas!IN6</f>
        <v>52475</v>
      </c>
      <c r="HY4" s="14">
        <f>+Tarifas!IO6</f>
        <v>52505</v>
      </c>
      <c r="HZ4" s="14">
        <f>+Tarifas!IP6</f>
        <v>52536</v>
      </c>
      <c r="IA4" s="14">
        <f>+Tarifas!IQ6</f>
        <v>52566</v>
      </c>
      <c r="IB4" s="14">
        <f>+Tarifas!IR6</f>
        <v>52597</v>
      </c>
      <c r="IC4" s="14">
        <f>+Tarifas!IS6</f>
        <v>52628</v>
      </c>
      <c r="ID4" s="14">
        <f>+Tarifas!IT6</f>
        <v>52657</v>
      </c>
      <c r="IE4" s="14">
        <f>+Tarifas!IU6</f>
        <v>52688</v>
      </c>
      <c r="IF4" s="14">
        <f>+Tarifas!IV6</f>
        <v>52718</v>
      </c>
      <c r="IG4" s="14">
        <f>+Tarifas!IW6</f>
        <v>52749</v>
      </c>
      <c r="IH4" s="14">
        <f>+Tarifas!IX6</f>
        <v>52779</v>
      </c>
    </row>
    <row r="5" spans="1:242" x14ac:dyDescent="0.3">
      <c r="A5" t="s">
        <v>888</v>
      </c>
      <c r="C5" s="30">
        <f>+Tarifas!S7</f>
        <v>807.28</v>
      </c>
      <c r="D5" s="30">
        <f>+Tarifas!T7</f>
        <v>855.04</v>
      </c>
      <c r="E5" s="30">
        <f>+Tarifas!U7</f>
        <v>854.84</v>
      </c>
      <c r="F5" s="30">
        <f>+Tarifas!V7</f>
        <v>907.23</v>
      </c>
      <c r="G5" s="30">
        <f>+Tarifas!W7</f>
        <v>907.2</v>
      </c>
      <c r="H5" s="30">
        <f>+Tarifas!X7</f>
        <v>907.22</v>
      </c>
      <c r="I5" s="69">
        <f>+Tarifas!Y7</f>
        <v>943.46</v>
      </c>
      <c r="J5" s="30">
        <f>+Tarifas!Z7</f>
        <v>943.5</v>
      </c>
      <c r="K5" s="30">
        <f>+Tarifas!AA7</f>
        <v>943.46</v>
      </c>
      <c r="L5" s="30">
        <f>+Tarifas!AB7</f>
        <v>943.46</v>
      </c>
      <c r="M5" s="30">
        <f>+Tarifas!AC7</f>
        <v>938.16</v>
      </c>
      <c r="N5" s="30">
        <f>+Tarifas!AD7</f>
        <v>885.71</v>
      </c>
      <c r="O5" s="30">
        <f>+Tarifas!AE7</f>
        <v>885.7</v>
      </c>
      <c r="P5" s="30">
        <f>+Tarifas!AF7</f>
        <v>795</v>
      </c>
      <c r="Q5" s="30">
        <f>+Tarifas!AG7</f>
        <v>795</v>
      </c>
      <c r="R5" s="30">
        <f>+Tarifas!AH7</f>
        <v>795.93</v>
      </c>
      <c r="S5" s="30">
        <f>+Tarifas!AI7</f>
        <v>795.93</v>
      </c>
      <c r="T5" s="30">
        <f>+Tarifas!AJ7</f>
        <v>795.93</v>
      </c>
      <c r="U5" s="30">
        <f>+Tarifas!AK7</f>
        <v>795.93</v>
      </c>
      <c r="V5" s="30">
        <f>+Tarifas!AL7</f>
        <v>971.80500000000006</v>
      </c>
      <c r="W5" s="30">
        <f>+Tarifas!AM7</f>
        <v>971.76380000000006</v>
      </c>
      <c r="X5" s="30">
        <f>+Tarifas!AN7</f>
        <v>971.76380000000006</v>
      </c>
      <c r="Y5" s="30">
        <f>+Tarifas!AO7</f>
        <v>966.3048</v>
      </c>
      <c r="Z5" s="30">
        <f>+Tarifas!AP7</f>
        <v>912.2813000000001</v>
      </c>
      <c r="AA5" s="30">
        <f>+Tarifas!AQ7</f>
        <v>912.27100000000007</v>
      </c>
      <c r="AB5" s="30">
        <f>+Tarifas!AR7</f>
        <v>818.85</v>
      </c>
      <c r="AC5" s="30">
        <f>+Tarifas!AS7</f>
        <v>818.85</v>
      </c>
      <c r="AD5" s="30">
        <f>+Tarifas!AT7</f>
        <v>819.80790000000002</v>
      </c>
      <c r="AE5" s="30">
        <f>+Tarifas!AU7</f>
        <v>819.80790000000002</v>
      </c>
      <c r="AF5" s="30">
        <f>+Tarifas!AV7</f>
        <v>819.80790000000002</v>
      </c>
      <c r="AG5" s="30">
        <f>+Tarifas!AW7</f>
        <v>819.80790000000002</v>
      </c>
      <c r="AH5" s="30">
        <f>+Tarifas!AX7</f>
        <v>1000.9591500000001</v>
      </c>
      <c r="AI5" s="30">
        <f>+Tarifas!AY7</f>
        <v>1000.9167140000001</v>
      </c>
      <c r="AJ5" s="30">
        <f>+Tarifas!AZ7</f>
        <v>1000.9167140000001</v>
      </c>
      <c r="AK5" s="30">
        <f>+Tarifas!BA7</f>
        <v>995.29394400000001</v>
      </c>
      <c r="AL5" s="30">
        <f>+Tarifas!BB7</f>
        <v>939.64973900000018</v>
      </c>
      <c r="AM5" s="30">
        <f>+Tarifas!BC7</f>
        <v>939.63913000000014</v>
      </c>
      <c r="AN5" s="30">
        <f>+Tarifas!BD7</f>
        <v>843.41550000000007</v>
      </c>
      <c r="AO5" s="30">
        <f>+Tarifas!BE7</f>
        <v>843.41550000000007</v>
      </c>
      <c r="AP5" s="30">
        <f>+Tarifas!BF7</f>
        <v>844.40213700000004</v>
      </c>
      <c r="AQ5" s="30">
        <f>+Tarifas!BG7</f>
        <v>844.40213700000004</v>
      </c>
      <c r="AR5" s="30">
        <f>+Tarifas!BH7</f>
        <v>844.40213700000004</v>
      </c>
      <c r="AS5" s="30">
        <f>+Tarifas!BI7</f>
        <v>844.40213700000004</v>
      </c>
      <c r="AT5" s="30">
        <f>+Tarifas!BJ7</f>
        <v>1030.9879245000002</v>
      </c>
      <c r="AU5" s="30">
        <f>+Tarifas!BK7</f>
        <v>1030.9442154200001</v>
      </c>
      <c r="AV5" s="30">
        <f>+Tarifas!BL7</f>
        <v>1030.9442154200001</v>
      </c>
      <c r="AW5" s="30">
        <f>+Tarifas!BM7</f>
        <v>1025.15276232</v>
      </c>
      <c r="AX5" s="30">
        <f>+Tarifas!BN7</f>
        <v>967.83923117000018</v>
      </c>
      <c r="AY5" s="30">
        <f>+Tarifas!BO7</f>
        <v>967.82830390000015</v>
      </c>
      <c r="AZ5" s="30">
        <f>+Tarifas!BP7</f>
        <v>868.71796500000005</v>
      </c>
      <c r="BA5" s="30">
        <f>+Tarifas!BQ7</f>
        <v>868.71796500000005</v>
      </c>
      <c r="BB5" s="30">
        <f>+Tarifas!BR7</f>
        <v>869.73420111000007</v>
      </c>
      <c r="BC5" s="30">
        <f>+Tarifas!BS7</f>
        <v>869.73420111000007</v>
      </c>
      <c r="BD5" s="30">
        <f>+Tarifas!BT7</f>
        <v>869.73420111000007</v>
      </c>
      <c r="BE5" s="30">
        <f>+Tarifas!BU7</f>
        <v>869.73420111000007</v>
      </c>
      <c r="BF5" s="30">
        <f>+Tarifas!BV7</f>
        <v>1061.9175622350003</v>
      </c>
      <c r="BG5" s="30">
        <f>+Tarifas!BW7</f>
        <v>1061.8725418826002</v>
      </c>
      <c r="BH5" s="30">
        <f>+Tarifas!BX7</f>
        <v>1061.8725418826002</v>
      </c>
      <c r="BI5" s="30">
        <f>+Tarifas!BY7</f>
        <v>1055.9073451895999</v>
      </c>
      <c r="BJ5" s="30">
        <f>+Tarifas!BZ7</f>
        <v>996.8744081051002</v>
      </c>
      <c r="BK5" s="30">
        <f>+Tarifas!CA7</f>
        <v>996.86315301700017</v>
      </c>
      <c r="BL5" s="30">
        <f>+Tarifas!CB7</f>
        <v>894.77950395000005</v>
      </c>
      <c r="BM5" s="30">
        <f>+Tarifas!CC7</f>
        <v>894.77950395000005</v>
      </c>
      <c r="BN5" s="30">
        <f>+Tarifas!CD7</f>
        <v>895.82622714330012</v>
      </c>
      <c r="BO5" s="30">
        <f>+Tarifas!CE7</f>
        <v>895.82622714330012</v>
      </c>
      <c r="BP5" s="30">
        <f>+Tarifas!CF7</f>
        <v>895.82622714330012</v>
      </c>
      <c r="BQ5" s="30">
        <f>+Tarifas!CG7</f>
        <v>895.82622714330012</v>
      </c>
      <c r="BR5" s="30">
        <f>+Tarifas!CH7</f>
        <v>1093.7750891020503</v>
      </c>
      <c r="BS5" s="30">
        <f>+Tarifas!CI7</f>
        <v>1093.7287181390782</v>
      </c>
      <c r="BT5" s="30">
        <f>+Tarifas!CJ7</f>
        <v>1093.7287181390782</v>
      </c>
      <c r="BU5" s="30">
        <f>+Tarifas!CK7</f>
        <v>1087.5845655452879</v>
      </c>
      <c r="BV5" s="30">
        <f>+Tarifas!CL7</f>
        <v>1026.7806403482532</v>
      </c>
      <c r="BW5" s="30">
        <f>+Tarifas!CM7</f>
        <v>1026.7690476075102</v>
      </c>
      <c r="BX5" s="30">
        <f>+Tarifas!CN7</f>
        <v>921.62288906850006</v>
      </c>
      <c r="BY5" s="30">
        <f>+Tarifas!CO7</f>
        <v>921.62288906850006</v>
      </c>
      <c r="BZ5" s="30">
        <f>+Tarifas!CP7</f>
        <v>922.70101395759912</v>
      </c>
      <c r="CA5" s="30">
        <f>+Tarifas!CQ7</f>
        <v>922.70101395759912</v>
      </c>
      <c r="CB5" s="30">
        <f>+Tarifas!CR7</f>
        <v>922.70101395759912</v>
      </c>
      <c r="CC5" s="30">
        <f>+Tarifas!CS7</f>
        <v>922.70101395759912</v>
      </c>
      <c r="CD5" s="30">
        <f>+Tarifas!CT7</f>
        <v>1126.5883417751118</v>
      </c>
      <c r="CE5" s="30">
        <f>+Tarifas!CU7</f>
        <v>1126.5405796832506</v>
      </c>
      <c r="CF5" s="30">
        <f>+Tarifas!CV7</f>
        <v>1126.5405796832506</v>
      </c>
      <c r="CG5" s="30">
        <f>+Tarifas!CW7</f>
        <v>1120.2121025116467</v>
      </c>
      <c r="CH5" s="30">
        <f>+Tarifas!CX7</f>
        <v>1057.5840595587008</v>
      </c>
      <c r="CI5" s="30">
        <f>+Tarifas!CY7</f>
        <v>1057.5721190357356</v>
      </c>
      <c r="CJ5" s="30">
        <f>+Tarifas!CZ7</f>
        <v>949.27157574055514</v>
      </c>
      <c r="CK5" s="30">
        <f>+Tarifas!DA7</f>
        <v>949.27157574055514</v>
      </c>
      <c r="CL5" s="30">
        <f>+Tarifas!DB7</f>
        <v>950.38204437632714</v>
      </c>
      <c r="CM5" s="30">
        <f>+Tarifas!DC7</f>
        <v>950.38204437632714</v>
      </c>
      <c r="CN5" s="30">
        <f>+Tarifas!DD7</f>
        <v>950.38204437632714</v>
      </c>
      <c r="CO5" s="30">
        <f>+Tarifas!DE7</f>
        <v>950.38204437632714</v>
      </c>
      <c r="CP5" s="30">
        <f>+Tarifas!DF7</f>
        <v>1160.3859920283651</v>
      </c>
      <c r="CQ5" s="30">
        <f>+Tarifas!DG7</f>
        <v>1160.3367970737481</v>
      </c>
      <c r="CR5" s="30">
        <f>+Tarifas!DH7</f>
        <v>1160.3367970737481</v>
      </c>
      <c r="CS5" s="30">
        <f>+Tarifas!DI7</f>
        <v>1153.8184655869961</v>
      </c>
      <c r="CT5" s="30">
        <f>+Tarifas!DJ7</f>
        <v>1089.3115813454619</v>
      </c>
      <c r="CU5" s="30">
        <f>+Tarifas!DK7</f>
        <v>1089.2992826068078</v>
      </c>
      <c r="CV5" s="30">
        <f>+Tarifas!DL7</f>
        <v>977.74972301277182</v>
      </c>
      <c r="CW5" s="30">
        <f>+Tarifas!DM7</f>
        <v>977.74972301277182</v>
      </c>
      <c r="CX5" s="30">
        <f>+Tarifas!DN7</f>
        <v>978.89350570761701</v>
      </c>
      <c r="CY5" s="30">
        <f>+Tarifas!DO7</f>
        <v>978.89350570761701</v>
      </c>
      <c r="CZ5" s="30">
        <f>+Tarifas!DP7</f>
        <v>978.89350570761701</v>
      </c>
      <c r="DA5" s="30">
        <f>+Tarifas!DQ7</f>
        <v>978.89350570761701</v>
      </c>
      <c r="DB5" s="30">
        <f>+Tarifas!DR7</f>
        <v>1195.197571789216</v>
      </c>
      <c r="DC5" s="30">
        <f>+Tarifas!DS7</f>
        <v>1195.1469009859607</v>
      </c>
      <c r="DD5" s="30">
        <f>+Tarifas!DT7</f>
        <v>1195.1469009859607</v>
      </c>
      <c r="DE5" s="30">
        <f>+Tarifas!DU7</f>
        <v>1188.4330195546061</v>
      </c>
      <c r="DF5" s="30">
        <f>+Tarifas!DV7</f>
        <v>1121.9909287858259</v>
      </c>
      <c r="DG5" s="30">
        <f>+Tarifas!DW7</f>
        <v>1121.978261085012</v>
      </c>
      <c r="DH5" s="30">
        <f>+Tarifas!DX7</f>
        <v>1007.082214703155</v>
      </c>
      <c r="DI5" s="30">
        <f>+Tarifas!DY7</f>
        <v>1007.082214703155</v>
      </c>
      <c r="DJ5" s="30">
        <f>+Tarifas!DZ7</f>
        <v>1008.2603108788455</v>
      </c>
      <c r="DK5" s="30">
        <f>+Tarifas!EA7</f>
        <v>1008.2603108788455</v>
      </c>
      <c r="DL5" s="30">
        <f>+Tarifas!EB7</f>
        <v>1008.2603108788455</v>
      </c>
      <c r="DM5" s="30">
        <f>+Tarifas!EC7</f>
        <v>1008.2603108788455</v>
      </c>
      <c r="DN5" s="30">
        <f>+Tarifas!ED7</f>
        <v>1231.0534989428925</v>
      </c>
      <c r="DO5" s="30">
        <f>+Tarifas!EE7</f>
        <v>1231.0013080155395</v>
      </c>
      <c r="DP5" s="30">
        <f>+Tarifas!EF7</f>
        <v>1231.0013080155395</v>
      </c>
      <c r="DQ5" s="30">
        <f>+Tarifas!EG7</f>
        <v>1224.0860101412443</v>
      </c>
      <c r="DR5" s="30">
        <f>+Tarifas!EH7</f>
        <v>1155.6506566494006</v>
      </c>
      <c r="DS5" s="30">
        <f>+Tarifas!EI7</f>
        <v>1155.6376089175624</v>
      </c>
      <c r="DT5" s="30">
        <f>+Tarifas!EJ7</f>
        <v>1037.2946811442498</v>
      </c>
      <c r="DU5" s="30">
        <f>+Tarifas!EK7</f>
        <v>1037.2946811442498</v>
      </c>
      <c r="DV5" s="30">
        <f>+Tarifas!EL7</f>
        <v>1038.5081202052108</v>
      </c>
      <c r="DW5" s="30">
        <f>+Tarifas!EM7</f>
        <v>1038.5081202052108</v>
      </c>
      <c r="DX5" s="30">
        <f>+Tarifas!EN7</f>
        <v>1038.5081202052108</v>
      </c>
      <c r="DY5" s="30">
        <f>+Tarifas!EO7</f>
        <v>1038.5081202052108</v>
      </c>
      <c r="DZ5" s="30">
        <f>+Tarifas!EP7</f>
        <v>1267.9851039111793</v>
      </c>
      <c r="EA5" s="30">
        <f>+Tarifas!EQ7</f>
        <v>1267.9313472560057</v>
      </c>
      <c r="EB5" s="30">
        <f>+Tarifas!ER7</f>
        <v>1267.9313472560057</v>
      </c>
      <c r="EC5" s="30">
        <f>+Tarifas!ES7</f>
        <v>1260.8085904454817</v>
      </c>
      <c r="ED5" s="30">
        <f>+Tarifas!ET7</f>
        <v>1190.3201763488826</v>
      </c>
      <c r="EE5" s="30">
        <f>+Tarifas!EU7</f>
        <v>1190.3067371850893</v>
      </c>
      <c r="EF5" s="30">
        <f>+Tarifas!EV7</f>
        <v>1068.4135215785773</v>
      </c>
      <c r="EG5" s="30">
        <f>+Tarifas!EW7</f>
        <v>1068.4135215785773</v>
      </c>
      <c r="EH5" s="30">
        <f>+Tarifas!EX7</f>
        <v>1069.6633638113672</v>
      </c>
      <c r="EI5" s="30">
        <f>+Tarifas!EY7</f>
        <v>1069.6633638113672</v>
      </c>
      <c r="EJ5" s="30">
        <f>+Tarifas!EZ7</f>
        <v>1069.6633638113672</v>
      </c>
      <c r="EK5" s="30">
        <f>+Tarifas!FA7</f>
        <v>1069.6633638113672</v>
      </c>
      <c r="EL5" s="30">
        <f>+Tarifas!FB7</f>
        <v>1306.0246570285146</v>
      </c>
      <c r="EM5" s="30">
        <f>+Tarifas!FC7</f>
        <v>1305.9692876736858</v>
      </c>
      <c r="EN5" s="30">
        <f>+Tarifas!FD7</f>
        <v>1305.9692876736858</v>
      </c>
      <c r="EO5" s="30">
        <f>+Tarifas!FE7</f>
        <v>1298.6328481588462</v>
      </c>
      <c r="EP5" s="30">
        <f>+Tarifas!FF7</f>
        <v>1226.029781639349</v>
      </c>
      <c r="EQ5" s="30">
        <f>+Tarifas!FG7</f>
        <v>1226.015939300642</v>
      </c>
      <c r="ER5" s="30">
        <f>+Tarifas!FH7</f>
        <v>1100.4659272259346</v>
      </c>
      <c r="ES5" s="30">
        <f>+Tarifas!FI7</f>
        <v>1100.4659272259346</v>
      </c>
      <c r="ET5" s="30">
        <f>+Tarifas!FJ7</f>
        <v>1101.7532647257083</v>
      </c>
      <c r="EU5" s="30">
        <f>+Tarifas!FK7</f>
        <v>1101.7532647257083</v>
      </c>
      <c r="EV5" s="30">
        <f>+Tarifas!FL7</f>
        <v>1101.7532647257083</v>
      </c>
      <c r="EW5" s="30">
        <f>+Tarifas!FM7</f>
        <v>1101.7532647257083</v>
      </c>
      <c r="EX5" s="30">
        <f>+Tarifas!FN7</f>
        <v>1345.2053967393701</v>
      </c>
      <c r="EY5" s="30">
        <f>+Tarifas!FO7</f>
        <v>1345.1483663038964</v>
      </c>
      <c r="EZ5" s="30">
        <f>+Tarifas!FP7</f>
        <v>1345.1483663038964</v>
      </c>
      <c r="FA5" s="30">
        <f>+Tarifas!FQ7</f>
        <v>1337.5918336036116</v>
      </c>
      <c r="FB5" s="30">
        <f>+Tarifas!FR7</f>
        <v>1262.8106750885295</v>
      </c>
      <c r="FC5" s="30">
        <f>+Tarifas!FS7</f>
        <v>1262.7964174796614</v>
      </c>
      <c r="FD5" s="30">
        <f>+Tarifas!FT7</f>
        <v>1133.4799050427127</v>
      </c>
      <c r="FE5" s="30">
        <f>+Tarifas!FU7</f>
        <v>1133.4799050427127</v>
      </c>
      <c r="FF5" s="30">
        <f>+Tarifas!FV7</f>
        <v>1134.8058626674795</v>
      </c>
      <c r="FG5" s="30">
        <f>+Tarifas!FW7</f>
        <v>1134.8058626674795</v>
      </c>
      <c r="FH5" s="30">
        <f>+Tarifas!FX7</f>
        <v>1134.8058626674795</v>
      </c>
      <c r="FI5" s="30">
        <f>+Tarifas!FY7</f>
        <v>1134.8058626674795</v>
      </c>
      <c r="FJ5" s="30">
        <f>+Tarifas!FZ7</f>
        <v>1385.5615586415513</v>
      </c>
      <c r="FK5" s="30">
        <f>+Tarifas!GA7</f>
        <v>1385.5028172930133</v>
      </c>
      <c r="FL5" s="30">
        <f>+Tarifas!GB7</f>
        <v>1385.5028172930133</v>
      </c>
      <c r="FM5" s="30">
        <f>+Tarifas!GC7</f>
        <v>1377.7195886117199</v>
      </c>
      <c r="FN5" s="30">
        <f>+Tarifas!GD7</f>
        <v>1300.6949953411854</v>
      </c>
      <c r="FO5" s="30">
        <f>+Tarifas!GE7</f>
        <v>1300.6803100040513</v>
      </c>
      <c r="FP5" s="30">
        <f>+Tarifas!GF7</f>
        <v>1167.4843021939942</v>
      </c>
      <c r="FQ5" s="30">
        <f>+Tarifas!GG7</f>
        <v>1167.4843021939942</v>
      </c>
      <c r="FR5" s="30">
        <f>+Tarifas!GH7</f>
        <v>1168.8500385475038</v>
      </c>
      <c r="FS5" s="30">
        <f>+Tarifas!GI7</f>
        <v>1168.8500385475038</v>
      </c>
      <c r="FT5" s="30">
        <f>+Tarifas!GJ7</f>
        <v>1168.8500385475038</v>
      </c>
      <c r="FU5" s="30">
        <f>+Tarifas!GK7</f>
        <v>1168.8500385475038</v>
      </c>
      <c r="FV5" s="30">
        <f>+Tarifas!GL7</f>
        <v>1427.1284054007979</v>
      </c>
      <c r="FW5" s="30">
        <f>+Tarifas!GM7</f>
        <v>1427.0679018118037</v>
      </c>
      <c r="FX5" s="30">
        <f>+Tarifas!GN7</f>
        <v>1427.0679018118037</v>
      </c>
      <c r="FY5" s="30">
        <f>+Tarifas!GO7</f>
        <v>1419.0511762700717</v>
      </c>
      <c r="FZ5" s="30">
        <f>+Tarifas!GP7</f>
        <v>1339.715845201421</v>
      </c>
      <c r="GA5" s="30">
        <f>+Tarifas!GQ7</f>
        <v>1339.7007193041729</v>
      </c>
      <c r="GB5" s="30">
        <f>+Tarifas!GR7</f>
        <v>1202.5088312598141</v>
      </c>
      <c r="GC5" s="30">
        <f>+Tarifas!GS7</f>
        <v>1202.5088312598141</v>
      </c>
      <c r="GD5" s="30">
        <f>+Tarifas!GT7</f>
        <v>1203.915539703929</v>
      </c>
      <c r="GE5" s="30">
        <f>+Tarifas!GU7</f>
        <v>1203.915539703929</v>
      </c>
      <c r="GF5" s="30">
        <f>+Tarifas!GV7</f>
        <v>1203.915539703929</v>
      </c>
      <c r="GG5" s="30">
        <f>+Tarifas!GW7</f>
        <v>1203.915539703929</v>
      </c>
      <c r="GH5" s="30">
        <f>+Tarifas!GX7</f>
        <v>1469.9422575628219</v>
      </c>
      <c r="GI5" s="30">
        <f>+Tarifas!GY7</f>
        <v>1469.8799388661578</v>
      </c>
      <c r="GJ5" s="30">
        <f>+Tarifas!GZ7</f>
        <v>1469.8799388661578</v>
      </c>
      <c r="GK5" s="30">
        <f>+Tarifas!HA7</f>
        <v>1461.6227115581739</v>
      </c>
      <c r="GL5" s="30">
        <f>+Tarifas!HB7</f>
        <v>1379.9073205574637</v>
      </c>
      <c r="GM5" s="30">
        <f>+Tarifas!HC7</f>
        <v>1379.8917408832981</v>
      </c>
      <c r="GN5" s="30">
        <f>+Tarifas!HD7</f>
        <v>1238.5840961976085</v>
      </c>
      <c r="GO5" s="30">
        <f>+Tarifas!HE7</f>
        <v>1238.5840961976085</v>
      </c>
      <c r="GP5" s="30">
        <f>+Tarifas!HF7</f>
        <v>1240.0330058950469</v>
      </c>
      <c r="GQ5" s="30">
        <f>+Tarifas!HG7</f>
        <v>1240.0330058950469</v>
      </c>
      <c r="GR5" s="30">
        <f>+Tarifas!HH7</f>
        <v>1240.0330058950469</v>
      </c>
      <c r="GS5" s="30">
        <f>+Tarifas!HI7</f>
        <v>1240.0330058950469</v>
      </c>
      <c r="GT5" s="30">
        <f>+Tarifas!HJ7</f>
        <v>1514.0405252897065</v>
      </c>
      <c r="GU5" s="30">
        <f>+Tarifas!HK7</f>
        <v>1513.9763370321425</v>
      </c>
      <c r="GV5" s="30">
        <f>+Tarifas!HL7</f>
        <v>1513.9763370321425</v>
      </c>
      <c r="GW5" s="30">
        <f>+Tarifas!HM7</f>
        <v>1505.4713929049192</v>
      </c>
      <c r="GX5" s="30">
        <f>+Tarifas!HN7</f>
        <v>1421.3045401741877</v>
      </c>
      <c r="GY5" s="30">
        <f>+Tarifas!HO7</f>
        <v>1421.2884931097972</v>
      </c>
      <c r="GZ5" s="30">
        <f>+Tarifas!HP7</f>
        <v>1275.7416190835368</v>
      </c>
      <c r="HA5" s="30">
        <f>+Tarifas!HQ7</f>
        <v>1275.7416190835368</v>
      </c>
      <c r="HB5" s="30">
        <f>+Tarifas!HR7</f>
        <v>1277.2339960718984</v>
      </c>
      <c r="HC5" s="30">
        <f>+Tarifas!HS7</f>
        <v>1277.2339960718984</v>
      </c>
      <c r="HD5" s="30">
        <f>+Tarifas!HT7</f>
        <v>1277.2339960718984</v>
      </c>
      <c r="HE5" s="30">
        <f>+Tarifas!HU7</f>
        <v>1277.2339960718984</v>
      </c>
      <c r="HF5" s="30">
        <f>+Tarifas!HV7</f>
        <v>1559.4617410483977</v>
      </c>
      <c r="HG5" s="30">
        <f>+Tarifas!HW7</f>
        <v>1559.3956271431068</v>
      </c>
      <c r="HH5" s="30">
        <f>+Tarifas!HX7</f>
        <v>1559.3956271431068</v>
      </c>
      <c r="HI5" s="30">
        <f>+Tarifas!HY7</f>
        <v>1550.6355346920668</v>
      </c>
      <c r="HJ5" s="30">
        <f>+Tarifas!HZ7</f>
        <v>1463.9436763794133</v>
      </c>
      <c r="HK5" s="30">
        <f>+Tarifas!IA7</f>
        <v>1463.9271479030911</v>
      </c>
      <c r="HL5" s="30">
        <f>+Tarifas!IB7</f>
        <v>1314.013867656043</v>
      </c>
      <c r="HM5" s="30">
        <f>+Tarifas!IC7</f>
        <v>1314.013867656043</v>
      </c>
      <c r="HN5" s="30">
        <f>+Tarifas!ID7</f>
        <v>1315.5510159540554</v>
      </c>
      <c r="HO5" s="30">
        <f>+Tarifas!IE7</f>
        <v>1315.5510159540554</v>
      </c>
      <c r="HP5" s="30">
        <f>+Tarifas!IF7</f>
        <v>1315.5510159540554</v>
      </c>
      <c r="HQ5" s="30">
        <f>+Tarifas!IG7</f>
        <v>1315.5510159540554</v>
      </c>
      <c r="HR5" s="30">
        <f>+Tarifas!IH7</f>
        <v>1606.2455932798496</v>
      </c>
      <c r="HS5" s="30">
        <f>+Tarifas!II7</f>
        <v>1606.1774959574</v>
      </c>
      <c r="HT5" s="30">
        <f>+Tarifas!IJ7</f>
        <v>1606.1774959574</v>
      </c>
      <c r="HU5" s="30">
        <f>+Tarifas!IK7</f>
        <v>1597.1546007328288</v>
      </c>
      <c r="HV5" s="30">
        <f>+Tarifas!IL7</f>
        <v>1507.8619866707957</v>
      </c>
      <c r="HW5" s="30">
        <f>+Tarifas!IM7</f>
        <v>1507.8449623401839</v>
      </c>
      <c r="HX5" s="30">
        <f>+Tarifas!IN7</f>
        <v>1353.4342836857243</v>
      </c>
      <c r="HY5" s="30">
        <f>+Tarifas!IO7</f>
        <v>1353.4342836857243</v>
      </c>
      <c r="HZ5" s="30">
        <f>+Tarifas!IP7</f>
        <v>1355.0175464326771</v>
      </c>
      <c r="IA5" s="30">
        <f>+Tarifas!IQ7</f>
        <v>1355.0175464326771</v>
      </c>
      <c r="IB5" s="30">
        <f>+Tarifas!IR7</f>
        <v>1355.0175464326771</v>
      </c>
      <c r="IC5" s="30">
        <f>+Tarifas!IS7</f>
        <v>1355.0175464326771</v>
      </c>
      <c r="ID5" s="30">
        <f>+Tarifas!IT7</f>
        <v>1654.4329610782452</v>
      </c>
      <c r="IE5" s="30">
        <f>+Tarifas!IU7</f>
        <v>1654.362820836122</v>
      </c>
      <c r="IF5" s="30">
        <f>+Tarifas!IV7</f>
        <v>1654.362820836122</v>
      </c>
      <c r="IG5" s="30">
        <f>+Tarifas!IW7</f>
        <v>1645.0692387548138</v>
      </c>
      <c r="IH5" s="30">
        <f>+Tarifas!IX7</f>
        <v>1553.0978462709195</v>
      </c>
    </row>
    <row r="6" spans="1:242" x14ac:dyDescent="0.3">
      <c r="A6" t="s">
        <v>885</v>
      </c>
      <c r="C6" s="30">
        <f>+Tarifas!S8</f>
        <v>125.95</v>
      </c>
      <c r="D6" s="30">
        <f>+Tarifas!T8</f>
        <v>128.91999999999999</v>
      </c>
      <c r="E6" s="30">
        <f>+Tarifas!U8</f>
        <v>135.29</v>
      </c>
      <c r="F6" s="30">
        <f>+Tarifas!V8</f>
        <v>139</v>
      </c>
      <c r="G6" s="30">
        <f>+Tarifas!W8</f>
        <v>147.13</v>
      </c>
      <c r="H6" s="30">
        <f>+Tarifas!X8</f>
        <v>154.19999999999999</v>
      </c>
      <c r="I6" s="69">
        <f>+Tarifas!Y8</f>
        <v>159.19</v>
      </c>
      <c r="J6" s="30">
        <f>+Tarifas!Z8</f>
        <v>156.6</v>
      </c>
      <c r="K6" s="30">
        <f>+Tarifas!AA8</f>
        <v>160.06</v>
      </c>
      <c r="L6" s="30">
        <f>+Tarifas!AB8</f>
        <v>154.88999999999999</v>
      </c>
      <c r="M6" s="30">
        <f>+Tarifas!AC8</f>
        <v>153.61000000000001</v>
      </c>
      <c r="N6" s="30">
        <f>+Tarifas!AD8</f>
        <v>151.97</v>
      </c>
      <c r="O6" s="30">
        <f>+Tarifas!AE8</f>
        <v>132.69999999999999</v>
      </c>
      <c r="P6" s="30">
        <f>+Tarifas!AF8</f>
        <v>133.16</v>
      </c>
      <c r="Q6" s="30">
        <f>+Tarifas!AG8</f>
        <v>121.2</v>
      </c>
      <c r="R6" s="30">
        <f>+Tarifas!AH8</f>
        <v>119.83</v>
      </c>
      <c r="S6" s="30">
        <f>+Tarifas!AI8</f>
        <v>151.54390000000001</v>
      </c>
      <c r="T6" s="30">
        <f>+Tarifas!AJ8</f>
        <v>158.82599999999999</v>
      </c>
      <c r="U6" s="30">
        <f>+Tarifas!AK8</f>
        <v>163.9657</v>
      </c>
      <c r="V6" s="30">
        <f>+Tarifas!AL8</f>
        <v>161.298</v>
      </c>
      <c r="W6" s="30">
        <f>+Tarifas!AM8</f>
        <v>164.86180000000002</v>
      </c>
      <c r="X6" s="30">
        <f>+Tarifas!AN8</f>
        <v>159.5367</v>
      </c>
      <c r="Y6" s="30">
        <f>+Tarifas!AO8</f>
        <v>158.21830000000003</v>
      </c>
      <c r="Z6" s="30">
        <f>+Tarifas!AP8</f>
        <v>156.5291</v>
      </c>
      <c r="AA6" s="30">
        <f>+Tarifas!AQ8</f>
        <v>136.68099999999998</v>
      </c>
      <c r="AB6" s="30">
        <f>+Tarifas!AR8</f>
        <v>137.15479999999999</v>
      </c>
      <c r="AC6" s="30">
        <f>+Tarifas!AS8</f>
        <v>124.83600000000001</v>
      </c>
      <c r="AD6" s="30">
        <f>+Tarifas!AT8</f>
        <v>123.42490000000001</v>
      </c>
      <c r="AE6" s="30">
        <f>+Tarifas!AU8</f>
        <v>156.09021700000002</v>
      </c>
      <c r="AF6" s="30">
        <f>+Tarifas!AV8</f>
        <v>163.59078</v>
      </c>
      <c r="AG6" s="30">
        <f>+Tarifas!AW8</f>
        <v>168.884671</v>
      </c>
      <c r="AH6" s="30">
        <f>+Tarifas!AX8</f>
        <v>166.13694000000001</v>
      </c>
      <c r="AI6" s="30">
        <f>+Tarifas!AY8</f>
        <v>169.80765400000001</v>
      </c>
      <c r="AJ6" s="30">
        <f>+Tarifas!AZ8</f>
        <v>164.322801</v>
      </c>
      <c r="AK6" s="30">
        <f>+Tarifas!BA8</f>
        <v>162.96484900000004</v>
      </c>
      <c r="AL6" s="30">
        <f>+Tarifas!BB8</f>
        <v>161.22497300000001</v>
      </c>
      <c r="AM6" s="30">
        <f>+Tarifas!BC8</f>
        <v>140.78143</v>
      </c>
      <c r="AN6" s="30">
        <f>+Tarifas!BD8</f>
        <v>141.26944399999999</v>
      </c>
      <c r="AO6" s="30">
        <f>+Tarifas!BE8</f>
        <v>128.58108000000001</v>
      </c>
      <c r="AP6" s="30">
        <f>+Tarifas!BF8</f>
        <v>127.12764700000001</v>
      </c>
      <c r="AQ6" s="30">
        <f>+Tarifas!BG8</f>
        <v>160.77292351000003</v>
      </c>
      <c r="AR6" s="30">
        <f>+Tarifas!BH8</f>
        <v>168.4985034</v>
      </c>
      <c r="AS6" s="30">
        <f>+Tarifas!BI8</f>
        <v>173.95121112999999</v>
      </c>
      <c r="AT6" s="30">
        <f>+Tarifas!BJ8</f>
        <v>171.12104820000002</v>
      </c>
      <c r="AU6" s="30">
        <f>+Tarifas!BK8</f>
        <v>174.90188362000001</v>
      </c>
      <c r="AV6" s="30">
        <f>+Tarifas!BL8</f>
        <v>169.25248503</v>
      </c>
      <c r="AW6" s="30">
        <f>+Tarifas!BM8</f>
        <v>167.85379447000005</v>
      </c>
      <c r="AX6" s="30">
        <f>+Tarifas!BN8</f>
        <v>166.06172219000001</v>
      </c>
      <c r="AY6" s="30">
        <f>+Tarifas!BO8</f>
        <v>145.00487290000001</v>
      </c>
      <c r="AZ6" s="30">
        <f>+Tarifas!BP8</f>
        <v>145.50752732000001</v>
      </c>
      <c r="BA6" s="30">
        <f>+Tarifas!BQ8</f>
        <v>132.43851240000001</v>
      </c>
      <c r="BB6" s="30">
        <f>+Tarifas!BR8</f>
        <v>130.94147641000001</v>
      </c>
      <c r="BC6" s="30">
        <f>+Tarifas!BS8</f>
        <v>165.59611121530003</v>
      </c>
      <c r="BD6" s="30">
        <f>+Tarifas!BT8</f>
        <v>173.55345850200001</v>
      </c>
      <c r="BE6" s="30">
        <f>+Tarifas!BU8</f>
        <v>179.16974746389999</v>
      </c>
      <c r="BF6" s="30">
        <f>+Tarifas!BV8</f>
        <v>176.25467964600003</v>
      </c>
      <c r="BG6" s="30">
        <f>+Tarifas!BW8</f>
        <v>180.1489401286</v>
      </c>
      <c r="BH6" s="30">
        <f>+Tarifas!BX8</f>
        <v>174.33005958090001</v>
      </c>
      <c r="BI6" s="30">
        <f>+Tarifas!BY8</f>
        <v>172.88940830410007</v>
      </c>
      <c r="BJ6" s="30">
        <f>+Tarifas!BZ8</f>
        <v>171.0435738557</v>
      </c>
      <c r="BK6" s="30">
        <f>+Tarifas!CA8</f>
        <v>149.35501908700002</v>
      </c>
      <c r="BL6" s="30">
        <f>+Tarifas!CB8</f>
        <v>149.87275313960001</v>
      </c>
      <c r="BM6" s="30">
        <f>+Tarifas!CC8</f>
        <v>136.41166777200002</v>
      </c>
      <c r="BN6" s="30">
        <f>+Tarifas!CD8</f>
        <v>134.86972070230001</v>
      </c>
      <c r="BO6" s="30">
        <f>+Tarifas!CE8</f>
        <v>170.56399455175904</v>
      </c>
      <c r="BP6" s="30">
        <f>+Tarifas!CF8</f>
        <v>178.76006225706001</v>
      </c>
      <c r="BQ6" s="30">
        <f>+Tarifas!CG8</f>
        <v>184.54483988781701</v>
      </c>
      <c r="BR6" s="30">
        <f>+Tarifas!CH8</f>
        <v>181.54232003538004</v>
      </c>
      <c r="BS6" s="30">
        <f>+Tarifas!CI8</f>
        <v>185.55340833245802</v>
      </c>
      <c r="BT6" s="30">
        <f>+Tarifas!CJ8</f>
        <v>179.55996136832701</v>
      </c>
      <c r="BU6" s="30">
        <f>+Tarifas!CK8</f>
        <v>178.07609055322308</v>
      </c>
      <c r="BV6" s="30">
        <f>+Tarifas!CL8</f>
        <v>176.174881071371</v>
      </c>
      <c r="BW6" s="30">
        <f>+Tarifas!CM8</f>
        <v>153.83566965961003</v>
      </c>
      <c r="BX6" s="30">
        <f>+Tarifas!CN8</f>
        <v>154.36893573378802</v>
      </c>
      <c r="BY6" s="30">
        <f>+Tarifas!CO8</f>
        <v>140.50401780516003</v>
      </c>
      <c r="BZ6" s="30">
        <f>+Tarifas!CP8</f>
        <v>138.91581232336901</v>
      </c>
      <c r="CA6" s="30">
        <f>+Tarifas!CQ8</f>
        <v>175.68091438831181</v>
      </c>
      <c r="CB6" s="30">
        <f>+Tarifas!CR8</f>
        <v>184.12286412477181</v>
      </c>
      <c r="CC6" s="30">
        <f>+Tarifas!CS8</f>
        <v>190.08118508445153</v>
      </c>
      <c r="CD6" s="30">
        <f>+Tarifas!CT8</f>
        <v>186.98858963644145</v>
      </c>
      <c r="CE6" s="30">
        <f>+Tarifas!CU8</f>
        <v>191.12001058243177</v>
      </c>
      <c r="CF6" s="30">
        <f>+Tarifas!CV8</f>
        <v>184.94676020937683</v>
      </c>
      <c r="CG6" s="30">
        <f>+Tarifas!CW8</f>
        <v>183.41837326981977</v>
      </c>
      <c r="CH6" s="30">
        <f>+Tarifas!CX8</f>
        <v>181.46012750351213</v>
      </c>
      <c r="CI6" s="30">
        <f>+Tarifas!CY8</f>
        <v>158.45073974939834</v>
      </c>
      <c r="CJ6" s="30">
        <f>+Tarifas!CZ8</f>
        <v>159.00000380580167</v>
      </c>
      <c r="CK6" s="30">
        <f>+Tarifas!DA8</f>
        <v>144.71913833931484</v>
      </c>
      <c r="CL6" s="30">
        <f>+Tarifas!DB8</f>
        <v>143.08328669307008</v>
      </c>
      <c r="CM6" s="30">
        <f>+Tarifas!DC8</f>
        <v>180.95134181996116</v>
      </c>
      <c r="CN6" s="30">
        <f>+Tarifas!DD8</f>
        <v>189.64655004851497</v>
      </c>
      <c r="CO6" s="30">
        <f>+Tarifas!DE8</f>
        <v>195.78362063698509</v>
      </c>
      <c r="CP6" s="30">
        <f>+Tarifas!DF8</f>
        <v>192.59824732553469</v>
      </c>
      <c r="CQ6" s="30">
        <f>+Tarifas!DG8</f>
        <v>196.85361089990474</v>
      </c>
      <c r="CR6" s="30">
        <f>+Tarifas!DH8</f>
        <v>190.49516301565814</v>
      </c>
      <c r="CS6" s="30">
        <f>+Tarifas!DI8</f>
        <v>188.92092446791438</v>
      </c>
      <c r="CT6" s="30">
        <f>+Tarifas!DJ8</f>
        <v>186.90393132861749</v>
      </c>
      <c r="CU6" s="30">
        <f>+Tarifas!DK8</f>
        <v>163.2042619418803</v>
      </c>
      <c r="CV6" s="30">
        <f>+Tarifas!DL8</f>
        <v>163.77000391997572</v>
      </c>
      <c r="CW6" s="30">
        <f>+Tarifas!DM8</f>
        <v>149.06071248949428</v>
      </c>
      <c r="CX6" s="30">
        <f>+Tarifas!DN8</f>
        <v>147.37578529386218</v>
      </c>
      <c r="CY6" s="30">
        <f>+Tarifas!DO8</f>
        <v>186.37988207455999</v>
      </c>
      <c r="CZ6" s="30">
        <f>+Tarifas!DP8</f>
        <v>195.33594654997043</v>
      </c>
      <c r="DA6" s="30">
        <f>+Tarifas!DQ8</f>
        <v>201.65712925609466</v>
      </c>
      <c r="DB6" s="30">
        <f>+Tarifas!DR8</f>
        <v>198.37619474530072</v>
      </c>
      <c r="DC6" s="30">
        <f>+Tarifas!DS8</f>
        <v>202.75921922690188</v>
      </c>
      <c r="DD6" s="30">
        <f>+Tarifas!DT8</f>
        <v>196.21001790612789</v>
      </c>
      <c r="DE6" s="30">
        <f>+Tarifas!DU8</f>
        <v>194.58855220195181</v>
      </c>
      <c r="DF6" s="30">
        <f>+Tarifas!DV8</f>
        <v>192.51104926847603</v>
      </c>
      <c r="DG6" s="30">
        <f>+Tarifas!DW8</f>
        <v>168.10038980013672</v>
      </c>
      <c r="DH6" s="30">
        <f>+Tarifas!DX8</f>
        <v>168.68310403757499</v>
      </c>
      <c r="DI6" s="30">
        <f>+Tarifas!DY8</f>
        <v>153.5325338641791</v>
      </c>
      <c r="DJ6" s="30">
        <f>+Tarifas!DZ8</f>
        <v>151.79705885267805</v>
      </c>
      <c r="DK6" s="30">
        <f>+Tarifas!EA8</f>
        <v>191.9712785367968</v>
      </c>
      <c r="DL6" s="30">
        <f>+Tarifas!EB8</f>
        <v>201.19602494646955</v>
      </c>
      <c r="DM6" s="30">
        <f>+Tarifas!EC8</f>
        <v>207.70684313377751</v>
      </c>
      <c r="DN6" s="30">
        <f>+Tarifas!ED8</f>
        <v>204.32748058765975</v>
      </c>
      <c r="DO6" s="30">
        <f>+Tarifas!EE8</f>
        <v>208.84199580370893</v>
      </c>
      <c r="DP6" s="30">
        <f>+Tarifas!EF8</f>
        <v>202.09631844331173</v>
      </c>
      <c r="DQ6" s="30">
        <f>+Tarifas!EG8</f>
        <v>200.42620876801038</v>
      </c>
      <c r="DR6" s="30">
        <f>+Tarifas!EH8</f>
        <v>198.28638074653031</v>
      </c>
      <c r="DS6" s="30">
        <f>+Tarifas!EI8</f>
        <v>173.14340149414082</v>
      </c>
      <c r="DT6" s="30">
        <f>+Tarifas!EJ8</f>
        <v>173.74359715870224</v>
      </c>
      <c r="DU6" s="30">
        <f>+Tarifas!EK8</f>
        <v>158.13850988010446</v>
      </c>
      <c r="DV6" s="30">
        <f>+Tarifas!EL8</f>
        <v>156.3509706182584</v>
      </c>
      <c r="DW6" s="30">
        <f>+Tarifas!EM8</f>
        <v>197.73041689290071</v>
      </c>
      <c r="DX6" s="30">
        <f>+Tarifas!EN8</f>
        <v>207.23190569486363</v>
      </c>
      <c r="DY6" s="30">
        <f>+Tarifas!EO8</f>
        <v>213.93804842779085</v>
      </c>
      <c r="DZ6" s="30">
        <f>+Tarifas!EP8</f>
        <v>210.45730500528956</v>
      </c>
      <c r="EA6" s="30">
        <f>+Tarifas!EQ8</f>
        <v>215.10725567782021</v>
      </c>
      <c r="EB6" s="30">
        <f>+Tarifas!ER8</f>
        <v>208.15920799661109</v>
      </c>
      <c r="EC6" s="30">
        <f>+Tarifas!ES8</f>
        <v>206.43899503105069</v>
      </c>
      <c r="ED6" s="30">
        <f>+Tarifas!ET8</f>
        <v>204.23497216892622</v>
      </c>
      <c r="EE6" s="30">
        <f>+Tarifas!EU8</f>
        <v>178.33770353896506</v>
      </c>
      <c r="EF6" s="30">
        <f>+Tarifas!EV8</f>
        <v>178.95590507346333</v>
      </c>
      <c r="EG6" s="30">
        <f>+Tarifas!EW8</f>
        <v>162.8826651765076</v>
      </c>
      <c r="EH6" s="30">
        <f>+Tarifas!EX8</f>
        <v>161.04149973680614</v>
      </c>
      <c r="EI6" s="30">
        <f>+Tarifas!EY8</f>
        <v>203.66232939968774</v>
      </c>
      <c r="EJ6" s="30">
        <f>+Tarifas!EZ8</f>
        <v>213.44886286570954</v>
      </c>
      <c r="EK6" s="30">
        <f>+Tarifas!FA8</f>
        <v>220.35618988062458</v>
      </c>
      <c r="EL6" s="30">
        <f>+Tarifas!FB8</f>
        <v>216.77102415544826</v>
      </c>
      <c r="EM6" s="30">
        <f>+Tarifas!FC8</f>
        <v>221.56047334815483</v>
      </c>
      <c r="EN6" s="30">
        <f>+Tarifas!FD8</f>
        <v>214.40398423650942</v>
      </c>
      <c r="EO6" s="30">
        <f>+Tarifas!FE8</f>
        <v>212.63216488198222</v>
      </c>
      <c r="EP6" s="30">
        <f>+Tarifas!FF8</f>
        <v>210.36202133399402</v>
      </c>
      <c r="EQ6" s="30">
        <f>+Tarifas!FG8</f>
        <v>183.68783464513402</v>
      </c>
      <c r="ER6" s="30">
        <f>+Tarifas!FH8</f>
        <v>184.32458222566723</v>
      </c>
      <c r="ES6" s="30">
        <f>+Tarifas!FI8</f>
        <v>167.76914513180284</v>
      </c>
      <c r="ET6" s="30">
        <f>+Tarifas!FJ8</f>
        <v>165.87274472891033</v>
      </c>
      <c r="EU6" s="30">
        <f>+Tarifas!FK8</f>
        <v>209.77219928167838</v>
      </c>
      <c r="EV6" s="30">
        <f>+Tarifas!FL8</f>
        <v>219.85232875168083</v>
      </c>
      <c r="EW6" s="30">
        <f>+Tarifas!FM8</f>
        <v>226.96687557704334</v>
      </c>
      <c r="EX6" s="30">
        <f>+Tarifas!FN8</f>
        <v>223.27415488011172</v>
      </c>
      <c r="EY6" s="30">
        <f>+Tarifas!FO8</f>
        <v>228.20728754859948</v>
      </c>
      <c r="EZ6" s="30">
        <f>+Tarifas!FP8</f>
        <v>220.83610376360471</v>
      </c>
      <c r="FA6" s="30">
        <f>+Tarifas!FQ8</f>
        <v>219.01112982844168</v>
      </c>
      <c r="FB6" s="30">
        <f>+Tarifas!FR8</f>
        <v>216.67288197401385</v>
      </c>
      <c r="FC6" s="30">
        <f>+Tarifas!FS8</f>
        <v>189.19846968448803</v>
      </c>
      <c r="FD6" s="30">
        <f>+Tarifas!FT8</f>
        <v>189.85431969243726</v>
      </c>
      <c r="FE6" s="30">
        <f>+Tarifas!FU8</f>
        <v>172.80221948575692</v>
      </c>
      <c r="FF6" s="30">
        <f>+Tarifas!FV8</f>
        <v>170.84892707077765</v>
      </c>
      <c r="FG6" s="30">
        <f>+Tarifas!FW8</f>
        <v>216.06536526012874</v>
      </c>
      <c r="FH6" s="30">
        <f>+Tarifas!FX8</f>
        <v>226.44789861423126</v>
      </c>
      <c r="FI6" s="30">
        <f>+Tarifas!FY8</f>
        <v>233.77588184435464</v>
      </c>
      <c r="FJ6" s="30">
        <f>+Tarifas!FZ8</f>
        <v>229.97237952651508</v>
      </c>
      <c r="FK6" s="30">
        <f>+Tarifas!GA8</f>
        <v>235.05350617505746</v>
      </c>
      <c r="FL6" s="30">
        <f>+Tarifas!GB8</f>
        <v>227.46118687651287</v>
      </c>
      <c r="FM6" s="30">
        <f>+Tarifas!GC8</f>
        <v>225.58146372329495</v>
      </c>
      <c r="FN6" s="30">
        <f>+Tarifas!GD8</f>
        <v>223.17306843323428</v>
      </c>
      <c r="FO6" s="30">
        <f>+Tarifas!GE8</f>
        <v>194.87442377502268</v>
      </c>
      <c r="FP6" s="30">
        <f>+Tarifas!GF8</f>
        <v>195.54994928321037</v>
      </c>
      <c r="FQ6" s="30">
        <f>+Tarifas!GG8</f>
        <v>177.98628607032964</v>
      </c>
      <c r="FR6" s="30">
        <f>+Tarifas!GH8</f>
        <v>175.97439488290098</v>
      </c>
      <c r="FS6" s="30">
        <f>+Tarifas!GI8</f>
        <v>222.54732621793261</v>
      </c>
      <c r="FT6" s="30">
        <f>+Tarifas!GJ8</f>
        <v>233.24133557265822</v>
      </c>
      <c r="FU6" s="30">
        <f>+Tarifas!GK8</f>
        <v>240.78915829968528</v>
      </c>
      <c r="FV6" s="30">
        <f>+Tarifas!GL8</f>
        <v>236.87155091231054</v>
      </c>
      <c r="FW6" s="30">
        <f>+Tarifas!GM8</f>
        <v>242.10511136030919</v>
      </c>
      <c r="FX6" s="30">
        <f>+Tarifas!GN8</f>
        <v>234.28502248280827</v>
      </c>
      <c r="FY6" s="30">
        <f>+Tarifas!GO8</f>
        <v>232.34890763499379</v>
      </c>
      <c r="FZ6" s="30">
        <f>+Tarifas!GP8</f>
        <v>229.86826048623132</v>
      </c>
      <c r="GA6" s="30">
        <f>+Tarifas!GQ8</f>
        <v>200.72065648827336</v>
      </c>
      <c r="GB6" s="30">
        <f>+Tarifas!GR8</f>
        <v>201.41644776170668</v>
      </c>
      <c r="GC6" s="30">
        <f>+Tarifas!GS8</f>
        <v>183.32587465243952</v>
      </c>
      <c r="GD6" s="30">
        <f>+Tarifas!GT8</f>
        <v>181.253626729388</v>
      </c>
      <c r="GE6" s="30">
        <f>+Tarifas!GU8</f>
        <v>229.2237460044706</v>
      </c>
      <c r="GF6" s="30">
        <f>+Tarifas!GV8</f>
        <v>240.23857563983796</v>
      </c>
      <c r="GG6" s="30">
        <f>+Tarifas!GW8</f>
        <v>248.01283304867584</v>
      </c>
      <c r="GH6" s="30">
        <f>+Tarifas!GX8</f>
        <v>243.97769743967987</v>
      </c>
      <c r="GI6" s="30">
        <f>+Tarifas!GY8</f>
        <v>249.36826470111848</v>
      </c>
      <c r="GJ6" s="30">
        <f>+Tarifas!GZ8</f>
        <v>241.31357315729252</v>
      </c>
      <c r="GK6" s="30">
        <f>+Tarifas!HA8</f>
        <v>239.31937486404362</v>
      </c>
      <c r="GL6" s="30">
        <f>+Tarifas!HB8</f>
        <v>236.76430830081827</v>
      </c>
      <c r="GM6" s="30">
        <f>+Tarifas!HC8</f>
        <v>206.74227618292156</v>
      </c>
      <c r="GN6" s="30">
        <f>+Tarifas!HD8</f>
        <v>207.45894119455789</v>
      </c>
      <c r="GO6" s="30">
        <f>+Tarifas!HE8</f>
        <v>188.8256508920127</v>
      </c>
      <c r="GP6" s="30">
        <f>+Tarifas!HF8</f>
        <v>186.69123553126965</v>
      </c>
      <c r="GQ6" s="30">
        <f>+Tarifas!HG8</f>
        <v>236.10045838460474</v>
      </c>
      <c r="GR6" s="30">
        <f>+Tarifas!HH8</f>
        <v>247.4457329090331</v>
      </c>
      <c r="GS6" s="30">
        <f>+Tarifas!HI8</f>
        <v>255.45321804013614</v>
      </c>
      <c r="GT6" s="30">
        <f>+Tarifas!HJ8</f>
        <v>251.29702836287026</v>
      </c>
      <c r="GU6" s="30">
        <f>+Tarifas!HK8</f>
        <v>256.84931264215203</v>
      </c>
      <c r="GV6" s="30">
        <f>+Tarifas!HL8</f>
        <v>248.5529803520113</v>
      </c>
      <c r="GW6" s="30">
        <f>+Tarifas!HM8</f>
        <v>246.49895610996495</v>
      </c>
      <c r="GX6" s="30">
        <f>+Tarifas!HN8</f>
        <v>243.86723754984283</v>
      </c>
      <c r="GY6" s="30">
        <f>+Tarifas!HO8</f>
        <v>212.94454446840922</v>
      </c>
      <c r="GZ6" s="30">
        <f>+Tarifas!HP8</f>
        <v>213.68270943039462</v>
      </c>
      <c r="HA6" s="30">
        <f>+Tarifas!HQ8</f>
        <v>194.49042041877308</v>
      </c>
      <c r="HB6" s="30">
        <f>+Tarifas!HR8</f>
        <v>192.29197259720775</v>
      </c>
      <c r="HC6" s="30">
        <f>+Tarifas!HS8</f>
        <v>243.18347213614288</v>
      </c>
      <c r="HD6" s="30">
        <f>+Tarifas!HT8</f>
        <v>254.86910489630409</v>
      </c>
      <c r="HE6" s="30">
        <f>+Tarifas!HU8</f>
        <v>263.11681458134024</v>
      </c>
      <c r="HF6" s="30">
        <f>+Tarifas!HV8</f>
        <v>258.83593921375638</v>
      </c>
      <c r="HG6" s="30">
        <f>+Tarifas!HW8</f>
        <v>264.55479202141657</v>
      </c>
      <c r="HH6" s="30">
        <f>+Tarifas!HX8</f>
        <v>256.00956976257163</v>
      </c>
      <c r="HI6" s="30">
        <f>+Tarifas!HY8</f>
        <v>253.89392479326389</v>
      </c>
      <c r="HJ6" s="30">
        <f>+Tarifas!HZ8</f>
        <v>251.18325467633812</v>
      </c>
      <c r="HK6" s="30">
        <f>+Tarifas!IA8</f>
        <v>219.33288080246149</v>
      </c>
      <c r="HL6" s="30">
        <f>+Tarifas!IB8</f>
        <v>220.09319071330646</v>
      </c>
      <c r="HM6" s="30">
        <f>+Tarifas!IC8</f>
        <v>200.32513303133629</v>
      </c>
      <c r="HN6" s="30">
        <f>+Tarifas!ID8</f>
        <v>198.060731775124</v>
      </c>
      <c r="HO6" s="30">
        <f>+Tarifas!IE8</f>
        <v>250.47897630022717</v>
      </c>
      <c r="HP6" s="30">
        <f>+Tarifas!IF8</f>
        <v>262.5151780431932</v>
      </c>
      <c r="HQ6" s="30">
        <f>+Tarifas!IG8</f>
        <v>271.01031901878048</v>
      </c>
      <c r="HR6" s="30">
        <f>+Tarifas!IH8</f>
        <v>266.60101739016909</v>
      </c>
      <c r="HS6" s="30">
        <f>+Tarifas!II8</f>
        <v>272.49143578205906</v>
      </c>
      <c r="HT6" s="30">
        <f>+Tarifas!IJ8</f>
        <v>263.6898568554488</v>
      </c>
      <c r="HU6" s="30">
        <f>+Tarifas!IK8</f>
        <v>261.51074253706179</v>
      </c>
      <c r="HV6" s="30">
        <f>+Tarifas!IL8</f>
        <v>258.7187523166283</v>
      </c>
      <c r="HW6" s="30">
        <f>+Tarifas!IM8</f>
        <v>225.91286722653533</v>
      </c>
      <c r="HX6" s="30">
        <f>+Tarifas!IN8</f>
        <v>226.69598643470565</v>
      </c>
      <c r="HY6" s="30">
        <f>+Tarifas!IO8</f>
        <v>206.33488702227638</v>
      </c>
      <c r="HZ6" s="30">
        <f>+Tarifas!IP8</f>
        <v>204.00255372837773</v>
      </c>
      <c r="IA6" s="30">
        <f>+Tarifas!IQ8</f>
        <v>257.99334558923397</v>
      </c>
      <c r="IB6" s="30">
        <f>+Tarifas!IR8</f>
        <v>270.39063338448898</v>
      </c>
      <c r="IC6" s="30">
        <f>+Tarifas!IS8</f>
        <v>279.14062858934392</v>
      </c>
      <c r="ID6" s="30">
        <f>+Tarifas!IT8</f>
        <v>274.59904791187415</v>
      </c>
      <c r="IE6" s="30">
        <f>+Tarifas!IU8</f>
        <v>280.66617885552085</v>
      </c>
      <c r="IF6" s="30">
        <f>+Tarifas!IV8</f>
        <v>271.60055256111224</v>
      </c>
      <c r="IG6" s="30">
        <f>+Tarifas!IW8</f>
        <v>269.35606481317365</v>
      </c>
      <c r="IH6" s="30">
        <f>+Tarifas!IX8</f>
        <v>266.48031488612713</v>
      </c>
    </row>
    <row r="7" spans="1:242" x14ac:dyDescent="0.3">
      <c r="A7" t="s">
        <v>907</v>
      </c>
      <c r="C7" s="30">
        <f>+Tarifas!U9</f>
        <v>0</v>
      </c>
      <c r="D7" s="30">
        <f>+Tarifas!V9</f>
        <v>0</v>
      </c>
      <c r="E7" s="30">
        <f>+Tarifas!W9</f>
        <v>0</v>
      </c>
      <c r="F7" s="30">
        <f>+Tarifas!X9</f>
        <v>0</v>
      </c>
      <c r="G7" s="30">
        <f>+Tarifas!Y9</f>
        <v>0</v>
      </c>
      <c r="H7" s="30">
        <f>+Tarifas!Z9</f>
        <v>0</v>
      </c>
      <c r="I7" s="69">
        <f ca="1">+Tarifas!AA9</f>
        <v>117.76437779643383</v>
      </c>
      <c r="J7" s="30">
        <f ca="1">+Tarifas!AB9</f>
        <v>117.76437779643383</v>
      </c>
      <c r="K7" s="30">
        <f ca="1">+Tarifas!AC9</f>
        <v>117.76437779643383</v>
      </c>
      <c r="L7" s="30">
        <f ca="1">+Tarifas!AD9</f>
        <v>117.76437779643383</v>
      </c>
      <c r="M7" s="30">
        <f ca="1">+Tarifas!AE9</f>
        <v>117.76437779643383</v>
      </c>
      <c r="N7" s="30">
        <f ca="1">+Tarifas!AF9</f>
        <v>117.76437779643383</v>
      </c>
      <c r="O7" s="30">
        <f ca="1">+Tarifas!AG9</f>
        <v>117.76437779643383</v>
      </c>
      <c r="P7" s="30">
        <f ca="1">+Tarifas!AH9</f>
        <v>117.76437779643383</v>
      </c>
      <c r="Q7" s="30">
        <f ca="1">+Tarifas!AI9</f>
        <v>117.76437779643383</v>
      </c>
      <c r="R7" s="30">
        <f ca="1">+Tarifas!AJ9</f>
        <v>117.76437779643383</v>
      </c>
      <c r="S7" s="30">
        <f ca="1">+Tarifas!AK9</f>
        <v>117.76437779643383</v>
      </c>
      <c r="T7" s="30">
        <f ca="1">+Tarifas!AL9</f>
        <v>121.29730913032685</v>
      </c>
      <c r="U7" s="30">
        <f ca="1">+Tarifas!AM9</f>
        <v>121.29730913032685</v>
      </c>
      <c r="V7" s="30">
        <f ca="1">+Tarifas!AN9</f>
        <v>121.29730913032685</v>
      </c>
      <c r="W7" s="30">
        <f ca="1">+Tarifas!AO9</f>
        <v>121.29730913032685</v>
      </c>
      <c r="X7" s="30">
        <f ca="1">+Tarifas!AP9</f>
        <v>121.29730913032685</v>
      </c>
      <c r="Y7" s="30">
        <f ca="1">+Tarifas!AQ9</f>
        <v>121.29730913032685</v>
      </c>
      <c r="Z7" s="30">
        <f ca="1">+Tarifas!AR9</f>
        <v>121.29730913032685</v>
      </c>
      <c r="AA7" s="30">
        <f ca="1">+Tarifas!AS9</f>
        <v>121.29730913032685</v>
      </c>
      <c r="AB7" s="30">
        <f ca="1">+Tarifas!AT9</f>
        <v>121.29730913032685</v>
      </c>
      <c r="AC7" s="30">
        <f ca="1">+Tarifas!AU9</f>
        <v>121.29730913032685</v>
      </c>
      <c r="AD7" s="30">
        <f ca="1">+Tarifas!AV9</f>
        <v>121.29730913032685</v>
      </c>
      <c r="AE7" s="30">
        <f ca="1">+Tarifas!AW9</f>
        <v>121.29730913032685</v>
      </c>
      <c r="AF7" s="30">
        <f ca="1">+Tarifas!AX9</f>
        <v>124.93622840423666</v>
      </c>
      <c r="AG7" s="30">
        <f ca="1">+Tarifas!AY9</f>
        <v>124.93622840423666</v>
      </c>
      <c r="AH7" s="30">
        <f ca="1">+Tarifas!AZ9</f>
        <v>124.93622840423666</v>
      </c>
      <c r="AI7" s="30">
        <f ca="1">+Tarifas!BA9</f>
        <v>124.93622840423666</v>
      </c>
      <c r="AJ7" s="30">
        <f ca="1">+Tarifas!BB9</f>
        <v>124.93622840423666</v>
      </c>
      <c r="AK7" s="30">
        <f ca="1">+Tarifas!BC9</f>
        <v>124.93622840423666</v>
      </c>
      <c r="AL7" s="30">
        <f ca="1">+Tarifas!BD9</f>
        <v>124.93622840423666</v>
      </c>
      <c r="AM7" s="30">
        <f ca="1">+Tarifas!BE9</f>
        <v>124.93622840423666</v>
      </c>
      <c r="AN7" s="30">
        <f ca="1">+Tarifas!BF9</f>
        <v>124.93622840423666</v>
      </c>
      <c r="AO7" s="30">
        <f ca="1">+Tarifas!BG9</f>
        <v>124.93622840423666</v>
      </c>
      <c r="AP7" s="30">
        <f ca="1">+Tarifas!BH9</f>
        <v>124.93622840423666</v>
      </c>
      <c r="AQ7" s="30">
        <f ca="1">+Tarifas!BI9</f>
        <v>124.93622840423666</v>
      </c>
      <c r="AR7" s="30">
        <f ca="1">+Tarifas!BJ9</f>
        <v>128.68431525636376</v>
      </c>
      <c r="AS7" s="30">
        <f ca="1">+Tarifas!BK9</f>
        <v>128.68431525636376</v>
      </c>
      <c r="AT7" s="30">
        <f ca="1">+Tarifas!BL9</f>
        <v>128.68431525636376</v>
      </c>
      <c r="AU7" s="30">
        <f ca="1">+Tarifas!BM9</f>
        <v>128.68431525636376</v>
      </c>
      <c r="AV7" s="30">
        <f ca="1">+Tarifas!BN9</f>
        <v>128.68431525636376</v>
      </c>
      <c r="AW7" s="30">
        <f ca="1">+Tarifas!BO9</f>
        <v>128.68431525636376</v>
      </c>
      <c r="AX7" s="30">
        <f ca="1">+Tarifas!BP9</f>
        <v>128.68431525636376</v>
      </c>
      <c r="AY7" s="30">
        <f ca="1">+Tarifas!BQ9</f>
        <v>128.68431525636376</v>
      </c>
      <c r="AZ7" s="30">
        <f ca="1">+Tarifas!BR9</f>
        <v>128.68431525636376</v>
      </c>
      <c r="BA7" s="30">
        <f ca="1">+Tarifas!BS9</f>
        <v>128.68431525636376</v>
      </c>
      <c r="BB7" s="30">
        <f ca="1">+Tarifas!BT9</f>
        <v>128.68431525636376</v>
      </c>
      <c r="BC7" s="30">
        <f ca="1">+Tarifas!BU9</f>
        <v>128.68431525636376</v>
      </c>
      <c r="BD7" s="30">
        <f ca="1">+Tarifas!BV9</f>
        <v>132.54484471405468</v>
      </c>
      <c r="BE7" s="30">
        <f ca="1">+Tarifas!BW9</f>
        <v>132.54484471405468</v>
      </c>
      <c r="BF7" s="30">
        <f ca="1">+Tarifas!BX9</f>
        <v>132.54484471405468</v>
      </c>
      <c r="BG7" s="30">
        <f ca="1">+Tarifas!BY9</f>
        <v>132.54484471405468</v>
      </c>
      <c r="BH7" s="30">
        <f ca="1">+Tarifas!BZ9</f>
        <v>132.54484471405468</v>
      </c>
      <c r="BI7" s="30">
        <f ca="1">+Tarifas!CA9</f>
        <v>132.54484471405468</v>
      </c>
      <c r="BJ7" s="30">
        <f ca="1">+Tarifas!CB9</f>
        <v>132.54484471405468</v>
      </c>
      <c r="BK7" s="30">
        <f ca="1">+Tarifas!CC9</f>
        <v>132.54484471405468</v>
      </c>
      <c r="BL7" s="30">
        <f ca="1">+Tarifas!CD9</f>
        <v>132.54484471405468</v>
      </c>
      <c r="BM7" s="30">
        <f ca="1">+Tarifas!CE9</f>
        <v>132.54484471405468</v>
      </c>
      <c r="BN7" s="30">
        <f ca="1">+Tarifas!CF9</f>
        <v>132.54484471405468</v>
      </c>
      <c r="BO7" s="30">
        <f ca="1">+Tarifas!CG9</f>
        <v>132.54484471405468</v>
      </c>
      <c r="BP7" s="30">
        <f ca="1">+Tarifas!CH9</f>
        <v>136.52119005547632</v>
      </c>
      <c r="BQ7" s="30">
        <f ca="1">+Tarifas!CI9</f>
        <v>136.52119005547632</v>
      </c>
      <c r="BR7" s="30">
        <f ca="1">+Tarifas!CJ9</f>
        <v>136.52119005547632</v>
      </c>
      <c r="BS7" s="30">
        <f ca="1">+Tarifas!CK9</f>
        <v>136.52119005547632</v>
      </c>
      <c r="BT7" s="30">
        <f ca="1">+Tarifas!CL9</f>
        <v>136.52119005547632</v>
      </c>
      <c r="BU7" s="30">
        <f ca="1">+Tarifas!CM9</f>
        <v>136.52119005547632</v>
      </c>
      <c r="BV7" s="30">
        <f ca="1">+Tarifas!CN9</f>
        <v>136.52119005547632</v>
      </c>
      <c r="BW7" s="30">
        <f ca="1">+Tarifas!CO9</f>
        <v>136.52119005547632</v>
      </c>
      <c r="BX7" s="30">
        <f ca="1">+Tarifas!CP9</f>
        <v>136.52119005547632</v>
      </c>
      <c r="BY7" s="30">
        <f ca="1">+Tarifas!CQ9</f>
        <v>136.52119005547632</v>
      </c>
      <c r="BZ7" s="30">
        <f ca="1">+Tarifas!CR9</f>
        <v>136.52119005547632</v>
      </c>
      <c r="CA7" s="30">
        <f ca="1">+Tarifas!CS9</f>
        <v>136.52119005547632</v>
      </c>
      <c r="CB7" s="30">
        <f ca="1">+Tarifas!CT9</f>
        <v>140.61682575714062</v>
      </c>
      <c r="CC7" s="30">
        <f ca="1">+Tarifas!CU9</f>
        <v>140.61682575714062</v>
      </c>
      <c r="CD7" s="30">
        <f ca="1">+Tarifas!CV9</f>
        <v>140.61682575714062</v>
      </c>
      <c r="CE7" s="30">
        <f ca="1">+Tarifas!CW9</f>
        <v>140.61682575714062</v>
      </c>
      <c r="CF7" s="30">
        <f ca="1">+Tarifas!CX9</f>
        <v>140.61682575714062</v>
      </c>
      <c r="CG7" s="30">
        <f ca="1">+Tarifas!CY9</f>
        <v>140.61682575714062</v>
      </c>
      <c r="CH7" s="30">
        <f ca="1">+Tarifas!CZ9</f>
        <v>140.61682575714062</v>
      </c>
      <c r="CI7" s="30">
        <f ca="1">+Tarifas!DA9</f>
        <v>140.61682575714062</v>
      </c>
      <c r="CJ7" s="30">
        <f ca="1">+Tarifas!DB9</f>
        <v>140.61682575714062</v>
      </c>
      <c r="CK7" s="30">
        <f ca="1">+Tarifas!DC9</f>
        <v>140.61682575714062</v>
      </c>
      <c r="CL7" s="30">
        <f ca="1">+Tarifas!DD9</f>
        <v>140.61682575714062</v>
      </c>
      <c r="CM7" s="30">
        <f ca="1">+Tarifas!DE9</f>
        <v>140.61682575714062</v>
      </c>
      <c r="CN7" s="30">
        <f ca="1">+Tarifas!DF9</f>
        <v>144.83533052985484</v>
      </c>
      <c r="CO7" s="30">
        <f ca="1">+Tarifas!DG9</f>
        <v>144.83533052985484</v>
      </c>
      <c r="CP7" s="30">
        <f ca="1">+Tarifas!DH9</f>
        <v>144.83533052985484</v>
      </c>
      <c r="CQ7" s="30">
        <f ca="1">+Tarifas!DI9</f>
        <v>144.83533052985484</v>
      </c>
      <c r="CR7" s="30">
        <f ca="1">+Tarifas!DJ9</f>
        <v>144.83533052985484</v>
      </c>
      <c r="CS7" s="30">
        <f ca="1">+Tarifas!DK9</f>
        <v>144.83533052985484</v>
      </c>
      <c r="CT7" s="30">
        <f ca="1">+Tarifas!DL9</f>
        <v>144.83533052985484</v>
      </c>
      <c r="CU7" s="30">
        <f ca="1">+Tarifas!DM9</f>
        <v>144.83533052985484</v>
      </c>
      <c r="CV7" s="30">
        <f ca="1">+Tarifas!DN9</f>
        <v>144.83533052985484</v>
      </c>
      <c r="CW7" s="30">
        <f ca="1">+Tarifas!DO9</f>
        <v>144.83533052985484</v>
      </c>
      <c r="CX7" s="30">
        <f ca="1">+Tarifas!DP9</f>
        <v>144.83533052985484</v>
      </c>
      <c r="CY7" s="30">
        <f ca="1">+Tarifas!DQ9</f>
        <v>144.83533052985484</v>
      </c>
      <c r="CZ7" s="30">
        <f ca="1">+Tarifas!DR9</f>
        <v>149.1803904457505</v>
      </c>
      <c r="DA7" s="30">
        <f ca="1">+Tarifas!DS9</f>
        <v>149.1803904457505</v>
      </c>
      <c r="DB7" s="30">
        <f ca="1">+Tarifas!DT9</f>
        <v>149.1803904457505</v>
      </c>
      <c r="DC7" s="30">
        <f ca="1">+Tarifas!DU9</f>
        <v>149.1803904457505</v>
      </c>
      <c r="DD7" s="30">
        <f ca="1">+Tarifas!DV9</f>
        <v>149.1803904457505</v>
      </c>
      <c r="DE7" s="30">
        <f ca="1">+Tarifas!DW9</f>
        <v>149.1803904457505</v>
      </c>
      <c r="DF7" s="30">
        <f ca="1">+Tarifas!DX9</f>
        <v>149.1803904457505</v>
      </c>
      <c r="DG7" s="30">
        <f ca="1">+Tarifas!DY9</f>
        <v>149.1803904457505</v>
      </c>
      <c r="DH7" s="30">
        <f ca="1">+Tarifas!DZ9</f>
        <v>149.1803904457505</v>
      </c>
      <c r="DI7" s="30">
        <f ca="1">+Tarifas!EA9</f>
        <v>149.1803904457505</v>
      </c>
      <c r="DJ7" s="30">
        <f ca="1">+Tarifas!EB9</f>
        <v>149.1803904457505</v>
      </c>
      <c r="DK7" s="30">
        <f ca="1">+Tarifas!EC9</f>
        <v>149.1803904457505</v>
      </c>
      <c r="DL7" s="30">
        <f ca="1">+Tarifas!ED9</f>
        <v>153.65580215912303</v>
      </c>
      <c r="DM7" s="30">
        <f ca="1">+Tarifas!EE9</f>
        <v>153.65580215912303</v>
      </c>
      <c r="DN7" s="30">
        <f ca="1">+Tarifas!EF9</f>
        <v>153.65580215912303</v>
      </c>
      <c r="DO7" s="30">
        <f ca="1">+Tarifas!EG9</f>
        <v>153.65580215912303</v>
      </c>
      <c r="DP7" s="30">
        <f ca="1">+Tarifas!EH9</f>
        <v>153.65580215912303</v>
      </c>
      <c r="DQ7" s="30">
        <f ca="1">+Tarifas!EI9</f>
        <v>153.65580215912303</v>
      </c>
      <c r="DR7" s="30">
        <f ca="1">+Tarifas!EJ9</f>
        <v>153.65580215912303</v>
      </c>
      <c r="DS7" s="30">
        <f ca="1">+Tarifas!EK9</f>
        <v>153.65580215912303</v>
      </c>
      <c r="DT7" s="30">
        <f ca="1">+Tarifas!EL9</f>
        <v>153.65580215912303</v>
      </c>
      <c r="DU7" s="30">
        <f ca="1">+Tarifas!EM9</f>
        <v>153.65580215912303</v>
      </c>
      <c r="DV7" s="30">
        <f ca="1">+Tarifas!EN9</f>
        <v>153.65580215912303</v>
      </c>
      <c r="DW7" s="30">
        <f ca="1">+Tarifas!EO9</f>
        <v>153.65580215912303</v>
      </c>
      <c r="DX7" s="30">
        <f ca="1">+Tarifas!EP9</f>
        <v>158.26547622389671</v>
      </c>
      <c r="DY7" s="30">
        <f ca="1">+Tarifas!EQ9</f>
        <v>158.26547622389671</v>
      </c>
      <c r="DZ7" s="30">
        <f ca="1">+Tarifas!ER9</f>
        <v>158.26547622389671</v>
      </c>
      <c r="EA7" s="30">
        <f ca="1">+Tarifas!ES9</f>
        <v>158.26547622389671</v>
      </c>
      <c r="EB7" s="30">
        <f ca="1">+Tarifas!ET9</f>
        <v>158.26547622389671</v>
      </c>
      <c r="EC7" s="30">
        <f ca="1">+Tarifas!EU9</f>
        <v>158.26547622389671</v>
      </c>
      <c r="ED7" s="30">
        <f ca="1">+Tarifas!EV9</f>
        <v>158.26547622389671</v>
      </c>
      <c r="EE7" s="30">
        <f ca="1">+Tarifas!EW9</f>
        <v>158.26547622389671</v>
      </c>
      <c r="EF7" s="30">
        <f ca="1">+Tarifas!EX9</f>
        <v>158.26547622389671</v>
      </c>
      <c r="EG7" s="30">
        <f ca="1">+Tarifas!EY9</f>
        <v>158.26547622389671</v>
      </c>
      <c r="EH7" s="30">
        <f ca="1">+Tarifas!EZ9</f>
        <v>158.26547622389671</v>
      </c>
      <c r="EI7" s="30">
        <f ca="1">+Tarifas!FA9</f>
        <v>158.26547622389671</v>
      </c>
      <c r="EJ7" s="30">
        <f ca="1">+Tarifas!FB9</f>
        <v>163.01344051061361</v>
      </c>
      <c r="EK7" s="30">
        <f ca="1">+Tarifas!FC9</f>
        <v>163.01344051061361</v>
      </c>
      <c r="EL7" s="30">
        <f ca="1">+Tarifas!FD9</f>
        <v>163.01344051061361</v>
      </c>
      <c r="EM7" s="30">
        <f ca="1">+Tarifas!FE9</f>
        <v>163.01344051061361</v>
      </c>
      <c r="EN7" s="30">
        <f ca="1">+Tarifas!FF9</f>
        <v>163.01344051061361</v>
      </c>
      <c r="EO7" s="30">
        <f ca="1">+Tarifas!FG9</f>
        <v>163.01344051061361</v>
      </c>
      <c r="EP7" s="30">
        <f ca="1">+Tarifas!FH9</f>
        <v>163.01344051061361</v>
      </c>
      <c r="EQ7" s="30">
        <f ca="1">+Tarifas!FI9</f>
        <v>163.01344051061361</v>
      </c>
      <c r="ER7" s="30">
        <f ca="1">+Tarifas!FJ9</f>
        <v>163.01344051061361</v>
      </c>
      <c r="ES7" s="30">
        <f ca="1">+Tarifas!FK9</f>
        <v>163.01344051061361</v>
      </c>
      <c r="ET7" s="30">
        <f ca="1">+Tarifas!FL9</f>
        <v>163.01344051061361</v>
      </c>
      <c r="EU7" s="30">
        <f ca="1">+Tarifas!FM9</f>
        <v>163.01344051061361</v>
      </c>
      <c r="EV7" s="30">
        <f ca="1">+Tarifas!FN9</f>
        <v>167.90384372593201</v>
      </c>
      <c r="EW7" s="30">
        <f ca="1">+Tarifas!FO9</f>
        <v>167.90384372593201</v>
      </c>
      <c r="EX7" s="30">
        <f ca="1">+Tarifas!FP9</f>
        <v>167.90384372593201</v>
      </c>
      <c r="EY7" s="30">
        <f ca="1">+Tarifas!FQ9</f>
        <v>167.90384372593201</v>
      </c>
      <c r="EZ7" s="30">
        <f ca="1">+Tarifas!FR9</f>
        <v>167.90384372593201</v>
      </c>
      <c r="FA7" s="30">
        <f ca="1">+Tarifas!FS9</f>
        <v>167.90384372593201</v>
      </c>
      <c r="FB7" s="30">
        <f ca="1">+Tarifas!FT9</f>
        <v>167.90384372593201</v>
      </c>
      <c r="FC7" s="30">
        <f ca="1">+Tarifas!FU9</f>
        <v>167.90384372593201</v>
      </c>
      <c r="FD7" s="30">
        <f ca="1">+Tarifas!FV9</f>
        <v>167.90384372593201</v>
      </c>
      <c r="FE7" s="30">
        <f ca="1">+Tarifas!FW9</f>
        <v>167.90384372593201</v>
      </c>
      <c r="FF7" s="30">
        <f ca="1">+Tarifas!FX9</f>
        <v>167.90384372593201</v>
      </c>
      <c r="FG7" s="30">
        <f ca="1">+Tarifas!FY9</f>
        <v>167.90384372593201</v>
      </c>
      <c r="FH7" s="30">
        <f ca="1">+Tarifas!FZ9</f>
        <v>172.94095903770997</v>
      </c>
      <c r="FI7" s="30">
        <f ca="1">+Tarifas!GA9</f>
        <v>172.94095903770997</v>
      </c>
      <c r="FJ7" s="30">
        <f ca="1">+Tarifas!GB9</f>
        <v>172.94095903770997</v>
      </c>
      <c r="FK7" s="30">
        <f ca="1">+Tarifas!GC9</f>
        <v>172.94095903770997</v>
      </c>
      <c r="FL7" s="30">
        <f ca="1">+Tarifas!GD9</f>
        <v>172.94095903770997</v>
      </c>
      <c r="FM7" s="30">
        <f ca="1">+Tarifas!GE9</f>
        <v>172.94095903770997</v>
      </c>
      <c r="FN7" s="30">
        <f ca="1">+Tarifas!GF9</f>
        <v>172.94095903770997</v>
      </c>
      <c r="FO7" s="30">
        <f ca="1">+Tarifas!GG9</f>
        <v>172.94095903770997</v>
      </c>
      <c r="FP7" s="30">
        <f ca="1">+Tarifas!GH9</f>
        <v>172.94095903770997</v>
      </c>
      <c r="FQ7" s="30">
        <f ca="1">+Tarifas!GI9</f>
        <v>172.94095903770997</v>
      </c>
      <c r="FR7" s="30">
        <f ca="1">+Tarifas!GJ9</f>
        <v>172.94095903770997</v>
      </c>
      <c r="FS7" s="30">
        <f ca="1">+Tarifas!GK9</f>
        <v>172.94095903770997</v>
      </c>
      <c r="FT7" s="30">
        <f ca="1">+Tarifas!GL9</f>
        <v>178.12918780884127</v>
      </c>
      <c r="FU7" s="30">
        <f ca="1">+Tarifas!GM9</f>
        <v>178.12918780884127</v>
      </c>
      <c r="FV7" s="30">
        <f ca="1">+Tarifas!GN9</f>
        <v>178.12918780884127</v>
      </c>
      <c r="FW7" s="30">
        <f ca="1">+Tarifas!GO9</f>
        <v>178.12918780884127</v>
      </c>
      <c r="FX7" s="30">
        <f ca="1">+Tarifas!GP9</f>
        <v>178.12918780884127</v>
      </c>
      <c r="FY7" s="30">
        <f ca="1">+Tarifas!GQ9</f>
        <v>178.12918780884127</v>
      </c>
      <c r="FZ7" s="30">
        <f ca="1">+Tarifas!GR9</f>
        <v>178.12918780884127</v>
      </c>
      <c r="GA7" s="30">
        <f ca="1">+Tarifas!GS9</f>
        <v>178.12918780884127</v>
      </c>
      <c r="GB7" s="30">
        <f ca="1">+Tarifas!GT9</f>
        <v>178.12918780884127</v>
      </c>
      <c r="GC7" s="30">
        <f ca="1">+Tarifas!GU9</f>
        <v>178.12918780884127</v>
      </c>
      <c r="GD7" s="30">
        <f ca="1">+Tarifas!GV9</f>
        <v>178.12918780884127</v>
      </c>
      <c r="GE7" s="30">
        <f ca="1">+Tarifas!GW9</f>
        <v>178.12918780884127</v>
      </c>
      <c r="GF7" s="30">
        <f ca="1">+Tarifas!GX9</f>
        <v>183.4730634431065</v>
      </c>
      <c r="GG7" s="30">
        <f ca="1">+Tarifas!GY9</f>
        <v>183.4730634431065</v>
      </c>
      <c r="GH7" s="30">
        <f ca="1">+Tarifas!GZ9</f>
        <v>183.4730634431065</v>
      </c>
      <c r="GI7" s="30">
        <f ca="1">+Tarifas!HA9</f>
        <v>183.4730634431065</v>
      </c>
      <c r="GJ7" s="30">
        <f ca="1">+Tarifas!HB9</f>
        <v>183.4730634431065</v>
      </c>
      <c r="GK7" s="30">
        <f ca="1">+Tarifas!HC9</f>
        <v>183.4730634431065</v>
      </c>
      <c r="GL7" s="30">
        <f ca="1">+Tarifas!HD9</f>
        <v>183.4730634431065</v>
      </c>
      <c r="GM7" s="30">
        <f ca="1">+Tarifas!HE9</f>
        <v>183.4730634431065</v>
      </c>
      <c r="GN7" s="30">
        <f ca="1">+Tarifas!HF9</f>
        <v>183.4730634431065</v>
      </c>
      <c r="GO7" s="30">
        <f ca="1">+Tarifas!HG9</f>
        <v>183.4730634431065</v>
      </c>
      <c r="GP7" s="30">
        <f ca="1">+Tarifas!HH9</f>
        <v>183.4730634431065</v>
      </c>
      <c r="GQ7" s="30">
        <f ca="1">+Tarifas!HI9</f>
        <v>183.4730634431065</v>
      </c>
      <c r="GR7" s="30">
        <f ca="1">+Tarifas!HJ9</f>
        <v>188.97725534639969</v>
      </c>
      <c r="GS7" s="30">
        <f ca="1">+Tarifas!HK9</f>
        <v>188.97725534639969</v>
      </c>
      <c r="GT7" s="30">
        <f ca="1">+Tarifas!HL9</f>
        <v>188.97725534639969</v>
      </c>
      <c r="GU7" s="30">
        <f ca="1">+Tarifas!HM9</f>
        <v>188.97725534639969</v>
      </c>
      <c r="GV7" s="30">
        <f ca="1">+Tarifas!HN9</f>
        <v>188.97725534639969</v>
      </c>
      <c r="GW7" s="30">
        <f ca="1">+Tarifas!HO9</f>
        <v>188.97725534639969</v>
      </c>
      <c r="GX7" s="30">
        <f ca="1">+Tarifas!HP9</f>
        <v>188.97725534639969</v>
      </c>
      <c r="GY7" s="30">
        <f ca="1">+Tarifas!HQ9</f>
        <v>188.97725534639969</v>
      </c>
      <c r="GZ7" s="30">
        <f ca="1">+Tarifas!HR9</f>
        <v>188.97725534639969</v>
      </c>
      <c r="HA7" s="30">
        <f ca="1">+Tarifas!HS9</f>
        <v>188.97725534639969</v>
      </c>
      <c r="HB7" s="30">
        <f ca="1">+Tarifas!HT9</f>
        <v>188.97725534639969</v>
      </c>
      <c r="HC7" s="30">
        <f ca="1">+Tarifas!HU9</f>
        <v>188.97725534639969</v>
      </c>
      <c r="HD7" s="30">
        <f ca="1">+Tarifas!HV9</f>
        <v>194.64657300679167</v>
      </c>
      <c r="HE7" s="30">
        <f ca="1">+Tarifas!HW9</f>
        <v>194.64657300679167</v>
      </c>
      <c r="HF7" s="30">
        <f ca="1">+Tarifas!HX9</f>
        <v>194.64657300679167</v>
      </c>
      <c r="HG7" s="30">
        <f ca="1">+Tarifas!HY9</f>
        <v>194.64657300679167</v>
      </c>
      <c r="HH7" s="30">
        <f ca="1">+Tarifas!HZ9</f>
        <v>194.64657300679167</v>
      </c>
      <c r="HI7" s="30">
        <f ca="1">+Tarifas!IA9</f>
        <v>194.64657300679167</v>
      </c>
      <c r="HJ7" s="30">
        <f ca="1">+Tarifas!IB9</f>
        <v>194.64657300679167</v>
      </c>
      <c r="HK7" s="30">
        <f ca="1">+Tarifas!IC9</f>
        <v>194.64657300679167</v>
      </c>
      <c r="HL7" s="30">
        <f ca="1">+Tarifas!ID9</f>
        <v>194.64657300679167</v>
      </c>
      <c r="HM7" s="30">
        <f ca="1">+Tarifas!IE9</f>
        <v>194.64657300679167</v>
      </c>
      <c r="HN7" s="30">
        <f ca="1">+Tarifas!IF9</f>
        <v>194.64657300679167</v>
      </c>
      <c r="HO7" s="30">
        <f ca="1">+Tarifas!IG9</f>
        <v>194.64657300679167</v>
      </c>
      <c r="HP7" s="30">
        <f ca="1">+Tarifas!IH9</f>
        <v>200.48597019699542</v>
      </c>
      <c r="HQ7" s="30">
        <f ca="1">+Tarifas!II9</f>
        <v>200.48597019699542</v>
      </c>
      <c r="HR7" s="30">
        <f ca="1">+Tarifas!IJ9</f>
        <v>200.48597019699542</v>
      </c>
      <c r="HS7" s="30">
        <f ca="1">+Tarifas!IK9</f>
        <v>200.48597019699542</v>
      </c>
      <c r="HT7" s="30">
        <f ca="1">+Tarifas!IL9</f>
        <v>200.48597019699542</v>
      </c>
      <c r="HU7" s="30">
        <f ca="1">+Tarifas!IM9</f>
        <v>200.48597019699542</v>
      </c>
      <c r="HV7" s="30">
        <f ca="1">+Tarifas!IN9</f>
        <v>200.48597019699542</v>
      </c>
      <c r="HW7" s="30">
        <f ca="1">+Tarifas!IO9</f>
        <v>200.48597019699542</v>
      </c>
      <c r="HX7" s="30">
        <f ca="1">+Tarifas!IP9</f>
        <v>200.48597019699542</v>
      </c>
      <c r="HY7" s="30">
        <f ca="1">+Tarifas!IQ9</f>
        <v>200.48597019699542</v>
      </c>
      <c r="HZ7" s="30">
        <f ca="1">+Tarifas!IR9</f>
        <v>200.48597019699542</v>
      </c>
      <c r="IA7" s="30">
        <f ca="1">+Tarifas!IS9</f>
        <v>200.48597019699542</v>
      </c>
      <c r="IB7" s="30">
        <f ca="1">+Tarifas!IT9</f>
        <v>206.50054930290528</v>
      </c>
      <c r="IC7" s="30">
        <f ca="1">+Tarifas!IU9</f>
        <v>206.50054930290528</v>
      </c>
      <c r="ID7" s="30">
        <f ca="1">+Tarifas!IV9</f>
        <v>206.50054930290528</v>
      </c>
      <c r="IE7" s="30">
        <f ca="1">+Tarifas!IW9</f>
        <v>206.50054930290528</v>
      </c>
      <c r="IF7" s="30">
        <f ca="1">+Tarifas!IX9</f>
        <v>206.50054930290528</v>
      </c>
      <c r="IG7" s="30">
        <f ca="1">+Tarifas!IY9</f>
        <v>206.50054930290528</v>
      </c>
      <c r="IH7" s="30">
        <f ca="1">+Tarifas!IZ9</f>
        <v>206.50054930290528</v>
      </c>
    </row>
    <row r="8" spans="1:242" x14ac:dyDescent="0.3">
      <c r="A8" t="s">
        <v>847</v>
      </c>
      <c r="C8" s="30">
        <f>+Tarifas!U11</f>
        <v>572.95334196097235</v>
      </c>
      <c r="D8" s="30">
        <f>+Tarifas!V11</f>
        <v>872.37307894909748</v>
      </c>
      <c r="E8" s="30">
        <f>+Tarifas!W11</f>
        <v>917.84675343819993</v>
      </c>
      <c r="F8" s="30">
        <f>+Tarifas!X11</f>
        <v>918.48700596730043</v>
      </c>
      <c r="G8" s="30">
        <f>+Tarifas!Y11</f>
        <v>759.5353879713183</v>
      </c>
      <c r="H8" s="30">
        <f>+Tarifas!Z11</f>
        <v>410.97074948300434</v>
      </c>
      <c r="I8" s="69">
        <f>+Tarifas!AA11</f>
        <v>502.7327297681133</v>
      </c>
      <c r="J8" s="30">
        <f>+Tarifas!AB11</f>
        <v>400</v>
      </c>
      <c r="K8" s="30">
        <f>+Tarifas!AC11</f>
        <v>400</v>
      </c>
      <c r="L8" s="30">
        <f>+Tarifas!AD11</f>
        <v>400</v>
      </c>
      <c r="M8" s="30">
        <f>+Tarifas!AE11</f>
        <v>400</v>
      </c>
      <c r="N8" s="30">
        <f>+Tarifas!AF11</f>
        <v>400</v>
      </c>
      <c r="O8" s="30">
        <f>+Tarifas!AG11</f>
        <v>422.83601609611441</v>
      </c>
      <c r="P8" s="30">
        <f>+Tarifas!AH11</f>
        <v>716.06872268758036</v>
      </c>
      <c r="Q8" s="30">
        <f>+Tarifas!AI11</f>
        <v>750.52801906913862</v>
      </c>
      <c r="R8" s="30">
        <f>+Tarifas!AJ11</f>
        <v>543.45884359233014</v>
      </c>
      <c r="S8" s="30">
        <f>+Tarifas!AK11</f>
        <v>589.60375384170311</v>
      </c>
      <c r="T8" s="30">
        <f>+Tarifas!AL11</f>
        <v>431.51928695715458</v>
      </c>
      <c r="U8" s="30">
        <f>+Tarifas!AM11</f>
        <v>527.86936625651902</v>
      </c>
      <c r="V8" s="30">
        <f>+Tarifas!AN11</f>
        <v>402.71224854145231</v>
      </c>
      <c r="W8" s="30">
        <f>+Tarifas!AO11</f>
        <v>398.00436171042924</v>
      </c>
      <c r="X8" s="30">
        <f>+Tarifas!AP11</f>
        <v>400</v>
      </c>
      <c r="Y8" s="30">
        <f>+Tarifas!AQ11</f>
        <v>400</v>
      </c>
      <c r="Z8" s="30">
        <f>+Tarifas!AR11</f>
        <v>400</v>
      </c>
      <c r="AA8" s="30">
        <f>+Tarifas!AS11</f>
        <v>443.97781690092012</v>
      </c>
      <c r="AB8" s="30">
        <f>+Tarifas!AT11</f>
        <v>751.87215882195937</v>
      </c>
      <c r="AC8" s="30">
        <f>+Tarifas!AU11</f>
        <v>788.05442002259554</v>
      </c>
      <c r="AD8" s="30">
        <f>+Tarifas!AV11</f>
        <v>570.63178577194662</v>
      </c>
      <c r="AE8" s="30">
        <f>+Tarifas!AW11</f>
        <v>619.08394153378833</v>
      </c>
      <c r="AF8" s="30">
        <f>+Tarifas!AX11</f>
        <v>453.09525130501231</v>
      </c>
      <c r="AG8" s="30">
        <f>+Tarifas!AY11</f>
        <v>554.26283456934505</v>
      </c>
      <c r="AH8" s="30">
        <f>+Tarifas!AZ11</f>
        <v>422.84786096852497</v>
      </c>
      <c r="AI8" s="30">
        <f>+Tarifas!BA11</f>
        <v>417.90457979595072</v>
      </c>
      <c r="AJ8" s="30">
        <f>+Tarifas!BB11</f>
        <v>400</v>
      </c>
      <c r="AK8" s="30">
        <f>+Tarifas!BC11</f>
        <v>400</v>
      </c>
      <c r="AL8" s="30">
        <f>+Tarifas!BD11</f>
        <v>400</v>
      </c>
      <c r="AM8" s="30">
        <f>+Tarifas!BE11</f>
        <v>466.17670774596616</v>
      </c>
      <c r="AN8" s="30">
        <f>+Tarifas!BF11</f>
        <v>789.46576676305733</v>
      </c>
      <c r="AO8" s="30">
        <f>+Tarifas!BG11</f>
        <v>827.4571410237254</v>
      </c>
      <c r="AP8" s="30">
        <f>+Tarifas!BH11</f>
        <v>599.16337506054401</v>
      </c>
      <c r="AQ8" s="30">
        <f>+Tarifas!BI11</f>
        <v>650.03813861047774</v>
      </c>
      <c r="AR8" s="30">
        <f>+Tarifas!BJ11</f>
        <v>475.75001387026293</v>
      </c>
      <c r="AS8" s="30">
        <f>+Tarifas!BK11</f>
        <v>581.97597629781228</v>
      </c>
      <c r="AT8" s="30">
        <f>+Tarifas!BL11</f>
        <v>443.99025401695121</v>
      </c>
      <c r="AU8" s="30">
        <f>+Tarifas!BM11</f>
        <v>438.79980878574827</v>
      </c>
      <c r="AV8" s="30">
        <f>+Tarifas!BN11</f>
        <v>400</v>
      </c>
      <c r="AW8" s="30">
        <f>+Tarifas!BO11</f>
        <v>400</v>
      </c>
      <c r="AX8" s="30">
        <f>+Tarifas!BP11</f>
        <v>400</v>
      </c>
      <c r="AY8" s="30">
        <f>+Tarifas!BQ11</f>
        <v>489.48554313326446</v>
      </c>
      <c r="AZ8" s="30">
        <f>+Tarifas!BR11</f>
        <v>828.93905510121022</v>
      </c>
      <c r="BA8" s="30">
        <f>+Tarifas!BS11</f>
        <v>868.82999807491171</v>
      </c>
      <c r="BB8" s="30">
        <f>+Tarifas!BT11</f>
        <v>629.12154381357129</v>
      </c>
      <c r="BC8" s="30">
        <f>+Tarifas!BU11</f>
        <v>682.54004554100163</v>
      </c>
      <c r="BD8" s="30">
        <f>+Tarifas!BV11</f>
        <v>499.53751456377609</v>
      </c>
      <c r="BE8" s="30">
        <f>+Tarifas!BW11</f>
        <v>611.07477511270292</v>
      </c>
      <c r="BF8" s="30">
        <f>+Tarifas!BX11</f>
        <v>466.18976671779882</v>
      </c>
      <c r="BG8" s="30">
        <f>+Tarifas!BY11</f>
        <v>460.73979922503571</v>
      </c>
      <c r="BH8" s="30">
        <f>+Tarifas!BZ11</f>
        <v>400</v>
      </c>
      <c r="BI8" s="30">
        <f>+Tarifas!CA11</f>
        <v>400</v>
      </c>
      <c r="BJ8" s="30">
        <f>+Tarifas!CB11</f>
        <v>400</v>
      </c>
      <c r="BK8" s="30">
        <f>+Tarifas!CC11</f>
        <v>513.95982028992773</v>
      </c>
      <c r="BL8" s="30">
        <f>+Tarifas!CD11</f>
        <v>870.38600785627079</v>
      </c>
      <c r="BM8" s="30">
        <f>+Tarifas!CE11</f>
        <v>912.27149797865729</v>
      </c>
      <c r="BN8" s="30">
        <f>+Tarifas!CF11</f>
        <v>660.57762100424986</v>
      </c>
      <c r="BO8" s="30">
        <f>+Tarifas!CG11</f>
        <v>716.66704781805174</v>
      </c>
      <c r="BP8" s="30">
        <f>+Tarifas!CH11</f>
        <v>524.5143902919649</v>
      </c>
      <c r="BQ8" s="30">
        <f>+Tarifas!CI11</f>
        <v>641.62851386833813</v>
      </c>
      <c r="BR8" s="30">
        <f>+Tarifas!CJ11</f>
        <v>489.49925505368878</v>
      </c>
      <c r="BS8" s="30">
        <f>+Tarifas!CK11</f>
        <v>483.77678918628754</v>
      </c>
      <c r="BT8" s="30">
        <f>+Tarifas!CL11</f>
        <v>416.72686986338789</v>
      </c>
      <c r="BU8" s="30">
        <f>+Tarifas!CM11</f>
        <v>400</v>
      </c>
      <c r="BV8" s="30">
        <f>+Tarifas!CN11</f>
        <v>400</v>
      </c>
      <c r="BW8" s="30">
        <f>+Tarifas!CO11</f>
        <v>539.65781130442417</v>
      </c>
      <c r="BX8" s="30">
        <f>+Tarifas!CP11</f>
        <v>913.90530824908433</v>
      </c>
      <c r="BY8" s="30">
        <f>+Tarifas!CQ11</f>
        <v>957.88507287759023</v>
      </c>
      <c r="BZ8" s="30">
        <f>+Tarifas!CR11</f>
        <v>693.60650205446234</v>
      </c>
      <c r="CA8" s="30">
        <f>+Tarifas!CS11</f>
        <v>752.50040020895437</v>
      </c>
      <c r="CB8" s="30">
        <f>+Tarifas!CT11</f>
        <v>550.74010980656317</v>
      </c>
      <c r="CC8" s="30">
        <f>+Tarifas!CU11</f>
        <v>673.70993956175505</v>
      </c>
      <c r="CD8" s="30">
        <f>+Tarifas!CV11</f>
        <v>513.97421780637319</v>
      </c>
      <c r="CE8" s="30">
        <f>+Tarifas!CW11</f>
        <v>507.96562864560195</v>
      </c>
      <c r="CF8" s="30">
        <f>+Tarifas!CX11</f>
        <v>437.5632133565573</v>
      </c>
      <c r="CG8" s="30">
        <f>+Tarifas!CY11</f>
        <v>400</v>
      </c>
      <c r="CH8" s="30">
        <f>+Tarifas!CZ11</f>
        <v>415.28082597768793</v>
      </c>
      <c r="CI8" s="30">
        <f>+Tarifas!DA11</f>
        <v>566.64070186964545</v>
      </c>
      <c r="CJ8" s="30">
        <f>+Tarifas!DB11</f>
        <v>500</v>
      </c>
      <c r="CK8" s="30">
        <f>+Tarifas!DC11</f>
        <v>500</v>
      </c>
      <c r="CL8" s="30">
        <f>+Tarifas!DD11</f>
        <v>728.28682715718548</v>
      </c>
      <c r="CM8" s="30">
        <f>+Tarifas!DE11</f>
        <v>790.12542021940214</v>
      </c>
      <c r="CN8" s="30">
        <f>+Tarifas!DF11</f>
        <v>578.27711529689134</v>
      </c>
      <c r="CO8" s="30">
        <f>+Tarifas!DG11</f>
        <v>707.39543653984288</v>
      </c>
      <c r="CP8" s="30">
        <f>+Tarifas!DH11</f>
        <v>539.67292869669188</v>
      </c>
      <c r="CQ8" s="30">
        <f>+Tarifas!DI11</f>
        <v>533.36391007788211</v>
      </c>
      <c r="CR8" s="30">
        <f>+Tarifas!DJ11</f>
        <v>459.4413740243852</v>
      </c>
      <c r="CS8" s="30">
        <f>+Tarifas!DK11</f>
        <v>404.50342374660408</v>
      </c>
      <c r="CT8" s="30">
        <f>+Tarifas!DL11</f>
        <v>436.04486727657235</v>
      </c>
      <c r="CU8" s="30">
        <f>+Tarifas!DM11</f>
        <v>594.97273696312777</v>
      </c>
      <c r="CV8" s="30">
        <f>+Tarifas!DN11</f>
        <v>500</v>
      </c>
      <c r="CW8" s="30">
        <f>+Tarifas!DO11</f>
        <v>500</v>
      </c>
      <c r="CX8" s="30">
        <f>+Tarifas!DP11</f>
        <v>764.70116851504474</v>
      </c>
      <c r="CY8" s="30">
        <f>+Tarifas!DQ11</f>
        <v>829.63169123037233</v>
      </c>
      <c r="CZ8" s="30">
        <f>+Tarifas!DR11</f>
        <v>607.19097106173592</v>
      </c>
      <c r="DA8" s="30">
        <f>+Tarifas!DS11</f>
        <v>742.76520836683505</v>
      </c>
      <c r="DB8" s="30">
        <f>+Tarifas!DT11</f>
        <v>566.65657513152655</v>
      </c>
      <c r="DC8" s="30">
        <f>+Tarifas!DU11</f>
        <v>560.03210558177625</v>
      </c>
      <c r="DD8" s="30">
        <f>+Tarifas!DV11</f>
        <v>482.41344272560445</v>
      </c>
      <c r="DE8" s="30">
        <f>+Tarifas!DW11</f>
        <v>424.72859493393429</v>
      </c>
      <c r="DF8" s="30">
        <f>+Tarifas!DX11</f>
        <v>457.84711064040096</v>
      </c>
      <c r="DG8" s="30">
        <f>+Tarifas!DY11</f>
        <v>624.72137381128414</v>
      </c>
      <c r="DH8" s="30">
        <f>+Tarifas!DZ11</f>
        <v>500</v>
      </c>
      <c r="DI8" s="30">
        <f>+Tarifas!EA11</f>
        <v>500</v>
      </c>
      <c r="DJ8" s="30">
        <f>+Tarifas!EB11</f>
        <v>802.93622694079704</v>
      </c>
      <c r="DK8" s="30">
        <f>+Tarifas!EC11</f>
        <v>871.11327579189094</v>
      </c>
      <c r="DL8" s="30">
        <f>+Tarifas!ED11</f>
        <v>637.55051961482275</v>
      </c>
      <c r="DM8" s="30">
        <f>+Tarifas!EE11</f>
        <v>779.90346878517687</v>
      </c>
      <c r="DN8" s="30">
        <f>+Tarifas!EF11</f>
        <v>594.98940388810286</v>
      </c>
      <c r="DO8" s="30">
        <f>+Tarifas!EG11</f>
        <v>588.03371086086509</v>
      </c>
      <c r="DP8" s="30">
        <f>+Tarifas!EH11</f>
        <v>506.53411486188469</v>
      </c>
      <c r="DQ8" s="30">
        <f>+Tarifas!EI11</f>
        <v>445.96502468063102</v>
      </c>
      <c r="DR8" s="30">
        <f>+Tarifas!EJ11</f>
        <v>480.73946617242103</v>
      </c>
      <c r="DS8" s="30">
        <f>+Tarifas!EK11</f>
        <v>655.95744250184839</v>
      </c>
      <c r="DT8" s="30">
        <f>+Tarifas!EL11</f>
        <v>500</v>
      </c>
      <c r="DU8" s="30">
        <f>+Tarifas!EM11</f>
        <v>500</v>
      </c>
      <c r="DV8" s="30">
        <f>+Tarifas!EN11</f>
        <v>843.08303828783698</v>
      </c>
      <c r="DW8" s="30">
        <f>+Tarifas!EO11</f>
        <v>914.66893958148557</v>
      </c>
      <c r="DX8" s="30">
        <f>+Tarifas!EP11</f>
        <v>669.42804559556396</v>
      </c>
      <c r="DY8" s="30">
        <f>+Tarifas!EQ11</f>
        <v>818.89864222443578</v>
      </c>
      <c r="DZ8" s="30">
        <f>+Tarifas!ER11</f>
        <v>624.738874082508</v>
      </c>
      <c r="EA8" s="30">
        <f>+Tarifas!ES11</f>
        <v>617.43539640390838</v>
      </c>
      <c r="EB8" s="30">
        <f>+Tarifas!ET11</f>
        <v>531.86082060497893</v>
      </c>
      <c r="EC8" s="30">
        <f>+Tarifas!EU11</f>
        <v>468.26327591466259</v>
      </c>
      <c r="ED8" s="30">
        <f>+Tarifas!EV11</f>
        <v>504.77643948104213</v>
      </c>
      <c r="EE8" s="30">
        <f>+Tarifas!EW11</f>
        <v>688.75531462694084</v>
      </c>
      <c r="EF8" s="30">
        <f>+Tarifas!EX11</f>
        <v>500</v>
      </c>
      <c r="EG8" s="30">
        <f>+Tarifas!EY11</f>
        <v>500</v>
      </c>
      <c r="EH8" s="30">
        <f>+Tarifas!EZ11</f>
        <v>885.23719020222882</v>
      </c>
      <c r="EI8" s="30">
        <f>+Tarifas!FA11</f>
        <v>500</v>
      </c>
      <c r="EJ8" s="30">
        <f>+Tarifas!FB11</f>
        <v>702.89944787534216</v>
      </c>
      <c r="EK8" s="30">
        <f>+Tarifas!FC11</f>
        <v>859.84357433565765</v>
      </c>
      <c r="EL8" s="30">
        <f>+Tarifas!FD11</f>
        <v>655.97581778663346</v>
      </c>
      <c r="EM8" s="30">
        <f>+Tarifas!FE11</f>
        <v>648.30716622410387</v>
      </c>
      <c r="EN8" s="30">
        <f>+Tarifas!FF11</f>
        <v>558.4538616352279</v>
      </c>
      <c r="EO8" s="30">
        <f>+Tarifas!FG11</f>
        <v>491.67643971039575</v>
      </c>
      <c r="EP8" s="30">
        <f>+Tarifas!FH11</f>
        <v>530.01526145509422</v>
      </c>
      <c r="EQ8" s="30">
        <f>+Tarifas!FI11</f>
        <v>723.19308035828794</v>
      </c>
      <c r="ER8" s="30">
        <f>+Tarifas!FJ11</f>
        <v>500</v>
      </c>
      <c r="ES8" s="30">
        <f>+Tarifas!FK11</f>
        <v>500</v>
      </c>
      <c r="ET8" s="30">
        <f>+Tarifas!FL11</f>
        <v>500</v>
      </c>
      <c r="EU8" s="30">
        <f>+Tarifas!FM11</f>
        <v>500</v>
      </c>
      <c r="EV8" s="30">
        <f>+Tarifas!FN11</f>
        <v>500</v>
      </c>
      <c r="EW8" s="30">
        <f>+Tarifas!FO11</f>
        <v>500</v>
      </c>
      <c r="EX8" s="30">
        <f>+Tarifas!FP11</f>
        <v>500</v>
      </c>
      <c r="EY8" s="30">
        <f>+Tarifas!FQ11</f>
        <v>500</v>
      </c>
      <c r="EZ8" s="30">
        <f>+Tarifas!FR11</f>
        <v>500</v>
      </c>
      <c r="FA8" s="30">
        <f>+Tarifas!FS11</f>
        <v>500</v>
      </c>
      <c r="FB8" s="30">
        <f>+Tarifas!FT11</f>
        <v>500</v>
      </c>
      <c r="FC8" s="30">
        <f>+Tarifas!FU11</f>
        <v>500</v>
      </c>
      <c r="FD8" s="30">
        <f>+Tarifas!FV11</f>
        <v>500</v>
      </c>
      <c r="FE8" s="30">
        <f>+Tarifas!FW11</f>
        <v>500</v>
      </c>
      <c r="FF8" s="30">
        <f>+Tarifas!FX11</f>
        <v>500</v>
      </c>
      <c r="FG8" s="30">
        <f>+Tarifas!FY11</f>
        <v>500</v>
      </c>
      <c r="FH8" s="30">
        <f>+Tarifas!FZ11</f>
        <v>500</v>
      </c>
      <c r="FI8" s="30">
        <f>+Tarifas!GA11</f>
        <v>500</v>
      </c>
      <c r="FJ8" s="30">
        <f>+Tarifas!GB11</f>
        <v>500</v>
      </c>
      <c r="FK8" s="30">
        <f>+Tarifas!GC11</f>
        <v>500</v>
      </c>
      <c r="FL8" s="30">
        <f>+Tarifas!GD11</f>
        <v>500</v>
      </c>
      <c r="FM8" s="30">
        <f>+Tarifas!GE11</f>
        <v>500</v>
      </c>
      <c r="FN8" s="30">
        <f>+Tarifas!GF11</f>
        <v>500</v>
      </c>
      <c r="FO8" s="30">
        <f>+Tarifas!GG11</f>
        <v>500</v>
      </c>
      <c r="FP8" s="30">
        <f>+Tarifas!GH11</f>
        <v>500</v>
      </c>
      <c r="FQ8" s="30">
        <f>+Tarifas!GI11</f>
        <v>500</v>
      </c>
      <c r="FR8" s="30">
        <f>+Tarifas!GJ11</f>
        <v>500</v>
      </c>
      <c r="FS8" s="30">
        <f>+Tarifas!GK11</f>
        <v>500</v>
      </c>
      <c r="FT8" s="30">
        <f>+Tarifas!GL11</f>
        <v>500</v>
      </c>
      <c r="FU8" s="30">
        <f>+Tarifas!GM11</f>
        <v>500</v>
      </c>
      <c r="FV8" s="30">
        <f>+Tarifas!GN11</f>
        <v>500</v>
      </c>
      <c r="FW8" s="30">
        <f>+Tarifas!GO11</f>
        <v>500</v>
      </c>
      <c r="FX8" s="30">
        <f>+Tarifas!GP11</f>
        <v>500</v>
      </c>
      <c r="FY8" s="30">
        <f>+Tarifas!GQ11</f>
        <v>500</v>
      </c>
      <c r="FZ8" s="30">
        <f>+Tarifas!GR11</f>
        <v>500</v>
      </c>
      <c r="GA8" s="30">
        <f>+Tarifas!GS11</f>
        <v>500</v>
      </c>
      <c r="GB8" s="30">
        <f>+Tarifas!GT11</f>
        <v>500</v>
      </c>
      <c r="GC8" s="30">
        <f>+Tarifas!GU11</f>
        <v>500</v>
      </c>
      <c r="GD8" s="30">
        <f>+Tarifas!GV11</f>
        <v>500</v>
      </c>
      <c r="GE8" s="30">
        <f>+Tarifas!GW11</f>
        <v>500</v>
      </c>
      <c r="GF8" s="30">
        <f>+Tarifas!GX11</f>
        <v>500</v>
      </c>
      <c r="GG8" s="30">
        <f>+Tarifas!GY11</f>
        <v>500</v>
      </c>
      <c r="GH8" s="30">
        <f>+Tarifas!GZ11</f>
        <v>500</v>
      </c>
      <c r="GI8" s="30">
        <f>+Tarifas!HA11</f>
        <v>500</v>
      </c>
      <c r="GJ8" s="30">
        <f>+Tarifas!HB11</f>
        <v>500</v>
      </c>
      <c r="GK8" s="30">
        <f>+Tarifas!HC11</f>
        <v>500</v>
      </c>
      <c r="GL8" s="30">
        <f>+Tarifas!HD11</f>
        <v>500</v>
      </c>
      <c r="GM8" s="30">
        <f>+Tarifas!HE11</f>
        <v>500</v>
      </c>
      <c r="GN8" s="30">
        <f>+Tarifas!HF11</f>
        <v>500</v>
      </c>
      <c r="GO8" s="30">
        <f>+Tarifas!HG11</f>
        <v>500</v>
      </c>
      <c r="GP8" s="30">
        <f>+Tarifas!HH11</f>
        <v>500</v>
      </c>
      <c r="GQ8" s="30">
        <f>+Tarifas!HI11</f>
        <v>500</v>
      </c>
      <c r="GR8" s="30">
        <f>+Tarifas!HJ11</f>
        <v>500</v>
      </c>
      <c r="GS8" s="30">
        <f>+Tarifas!HK11</f>
        <v>500</v>
      </c>
      <c r="GT8" s="30">
        <f>+Tarifas!HL11</f>
        <v>500</v>
      </c>
      <c r="GU8" s="30">
        <f>+Tarifas!HM11</f>
        <v>500</v>
      </c>
      <c r="GV8" s="30">
        <f>+Tarifas!HN11</f>
        <v>500</v>
      </c>
      <c r="GW8" s="30">
        <f>+Tarifas!HO11</f>
        <v>500</v>
      </c>
      <c r="GX8" s="30">
        <f>+Tarifas!HP11</f>
        <v>500</v>
      </c>
      <c r="GY8" s="30">
        <f>+Tarifas!HQ11</f>
        <v>500</v>
      </c>
      <c r="GZ8" s="30">
        <f>+Tarifas!HR11</f>
        <v>500</v>
      </c>
      <c r="HA8" s="30">
        <f>+Tarifas!HS11</f>
        <v>500</v>
      </c>
      <c r="HB8" s="30">
        <f>+Tarifas!HT11</f>
        <v>500</v>
      </c>
      <c r="HC8" s="30">
        <f>+Tarifas!HU11</f>
        <v>500</v>
      </c>
      <c r="HD8" s="30">
        <f>+Tarifas!HV11</f>
        <v>500</v>
      </c>
      <c r="HE8" s="30">
        <f>+Tarifas!HW11</f>
        <v>500</v>
      </c>
      <c r="HF8" s="30">
        <f>+Tarifas!HX11</f>
        <v>500</v>
      </c>
      <c r="HG8" s="30">
        <f>+Tarifas!HY11</f>
        <v>500</v>
      </c>
      <c r="HH8" s="30">
        <f>+Tarifas!HZ11</f>
        <v>500</v>
      </c>
      <c r="HI8" s="30">
        <f>+Tarifas!IA11</f>
        <v>500</v>
      </c>
      <c r="HJ8" s="30">
        <f>+Tarifas!IB11</f>
        <v>500</v>
      </c>
      <c r="HK8" s="30">
        <f>+Tarifas!IC11</f>
        <v>500</v>
      </c>
      <c r="HL8" s="30">
        <f>+Tarifas!ID11</f>
        <v>500</v>
      </c>
      <c r="HM8" s="30">
        <f>+Tarifas!IE11</f>
        <v>500</v>
      </c>
      <c r="HN8" s="30">
        <f>+Tarifas!IF11</f>
        <v>500</v>
      </c>
      <c r="HO8" s="30">
        <f>+Tarifas!IG11</f>
        <v>500</v>
      </c>
      <c r="HP8" s="30">
        <f>+Tarifas!IH11</f>
        <v>500</v>
      </c>
      <c r="HQ8" s="30">
        <f>+Tarifas!II11</f>
        <v>500</v>
      </c>
      <c r="HR8" s="30">
        <f>+Tarifas!IJ11</f>
        <v>500</v>
      </c>
      <c r="HS8" s="30">
        <f>+Tarifas!IK11</f>
        <v>500</v>
      </c>
      <c r="HT8" s="30">
        <f>+Tarifas!IL11</f>
        <v>500</v>
      </c>
      <c r="HU8" s="30">
        <f>+Tarifas!IM11</f>
        <v>500</v>
      </c>
      <c r="HV8" s="30">
        <f>+Tarifas!IN11</f>
        <v>500</v>
      </c>
      <c r="HW8" s="30">
        <f>+Tarifas!IO11</f>
        <v>500</v>
      </c>
      <c r="HX8" s="30">
        <f>+Tarifas!IP11</f>
        <v>500</v>
      </c>
      <c r="HY8" s="30">
        <f>+Tarifas!IQ11</f>
        <v>500</v>
      </c>
      <c r="HZ8" s="30">
        <f>+Tarifas!IR11</f>
        <v>500</v>
      </c>
      <c r="IA8" s="30">
        <f>+Tarifas!IS11</f>
        <v>500</v>
      </c>
      <c r="IB8" s="30">
        <f>+Tarifas!IT11</f>
        <v>500</v>
      </c>
      <c r="IC8" s="30">
        <f>+Tarifas!IU11</f>
        <v>500</v>
      </c>
      <c r="ID8" s="30">
        <f>+Tarifas!IV11</f>
        <v>500</v>
      </c>
      <c r="IE8" s="30">
        <f>+Tarifas!IW11</f>
        <v>500</v>
      </c>
      <c r="IF8" s="30">
        <f>+Tarifas!IX11</f>
        <v>500</v>
      </c>
      <c r="IG8" s="30">
        <f>+Tarifas!IY11</f>
        <v>500</v>
      </c>
      <c r="IH8" s="30">
        <f>+Tarifas!IZ11</f>
        <v>500</v>
      </c>
    </row>
    <row r="9" spans="1:242" x14ac:dyDescent="0.3">
      <c r="C9" s="30"/>
      <c r="D9" s="30"/>
      <c r="E9" s="30"/>
      <c r="F9" s="30"/>
      <c r="G9" s="30"/>
      <c r="H9" s="30"/>
      <c r="I9" s="6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</row>
    <row r="11" spans="1:242" x14ac:dyDescent="0.3">
      <c r="A11" t="s">
        <v>761</v>
      </c>
      <c r="B11">
        <f>+Producción!B1</f>
        <v>15950</v>
      </c>
      <c r="C11" t="s">
        <v>37</v>
      </c>
    </row>
    <row r="12" spans="1:242" x14ac:dyDescent="0.3">
      <c r="C12">
        <f>+YEAR(C13)</f>
        <v>2024</v>
      </c>
      <c r="D12">
        <f t="shared" ref="D12:BO12" si="0">+YEAR(D13)</f>
        <v>2024</v>
      </c>
      <c r="E12">
        <f t="shared" si="0"/>
        <v>2024</v>
      </c>
      <c r="F12">
        <f t="shared" si="0"/>
        <v>2024</v>
      </c>
      <c r="G12">
        <f t="shared" si="0"/>
        <v>2024</v>
      </c>
      <c r="H12">
        <f t="shared" si="0"/>
        <v>2025</v>
      </c>
      <c r="I12">
        <f t="shared" si="0"/>
        <v>2025</v>
      </c>
      <c r="J12">
        <f t="shared" si="0"/>
        <v>2025</v>
      </c>
      <c r="K12">
        <f t="shared" si="0"/>
        <v>2025</v>
      </c>
      <c r="L12">
        <f t="shared" si="0"/>
        <v>2025</v>
      </c>
      <c r="M12">
        <f t="shared" si="0"/>
        <v>2025</v>
      </c>
      <c r="N12">
        <f t="shared" si="0"/>
        <v>2025</v>
      </c>
      <c r="O12">
        <f t="shared" si="0"/>
        <v>2025</v>
      </c>
      <c r="P12">
        <f t="shared" si="0"/>
        <v>2025</v>
      </c>
      <c r="Q12">
        <f t="shared" si="0"/>
        <v>2025</v>
      </c>
      <c r="R12">
        <f t="shared" si="0"/>
        <v>2025</v>
      </c>
      <c r="S12">
        <f t="shared" si="0"/>
        <v>2025</v>
      </c>
      <c r="T12">
        <f t="shared" si="0"/>
        <v>2026</v>
      </c>
      <c r="U12">
        <f t="shared" si="0"/>
        <v>2026</v>
      </c>
      <c r="V12">
        <f t="shared" si="0"/>
        <v>2026</v>
      </c>
      <c r="W12">
        <f t="shared" si="0"/>
        <v>2026</v>
      </c>
      <c r="X12">
        <f t="shared" si="0"/>
        <v>2026</v>
      </c>
      <c r="Y12">
        <f t="shared" si="0"/>
        <v>2026</v>
      </c>
      <c r="Z12">
        <f t="shared" si="0"/>
        <v>2026</v>
      </c>
      <c r="AA12">
        <f t="shared" si="0"/>
        <v>2026</v>
      </c>
      <c r="AB12">
        <f t="shared" si="0"/>
        <v>2026</v>
      </c>
      <c r="AC12">
        <f t="shared" si="0"/>
        <v>2026</v>
      </c>
      <c r="AD12">
        <f t="shared" si="0"/>
        <v>2026</v>
      </c>
      <c r="AE12">
        <f t="shared" si="0"/>
        <v>2026</v>
      </c>
      <c r="AF12">
        <f t="shared" si="0"/>
        <v>2027</v>
      </c>
      <c r="AG12">
        <f t="shared" si="0"/>
        <v>2027</v>
      </c>
      <c r="AH12">
        <f t="shared" si="0"/>
        <v>2027</v>
      </c>
      <c r="AI12">
        <f t="shared" si="0"/>
        <v>2027</v>
      </c>
      <c r="AJ12">
        <f t="shared" si="0"/>
        <v>2027</v>
      </c>
      <c r="AK12">
        <f t="shared" si="0"/>
        <v>2027</v>
      </c>
      <c r="AL12">
        <f t="shared" si="0"/>
        <v>2027</v>
      </c>
      <c r="AM12">
        <f t="shared" si="0"/>
        <v>2027</v>
      </c>
      <c r="AN12">
        <f t="shared" si="0"/>
        <v>2027</v>
      </c>
      <c r="AO12">
        <f t="shared" si="0"/>
        <v>2027</v>
      </c>
      <c r="AP12">
        <f t="shared" si="0"/>
        <v>2027</v>
      </c>
      <c r="AQ12">
        <f t="shared" si="0"/>
        <v>2027</v>
      </c>
      <c r="AR12">
        <f t="shared" si="0"/>
        <v>2028</v>
      </c>
      <c r="AS12">
        <f t="shared" si="0"/>
        <v>2028</v>
      </c>
      <c r="AT12">
        <f t="shared" si="0"/>
        <v>2028</v>
      </c>
      <c r="AU12">
        <f t="shared" si="0"/>
        <v>2028</v>
      </c>
      <c r="AV12">
        <f t="shared" si="0"/>
        <v>2028</v>
      </c>
      <c r="AW12">
        <f t="shared" si="0"/>
        <v>2028</v>
      </c>
      <c r="AX12">
        <f t="shared" si="0"/>
        <v>2028</v>
      </c>
      <c r="AY12">
        <f t="shared" si="0"/>
        <v>2028</v>
      </c>
      <c r="AZ12">
        <f t="shared" si="0"/>
        <v>2028</v>
      </c>
      <c r="BA12">
        <f t="shared" si="0"/>
        <v>2028</v>
      </c>
      <c r="BB12">
        <f t="shared" si="0"/>
        <v>2028</v>
      </c>
      <c r="BC12">
        <f t="shared" si="0"/>
        <v>2028</v>
      </c>
      <c r="BD12">
        <f t="shared" si="0"/>
        <v>2029</v>
      </c>
      <c r="BE12">
        <f t="shared" si="0"/>
        <v>2029</v>
      </c>
      <c r="BF12">
        <f t="shared" si="0"/>
        <v>2029</v>
      </c>
      <c r="BG12">
        <f t="shared" si="0"/>
        <v>2029</v>
      </c>
      <c r="BH12">
        <f t="shared" si="0"/>
        <v>2029</v>
      </c>
      <c r="BI12">
        <f t="shared" si="0"/>
        <v>2029</v>
      </c>
      <c r="BJ12">
        <f t="shared" si="0"/>
        <v>2029</v>
      </c>
      <c r="BK12">
        <f t="shared" si="0"/>
        <v>2029</v>
      </c>
      <c r="BL12">
        <f t="shared" si="0"/>
        <v>2029</v>
      </c>
      <c r="BM12">
        <f t="shared" si="0"/>
        <v>2029</v>
      </c>
      <c r="BN12">
        <f t="shared" si="0"/>
        <v>2029</v>
      </c>
      <c r="BO12">
        <f t="shared" si="0"/>
        <v>2029</v>
      </c>
      <c r="BP12">
        <f t="shared" ref="BP12:EA12" si="1">+YEAR(BP13)</f>
        <v>2030</v>
      </c>
      <c r="BQ12">
        <f t="shared" si="1"/>
        <v>2030</v>
      </c>
      <c r="BR12">
        <f t="shared" si="1"/>
        <v>2030</v>
      </c>
      <c r="BS12">
        <f t="shared" si="1"/>
        <v>2030</v>
      </c>
      <c r="BT12">
        <f t="shared" si="1"/>
        <v>2030</v>
      </c>
      <c r="BU12">
        <f t="shared" si="1"/>
        <v>2030</v>
      </c>
      <c r="BV12">
        <f t="shared" si="1"/>
        <v>2030</v>
      </c>
      <c r="BW12">
        <f t="shared" si="1"/>
        <v>2030</v>
      </c>
      <c r="BX12">
        <f t="shared" si="1"/>
        <v>2030</v>
      </c>
      <c r="BY12">
        <f t="shared" si="1"/>
        <v>2030</v>
      </c>
      <c r="BZ12">
        <f t="shared" si="1"/>
        <v>2030</v>
      </c>
      <c r="CA12">
        <f t="shared" si="1"/>
        <v>2030</v>
      </c>
      <c r="CB12">
        <f t="shared" si="1"/>
        <v>2031</v>
      </c>
      <c r="CC12">
        <f t="shared" si="1"/>
        <v>2031</v>
      </c>
      <c r="CD12">
        <f t="shared" si="1"/>
        <v>2031</v>
      </c>
      <c r="CE12">
        <f t="shared" si="1"/>
        <v>2031</v>
      </c>
      <c r="CF12">
        <f t="shared" si="1"/>
        <v>2031</v>
      </c>
      <c r="CG12">
        <f t="shared" si="1"/>
        <v>2031</v>
      </c>
      <c r="CH12">
        <f t="shared" si="1"/>
        <v>2031</v>
      </c>
      <c r="CI12">
        <f t="shared" si="1"/>
        <v>2031</v>
      </c>
      <c r="CJ12">
        <f t="shared" si="1"/>
        <v>2031</v>
      </c>
      <c r="CK12">
        <f t="shared" si="1"/>
        <v>2031</v>
      </c>
      <c r="CL12">
        <f t="shared" si="1"/>
        <v>2031</v>
      </c>
      <c r="CM12">
        <f t="shared" si="1"/>
        <v>2031</v>
      </c>
      <c r="CN12">
        <f t="shared" si="1"/>
        <v>2032</v>
      </c>
      <c r="CO12">
        <f t="shared" si="1"/>
        <v>2032</v>
      </c>
      <c r="CP12">
        <f t="shared" si="1"/>
        <v>2032</v>
      </c>
      <c r="CQ12">
        <f t="shared" si="1"/>
        <v>2032</v>
      </c>
      <c r="CR12">
        <f t="shared" si="1"/>
        <v>2032</v>
      </c>
      <c r="CS12">
        <f t="shared" si="1"/>
        <v>2032</v>
      </c>
      <c r="CT12">
        <f t="shared" si="1"/>
        <v>2032</v>
      </c>
      <c r="CU12">
        <f t="shared" si="1"/>
        <v>2032</v>
      </c>
      <c r="CV12">
        <f t="shared" si="1"/>
        <v>2032</v>
      </c>
      <c r="CW12">
        <f t="shared" si="1"/>
        <v>2032</v>
      </c>
      <c r="CX12">
        <f t="shared" si="1"/>
        <v>2032</v>
      </c>
      <c r="CY12">
        <f t="shared" si="1"/>
        <v>2032</v>
      </c>
      <c r="CZ12">
        <f t="shared" si="1"/>
        <v>2033</v>
      </c>
      <c r="DA12">
        <f t="shared" si="1"/>
        <v>2033</v>
      </c>
      <c r="DB12">
        <f t="shared" si="1"/>
        <v>2033</v>
      </c>
      <c r="DC12">
        <f t="shared" si="1"/>
        <v>2033</v>
      </c>
      <c r="DD12">
        <f t="shared" si="1"/>
        <v>2033</v>
      </c>
      <c r="DE12">
        <f t="shared" si="1"/>
        <v>2033</v>
      </c>
      <c r="DF12">
        <f t="shared" si="1"/>
        <v>2033</v>
      </c>
      <c r="DG12">
        <f t="shared" si="1"/>
        <v>2033</v>
      </c>
      <c r="DH12">
        <f t="shared" si="1"/>
        <v>2033</v>
      </c>
      <c r="DI12">
        <f t="shared" si="1"/>
        <v>2033</v>
      </c>
      <c r="DJ12">
        <f t="shared" si="1"/>
        <v>2033</v>
      </c>
      <c r="DK12">
        <f t="shared" si="1"/>
        <v>2033</v>
      </c>
      <c r="DL12">
        <f t="shared" si="1"/>
        <v>2034</v>
      </c>
      <c r="DM12">
        <f t="shared" si="1"/>
        <v>2034</v>
      </c>
      <c r="DN12">
        <f t="shared" si="1"/>
        <v>2034</v>
      </c>
      <c r="DO12">
        <f t="shared" si="1"/>
        <v>2034</v>
      </c>
      <c r="DP12">
        <f t="shared" si="1"/>
        <v>2034</v>
      </c>
      <c r="DQ12">
        <f t="shared" si="1"/>
        <v>2034</v>
      </c>
      <c r="DR12">
        <f t="shared" si="1"/>
        <v>2034</v>
      </c>
      <c r="DS12">
        <f t="shared" si="1"/>
        <v>2034</v>
      </c>
      <c r="DT12">
        <f t="shared" si="1"/>
        <v>2034</v>
      </c>
      <c r="DU12">
        <f t="shared" si="1"/>
        <v>2034</v>
      </c>
      <c r="DV12">
        <f t="shared" si="1"/>
        <v>2034</v>
      </c>
      <c r="DW12">
        <f t="shared" si="1"/>
        <v>2034</v>
      </c>
      <c r="DX12">
        <f t="shared" si="1"/>
        <v>2035</v>
      </c>
      <c r="DY12">
        <f t="shared" si="1"/>
        <v>2035</v>
      </c>
      <c r="DZ12">
        <f t="shared" si="1"/>
        <v>2035</v>
      </c>
      <c r="EA12">
        <f t="shared" si="1"/>
        <v>2035</v>
      </c>
      <c r="EB12">
        <f t="shared" ref="EB12:GM12" si="2">+YEAR(EB13)</f>
        <v>2035</v>
      </c>
      <c r="EC12">
        <f t="shared" si="2"/>
        <v>2035</v>
      </c>
      <c r="ED12">
        <f t="shared" si="2"/>
        <v>2035</v>
      </c>
      <c r="EE12">
        <f t="shared" si="2"/>
        <v>2035</v>
      </c>
      <c r="EF12">
        <f t="shared" si="2"/>
        <v>2035</v>
      </c>
      <c r="EG12">
        <f t="shared" si="2"/>
        <v>2035</v>
      </c>
      <c r="EH12">
        <f t="shared" si="2"/>
        <v>2035</v>
      </c>
      <c r="EI12">
        <f t="shared" si="2"/>
        <v>2035</v>
      </c>
      <c r="EJ12">
        <f t="shared" si="2"/>
        <v>2036</v>
      </c>
      <c r="EK12">
        <f t="shared" si="2"/>
        <v>2036</v>
      </c>
      <c r="EL12">
        <f t="shared" si="2"/>
        <v>2036</v>
      </c>
      <c r="EM12">
        <f t="shared" si="2"/>
        <v>2036</v>
      </c>
      <c r="EN12">
        <f t="shared" si="2"/>
        <v>2036</v>
      </c>
      <c r="EO12">
        <f t="shared" si="2"/>
        <v>2036</v>
      </c>
      <c r="EP12">
        <f t="shared" si="2"/>
        <v>2036</v>
      </c>
      <c r="EQ12">
        <f t="shared" si="2"/>
        <v>2036</v>
      </c>
      <c r="ER12">
        <f t="shared" si="2"/>
        <v>2036</v>
      </c>
      <c r="ES12">
        <f t="shared" si="2"/>
        <v>2036</v>
      </c>
      <c r="ET12">
        <f t="shared" si="2"/>
        <v>2036</v>
      </c>
      <c r="EU12">
        <f t="shared" si="2"/>
        <v>2036</v>
      </c>
      <c r="EV12">
        <f t="shared" si="2"/>
        <v>2037</v>
      </c>
      <c r="EW12">
        <f t="shared" si="2"/>
        <v>2037</v>
      </c>
      <c r="EX12">
        <f t="shared" si="2"/>
        <v>2037</v>
      </c>
      <c r="EY12">
        <f t="shared" si="2"/>
        <v>2037</v>
      </c>
      <c r="EZ12">
        <f t="shared" si="2"/>
        <v>2037</v>
      </c>
      <c r="FA12">
        <f t="shared" si="2"/>
        <v>2037</v>
      </c>
      <c r="FB12">
        <f t="shared" si="2"/>
        <v>2037</v>
      </c>
      <c r="FC12">
        <f t="shared" si="2"/>
        <v>2037</v>
      </c>
      <c r="FD12">
        <f t="shared" si="2"/>
        <v>2037</v>
      </c>
      <c r="FE12">
        <f t="shared" si="2"/>
        <v>2037</v>
      </c>
      <c r="FF12">
        <f t="shared" si="2"/>
        <v>2037</v>
      </c>
      <c r="FG12">
        <f t="shared" si="2"/>
        <v>2037</v>
      </c>
      <c r="FH12">
        <f t="shared" si="2"/>
        <v>2038</v>
      </c>
      <c r="FI12">
        <f t="shared" si="2"/>
        <v>2038</v>
      </c>
      <c r="FJ12">
        <f t="shared" si="2"/>
        <v>2038</v>
      </c>
      <c r="FK12">
        <f t="shared" si="2"/>
        <v>2038</v>
      </c>
      <c r="FL12">
        <f t="shared" si="2"/>
        <v>2038</v>
      </c>
      <c r="FM12">
        <f t="shared" si="2"/>
        <v>2038</v>
      </c>
      <c r="FN12">
        <f t="shared" si="2"/>
        <v>2038</v>
      </c>
      <c r="FO12">
        <f t="shared" si="2"/>
        <v>2038</v>
      </c>
      <c r="FP12">
        <f t="shared" si="2"/>
        <v>2038</v>
      </c>
      <c r="FQ12">
        <f t="shared" si="2"/>
        <v>2038</v>
      </c>
      <c r="FR12">
        <f t="shared" si="2"/>
        <v>2038</v>
      </c>
      <c r="FS12">
        <f t="shared" si="2"/>
        <v>2038</v>
      </c>
      <c r="FT12">
        <f t="shared" si="2"/>
        <v>2039</v>
      </c>
      <c r="FU12">
        <f t="shared" si="2"/>
        <v>2039</v>
      </c>
      <c r="FV12">
        <f t="shared" si="2"/>
        <v>2039</v>
      </c>
      <c r="FW12">
        <f t="shared" si="2"/>
        <v>2039</v>
      </c>
      <c r="FX12">
        <f t="shared" si="2"/>
        <v>2039</v>
      </c>
      <c r="FY12">
        <f t="shared" si="2"/>
        <v>2039</v>
      </c>
      <c r="FZ12">
        <f t="shared" si="2"/>
        <v>2039</v>
      </c>
      <c r="GA12">
        <f t="shared" si="2"/>
        <v>2039</v>
      </c>
      <c r="GB12">
        <f t="shared" si="2"/>
        <v>2039</v>
      </c>
      <c r="GC12">
        <f t="shared" si="2"/>
        <v>2039</v>
      </c>
      <c r="GD12">
        <f t="shared" si="2"/>
        <v>2039</v>
      </c>
      <c r="GE12">
        <f t="shared" si="2"/>
        <v>2039</v>
      </c>
      <c r="GF12">
        <f t="shared" si="2"/>
        <v>2040</v>
      </c>
      <c r="GG12">
        <f t="shared" si="2"/>
        <v>2040</v>
      </c>
      <c r="GH12">
        <f t="shared" si="2"/>
        <v>2040</v>
      </c>
      <c r="GI12">
        <f t="shared" si="2"/>
        <v>2040</v>
      </c>
      <c r="GJ12">
        <f t="shared" si="2"/>
        <v>2040</v>
      </c>
      <c r="GK12">
        <f t="shared" si="2"/>
        <v>2040</v>
      </c>
      <c r="GL12">
        <f t="shared" si="2"/>
        <v>2040</v>
      </c>
      <c r="GM12">
        <f t="shared" si="2"/>
        <v>2040</v>
      </c>
      <c r="GN12">
        <f t="shared" ref="GN12:IH12" si="3">+YEAR(GN13)</f>
        <v>2040</v>
      </c>
      <c r="GO12">
        <f t="shared" si="3"/>
        <v>2040</v>
      </c>
      <c r="GP12">
        <f t="shared" si="3"/>
        <v>2040</v>
      </c>
      <c r="GQ12">
        <f t="shared" si="3"/>
        <v>2040</v>
      </c>
      <c r="GR12">
        <f t="shared" si="3"/>
        <v>2041</v>
      </c>
      <c r="GS12">
        <f t="shared" si="3"/>
        <v>2041</v>
      </c>
      <c r="GT12">
        <f t="shared" si="3"/>
        <v>2041</v>
      </c>
      <c r="GU12">
        <f t="shared" si="3"/>
        <v>2041</v>
      </c>
      <c r="GV12">
        <f t="shared" si="3"/>
        <v>2041</v>
      </c>
      <c r="GW12">
        <f t="shared" si="3"/>
        <v>2041</v>
      </c>
      <c r="GX12">
        <f t="shared" si="3"/>
        <v>2041</v>
      </c>
      <c r="GY12">
        <f t="shared" si="3"/>
        <v>2041</v>
      </c>
      <c r="GZ12">
        <f t="shared" si="3"/>
        <v>2041</v>
      </c>
      <c r="HA12">
        <f t="shared" si="3"/>
        <v>2041</v>
      </c>
      <c r="HB12">
        <f t="shared" si="3"/>
        <v>2041</v>
      </c>
      <c r="HC12">
        <f t="shared" si="3"/>
        <v>2041</v>
      </c>
      <c r="HD12">
        <f t="shared" si="3"/>
        <v>2042</v>
      </c>
      <c r="HE12">
        <f t="shared" si="3"/>
        <v>2042</v>
      </c>
      <c r="HF12">
        <f t="shared" si="3"/>
        <v>2042</v>
      </c>
      <c r="HG12">
        <f t="shared" si="3"/>
        <v>2042</v>
      </c>
      <c r="HH12">
        <f t="shared" si="3"/>
        <v>2042</v>
      </c>
      <c r="HI12">
        <f t="shared" si="3"/>
        <v>2042</v>
      </c>
      <c r="HJ12">
        <f t="shared" si="3"/>
        <v>2042</v>
      </c>
      <c r="HK12">
        <f t="shared" si="3"/>
        <v>2042</v>
      </c>
      <c r="HL12">
        <f t="shared" si="3"/>
        <v>2042</v>
      </c>
      <c r="HM12">
        <f t="shared" si="3"/>
        <v>2042</v>
      </c>
      <c r="HN12">
        <f t="shared" si="3"/>
        <v>2042</v>
      </c>
      <c r="HO12">
        <f t="shared" si="3"/>
        <v>2042</v>
      </c>
      <c r="HP12">
        <f t="shared" si="3"/>
        <v>2043</v>
      </c>
      <c r="HQ12">
        <f t="shared" si="3"/>
        <v>2043</v>
      </c>
      <c r="HR12">
        <f t="shared" si="3"/>
        <v>2043</v>
      </c>
      <c r="HS12">
        <f t="shared" si="3"/>
        <v>2043</v>
      </c>
      <c r="HT12">
        <f t="shared" si="3"/>
        <v>2043</v>
      </c>
      <c r="HU12">
        <f t="shared" si="3"/>
        <v>2043</v>
      </c>
      <c r="HV12">
        <f t="shared" si="3"/>
        <v>2043</v>
      </c>
      <c r="HW12">
        <f t="shared" si="3"/>
        <v>2043</v>
      </c>
      <c r="HX12">
        <f t="shared" si="3"/>
        <v>2043</v>
      </c>
      <c r="HY12">
        <f t="shared" si="3"/>
        <v>2043</v>
      </c>
      <c r="HZ12">
        <f t="shared" si="3"/>
        <v>2043</v>
      </c>
      <c r="IA12">
        <f t="shared" si="3"/>
        <v>2043</v>
      </c>
      <c r="IB12">
        <f t="shared" si="3"/>
        <v>2044</v>
      </c>
      <c r="IC12">
        <f t="shared" si="3"/>
        <v>2044</v>
      </c>
      <c r="ID12">
        <f t="shared" si="3"/>
        <v>2044</v>
      </c>
      <c r="IE12">
        <f t="shared" si="3"/>
        <v>2044</v>
      </c>
      <c r="IF12">
        <f t="shared" si="3"/>
        <v>2044</v>
      </c>
      <c r="IG12">
        <f t="shared" si="3"/>
        <v>2044</v>
      </c>
      <c r="IH12">
        <f t="shared" si="3"/>
        <v>2044</v>
      </c>
    </row>
    <row r="13" spans="1:242" x14ac:dyDescent="0.3">
      <c r="A13" t="s">
        <v>762</v>
      </c>
      <c r="C13" s="14">
        <v>45505</v>
      </c>
      <c r="D13" s="14">
        <v>45536</v>
      </c>
      <c r="E13" s="14">
        <v>45566</v>
      </c>
      <c r="F13" s="14">
        <v>45597</v>
      </c>
      <c r="G13" s="14">
        <v>45627</v>
      </c>
      <c r="H13" s="14">
        <v>45658</v>
      </c>
      <c r="I13" s="14">
        <v>45689</v>
      </c>
      <c r="J13" s="14">
        <v>45717</v>
      </c>
      <c r="K13" s="14">
        <v>45748</v>
      </c>
      <c r="L13" s="14">
        <v>45778</v>
      </c>
      <c r="M13" s="14">
        <v>45809</v>
      </c>
      <c r="N13" s="14">
        <v>45839</v>
      </c>
      <c r="O13" s="14">
        <v>45870</v>
      </c>
      <c r="P13" s="14">
        <v>45901</v>
      </c>
      <c r="Q13" s="14">
        <v>45931</v>
      </c>
      <c r="R13" s="14">
        <v>45962</v>
      </c>
      <c r="S13" s="14">
        <v>45992</v>
      </c>
      <c r="T13" s="14">
        <v>46023</v>
      </c>
      <c r="U13" s="14">
        <v>46054</v>
      </c>
      <c r="V13" s="14">
        <v>46082</v>
      </c>
      <c r="W13" s="14">
        <v>46113</v>
      </c>
      <c r="X13" s="14">
        <v>46143</v>
      </c>
      <c r="Y13" s="14">
        <v>46174</v>
      </c>
      <c r="Z13" s="14">
        <v>46204</v>
      </c>
      <c r="AA13" s="14">
        <v>46235</v>
      </c>
      <c r="AB13" s="14">
        <v>46266</v>
      </c>
      <c r="AC13" s="14">
        <v>46296</v>
      </c>
      <c r="AD13" s="14">
        <v>46327</v>
      </c>
      <c r="AE13" s="14">
        <v>46357</v>
      </c>
      <c r="AF13" s="14">
        <v>46388</v>
      </c>
      <c r="AG13" s="14">
        <v>46419</v>
      </c>
      <c r="AH13" s="14">
        <v>46447</v>
      </c>
      <c r="AI13" s="14">
        <v>46478</v>
      </c>
      <c r="AJ13" s="14">
        <v>46508</v>
      </c>
      <c r="AK13" s="14">
        <v>46539</v>
      </c>
      <c r="AL13" s="14">
        <v>46569</v>
      </c>
      <c r="AM13" s="14">
        <v>46600</v>
      </c>
      <c r="AN13" s="14">
        <v>46631</v>
      </c>
      <c r="AO13" s="14">
        <v>46661</v>
      </c>
      <c r="AP13" s="14">
        <v>46692</v>
      </c>
      <c r="AQ13" s="14">
        <v>46722</v>
      </c>
      <c r="AR13" s="14">
        <v>46753</v>
      </c>
      <c r="AS13" s="14">
        <v>46784</v>
      </c>
      <c r="AT13" s="14">
        <v>46813</v>
      </c>
      <c r="AU13" s="14">
        <v>46844</v>
      </c>
      <c r="AV13" s="14">
        <v>46874</v>
      </c>
      <c r="AW13" s="14">
        <v>46905</v>
      </c>
      <c r="AX13" s="14">
        <v>46935</v>
      </c>
      <c r="AY13" s="14">
        <v>46966</v>
      </c>
      <c r="AZ13" s="14">
        <v>46997</v>
      </c>
      <c r="BA13" s="14">
        <v>47027</v>
      </c>
      <c r="BB13" s="14">
        <v>47058</v>
      </c>
      <c r="BC13" s="14">
        <v>47088</v>
      </c>
      <c r="BD13" s="14">
        <v>47119</v>
      </c>
      <c r="BE13" s="14">
        <v>47150</v>
      </c>
      <c r="BF13" s="14">
        <v>47178</v>
      </c>
      <c r="BG13" s="14">
        <v>47209</v>
      </c>
      <c r="BH13" s="14">
        <v>47239</v>
      </c>
      <c r="BI13" s="14">
        <v>47270</v>
      </c>
      <c r="BJ13" s="14">
        <v>47300</v>
      </c>
      <c r="BK13" s="14">
        <v>47331</v>
      </c>
      <c r="BL13" s="14">
        <v>47362</v>
      </c>
      <c r="BM13" s="14">
        <v>47392</v>
      </c>
      <c r="BN13" s="14">
        <v>47423</v>
      </c>
      <c r="BO13" s="14">
        <v>47453</v>
      </c>
      <c r="BP13" s="14">
        <v>47484</v>
      </c>
      <c r="BQ13" s="14">
        <v>47515</v>
      </c>
      <c r="BR13" s="14">
        <v>47543</v>
      </c>
      <c r="BS13" s="14">
        <v>47574</v>
      </c>
      <c r="BT13" s="14">
        <v>47604</v>
      </c>
      <c r="BU13" s="14">
        <v>47635</v>
      </c>
      <c r="BV13" s="14">
        <v>47665</v>
      </c>
      <c r="BW13" s="14">
        <v>47696</v>
      </c>
      <c r="BX13" s="14">
        <v>47727</v>
      </c>
      <c r="BY13" s="14">
        <v>47757</v>
      </c>
      <c r="BZ13" s="14">
        <v>47788</v>
      </c>
      <c r="CA13" s="14">
        <v>47818</v>
      </c>
      <c r="CB13" s="14">
        <v>47849</v>
      </c>
      <c r="CC13" s="14">
        <v>47880</v>
      </c>
      <c r="CD13" s="14">
        <v>47908</v>
      </c>
      <c r="CE13" s="14">
        <v>47939</v>
      </c>
      <c r="CF13" s="14">
        <v>47969</v>
      </c>
      <c r="CG13" s="14">
        <v>48000</v>
      </c>
      <c r="CH13" s="14">
        <v>48030</v>
      </c>
      <c r="CI13" s="14">
        <v>48061</v>
      </c>
      <c r="CJ13" s="14">
        <v>48092</v>
      </c>
      <c r="CK13" s="14">
        <v>48122</v>
      </c>
      <c r="CL13" s="14">
        <v>48153</v>
      </c>
      <c r="CM13" s="14">
        <v>48183</v>
      </c>
      <c r="CN13" s="14">
        <v>48214</v>
      </c>
      <c r="CO13" s="14">
        <v>48245</v>
      </c>
      <c r="CP13" s="14">
        <v>48274</v>
      </c>
      <c r="CQ13" s="14">
        <v>48305</v>
      </c>
      <c r="CR13" s="14">
        <v>48335</v>
      </c>
      <c r="CS13" s="14">
        <v>48366</v>
      </c>
      <c r="CT13" s="14">
        <v>48396</v>
      </c>
      <c r="CU13" s="14">
        <v>48427</v>
      </c>
      <c r="CV13" s="14">
        <v>48458</v>
      </c>
      <c r="CW13" s="14">
        <v>48488</v>
      </c>
      <c r="CX13" s="14">
        <v>48519</v>
      </c>
      <c r="CY13" s="14">
        <v>48549</v>
      </c>
      <c r="CZ13" s="14">
        <v>48580</v>
      </c>
      <c r="DA13" s="14">
        <v>48611</v>
      </c>
      <c r="DB13" s="14">
        <v>48639</v>
      </c>
      <c r="DC13" s="14">
        <v>48670</v>
      </c>
      <c r="DD13" s="14">
        <v>48700</v>
      </c>
      <c r="DE13" s="14">
        <v>48731</v>
      </c>
      <c r="DF13" s="14">
        <v>48761</v>
      </c>
      <c r="DG13" s="14">
        <v>48792</v>
      </c>
      <c r="DH13" s="14">
        <v>48823</v>
      </c>
      <c r="DI13" s="14">
        <v>48853</v>
      </c>
      <c r="DJ13" s="14">
        <v>48884</v>
      </c>
      <c r="DK13" s="14">
        <v>48914</v>
      </c>
      <c r="DL13" s="14">
        <v>48945</v>
      </c>
      <c r="DM13" s="14">
        <v>48976</v>
      </c>
      <c r="DN13" s="14">
        <v>49004</v>
      </c>
      <c r="DO13" s="14">
        <v>49035</v>
      </c>
      <c r="DP13" s="14">
        <v>49065</v>
      </c>
      <c r="DQ13" s="14">
        <v>49096</v>
      </c>
      <c r="DR13" s="14">
        <v>49126</v>
      </c>
      <c r="DS13" s="14">
        <v>49157</v>
      </c>
      <c r="DT13" s="14">
        <v>49188</v>
      </c>
      <c r="DU13" s="14">
        <v>49218</v>
      </c>
      <c r="DV13" s="14">
        <v>49249</v>
      </c>
      <c r="DW13" s="14">
        <v>49279</v>
      </c>
      <c r="DX13" s="14">
        <v>49310</v>
      </c>
      <c r="DY13" s="14">
        <v>49341</v>
      </c>
      <c r="DZ13" s="14">
        <v>49369</v>
      </c>
      <c r="EA13" s="14">
        <v>49400</v>
      </c>
      <c r="EB13" s="14">
        <v>49430</v>
      </c>
      <c r="EC13" s="14">
        <v>49461</v>
      </c>
      <c r="ED13" s="14">
        <v>49491</v>
      </c>
      <c r="EE13" s="14">
        <v>49522</v>
      </c>
      <c r="EF13" s="14">
        <v>49553</v>
      </c>
      <c r="EG13" s="14">
        <v>49583</v>
      </c>
      <c r="EH13" s="14">
        <v>49614</v>
      </c>
      <c r="EI13" s="14">
        <v>49644</v>
      </c>
      <c r="EJ13" s="14">
        <v>49675</v>
      </c>
      <c r="EK13" s="14">
        <v>49706</v>
      </c>
      <c r="EL13" s="14">
        <v>49735</v>
      </c>
      <c r="EM13" s="14">
        <v>49766</v>
      </c>
      <c r="EN13" s="14">
        <v>49796</v>
      </c>
      <c r="EO13" s="14">
        <v>49827</v>
      </c>
      <c r="EP13" s="14">
        <v>49857</v>
      </c>
      <c r="EQ13" s="14">
        <v>49888</v>
      </c>
      <c r="ER13" s="14">
        <v>49919</v>
      </c>
      <c r="ES13" s="14">
        <v>49949</v>
      </c>
      <c r="ET13" s="14">
        <v>49980</v>
      </c>
      <c r="EU13" s="14">
        <v>50010</v>
      </c>
      <c r="EV13" s="14">
        <v>50041</v>
      </c>
      <c r="EW13" s="14">
        <v>50072</v>
      </c>
      <c r="EX13" s="14">
        <v>50100</v>
      </c>
      <c r="EY13" s="14">
        <v>50131</v>
      </c>
      <c r="EZ13" s="14">
        <v>50161</v>
      </c>
      <c r="FA13" s="14">
        <v>50192</v>
      </c>
      <c r="FB13" s="14">
        <v>50222</v>
      </c>
      <c r="FC13" s="14">
        <v>50253</v>
      </c>
      <c r="FD13" s="14">
        <v>50284</v>
      </c>
      <c r="FE13" s="14">
        <v>50314</v>
      </c>
      <c r="FF13" s="14">
        <v>50345</v>
      </c>
      <c r="FG13" s="14">
        <v>50375</v>
      </c>
      <c r="FH13" s="14">
        <v>50406</v>
      </c>
      <c r="FI13" s="14">
        <v>50437</v>
      </c>
      <c r="FJ13" s="14">
        <v>50465</v>
      </c>
      <c r="FK13" s="14">
        <v>50496</v>
      </c>
      <c r="FL13" s="14">
        <v>50526</v>
      </c>
      <c r="FM13" s="14">
        <v>50557</v>
      </c>
      <c r="FN13" s="14">
        <v>50587</v>
      </c>
      <c r="FO13" s="14">
        <v>50618</v>
      </c>
      <c r="FP13" s="14">
        <v>50649</v>
      </c>
      <c r="FQ13" s="14">
        <v>50679</v>
      </c>
      <c r="FR13" s="14">
        <v>50710</v>
      </c>
      <c r="FS13" s="14">
        <v>50740</v>
      </c>
      <c r="FT13" s="14">
        <v>50771</v>
      </c>
      <c r="FU13" s="14">
        <v>50802</v>
      </c>
      <c r="FV13" s="14">
        <v>50830</v>
      </c>
      <c r="FW13" s="14">
        <v>50861</v>
      </c>
      <c r="FX13" s="14">
        <v>50891</v>
      </c>
      <c r="FY13" s="14">
        <v>50922</v>
      </c>
      <c r="FZ13" s="14">
        <v>50952</v>
      </c>
      <c r="GA13" s="14">
        <v>50983</v>
      </c>
      <c r="GB13" s="14">
        <v>51014</v>
      </c>
      <c r="GC13" s="14">
        <v>51044</v>
      </c>
      <c r="GD13" s="14">
        <v>51075</v>
      </c>
      <c r="GE13" s="14">
        <v>51105</v>
      </c>
      <c r="GF13" s="14">
        <v>51136</v>
      </c>
      <c r="GG13" s="14">
        <v>51167</v>
      </c>
      <c r="GH13" s="14">
        <v>51196</v>
      </c>
      <c r="GI13" s="14">
        <v>51227</v>
      </c>
      <c r="GJ13" s="14">
        <v>51257</v>
      </c>
      <c r="GK13" s="14">
        <v>51288</v>
      </c>
      <c r="GL13" s="14">
        <v>51318</v>
      </c>
      <c r="GM13" s="14">
        <v>51349</v>
      </c>
      <c r="GN13" s="14">
        <v>51380</v>
      </c>
      <c r="GO13" s="14">
        <v>51410</v>
      </c>
      <c r="GP13" s="14">
        <v>51441</v>
      </c>
      <c r="GQ13" s="14">
        <v>51471</v>
      </c>
      <c r="GR13" s="14">
        <v>51502</v>
      </c>
      <c r="GS13" s="14">
        <v>51533</v>
      </c>
      <c r="GT13" s="14">
        <v>51561</v>
      </c>
      <c r="GU13" s="14">
        <v>51592</v>
      </c>
      <c r="GV13" s="14">
        <v>51622</v>
      </c>
      <c r="GW13" s="14">
        <v>51653</v>
      </c>
      <c r="GX13" s="14">
        <v>51683</v>
      </c>
      <c r="GY13" s="14">
        <v>51714</v>
      </c>
      <c r="GZ13" s="14">
        <v>51745</v>
      </c>
      <c r="HA13" s="14">
        <v>51775</v>
      </c>
      <c r="HB13" s="14">
        <v>51806</v>
      </c>
      <c r="HC13" s="14">
        <v>51836</v>
      </c>
      <c r="HD13" s="14">
        <v>51867</v>
      </c>
      <c r="HE13" s="14">
        <v>51898</v>
      </c>
      <c r="HF13" s="14">
        <v>51926</v>
      </c>
      <c r="HG13" s="14">
        <v>51957</v>
      </c>
      <c r="HH13" s="14">
        <v>51987</v>
      </c>
      <c r="HI13" s="14">
        <v>52018</v>
      </c>
      <c r="HJ13" s="14">
        <v>52048</v>
      </c>
      <c r="HK13" s="14">
        <v>52079</v>
      </c>
      <c r="HL13" s="14">
        <v>52110</v>
      </c>
      <c r="HM13" s="14">
        <v>52140</v>
      </c>
      <c r="HN13" s="14">
        <v>52171</v>
      </c>
      <c r="HO13" s="14">
        <v>52201</v>
      </c>
      <c r="HP13" s="14">
        <v>52232</v>
      </c>
      <c r="HQ13" s="14">
        <v>52263</v>
      </c>
      <c r="HR13" s="14">
        <v>52291</v>
      </c>
      <c r="HS13" s="14">
        <v>52322</v>
      </c>
      <c r="HT13" s="14">
        <v>52352</v>
      </c>
      <c r="HU13" s="14">
        <v>52383</v>
      </c>
      <c r="HV13" s="14">
        <v>52413</v>
      </c>
      <c r="HW13" s="14">
        <v>52444</v>
      </c>
      <c r="HX13" s="14">
        <v>52475</v>
      </c>
      <c r="HY13" s="14">
        <v>52505</v>
      </c>
      <c r="HZ13" s="14">
        <v>52536</v>
      </c>
      <c r="IA13" s="14">
        <v>52566</v>
      </c>
      <c r="IB13" s="14">
        <v>52597</v>
      </c>
      <c r="IC13" s="14">
        <v>52628</v>
      </c>
      <c r="ID13" s="14">
        <v>52657</v>
      </c>
      <c r="IE13" s="14">
        <v>52688</v>
      </c>
      <c r="IF13" s="14">
        <v>52718</v>
      </c>
      <c r="IG13" s="14">
        <v>52749</v>
      </c>
      <c r="IH13" s="14">
        <v>52779</v>
      </c>
    </row>
    <row r="14" spans="1:242" x14ac:dyDescent="0.3">
      <c r="A14" s="6" t="s">
        <v>908</v>
      </c>
      <c r="B14" t="s">
        <v>33</v>
      </c>
      <c r="C14" s="10"/>
      <c r="D14" s="10"/>
      <c r="E14" s="10"/>
      <c r="F14" s="10"/>
      <c r="G14" s="10"/>
      <c r="H14" s="10"/>
      <c r="I14" s="70">
        <f>+Producción!K8</f>
        <v>1982.6360400000001</v>
      </c>
      <c r="J14" s="10">
        <f>+Producción!L8</f>
        <v>2360.8296480999998</v>
      </c>
      <c r="K14" s="10">
        <f>+Producción!M8</f>
        <v>2144.5575689999996</v>
      </c>
      <c r="L14" s="10">
        <f>+Producción!N8</f>
        <v>2079.2997071</v>
      </c>
      <c r="M14" s="10">
        <f>+Producción!O8</f>
        <v>2090.0679030000001</v>
      </c>
      <c r="N14" s="10">
        <f>+Producción!P8</f>
        <v>2224.0865339000002</v>
      </c>
      <c r="O14" s="10">
        <f>+Producción!Q8</f>
        <v>2191.4520427799998</v>
      </c>
      <c r="P14" s="10">
        <f>+Producción!R8</f>
        <v>2050.8448751999999</v>
      </c>
      <c r="Q14" s="10">
        <f>+Producción!S8</f>
        <v>1848.9862815599997</v>
      </c>
      <c r="R14" s="10">
        <f>+Producción!T8</f>
        <v>1767.0660480000001</v>
      </c>
      <c r="S14" s="10">
        <f>+Producción!U8</f>
        <v>1867.9423078799998</v>
      </c>
      <c r="T14" s="10">
        <f>+Producción!V8</f>
        <v>2146.1896942200001</v>
      </c>
      <c r="U14" s="10">
        <f>+Producción!W8</f>
        <v>1978.5898440000001</v>
      </c>
      <c r="V14" s="10">
        <f>+Producción!X8</f>
        <v>2356.01162841</v>
      </c>
      <c r="W14" s="10">
        <f>+Producción!Y8</f>
        <v>2140.1809208999998</v>
      </c>
      <c r="X14" s="10">
        <f>+Producción!Z8</f>
        <v>2075.0562383099996</v>
      </c>
      <c r="Y14" s="10">
        <f>+Producción!AA8</f>
        <v>2085.8024583000001</v>
      </c>
      <c r="Z14" s="10">
        <f>+Producción!AB8</f>
        <v>2219.5475817899996</v>
      </c>
      <c r="AA14" s="10">
        <f>+Producción!AC8</f>
        <v>2189.2112942699996</v>
      </c>
      <c r="AB14" s="10">
        <f>+Producción!AD8</f>
        <v>2048.7478967999996</v>
      </c>
      <c r="AC14" s="10">
        <f>+Producción!AE8</f>
        <v>1847.09570254</v>
      </c>
      <c r="AD14" s="10">
        <f>+Producción!AF8</f>
        <v>1765.2592320000001</v>
      </c>
      <c r="AE14" s="10">
        <f>+Producción!AG8</f>
        <v>1866.0323464199996</v>
      </c>
      <c r="AF14" s="10">
        <f>+Producción!AH8</f>
        <v>2143.9952262300003</v>
      </c>
      <c r="AG14" s="10">
        <f>+Producción!AI8</f>
        <v>1976.5667460000002</v>
      </c>
      <c r="AH14" s="10">
        <f>+Producción!AJ8</f>
        <v>2353.6026185649998</v>
      </c>
      <c r="AI14" s="10">
        <f>+Producción!AK8</f>
        <v>2137.9925968499997</v>
      </c>
      <c r="AJ14" s="10">
        <f>+Producción!AL8</f>
        <v>2072.9345039149998</v>
      </c>
      <c r="AK14" s="10">
        <f>+Producción!AM8</f>
        <v>2083.6697359499999</v>
      </c>
      <c r="AL14" s="10">
        <f>+Producción!AN8</f>
        <v>2217.2781057349998</v>
      </c>
      <c r="AM14" s="10">
        <f>+Producción!AO8</f>
        <v>2186.9705457599998</v>
      </c>
      <c r="AN14" s="10">
        <f>+Producción!AP8</f>
        <v>2046.6509183999999</v>
      </c>
      <c r="AO14" s="10">
        <f>+Producción!AQ8</f>
        <v>1845.2051235200001</v>
      </c>
      <c r="AP14" s="10">
        <f>+Producción!AR8</f>
        <v>1763.4524160000003</v>
      </c>
      <c r="AQ14" s="10">
        <f>+Producción!AS8</f>
        <v>1864.1223849599999</v>
      </c>
      <c r="AR14" s="10">
        <f>+Producción!AT8</f>
        <v>2141.8007582400005</v>
      </c>
      <c r="AS14" s="10">
        <f>+Producción!AU8</f>
        <v>2045.0630639999997</v>
      </c>
      <c r="AT14" s="10">
        <f>+Producción!AV8</f>
        <v>2351.1936087199997</v>
      </c>
      <c r="AU14" s="10">
        <f>+Producción!AW8</f>
        <v>2135.8042727999996</v>
      </c>
      <c r="AV14" s="10">
        <f>+Producción!AX8</f>
        <v>2070.8127695200001</v>
      </c>
      <c r="AW14" s="10">
        <f>+Producción!AY8</f>
        <v>2081.5370136000001</v>
      </c>
      <c r="AX14" s="10">
        <f>+Producción!AZ8</f>
        <v>2215.0086296800005</v>
      </c>
      <c r="AY14" s="10">
        <f>+Producción!BA8</f>
        <v>2184.72979725</v>
      </c>
      <c r="AZ14" s="10">
        <f>+Producción!BB8</f>
        <v>2044.55394</v>
      </c>
      <c r="BA14" s="10">
        <f>+Producción!BC8</f>
        <v>1843.3145444999998</v>
      </c>
      <c r="BB14" s="10">
        <f>+Producción!BD8</f>
        <v>1761.6456000000001</v>
      </c>
      <c r="BC14" s="10">
        <f>+Producción!BE8</f>
        <v>1862.2124234999999</v>
      </c>
      <c r="BD14" s="10">
        <f>+Producción!BF8</f>
        <v>2139.6062902500003</v>
      </c>
      <c r="BE14" s="10">
        <f>+Producción!BG8</f>
        <v>1972.5205499999997</v>
      </c>
      <c r="BF14" s="10">
        <f>+Producción!BH8</f>
        <v>2348.7845988749996</v>
      </c>
      <c r="BG14" s="10">
        <f>+Producción!BI8</f>
        <v>2133.6159487499999</v>
      </c>
      <c r="BH14" s="10">
        <f>+Producción!BJ8</f>
        <v>2068.6910351249999</v>
      </c>
      <c r="BI14" s="10">
        <f>+Producción!BK8</f>
        <v>2079.4042912499999</v>
      </c>
      <c r="BJ14" s="10">
        <f>+Producción!BL8</f>
        <v>2212.7391536249997</v>
      </c>
      <c r="BK14" s="10">
        <f>+Producción!BM8</f>
        <v>2173.5260546999998</v>
      </c>
      <c r="BL14" s="10">
        <f>+Producción!BN8</f>
        <v>2034.0690479999998</v>
      </c>
      <c r="BM14" s="10">
        <f>+Producción!BO8</f>
        <v>1833.8616494</v>
      </c>
      <c r="BN14" s="10">
        <f>+Producción!BP8</f>
        <v>1752.6115199999999</v>
      </c>
      <c r="BO14" s="10">
        <f>+Producción!BQ8</f>
        <v>1852.6626161999998</v>
      </c>
      <c r="BP14" s="10">
        <f>+Producción!BR8</f>
        <v>2128.6339502999999</v>
      </c>
      <c r="BQ14" s="10">
        <f>+Producción!BS8</f>
        <v>1962.40506</v>
      </c>
      <c r="BR14" s="10">
        <f>+Producción!BT8</f>
        <v>2336.7395496499998</v>
      </c>
      <c r="BS14" s="10">
        <f>+Producción!BU8</f>
        <v>2122.6743284999998</v>
      </c>
      <c r="BT14" s="10">
        <f>+Producción!BV8</f>
        <v>2058.0823631500002</v>
      </c>
      <c r="BU14" s="10">
        <f>+Producción!BW8</f>
        <v>2068.7406794999997</v>
      </c>
      <c r="BV14" s="10">
        <f>+Producción!BX8</f>
        <v>2201.3917733499998</v>
      </c>
      <c r="BW14" s="10">
        <f>+Producción!BY8</f>
        <v>2162.3223121499996</v>
      </c>
      <c r="BX14" s="10">
        <f>+Producción!BZ8</f>
        <v>2023.5841559999999</v>
      </c>
      <c r="BY14" s="10">
        <f>+Producción!CA8</f>
        <v>1824.4087542999998</v>
      </c>
      <c r="BZ14" s="10">
        <f>+Producción!CB8</f>
        <v>1743.57744</v>
      </c>
      <c r="CA14" s="10">
        <f>+Producción!CC8</f>
        <v>1843.1128088999999</v>
      </c>
      <c r="CB14" s="10">
        <f>+Producción!CD8</f>
        <v>2117.66161035</v>
      </c>
      <c r="CC14" s="10">
        <f>+Producción!CE8</f>
        <v>1952.2895700000004</v>
      </c>
      <c r="CD14" s="10">
        <f>+Producción!CF8</f>
        <v>2324.6945004249997</v>
      </c>
      <c r="CE14" s="10">
        <f>+Producción!CG8</f>
        <v>2111.7327082499996</v>
      </c>
      <c r="CF14" s="10">
        <f>+Producción!CH8</f>
        <v>2047.4736911749999</v>
      </c>
      <c r="CG14" s="10">
        <f>+Producción!CI8</f>
        <v>2058.07706775</v>
      </c>
      <c r="CH14" s="10">
        <f>+Producción!CJ8</f>
        <v>2190.0443930750002</v>
      </c>
      <c r="CI14" s="10">
        <f>+Producción!CK8</f>
        <v>2151.1185696000002</v>
      </c>
      <c r="CJ14" s="10">
        <f>+Producción!CL8</f>
        <v>2013.0992640000002</v>
      </c>
      <c r="CK14" s="10">
        <f>+Producción!CM8</f>
        <v>1814.9558592000001</v>
      </c>
      <c r="CL14" s="10">
        <f>+Producción!CN8</f>
        <v>1734.5433599999999</v>
      </c>
      <c r="CM14" s="10">
        <f>+Producción!CO8</f>
        <v>1833.5630015999998</v>
      </c>
      <c r="CN14" s="10">
        <f>+Producción!CP8</f>
        <v>2106.6892704000002</v>
      </c>
      <c r="CO14" s="10">
        <f>+Producción!CQ8</f>
        <v>2011.5374399999998</v>
      </c>
      <c r="CP14" s="10">
        <f>+Producción!CR8</f>
        <v>2312.6494511999999</v>
      </c>
      <c r="CQ14" s="10">
        <f>+Producción!CS8</f>
        <v>2100.7910879999999</v>
      </c>
      <c r="CR14" s="10">
        <f>+Producción!CT8</f>
        <v>2036.8650191999998</v>
      </c>
      <c r="CS14" s="10">
        <f>+Producción!CU8</f>
        <v>2047.413456</v>
      </c>
      <c r="CT14" s="10">
        <f>+Producción!CV8</f>
        <v>2178.6970128000003</v>
      </c>
      <c r="CU14" s="10">
        <f>+Producción!CW8</f>
        <v>2139.9148270499995</v>
      </c>
      <c r="CV14" s="10">
        <f>+Producción!CX8</f>
        <v>2002.6143719999998</v>
      </c>
      <c r="CW14" s="10">
        <f>+Producción!CY8</f>
        <v>1805.5029641000003</v>
      </c>
      <c r="CX14" s="10">
        <f>+Producción!CZ8</f>
        <v>1725.5092800000002</v>
      </c>
      <c r="CY14" s="10">
        <f>+Producción!DA8</f>
        <v>1824.0131942999999</v>
      </c>
      <c r="CZ14" s="10">
        <f>+Producción!DB8</f>
        <v>2095.7169304500003</v>
      </c>
      <c r="DA14" s="10">
        <f>+Producción!DC8</f>
        <v>1932.0585900000001</v>
      </c>
      <c r="DB14" s="10">
        <f>+Producción!DD8</f>
        <v>2300.6044019750002</v>
      </c>
      <c r="DC14" s="10">
        <f>+Producción!DE8</f>
        <v>2089.8494677499998</v>
      </c>
      <c r="DD14" s="10">
        <f>+Producción!DF8</f>
        <v>2026.2563472249999</v>
      </c>
      <c r="DE14" s="10">
        <f>+Producción!DG8</f>
        <v>2036.74984425</v>
      </c>
      <c r="DF14" s="10">
        <f>+Producción!DH8</f>
        <v>2167.3496325250003</v>
      </c>
      <c r="DG14" s="10">
        <f>+Producción!DI8</f>
        <v>2128.7110844999997</v>
      </c>
      <c r="DH14" s="10">
        <f>+Producción!DJ8</f>
        <v>1992.1294800000001</v>
      </c>
      <c r="DI14" s="10">
        <f>+Producción!DK8</f>
        <v>1796.0500690000001</v>
      </c>
      <c r="DJ14" s="10">
        <f>+Producción!DL8</f>
        <v>1716.4752000000001</v>
      </c>
      <c r="DK14" s="10">
        <f>+Producción!DM8</f>
        <v>1814.4633869999998</v>
      </c>
      <c r="DL14" s="10">
        <f>+Producción!DN8</f>
        <v>2084.7445905</v>
      </c>
      <c r="DM14" s="10">
        <f>+Producción!DO8</f>
        <v>1921.9431</v>
      </c>
      <c r="DN14" s="10">
        <f>+Producción!DP8</f>
        <v>2288.55935275</v>
      </c>
      <c r="DO14" s="10">
        <f>+Producción!DQ8</f>
        <v>2078.9078475000001</v>
      </c>
      <c r="DP14" s="10">
        <f>+Producción!DR8</f>
        <v>2015.6476752499998</v>
      </c>
      <c r="DQ14" s="10">
        <f>+Producción!DS8</f>
        <v>2026.0862324999998</v>
      </c>
      <c r="DR14" s="10">
        <f>+Producción!DT8</f>
        <v>2156.0022522499999</v>
      </c>
      <c r="DS14" s="10">
        <f>+Producción!DU8</f>
        <v>2106.3035994000002</v>
      </c>
      <c r="DT14" s="10">
        <f>+Producción!DV8</f>
        <v>2036.8650192</v>
      </c>
      <c r="DU14" s="10">
        <f>+Producción!DW8</f>
        <v>1777.1442787999999</v>
      </c>
      <c r="DV14" s="10">
        <f>+Producción!DX8</f>
        <v>1755.020608</v>
      </c>
      <c r="DW14" s="10">
        <f>+Producción!DY8</f>
        <v>1795.3637723999998</v>
      </c>
      <c r="DX14" s="10">
        <f>+Producción!DZ8</f>
        <v>2062.7999106000002</v>
      </c>
      <c r="DY14" s="10">
        <f>+Producción!EA8</f>
        <v>1901.7121200000001</v>
      </c>
      <c r="DZ14" s="10">
        <f>+Producción!EB8</f>
        <v>2264.4692542999996</v>
      </c>
      <c r="EA14" s="10">
        <f>+Producción!EC8</f>
        <v>2057.0246069999998</v>
      </c>
      <c r="EB14" s="10">
        <f>+Producción!ED8</f>
        <v>1994.4303312999998</v>
      </c>
      <c r="EC14" s="10">
        <f>+Producción!EE8</f>
        <v>2004.7590090000001</v>
      </c>
      <c r="ED14" s="10">
        <f>+Producción!EF8</f>
        <v>2133.3074917000004</v>
      </c>
      <c r="EE14" s="10">
        <f>+Producción!EG8</f>
        <v>2083.8961142999997</v>
      </c>
      <c r="EF14" s="10">
        <f>+Producción!EH8</f>
        <v>2015.1962424000001</v>
      </c>
      <c r="EG14" s="10">
        <f>+Producción!EI8</f>
        <v>1758.2384886</v>
      </c>
      <c r="EH14" s="10">
        <f>+Producción!EJ8</f>
        <v>1736.3501759999999</v>
      </c>
      <c r="EI14" s="10">
        <f>+Producción!EK8</f>
        <v>1776.2641577999998</v>
      </c>
      <c r="EJ14" s="10">
        <f>+Producción!EL8</f>
        <v>2040.8552307000004</v>
      </c>
      <c r="EK14" s="10">
        <f>+Producción!EM8</f>
        <v>1948.6768950000001</v>
      </c>
      <c r="EL14" s="10">
        <f>+Producción!EN8</f>
        <v>2240.3791558500002</v>
      </c>
      <c r="EM14" s="10">
        <f>+Producción!EO8</f>
        <v>2035.1413664999998</v>
      </c>
      <c r="EN14" s="10">
        <f>+Producción!EP8</f>
        <v>1973.2129873499998</v>
      </c>
      <c r="EO14" s="10">
        <f>+Producción!EQ8</f>
        <v>1983.4317854999999</v>
      </c>
      <c r="EP14" s="10">
        <f>+Producción!ER8</f>
        <v>2110.6127311499999</v>
      </c>
      <c r="EQ14" s="10">
        <f>+Producción!ES8</f>
        <v>2061.4886291999997</v>
      </c>
      <c r="ER14" s="10">
        <f>+Producción!ET8</f>
        <v>1993.5274656000001</v>
      </c>
      <c r="ES14" s="10">
        <f>+Producción!EU8</f>
        <v>1739.3326984</v>
      </c>
      <c r="ET14" s="10">
        <f>+Producción!EV8</f>
        <v>1717.679744</v>
      </c>
      <c r="EU14" s="10">
        <f>+Producción!EW8</f>
        <v>1757.1645431999998</v>
      </c>
      <c r="EV14" s="10">
        <f>+Producción!EX8</f>
        <v>2018.9105508000002</v>
      </c>
      <c r="EW14" s="10">
        <f>+Producción!EY8</f>
        <v>1861.2501599999998</v>
      </c>
      <c r="EX14" s="10">
        <f>+Producción!EZ8</f>
        <v>2216.2890574000003</v>
      </c>
      <c r="EY14" s="10">
        <f>+Producción!FA8</f>
        <v>2013.2581259999997</v>
      </c>
      <c r="EZ14" s="10">
        <f>+Producción!FB8</f>
        <v>1951.9956433999998</v>
      </c>
      <c r="FA14" s="10">
        <f>+Producción!FC8</f>
        <v>1962.104562</v>
      </c>
      <c r="FB14" s="10">
        <f>+Producción!FD8</f>
        <v>2087.9179706</v>
      </c>
      <c r="FC14" s="10">
        <f>+Producción!FE8</f>
        <v>2039.0811440999998</v>
      </c>
      <c r="FD14" s="10">
        <f>+Producción!FF8</f>
        <v>1971.8586888000002</v>
      </c>
      <c r="FE14" s="10">
        <f>+Producción!FG8</f>
        <v>1720.4269082000001</v>
      </c>
      <c r="FF14" s="10">
        <f>+Producción!FH8</f>
        <v>1699.0093119999999</v>
      </c>
      <c r="FG14" s="10">
        <f>+Producción!FI8</f>
        <v>1738.0649285999998</v>
      </c>
      <c r="FH14" s="10">
        <f>+Producción!FJ8</f>
        <v>1996.9658709000003</v>
      </c>
      <c r="FI14" s="10">
        <f>+Producción!FK8</f>
        <v>1841.0191800000002</v>
      </c>
      <c r="FJ14" s="10">
        <f>+Producción!FL8</f>
        <v>2192.1989589499999</v>
      </c>
      <c r="FK14" s="10">
        <f>+Producción!FM8</f>
        <v>1991.3748855000001</v>
      </c>
      <c r="FL14" s="10">
        <f>+Producción!FN8</f>
        <v>1930.7782994500001</v>
      </c>
      <c r="FM14" s="10">
        <f>+Producción!FO8</f>
        <v>1940.7773385</v>
      </c>
      <c r="FN14" s="10">
        <f>+Producción!FP8</f>
        <v>2065.22321005</v>
      </c>
      <c r="FO14" s="10">
        <f>+Producción!FQ8</f>
        <v>2016.6736589999998</v>
      </c>
      <c r="FP14" s="10">
        <f>+Producción!FR8</f>
        <v>1950.1899119999998</v>
      </c>
      <c r="FQ14" s="10">
        <f>+Producción!FS8</f>
        <v>1701.5211179999999</v>
      </c>
      <c r="FR14" s="10">
        <f>+Producción!FT8</f>
        <v>1680.33888</v>
      </c>
      <c r="FS14" s="10">
        <f>+Producción!FU8</f>
        <v>1718.965314</v>
      </c>
      <c r="FT14" s="10">
        <f>+Producción!FV8</f>
        <v>1975.021191</v>
      </c>
      <c r="FU14" s="10">
        <f>+Producción!FW8</f>
        <v>1820.7882000000002</v>
      </c>
      <c r="FV14" s="10">
        <f>+Producción!FX8</f>
        <v>2168.1088605</v>
      </c>
      <c r="FW14" s="10">
        <f>+Producción!FY8</f>
        <v>1969.4916450000001</v>
      </c>
      <c r="FX14" s="10">
        <f>+Producción!FZ8</f>
        <v>1909.5609554999999</v>
      </c>
      <c r="FY14" s="10">
        <f>+Producción!GA8</f>
        <v>1919.4501150000001</v>
      </c>
      <c r="FZ14" s="10">
        <f>+Producción!GB8</f>
        <v>2042.5284494999999</v>
      </c>
      <c r="GA14" s="10">
        <f>+Producción!GC8</f>
        <v>1994.2661739</v>
      </c>
      <c r="GB14" s="10">
        <f>+Producción!GD8</f>
        <v>1928.5211351999999</v>
      </c>
      <c r="GC14" s="10">
        <f>+Producción!GE8</f>
        <v>1682.6153277999999</v>
      </c>
      <c r="GD14" s="10">
        <f>+Producción!GF8</f>
        <v>1661.6684479999999</v>
      </c>
      <c r="GE14" s="10">
        <f>+Producción!GG8</f>
        <v>1699.8656994</v>
      </c>
      <c r="GF14" s="10">
        <f>+Producción!GH8</f>
        <v>1953.0765111000003</v>
      </c>
      <c r="GG14" s="10">
        <f>+Producción!GI8</f>
        <v>1864.8628349999999</v>
      </c>
      <c r="GH14" s="10">
        <f>+Producción!GJ8</f>
        <v>2144.0187620500001</v>
      </c>
      <c r="GI14" s="10">
        <f>+Producción!GK8</f>
        <v>1947.6084044999998</v>
      </c>
      <c r="GJ14" s="10">
        <f>+Producción!GL8</f>
        <v>1888.3436115500001</v>
      </c>
      <c r="GK14" s="10">
        <f>+Producción!GM8</f>
        <v>1898.1228914999997</v>
      </c>
      <c r="GL14" s="10">
        <f>+Producción!GN8</f>
        <v>2019.8336889499999</v>
      </c>
      <c r="GM14" s="10">
        <f>+Producción!GO8</f>
        <v>1971.8586888</v>
      </c>
      <c r="GN14" s="10">
        <f>+Producción!GP8</f>
        <v>1906.8523583999997</v>
      </c>
      <c r="GO14" s="10">
        <f>+Producción!GQ8</f>
        <v>1663.7095376</v>
      </c>
      <c r="GP14" s="10">
        <f>+Producción!GR8</f>
        <v>1642.9980159999998</v>
      </c>
      <c r="GQ14" s="10">
        <f>+Producción!GS8</f>
        <v>1680.7660848</v>
      </c>
      <c r="GR14" s="10">
        <f>+Producción!GT8</f>
        <v>1931.1318312000001</v>
      </c>
      <c r="GS14" s="10">
        <f>+Producción!GU8</f>
        <v>1780.3262399999999</v>
      </c>
      <c r="GT14" s="10">
        <f>+Producción!GV8</f>
        <v>2119.9286635999997</v>
      </c>
      <c r="GU14" s="10">
        <f>+Producción!GW8</f>
        <v>1925.7251639999997</v>
      </c>
      <c r="GV14" s="10">
        <f>+Producción!GX8</f>
        <v>1867.1262675999997</v>
      </c>
      <c r="GW14" s="10">
        <f>+Producción!GY8</f>
        <v>1876.795668</v>
      </c>
      <c r="GX14" s="10">
        <f>+Producción!GZ8</f>
        <v>1997.1389283999999</v>
      </c>
      <c r="GY14" s="10">
        <f>+Producción!HA8</f>
        <v>1949.4512037</v>
      </c>
      <c r="GZ14" s="10">
        <f>+Producción!HB8</f>
        <v>1885.1835816</v>
      </c>
      <c r="HA14" s="10">
        <f>+Producción!HC8</f>
        <v>1644.8037474</v>
      </c>
      <c r="HB14" s="10">
        <f>+Producción!HD8</f>
        <v>1624.3275840000001</v>
      </c>
      <c r="HC14" s="10">
        <f>+Producción!HE8</f>
        <v>1661.6664701999998</v>
      </c>
      <c r="HD14" s="10">
        <f>+Producción!HF8</f>
        <v>1909.1871513000001</v>
      </c>
      <c r="HE14" s="10">
        <f>+Producción!HG8</f>
        <v>1760.0952600000003</v>
      </c>
      <c r="HF14" s="10">
        <f>+Producción!HH8</f>
        <v>2095.8385651499998</v>
      </c>
      <c r="HG14" s="10">
        <f>+Producción!HI8</f>
        <v>1903.8419234999997</v>
      </c>
      <c r="HH14" s="10">
        <f>+Producción!HJ8</f>
        <v>1845.9089236499997</v>
      </c>
      <c r="HI14" s="10">
        <f>+Producción!HK8</f>
        <v>1855.4684444999998</v>
      </c>
      <c r="HJ14" s="10">
        <f>+Producción!HL8</f>
        <v>1974.4441678499998</v>
      </c>
      <c r="HK14" s="10">
        <f>+Producción!HM8</f>
        <v>1927.0437185999997</v>
      </c>
      <c r="HL14" s="10">
        <f>+Producción!HN8</f>
        <v>1863.5148048000001</v>
      </c>
      <c r="HM14" s="10">
        <f>+Producción!HO8</f>
        <v>1625.8979572000001</v>
      </c>
      <c r="HN14" s="10">
        <f>+Producción!HP8</f>
        <v>1605.657152</v>
      </c>
      <c r="HO14" s="10">
        <f>+Producción!HQ8</f>
        <v>1642.5668555999998</v>
      </c>
      <c r="HP14" s="10">
        <f>+Producción!HR8</f>
        <v>1887.2424714000003</v>
      </c>
      <c r="HQ14" s="10">
        <f>+Producción!HS8</f>
        <v>1739.86428</v>
      </c>
      <c r="HR14" s="10">
        <f>+Producción!HT8</f>
        <v>2071.7484666999999</v>
      </c>
      <c r="HS14" s="10">
        <f>+Producción!HU8</f>
        <v>1881.9586830000001</v>
      </c>
      <c r="HT14" s="10">
        <f>+Producción!HV8</f>
        <v>1824.6915796999999</v>
      </c>
      <c r="HU14" s="10">
        <f>+Producción!HW8</f>
        <v>1834.1412210000001</v>
      </c>
      <c r="HV14" s="10">
        <f>+Producción!HX8</f>
        <v>1951.7494072999998</v>
      </c>
      <c r="HW14" s="10">
        <f>+Producción!HY8</f>
        <v>1904.6362335000001</v>
      </c>
      <c r="HX14" s="10">
        <f>+Producción!HZ8</f>
        <v>1841.8460279999999</v>
      </c>
      <c r="HY14" s="10">
        <f>+Producción!IA8</f>
        <v>1606.9921670000001</v>
      </c>
      <c r="HZ14" s="10">
        <f>+Producción!IB8</f>
        <v>1586.9867199999999</v>
      </c>
      <c r="IA14" s="10">
        <f>+Producción!IC8</f>
        <v>1623.4672409999998</v>
      </c>
      <c r="IB14" s="10">
        <f>+Producción!ID8</f>
        <v>1865.2977915000004</v>
      </c>
      <c r="IC14" s="10">
        <f>+Producción!IE8</f>
        <v>1781.0487750000002</v>
      </c>
      <c r="ID14" s="10">
        <f>+Producción!IF8</f>
        <v>2047.6583682499997</v>
      </c>
      <c r="IE14" s="10">
        <f>+Producción!IG8</f>
        <v>1860.0754424999998</v>
      </c>
      <c r="IF14" s="10">
        <f>+Producción!IH8</f>
        <v>1803.4742357499997</v>
      </c>
      <c r="IG14" s="10">
        <f>+Producción!II8</f>
        <v>1812.8139974999999</v>
      </c>
      <c r="IH14" s="10">
        <f>+Producción!IJ8</f>
        <v>1929.0546467500001</v>
      </c>
    </row>
    <row r="16" spans="1:242" x14ac:dyDescent="0.3">
      <c r="A16" s="6" t="s">
        <v>909</v>
      </c>
      <c r="B16" t="s">
        <v>939</v>
      </c>
      <c r="C16" s="10"/>
      <c r="D16" s="10"/>
      <c r="E16" s="10"/>
      <c r="F16" s="10"/>
      <c r="G16" s="10"/>
      <c r="H16" s="10"/>
      <c r="I16" s="70">
        <f>+Producción!K9</f>
        <v>2063</v>
      </c>
      <c r="J16" s="10">
        <f>+Producción!L9</f>
        <v>1931</v>
      </c>
      <c r="K16" s="10">
        <f>+Producción!M9</f>
        <v>1439</v>
      </c>
      <c r="L16" s="10">
        <f>+Producción!N9</f>
        <v>1428</v>
      </c>
      <c r="M16" s="10">
        <f>+Producción!O9</f>
        <v>1562</v>
      </c>
      <c r="N16" s="10">
        <f>+Producción!P9</f>
        <v>1231</v>
      </c>
      <c r="O16" s="10">
        <f>+Producción!Q9</f>
        <v>1361</v>
      </c>
      <c r="P16" s="10">
        <f>+Producción!R9</f>
        <v>1712</v>
      </c>
      <c r="Q16" s="10">
        <f>+Producción!S9</f>
        <v>1565</v>
      </c>
      <c r="R16" s="10">
        <f>+Producción!T9</f>
        <v>2143</v>
      </c>
      <c r="S16" s="10">
        <f>+Producción!U9</f>
        <v>2131</v>
      </c>
      <c r="T16" s="10">
        <f>+Producción!V9</f>
        <v>2409</v>
      </c>
      <c r="U16" s="10">
        <f>+Producción!W9</f>
        <v>2063</v>
      </c>
      <c r="V16" s="10">
        <f>+Producción!X9</f>
        <v>1931</v>
      </c>
      <c r="W16" s="10">
        <f>+Producción!Y9</f>
        <v>1439</v>
      </c>
      <c r="X16" s="10">
        <f>+Producción!Z9</f>
        <v>1428</v>
      </c>
      <c r="Y16" s="10">
        <f>+Producción!AA9</f>
        <v>1562</v>
      </c>
      <c r="Z16" s="10">
        <f>+Producción!AB9</f>
        <v>1231</v>
      </c>
      <c r="AA16" s="10">
        <f>+Producción!AC9</f>
        <v>1361</v>
      </c>
      <c r="AB16" s="10">
        <f>+Producción!AD9</f>
        <v>1712</v>
      </c>
      <c r="AC16" s="10">
        <f>+Producción!AE9</f>
        <v>1565</v>
      </c>
      <c r="AD16" s="10">
        <f>+Producción!AF9</f>
        <v>2143</v>
      </c>
      <c r="AE16" s="10">
        <f>+Producción!AG9</f>
        <v>2131</v>
      </c>
      <c r="AF16" s="10">
        <f>+Producción!AH9</f>
        <v>2409</v>
      </c>
      <c r="AG16" s="10">
        <f>+Producción!AI9</f>
        <v>2063</v>
      </c>
      <c r="AH16" s="10">
        <f>+Producción!AJ9</f>
        <v>1931</v>
      </c>
      <c r="AI16" s="10">
        <f>+Producción!AK9</f>
        <v>1439</v>
      </c>
      <c r="AJ16" s="10">
        <f>+Producción!AL9</f>
        <v>1428</v>
      </c>
      <c r="AK16" s="10">
        <f>+Producción!AM9</f>
        <v>1562</v>
      </c>
      <c r="AL16" s="10">
        <f>+Producción!AN9</f>
        <v>1231</v>
      </c>
      <c r="AM16" s="10">
        <f>+Producción!AO9</f>
        <v>1361</v>
      </c>
      <c r="AN16" s="10">
        <f>+Producción!AP9</f>
        <v>1712</v>
      </c>
      <c r="AO16" s="10">
        <f>+Producción!AQ9</f>
        <v>1565</v>
      </c>
      <c r="AP16" s="10">
        <f>+Producción!AR9</f>
        <v>2143</v>
      </c>
      <c r="AQ16" s="10">
        <f>+Producción!AS9</f>
        <v>2131</v>
      </c>
      <c r="AR16" s="10">
        <f>+Producción!AT9</f>
        <v>2409</v>
      </c>
      <c r="AS16" s="10">
        <f>+Producción!AU9</f>
        <v>2063</v>
      </c>
      <c r="AT16" s="10">
        <f>+Producción!AV9</f>
        <v>1931</v>
      </c>
      <c r="AU16" s="10">
        <f>+Producción!AW9</f>
        <v>1439</v>
      </c>
      <c r="AV16" s="10">
        <f>+Producción!AX9</f>
        <v>1428</v>
      </c>
      <c r="AW16" s="10">
        <f>+Producción!AY9</f>
        <v>1562</v>
      </c>
      <c r="AX16" s="10">
        <f>+Producción!AZ9</f>
        <v>1231</v>
      </c>
      <c r="AY16" s="10">
        <f>+Producción!BA9</f>
        <v>1361</v>
      </c>
      <c r="AZ16" s="10">
        <f>+Producción!BB9</f>
        <v>1712</v>
      </c>
      <c r="BA16" s="10">
        <f>+Producción!BC9</f>
        <v>1565</v>
      </c>
      <c r="BB16" s="10">
        <f>+Producción!BD9</f>
        <v>2143</v>
      </c>
      <c r="BC16" s="10">
        <f>+Producción!BE9</f>
        <v>2131</v>
      </c>
      <c r="BD16" s="10">
        <f>+Producción!BF9</f>
        <v>2409</v>
      </c>
      <c r="BE16" s="10">
        <f>+Producción!BG9</f>
        <v>2063</v>
      </c>
      <c r="BF16" s="10">
        <f>+Producción!BH9</f>
        <v>1931</v>
      </c>
      <c r="BG16" s="10">
        <f>+Producción!BI9</f>
        <v>1439</v>
      </c>
      <c r="BH16" s="10">
        <f>+Producción!BJ9</f>
        <v>1428</v>
      </c>
      <c r="BI16" s="10">
        <f>+Producción!BK9</f>
        <v>1562</v>
      </c>
      <c r="BJ16" s="10">
        <f>+Producción!BL9</f>
        <v>1231</v>
      </c>
      <c r="BK16" s="10">
        <f>+Producción!BM9</f>
        <v>1361</v>
      </c>
      <c r="BL16" s="10">
        <f>+Producción!BN9</f>
        <v>1712</v>
      </c>
      <c r="BM16" s="10">
        <f>+Producción!BO9</f>
        <v>1565</v>
      </c>
      <c r="BN16" s="10">
        <f>+Producción!BP9</f>
        <v>2143</v>
      </c>
      <c r="BO16" s="10">
        <f>+Producción!BQ9</f>
        <v>2131</v>
      </c>
      <c r="BP16" s="10">
        <f>+Producción!BR9</f>
        <v>2409</v>
      </c>
      <c r="BQ16" s="10">
        <f>+Producción!BS9</f>
        <v>2063</v>
      </c>
      <c r="BR16" s="10">
        <f>+Producción!BT9</f>
        <v>1931</v>
      </c>
      <c r="BS16" s="10">
        <f>+Producción!BU9</f>
        <v>1439</v>
      </c>
      <c r="BT16" s="10">
        <f>+Producción!BV9</f>
        <v>1428</v>
      </c>
      <c r="BU16" s="10">
        <f>+Producción!BW9</f>
        <v>1562</v>
      </c>
      <c r="BV16" s="10">
        <f>+Producción!BX9</f>
        <v>1231</v>
      </c>
      <c r="BW16" s="10">
        <f>+Producción!BY9</f>
        <v>1361</v>
      </c>
      <c r="BX16" s="10">
        <f>+Producción!BZ9</f>
        <v>1712</v>
      </c>
      <c r="BY16" s="10">
        <f>+Producción!CA9</f>
        <v>1565</v>
      </c>
      <c r="BZ16" s="10">
        <f>+Producción!CB9</f>
        <v>2143</v>
      </c>
      <c r="CA16" s="10">
        <f>+Producción!CC9</f>
        <v>2131</v>
      </c>
      <c r="CB16" s="10">
        <f>+Producción!CD9</f>
        <v>2409</v>
      </c>
      <c r="CC16" s="10">
        <f>+Producción!CE9</f>
        <v>2063</v>
      </c>
      <c r="CD16" s="10">
        <f>+Producción!CF9</f>
        <v>1931</v>
      </c>
      <c r="CE16" s="10">
        <f>+Producción!CG9</f>
        <v>1439</v>
      </c>
      <c r="CF16" s="10">
        <f>+Producción!CH9</f>
        <v>1428</v>
      </c>
      <c r="CG16" s="10">
        <f>+Producción!CI9</f>
        <v>1562</v>
      </c>
      <c r="CH16" s="10">
        <f>+Producción!CJ9</f>
        <v>1231</v>
      </c>
      <c r="CI16" s="10">
        <f>+Producción!CK9</f>
        <v>1361</v>
      </c>
      <c r="CJ16" s="10">
        <f>+Producción!CL9</f>
        <v>1712</v>
      </c>
      <c r="CK16" s="10">
        <f>+Producción!CM9</f>
        <v>1565</v>
      </c>
      <c r="CL16" s="10">
        <f>+Producción!CN9</f>
        <v>2143</v>
      </c>
      <c r="CM16" s="10">
        <f>+Producción!CO9</f>
        <v>2131</v>
      </c>
      <c r="CN16" s="10">
        <f>+Producción!CP9</f>
        <v>2409</v>
      </c>
      <c r="CO16" s="10">
        <f>+Producción!CQ9</f>
        <v>2063</v>
      </c>
      <c r="CP16" s="10">
        <f>+Producción!CR9</f>
        <v>1931</v>
      </c>
      <c r="CQ16" s="10">
        <f>+Producción!CS9</f>
        <v>1439</v>
      </c>
      <c r="CR16" s="10">
        <f>+Producción!CT9</f>
        <v>1428</v>
      </c>
      <c r="CS16" s="10">
        <f>+Producción!CU9</f>
        <v>1562</v>
      </c>
      <c r="CT16" s="10">
        <f>+Producción!CV9</f>
        <v>1231</v>
      </c>
      <c r="CU16" s="10">
        <f>+Producción!CW9</f>
        <v>1361</v>
      </c>
      <c r="CV16" s="10">
        <f>+Producción!CX9</f>
        <v>1712</v>
      </c>
      <c r="CW16" s="10">
        <f>+Producción!CY9</f>
        <v>1565</v>
      </c>
      <c r="CX16" s="10">
        <f>+Producción!CZ9</f>
        <v>2143</v>
      </c>
      <c r="CY16" s="10">
        <f>+Producción!DA9</f>
        <v>2131</v>
      </c>
      <c r="CZ16" s="10">
        <f>+Producción!DB9</f>
        <v>2409</v>
      </c>
      <c r="DA16" s="10">
        <f>+Producción!DC9</f>
        <v>2063</v>
      </c>
      <c r="DB16" s="10">
        <f>+Producción!DD9</f>
        <v>1931</v>
      </c>
      <c r="DC16" s="10">
        <f>+Producción!DE9</f>
        <v>1439</v>
      </c>
      <c r="DD16" s="10">
        <f>+Producción!DF9</f>
        <v>1428</v>
      </c>
      <c r="DE16" s="10">
        <f>+Producción!DG9</f>
        <v>1562</v>
      </c>
      <c r="DF16" s="10">
        <f>+Producción!DH9</f>
        <v>1231</v>
      </c>
      <c r="DG16" s="10">
        <f>+Producción!DI9</f>
        <v>1361</v>
      </c>
      <c r="DH16" s="10">
        <f>+Producción!DJ9</f>
        <v>1712</v>
      </c>
      <c r="DI16" s="10">
        <f>+Producción!DK9</f>
        <v>1565</v>
      </c>
      <c r="DJ16" s="10">
        <f>+Producción!DL9</f>
        <v>2143</v>
      </c>
      <c r="DK16" s="10">
        <f>+Producción!DM9</f>
        <v>2131</v>
      </c>
      <c r="DL16" s="10">
        <f>+Producción!DN9</f>
        <v>2409</v>
      </c>
      <c r="DM16" s="10">
        <f>+Producción!DO9</f>
        <v>2063</v>
      </c>
      <c r="DN16" s="10">
        <f>+Producción!DP9</f>
        <v>1931</v>
      </c>
      <c r="DO16" s="10">
        <f>+Producción!DQ9</f>
        <v>1439</v>
      </c>
      <c r="DP16" s="10">
        <f>+Producción!DR9</f>
        <v>1428</v>
      </c>
      <c r="DQ16" s="10">
        <f>+Producción!DS9</f>
        <v>1562</v>
      </c>
      <c r="DR16" s="10">
        <f>+Producción!DT9</f>
        <v>1231</v>
      </c>
      <c r="DS16" s="10">
        <f>+Producción!DU9</f>
        <v>1361</v>
      </c>
      <c r="DT16" s="10">
        <f>+Producción!DV9</f>
        <v>1712</v>
      </c>
      <c r="DU16" s="10">
        <f>+Producción!DW9</f>
        <v>1565</v>
      </c>
      <c r="DV16" s="10">
        <f>+Producción!DX9</f>
        <v>2143</v>
      </c>
      <c r="DW16" s="10">
        <f>+Producción!DY9</f>
        <v>2131</v>
      </c>
      <c r="DX16" s="10">
        <f>+Producción!DZ9</f>
        <v>2409</v>
      </c>
      <c r="DY16" s="10">
        <f>+Producción!EA9</f>
        <v>2063</v>
      </c>
      <c r="DZ16" s="10">
        <f>+Producción!EB9</f>
        <v>1931</v>
      </c>
      <c r="EA16" s="10">
        <f>+Producción!EC9</f>
        <v>1439</v>
      </c>
      <c r="EB16" s="10">
        <f>+Producción!ED9</f>
        <v>1428</v>
      </c>
      <c r="EC16" s="10">
        <f>+Producción!EE9</f>
        <v>1562</v>
      </c>
      <c r="ED16" s="10">
        <f>+Producción!EF9</f>
        <v>1231</v>
      </c>
      <c r="EE16" s="10">
        <f>+Producción!EG9</f>
        <v>1361</v>
      </c>
      <c r="EF16" s="10">
        <f>+Producción!EH9</f>
        <v>1712</v>
      </c>
      <c r="EG16" s="10">
        <f>+Producción!EI9</f>
        <v>1565</v>
      </c>
      <c r="EH16" s="10">
        <f>+Producción!EJ9</f>
        <v>2143</v>
      </c>
      <c r="EI16" s="10">
        <f>+Producción!EK9</f>
        <v>2131</v>
      </c>
      <c r="EJ16" s="10">
        <f>+Producción!EL9</f>
        <v>2409</v>
      </c>
      <c r="EK16" s="10">
        <f>+Producción!EM9</f>
        <v>2063</v>
      </c>
      <c r="EL16" s="10">
        <f>+Producción!EN9</f>
        <v>1931</v>
      </c>
      <c r="EM16" s="10">
        <f>+Producción!EO9</f>
        <v>1439</v>
      </c>
      <c r="EN16" s="10">
        <f>+Producción!EP9</f>
        <v>1428</v>
      </c>
      <c r="EO16" s="10">
        <f>+Producción!EQ9</f>
        <v>1562</v>
      </c>
      <c r="EP16" s="10">
        <f>+Producción!ER9</f>
        <v>1231</v>
      </c>
      <c r="EQ16" s="10">
        <f>+Producción!ES9</f>
        <v>1361</v>
      </c>
      <c r="ER16" s="10">
        <f>+Producción!ET9</f>
        <v>1712</v>
      </c>
      <c r="ES16" s="10">
        <f>+Producción!EU9</f>
        <v>1565</v>
      </c>
      <c r="ET16" s="10">
        <f>+Producción!EV9</f>
        <v>2143</v>
      </c>
      <c r="EU16" s="10">
        <f>+Producción!EW9</f>
        <v>2131</v>
      </c>
      <c r="EV16" s="10">
        <f>+Producción!EX9</f>
        <v>2409</v>
      </c>
      <c r="EW16" s="10">
        <f>+Producción!EY9</f>
        <v>2063</v>
      </c>
      <c r="EX16" s="10">
        <f>+Producción!EZ9</f>
        <v>1931</v>
      </c>
      <c r="EY16" s="10">
        <f>+Producción!FA9</f>
        <v>1439</v>
      </c>
      <c r="EZ16" s="10">
        <f>+Producción!FB9</f>
        <v>1428</v>
      </c>
      <c r="FA16" s="10">
        <f>+Producción!FC9</f>
        <v>1562</v>
      </c>
      <c r="FB16" s="10">
        <f>+Producción!FD9</f>
        <v>1231</v>
      </c>
      <c r="FC16" s="10">
        <f>+Producción!FE9</f>
        <v>1361</v>
      </c>
      <c r="FD16" s="10">
        <f>+Producción!FF9</f>
        <v>1712</v>
      </c>
      <c r="FE16" s="10">
        <f>+Producción!FG9</f>
        <v>1565</v>
      </c>
      <c r="FF16" s="10">
        <f>+Producción!FH9</f>
        <v>2143</v>
      </c>
      <c r="FG16" s="10">
        <f>+Producción!FI9</f>
        <v>2131</v>
      </c>
      <c r="FH16" s="10">
        <f>+Producción!FJ9</f>
        <v>2409</v>
      </c>
      <c r="FI16" s="10">
        <f>+Producción!FK9</f>
        <v>2063</v>
      </c>
      <c r="FJ16" s="10">
        <f>+Producción!FL9</f>
        <v>1931</v>
      </c>
      <c r="FK16" s="10">
        <f>+Producción!FM9</f>
        <v>1439</v>
      </c>
      <c r="FL16" s="10">
        <f>+Producción!FN9</f>
        <v>1428</v>
      </c>
      <c r="FM16" s="10">
        <f>+Producción!FO9</f>
        <v>1562</v>
      </c>
      <c r="FN16" s="10">
        <f>+Producción!FP9</f>
        <v>1231</v>
      </c>
      <c r="FO16" s="10">
        <f>+Producción!FQ9</f>
        <v>1361</v>
      </c>
      <c r="FP16" s="10">
        <f>+Producción!FR9</f>
        <v>1712</v>
      </c>
      <c r="FQ16" s="10">
        <f>+Producción!FS9</f>
        <v>1565</v>
      </c>
      <c r="FR16" s="10">
        <f>+Producción!FT9</f>
        <v>2143</v>
      </c>
      <c r="FS16" s="10">
        <f>+Producción!FU9</f>
        <v>2131</v>
      </c>
      <c r="FT16" s="10">
        <f>+Producción!FV9</f>
        <v>2409</v>
      </c>
      <c r="FU16" s="10">
        <f>+Producción!FW9</f>
        <v>2063</v>
      </c>
      <c r="FV16" s="10">
        <f>+Producción!FX9</f>
        <v>1931</v>
      </c>
      <c r="FW16" s="10">
        <f>+Producción!FY9</f>
        <v>1439</v>
      </c>
      <c r="FX16" s="10">
        <f>+Producción!FZ9</f>
        <v>1428</v>
      </c>
      <c r="FY16" s="10">
        <f>+Producción!GA9</f>
        <v>1562</v>
      </c>
      <c r="FZ16" s="10">
        <f>+Producción!GB9</f>
        <v>1231</v>
      </c>
      <c r="GA16" s="10">
        <f>+Producción!GC9</f>
        <v>1361</v>
      </c>
      <c r="GB16" s="10">
        <f>+Producción!GD9</f>
        <v>1712</v>
      </c>
      <c r="GC16" s="10">
        <f>+Producción!GE9</f>
        <v>1565</v>
      </c>
      <c r="GD16" s="10">
        <f>+Producción!GF9</f>
        <v>2143</v>
      </c>
      <c r="GE16" s="10">
        <f>+Producción!GG9</f>
        <v>2131</v>
      </c>
      <c r="GF16" s="10">
        <f>+Producción!GH9</f>
        <v>2409</v>
      </c>
      <c r="GG16" s="10">
        <f>+Producción!GI9</f>
        <v>2063</v>
      </c>
      <c r="GH16" s="10">
        <f>+Producción!GJ9</f>
        <v>1931</v>
      </c>
      <c r="GI16" s="10">
        <f>+Producción!GK9</f>
        <v>1439</v>
      </c>
      <c r="GJ16" s="10">
        <f>+Producción!GL9</f>
        <v>1428</v>
      </c>
      <c r="GK16" s="10">
        <f>+Producción!GM9</f>
        <v>1562</v>
      </c>
      <c r="GL16" s="10">
        <f>+Producción!GN9</f>
        <v>1231</v>
      </c>
      <c r="GM16" s="10">
        <f>+Producción!GO9</f>
        <v>1361</v>
      </c>
      <c r="GN16" s="10">
        <f>+Producción!GP9</f>
        <v>1712</v>
      </c>
      <c r="GO16" s="10">
        <f>+Producción!GQ9</f>
        <v>1565</v>
      </c>
      <c r="GP16" s="10">
        <f>+Producción!GR9</f>
        <v>2143</v>
      </c>
      <c r="GQ16" s="10">
        <f>+Producción!GS9</f>
        <v>2131</v>
      </c>
      <c r="GR16" s="10">
        <f>+Producción!GT9</f>
        <v>2409</v>
      </c>
      <c r="GS16" s="10">
        <f>+Producción!GU9</f>
        <v>2063</v>
      </c>
      <c r="GT16" s="10">
        <f>+Producción!GV9</f>
        <v>1931</v>
      </c>
      <c r="GU16" s="10">
        <f>+Producción!GW9</f>
        <v>1439</v>
      </c>
      <c r="GV16" s="10">
        <f>+Producción!GX9</f>
        <v>1428</v>
      </c>
      <c r="GW16" s="10">
        <f>+Producción!GY9</f>
        <v>1562</v>
      </c>
      <c r="GX16" s="10">
        <f>+Producción!GZ9</f>
        <v>1231</v>
      </c>
      <c r="GY16" s="10">
        <f>+Producción!HA9</f>
        <v>1361</v>
      </c>
      <c r="GZ16" s="10">
        <f>+Producción!HB9</f>
        <v>1712</v>
      </c>
      <c r="HA16" s="10">
        <f>+Producción!HC9</f>
        <v>1565</v>
      </c>
      <c r="HB16" s="10">
        <f>+Producción!HD9</f>
        <v>2143</v>
      </c>
      <c r="HC16" s="10">
        <f>+Producción!HE9</f>
        <v>2131</v>
      </c>
      <c r="HD16" s="10">
        <f>+Producción!HF9</f>
        <v>2409</v>
      </c>
      <c r="HE16" s="10">
        <f>+Producción!HG9</f>
        <v>2063</v>
      </c>
      <c r="HF16" s="10">
        <f>+Producción!HH9</f>
        <v>1931</v>
      </c>
      <c r="HG16" s="10">
        <f>+Producción!HI9</f>
        <v>1439</v>
      </c>
      <c r="HH16" s="10">
        <f>+Producción!HJ9</f>
        <v>1428</v>
      </c>
      <c r="HI16" s="10">
        <f>+Producción!HK9</f>
        <v>1562</v>
      </c>
      <c r="HJ16" s="10">
        <f>+Producción!HL9</f>
        <v>1231</v>
      </c>
      <c r="HK16" s="10">
        <f>+Producción!HM9</f>
        <v>1361</v>
      </c>
      <c r="HL16" s="10">
        <f>+Producción!HN9</f>
        <v>1712</v>
      </c>
      <c r="HM16" s="10">
        <f>+Producción!HO9</f>
        <v>1565</v>
      </c>
      <c r="HN16" s="10">
        <f>+Producción!HP9</f>
        <v>2143</v>
      </c>
      <c r="HO16" s="10">
        <f>+Producción!HQ9</f>
        <v>2131</v>
      </c>
      <c r="HP16" s="10">
        <f>+Producción!HR9</f>
        <v>2409</v>
      </c>
      <c r="HQ16" s="10">
        <f>+Producción!HS9</f>
        <v>2063</v>
      </c>
      <c r="HR16" s="10">
        <f>+Producción!HT9</f>
        <v>1931</v>
      </c>
      <c r="HS16" s="10">
        <f>+Producción!HU9</f>
        <v>1439</v>
      </c>
      <c r="HT16" s="10">
        <f>+Producción!HV9</f>
        <v>1428</v>
      </c>
      <c r="HU16" s="10">
        <f>+Producción!HW9</f>
        <v>1562</v>
      </c>
      <c r="HV16" s="10">
        <f>+Producción!HX9</f>
        <v>1231</v>
      </c>
      <c r="HW16" s="10">
        <f>+Producción!HY9</f>
        <v>1361</v>
      </c>
      <c r="HX16" s="10">
        <f>+Producción!HZ9</f>
        <v>1712</v>
      </c>
      <c r="HY16" s="10">
        <f>+Producción!IA9</f>
        <v>1565</v>
      </c>
      <c r="HZ16" s="10">
        <f>+Producción!IB9</f>
        <v>2143</v>
      </c>
      <c r="IA16" s="10">
        <f>+Producción!IC9</f>
        <v>2131</v>
      </c>
      <c r="IB16" s="10">
        <f>+Producción!ID9</f>
        <v>2409</v>
      </c>
      <c r="IC16" s="10">
        <f>+Producción!IE9</f>
        <v>2063</v>
      </c>
      <c r="ID16" s="10">
        <f>+Producción!IF9</f>
        <v>1931</v>
      </c>
      <c r="IE16" s="10">
        <f>+Producción!IG9</f>
        <v>1439</v>
      </c>
      <c r="IF16" s="10">
        <f>+Producción!IH9</f>
        <v>1428</v>
      </c>
      <c r="IG16" s="10">
        <f>+Producción!II9</f>
        <v>1562</v>
      </c>
      <c r="IH16" s="10">
        <f>+Producción!IJ9</f>
        <v>1231</v>
      </c>
    </row>
    <row r="17" spans="1:242" x14ac:dyDescent="0.3">
      <c r="A17" t="s">
        <v>910</v>
      </c>
      <c r="B17" s="30"/>
      <c r="C17" s="10"/>
      <c r="D17" s="10">
        <f>+C16*C5</f>
        <v>0</v>
      </c>
      <c r="E17" s="10">
        <f t="shared" ref="E17:BP17" si="4">+D16*D5</f>
        <v>0</v>
      </c>
      <c r="F17" s="10">
        <f t="shared" si="4"/>
        <v>0</v>
      </c>
      <c r="G17" s="10">
        <f t="shared" si="4"/>
        <v>0</v>
      </c>
      <c r="H17" s="10">
        <f>+G16*G5</f>
        <v>0</v>
      </c>
      <c r="I17" s="10">
        <f>+H16*H5</f>
        <v>0</v>
      </c>
      <c r="J17" s="10"/>
      <c r="K17" s="10">
        <f>+J16*J5</f>
        <v>1821898.5</v>
      </c>
      <c r="L17" s="10">
        <f t="shared" si="4"/>
        <v>1357638.94</v>
      </c>
      <c r="M17" s="10">
        <f t="shared" si="4"/>
        <v>1347260.8800000001</v>
      </c>
      <c r="N17" s="10">
        <f>+M16*M5</f>
        <v>1465405.92</v>
      </c>
      <c r="O17" s="10">
        <f t="shared" si="4"/>
        <v>1090309.01</v>
      </c>
      <c r="P17" s="10">
        <f t="shared" si="4"/>
        <v>1205437.7</v>
      </c>
      <c r="Q17" s="10">
        <f t="shared" si="4"/>
        <v>1361040</v>
      </c>
      <c r="R17" s="10">
        <f t="shared" si="4"/>
        <v>1244175</v>
      </c>
      <c r="S17" s="10">
        <f t="shared" si="4"/>
        <v>1705677.99</v>
      </c>
      <c r="T17" s="10">
        <f t="shared" si="4"/>
        <v>1696126.8299999998</v>
      </c>
      <c r="U17" s="10">
        <f t="shared" si="4"/>
        <v>1917395.3699999999</v>
      </c>
      <c r="V17" s="10">
        <f t="shared" si="4"/>
        <v>1642003.5899999999</v>
      </c>
      <c r="W17" s="10">
        <f t="shared" si="4"/>
        <v>1876555.4550000001</v>
      </c>
      <c r="X17" s="10">
        <f t="shared" si="4"/>
        <v>1398368.1082000001</v>
      </c>
      <c r="Y17" s="10">
        <f t="shared" si="4"/>
        <v>1387678.7064</v>
      </c>
      <c r="Z17" s="10">
        <f t="shared" si="4"/>
        <v>1509368.0976</v>
      </c>
      <c r="AA17" s="10">
        <f t="shared" si="4"/>
        <v>1123018.2803000002</v>
      </c>
      <c r="AB17" s="10">
        <f t="shared" si="4"/>
        <v>1241600.831</v>
      </c>
      <c r="AC17" s="10">
        <f t="shared" si="4"/>
        <v>1401871.2</v>
      </c>
      <c r="AD17" s="10">
        <f t="shared" si="4"/>
        <v>1281500.25</v>
      </c>
      <c r="AE17" s="10">
        <f t="shared" si="4"/>
        <v>1756848.3297000001</v>
      </c>
      <c r="AF17" s="10">
        <f t="shared" si="4"/>
        <v>1747010.6348999999</v>
      </c>
      <c r="AG17" s="10">
        <f t="shared" si="4"/>
        <v>1974917.2311</v>
      </c>
      <c r="AH17" s="10">
        <f t="shared" si="4"/>
        <v>1691263.6977000001</v>
      </c>
      <c r="AI17" s="10">
        <f t="shared" si="4"/>
        <v>1932852.1186500003</v>
      </c>
      <c r="AJ17" s="10">
        <f t="shared" si="4"/>
        <v>1440319.1514460002</v>
      </c>
      <c r="AK17" s="10">
        <f t="shared" si="4"/>
        <v>1429309.0675920001</v>
      </c>
      <c r="AL17" s="10">
        <f t="shared" si="4"/>
        <v>1554649.140528</v>
      </c>
      <c r="AM17" s="10">
        <f t="shared" si="4"/>
        <v>1156708.8287090003</v>
      </c>
      <c r="AN17" s="10">
        <f t="shared" si="4"/>
        <v>1278848.8559300001</v>
      </c>
      <c r="AO17" s="10">
        <f t="shared" si="4"/>
        <v>1443927.3360000001</v>
      </c>
      <c r="AP17" s="10">
        <f t="shared" si="4"/>
        <v>1319945.2575000001</v>
      </c>
      <c r="AQ17" s="10">
        <f t="shared" si="4"/>
        <v>1809553.7795910002</v>
      </c>
      <c r="AR17" s="10">
        <f t="shared" si="4"/>
        <v>1799420.953947</v>
      </c>
      <c r="AS17" s="10">
        <f t="shared" si="4"/>
        <v>2034164.7480330002</v>
      </c>
      <c r="AT17" s="10">
        <f t="shared" si="4"/>
        <v>1742001.6086310002</v>
      </c>
      <c r="AU17" s="10">
        <f t="shared" si="4"/>
        <v>1990837.6822095003</v>
      </c>
      <c r="AV17" s="10">
        <f t="shared" si="4"/>
        <v>1483528.7259893802</v>
      </c>
      <c r="AW17" s="10">
        <f t="shared" si="4"/>
        <v>1472188.3396197602</v>
      </c>
      <c r="AX17" s="10">
        <f t="shared" si="4"/>
        <v>1601288.6147438399</v>
      </c>
      <c r="AY17" s="10">
        <f t="shared" si="4"/>
        <v>1191410.0935702701</v>
      </c>
      <c r="AZ17" s="10">
        <f t="shared" si="4"/>
        <v>1317214.3216079003</v>
      </c>
      <c r="BA17" s="10">
        <f t="shared" si="4"/>
        <v>1487245.1560800001</v>
      </c>
      <c r="BB17" s="10">
        <f t="shared" si="4"/>
        <v>1359543.6152250001</v>
      </c>
      <c r="BC17" s="10">
        <f t="shared" si="4"/>
        <v>1863840.3929787301</v>
      </c>
      <c r="BD17" s="10">
        <f t="shared" si="4"/>
        <v>1853403.5825654101</v>
      </c>
      <c r="BE17" s="10">
        <f t="shared" si="4"/>
        <v>2095189.6904739903</v>
      </c>
      <c r="BF17" s="10">
        <f t="shared" si="4"/>
        <v>1794261.6568899301</v>
      </c>
      <c r="BG17" s="10">
        <f t="shared" si="4"/>
        <v>2050562.8126757857</v>
      </c>
      <c r="BH17" s="10">
        <f t="shared" si="4"/>
        <v>1528034.5877690618</v>
      </c>
      <c r="BI17" s="10">
        <f t="shared" si="4"/>
        <v>1516353.9898083531</v>
      </c>
      <c r="BJ17" s="10">
        <f t="shared" si="4"/>
        <v>1649327.2731861551</v>
      </c>
      <c r="BK17" s="10">
        <f t="shared" si="4"/>
        <v>1227152.3963773784</v>
      </c>
      <c r="BL17" s="10">
        <f t="shared" si="4"/>
        <v>1356730.7512561372</v>
      </c>
      <c r="BM17" s="10">
        <f t="shared" si="4"/>
        <v>1531862.5107624</v>
      </c>
      <c r="BN17" s="10">
        <f t="shared" si="4"/>
        <v>1400329.92368175</v>
      </c>
      <c r="BO17" s="10">
        <f t="shared" si="4"/>
        <v>1919755.604768092</v>
      </c>
      <c r="BP17" s="10">
        <f t="shared" si="4"/>
        <v>1909005.6900423726</v>
      </c>
      <c r="BQ17" s="10">
        <f t="shared" ref="BQ17:EB17" si="5">+BP16*BP5</f>
        <v>2158045.3811882101</v>
      </c>
      <c r="BR17" s="10">
        <f t="shared" si="5"/>
        <v>1848089.5065966281</v>
      </c>
      <c r="BS17" s="10">
        <f t="shared" si="5"/>
        <v>2112079.6970560593</v>
      </c>
      <c r="BT17" s="10">
        <f t="shared" si="5"/>
        <v>1573875.6254021334</v>
      </c>
      <c r="BU17" s="10">
        <f t="shared" si="5"/>
        <v>1561844.6095026035</v>
      </c>
      <c r="BV17" s="10">
        <f t="shared" si="5"/>
        <v>1698807.0913817396</v>
      </c>
      <c r="BW17" s="10">
        <f t="shared" si="5"/>
        <v>1263966.9682686997</v>
      </c>
      <c r="BX17" s="10">
        <f t="shared" si="5"/>
        <v>1397432.6737938214</v>
      </c>
      <c r="BY17" s="10">
        <f t="shared" si="5"/>
        <v>1577818.3860852721</v>
      </c>
      <c r="BZ17" s="10">
        <f t="shared" si="5"/>
        <v>1442339.8213922025</v>
      </c>
      <c r="CA17" s="10">
        <f t="shared" si="5"/>
        <v>1977348.2729111349</v>
      </c>
      <c r="CB17" s="10">
        <f t="shared" si="5"/>
        <v>1966275.8607436437</v>
      </c>
      <c r="CC17" s="10">
        <f t="shared" si="5"/>
        <v>2222786.7426238563</v>
      </c>
      <c r="CD17" s="10">
        <f t="shared" si="5"/>
        <v>1903532.191794527</v>
      </c>
      <c r="CE17" s="10">
        <f t="shared" si="5"/>
        <v>2175442.0879677408</v>
      </c>
      <c r="CF17" s="10">
        <f t="shared" si="5"/>
        <v>1621091.8941641976</v>
      </c>
      <c r="CG17" s="10">
        <f t="shared" si="5"/>
        <v>1608699.9477876818</v>
      </c>
      <c r="CH17" s="10">
        <f t="shared" si="5"/>
        <v>1749771.3041231921</v>
      </c>
      <c r="CI17" s="10">
        <f t="shared" si="5"/>
        <v>1301885.9773167607</v>
      </c>
      <c r="CJ17" s="10">
        <f t="shared" si="5"/>
        <v>1439355.654007636</v>
      </c>
      <c r="CK17" s="10">
        <f t="shared" si="5"/>
        <v>1625152.9376678304</v>
      </c>
      <c r="CL17" s="10">
        <f t="shared" si="5"/>
        <v>1485610.0160339689</v>
      </c>
      <c r="CM17" s="10">
        <f t="shared" si="5"/>
        <v>2036668.7210984691</v>
      </c>
      <c r="CN17" s="10">
        <f t="shared" si="5"/>
        <v>2025264.1365659533</v>
      </c>
      <c r="CO17" s="10">
        <f t="shared" si="5"/>
        <v>2289470.3449025722</v>
      </c>
      <c r="CP17" s="10">
        <f t="shared" si="5"/>
        <v>1960638.1575483629</v>
      </c>
      <c r="CQ17" s="10">
        <f t="shared" si="5"/>
        <v>2240705.350606773</v>
      </c>
      <c r="CR17" s="10">
        <f t="shared" si="5"/>
        <v>1669724.6509891236</v>
      </c>
      <c r="CS17" s="10">
        <f t="shared" si="5"/>
        <v>1656960.9462213123</v>
      </c>
      <c r="CT17" s="10">
        <f t="shared" si="5"/>
        <v>1802264.443246888</v>
      </c>
      <c r="CU17" s="10">
        <f t="shared" si="5"/>
        <v>1340942.5566362636</v>
      </c>
      <c r="CV17" s="10">
        <f t="shared" si="5"/>
        <v>1482536.3236278654</v>
      </c>
      <c r="CW17" s="10">
        <f t="shared" si="5"/>
        <v>1673907.5257978654</v>
      </c>
      <c r="CX17" s="10">
        <f t="shared" si="5"/>
        <v>1530178.316514988</v>
      </c>
      <c r="CY17" s="10">
        <f t="shared" si="5"/>
        <v>2097768.7827314232</v>
      </c>
      <c r="CZ17" s="10">
        <f t="shared" si="5"/>
        <v>2086022.0606629318</v>
      </c>
      <c r="DA17" s="10">
        <f t="shared" si="5"/>
        <v>2358154.4552496495</v>
      </c>
      <c r="DB17" s="10">
        <f t="shared" si="5"/>
        <v>2019457.3022748139</v>
      </c>
      <c r="DC17" s="10">
        <f t="shared" si="5"/>
        <v>2307926.511124976</v>
      </c>
      <c r="DD17" s="10">
        <f t="shared" si="5"/>
        <v>1719816.3905187973</v>
      </c>
      <c r="DE17" s="10">
        <f t="shared" si="5"/>
        <v>1706669.7746079518</v>
      </c>
      <c r="DF17" s="10">
        <f t="shared" si="5"/>
        <v>1856332.3765442946</v>
      </c>
      <c r="DG17" s="10">
        <f t="shared" si="5"/>
        <v>1381170.8333353517</v>
      </c>
      <c r="DH17" s="10">
        <f t="shared" si="5"/>
        <v>1527012.4133367015</v>
      </c>
      <c r="DI17" s="10">
        <f t="shared" si="5"/>
        <v>1724124.7515718015</v>
      </c>
      <c r="DJ17" s="10">
        <f t="shared" si="5"/>
        <v>1576083.6660104375</v>
      </c>
      <c r="DK17" s="10">
        <f t="shared" si="5"/>
        <v>2160701.8462133659</v>
      </c>
      <c r="DL17" s="10">
        <f t="shared" si="5"/>
        <v>2148602.72248282</v>
      </c>
      <c r="DM17" s="10">
        <f t="shared" si="5"/>
        <v>2428899.0889071389</v>
      </c>
      <c r="DN17" s="10">
        <f t="shared" si="5"/>
        <v>2080041.0213430584</v>
      </c>
      <c r="DO17" s="10">
        <f t="shared" si="5"/>
        <v>2377164.3064587256</v>
      </c>
      <c r="DP17" s="10">
        <f t="shared" si="5"/>
        <v>1771410.8822343613</v>
      </c>
      <c r="DQ17" s="10">
        <f t="shared" si="5"/>
        <v>1757869.8678461905</v>
      </c>
      <c r="DR17" s="10">
        <f t="shared" si="5"/>
        <v>1912022.3478406235</v>
      </c>
      <c r="DS17" s="10">
        <f t="shared" si="5"/>
        <v>1422605.9583354122</v>
      </c>
      <c r="DT17" s="10">
        <f t="shared" si="5"/>
        <v>1572822.7857368025</v>
      </c>
      <c r="DU17" s="10">
        <f t="shared" si="5"/>
        <v>1775848.4941189557</v>
      </c>
      <c r="DV17" s="10">
        <f t="shared" si="5"/>
        <v>1623366.175990751</v>
      </c>
      <c r="DW17" s="10">
        <f t="shared" si="5"/>
        <v>2225522.9015997667</v>
      </c>
      <c r="DX17" s="10">
        <f t="shared" si="5"/>
        <v>2213060.8041573041</v>
      </c>
      <c r="DY17" s="10">
        <f t="shared" si="5"/>
        <v>2501766.0615743529</v>
      </c>
      <c r="DZ17" s="10">
        <f t="shared" si="5"/>
        <v>2142442.2519833501</v>
      </c>
      <c r="EA17" s="10">
        <f t="shared" si="5"/>
        <v>2448479.2356524873</v>
      </c>
      <c r="EB17" s="10">
        <f t="shared" si="5"/>
        <v>1824553.2087013922</v>
      </c>
      <c r="EC17" s="10">
        <f t="shared" ref="EC17:GN17" si="6">+EB16*EB5</f>
        <v>1810605.9638815762</v>
      </c>
      <c r="ED17" s="10">
        <f t="shared" si="6"/>
        <v>1969383.0182758425</v>
      </c>
      <c r="EE17" s="10">
        <f t="shared" si="6"/>
        <v>1465284.1370854743</v>
      </c>
      <c r="EF17" s="10">
        <f t="shared" si="6"/>
        <v>1620007.4693089065</v>
      </c>
      <c r="EG17" s="10">
        <f t="shared" si="6"/>
        <v>1829123.9489425244</v>
      </c>
      <c r="EH17" s="10">
        <f t="shared" si="6"/>
        <v>1672067.1612704734</v>
      </c>
      <c r="EI17" s="10">
        <f t="shared" si="6"/>
        <v>2292288.58864776</v>
      </c>
      <c r="EJ17" s="10">
        <f t="shared" si="6"/>
        <v>2279452.6282820236</v>
      </c>
      <c r="EK17" s="10">
        <f t="shared" si="6"/>
        <v>2576819.0434215837</v>
      </c>
      <c r="EL17" s="10">
        <f t="shared" si="6"/>
        <v>2206715.5195428506</v>
      </c>
      <c r="EM17" s="10">
        <f t="shared" si="6"/>
        <v>2521933.6127220616</v>
      </c>
      <c r="EN17" s="10">
        <f t="shared" si="6"/>
        <v>1879289.8049624339</v>
      </c>
      <c r="EO17" s="10">
        <f t="shared" si="6"/>
        <v>1864924.1427980233</v>
      </c>
      <c r="EP17" s="10">
        <f t="shared" si="6"/>
        <v>2028464.5088241177</v>
      </c>
      <c r="EQ17" s="10">
        <f t="shared" si="6"/>
        <v>1509242.6611980386</v>
      </c>
      <c r="ER17" s="10">
        <f t="shared" si="6"/>
        <v>1668607.6933881738</v>
      </c>
      <c r="ES17" s="10">
        <f t="shared" si="6"/>
        <v>1883997.6674108</v>
      </c>
      <c r="ET17" s="10">
        <f t="shared" si="6"/>
        <v>1722229.1761085875</v>
      </c>
      <c r="EU17" s="10">
        <f t="shared" si="6"/>
        <v>2361057.2463071928</v>
      </c>
      <c r="EV17" s="10">
        <f t="shared" si="6"/>
        <v>2347836.2071304843</v>
      </c>
      <c r="EW17" s="10">
        <f t="shared" si="6"/>
        <v>2654123.6147242314</v>
      </c>
      <c r="EX17" s="10">
        <f t="shared" si="6"/>
        <v>2272916.9851291361</v>
      </c>
      <c r="EY17" s="10">
        <f t="shared" si="6"/>
        <v>2597591.6211037235</v>
      </c>
      <c r="EZ17" s="10">
        <f t="shared" si="6"/>
        <v>1935668.4991113069</v>
      </c>
      <c r="FA17" s="10">
        <f t="shared" si="6"/>
        <v>1920871.8670819642</v>
      </c>
      <c r="FB17" s="10">
        <f t="shared" si="6"/>
        <v>2089318.4440888413</v>
      </c>
      <c r="FC17" s="10">
        <f t="shared" si="6"/>
        <v>1554519.9410339799</v>
      </c>
      <c r="FD17" s="10">
        <f t="shared" si="6"/>
        <v>1718665.9241898193</v>
      </c>
      <c r="FE17" s="10">
        <f t="shared" si="6"/>
        <v>1940517.5974331242</v>
      </c>
      <c r="FF17" s="10">
        <f t="shared" si="6"/>
        <v>1773896.0513918453</v>
      </c>
      <c r="FG17" s="10">
        <f t="shared" si="6"/>
        <v>2431888.9636964086</v>
      </c>
      <c r="FH17" s="10">
        <f t="shared" si="6"/>
        <v>2418271.293344399</v>
      </c>
      <c r="FI17" s="10">
        <f t="shared" si="6"/>
        <v>2733747.3231659578</v>
      </c>
      <c r="FJ17" s="10">
        <f t="shared" si="6"/>
        <v>2341104.49468301</v>
      </c>
      <c r="FK17" s="10">
        <f t="shared" si="6"/>
        <v>2675519.3697368354</v>
      </c>
      <c r="FL17" s="10">
        <f t="shared" si="6"/>
        <v>1993738.5540846463</v>
      </c>
      <c r="FM17" s="10">
        <f t="shared" si="6"/>
        <v>1978498.0230944231</v>
      </c>
      <c r="FN17" s="10">
        <f t="shared" si="6"/>
        <v>2151997.9974115067</v>
      </c>
      <c r="FO17" s="10">
        <f t="shared" si="6"/>
        <v>1601155.5392649993</v>
      </c>
      <c r="FP17" s="10">
        <f t="shared" si="6"/>
        <v>1770225.9019155139</v>
      </c>
      <c r="FQ17" s="10">
        <f t="shared" si="6"/>
        <v>1998733.125356118</v>
      </c>
      <c r="FR17" s="10">
        <f t="shared" si="6"/>
        <v>1827112.9329336009</v>
      </c>
      <c r="FS17" s="10">
        <f t="shared" si="6"/>
        <v>2504845.6326073008</v>
      </c>
      <c r="FT17" s="10">
        <f t="shared" si="6"/>
        <v>2490819.4321447308</v>
      </c>
      <c r="FU17" s="10">
        <f t="shared" si="6"/>
        <v>2815759.7428609366</v>
      </c>
      <c r="FV17" s="10">
        <f t="shared" si="6"/>
        <v>2411337.6295235003</v>
      </c>
      <c r="FW17" s="10">
        <f t="shared" si="6"/>
        <v>2755784.9508289406</v>
      </c>
      <c r="FX17" s="10">
        <f t="shared" si="6"/>
        <v>2053550.7107071856</v>
      </c>
      <c r="FY17" s="10">
        <f t="shared" si="6"/>
        <v>2037852.9637872558</v>
      </c>
      <c r="FZ17" s="10">
        <f t="shared" si="6"/>
        <v>2216557.9373338521</v>
      </c>
      <c r="GA17" s="10">
        <f t="shared" si="6"/>
        <v>1649190.2054429492</v>
      </c>
      <c r="GB17" s="10">
        <f t="shared" si="6"/>
        <v>1823332.6789729793</v>
      </c>
      <c r="GC17" s="10">
        <f t="shared" si="6"/>
        <v>2058695.1191168018</v>
      </c>
      <c r="GD17" s="10">
        <f t="shared" si="6"/>
        <v>1881926.3209216089</v>
      </c>
      <c r="GE17" s="10">
        <f t="shared" si="6"/>
        <v>2579991.0015855199</v>
      </c>
      <c r="GF17" s="10">
        <f t="shared" si="6"/>
        <v>2565544.0151090724</v>
      </c>
      <c r="GG17" s="10">
        <f t="shared" si="6"/>
        <v>2900232.5351467649</v>
      </c>
      <c r="GH17" s="10">
        <f t="shared" si="6"/>
        <v>2483677.7584092054</v>
      </c>
      <c r="GI17" s="10">
        <f t="shared" si="6"/>
        <v>2838458.4993538088</v>
      </c>
      <c r="GJ17" s="10">
        <f t="shared" si="6"/>
        <v>2115157.232028401</v>
      </c>
      <c r="GK17" s="10">
        <f t="shared" si="6"/>
        <v>2098988.5527008735</v>
      </c>
      <c r="GL17" s="10">
        <f t="shared" si="6"/>
        <v>2283054.6754538678</v>
      </c>
      <c r="GM17" s="10">
        <f t="shared" si="6"/>
        <v>1698665.9116062378</v>
      </c>
      <c r="GN17" s="10">
        <f t="shared" si="6"/>
        <v>1878032.6593421686</v>
      </c>
      <c r="GO17" s="10">
        <f t="shared" ref="GO17:IG17" si="7">+GN16*GN5</f>
        <v>2120455.9726903057</v>
      </c>
      <c r="GP17" s="10">
        <f t="shared" si="7"/>
        <v>1938384.1105492571</v>
      </c>
      <c r="GQ17" s="10">
        <f t="shared" si="7"/>
        <v>2657390.7316330858</v>
      </c>
      <c r="GR17" s="10">
        <f t="shared" si="7"/>
        <v>2642510.3355623451</v>
      </c>
      <c r="GS17" s="10">
        <f t="shared" si="7"/>
        <v>2987239.5112011679</v>
      </c>
      <c r="GT17" s="10">
        <f t="shared" si="7"/>
        <v>2558188.091161482</v>
      </c>
      <c r="GU17" s="10">
        <f t="shared" si="7"/>
        <v>2923612.2543344232</v>
      </c>
      <c r="GV17" s="10">
        <f t="shared" si="7"/>
        <v>2178611.948989253</v>
      </c>
      <c r="GW17" s="10">
        <f t="shared" si="7"/>
        <v>2161958.2092818995</v>
      </c>
      <c r="GX17" s="10">
        <f t="shared" si="7"/>
        <v>2351546.3157174839</v>
      </c>
      <c r="GY17" s="10">
        <f t="shared" si="7"/>
        <v>1749625.888954425</v>
      </c>
      <c r="GZ17" s="10">
        <f t="shared" si="7"/>
        <v>1934373.639122434</v>
      </c>
      <c r="HA17" s="10">
        <f t="shared" si="7"/>
        <v>2184069.6518710149</v>
      </c>
      <c r="HB17" s="10">
        <f t="shared" si="7"/>
        <v>1996535.633865735</v>
      </c>
      <c r="HC17" s="10">
        <f t="shared" si="7"/>
        <v>2737112.4535820782</v>
      </c>
      <c r="HD17" s="10">
        <f t="shared" si="7"/>
        <v>2721785.6456292155</v>
      </c>
      <c r="HE17" s="10">
        <f t="shared" si="7"/>
        <v>3076856.6965372032</v>
      </c>
      <c r="HF17" s="10">
        <f t="shared" si="7"/>
        <v>2634933.7338963263</v>
      </c>
      <c r="HG17" s="10">
        <f t="shared" si="7"/>
        <v>3011320.621964456</v>
      </c>
      <c r="HH17" s="10">
        <f t="shared" si="7"/>
        <v>2243970.3074589306</v>
      </c>
      <c r="HI17" s="10">
        <f t="shared" si="7"/>
        <v>2226816.9555603564</v>
      </c>
      <c r="HJ17" s="10">
        <f t="shared" si="7"/>
        <v>2422092.7051890083</v>
      </c>
      <c r="HK17" s="10">
        <f t="shared" si="7"/>
        <v>1802114.6656230579</v>
      </c>
      <c r="HL17" s="10">
        <f t="shared" si="7"/>
        <v>1992404.848296107</v>
      </c>
      <c r="HM17" s="10">
        <f t="shared" si="7"/>
        <v>2249591.7414271454</v>
      </c>
      <c r="HN17" s="10">
        <f t="shared" si="7"/>
        <v>2056431.7028817073</v>
      </c>
      <c r="HO17" s="10">
        <f t="shared" si="7"/>
        <v>2819225.827189541</v>
      </c>
      <c r="HP17" s="10">
        <f t="shared" si="7"/>
        <v>2803439.214998092</v>
      </c>
      <c r="HQ17" s="10">
        <f t="shared" si="7"/>
        <v>3169162.3974333196</v>
      </c>
      <c r="HR17" s="10">
        <f t="shared" si="7"/>
        <v>2713981.7459132164</v>
      </c>
      <c r="HS17" s="10">
        <f t="shared" si="7"/>
        <v>3101660.2406233894</v>
      </c>
      <c r="HT17" s="10">
        <f t="shared" si="7"/>
        <v>2311289.4166826988</v>
      </c>
      <c r="HU17" s="10">
        <f t="shared" si="7"/>
        <v>2293621.464227167</v>
      </c>
      <c r="HV17" s="10">
        <f t="shared" si="7"/>
        <v>2494755.4863446788</v>
      </c>
      <c r="HW17" s="10">
        <f t="shared" si="7"/>
        <v>1856178.1055917495</v>
      </c>
      <c r="HX17" s="10">
        <f t="shared" si="7"/>
        <v>2052176.9937449903</v>
      </c>
      <c r="HY17" s="10">
        <f t="shared" si="7"/>
        <v>2317079.4936699597</v>
      </c>
      <c r="HZ17" s="10">
        <f t="shared" si="7"/>
        <v>2118124.6539681586</v>
      </c>
      <c r="IA17" s="10">
        <f t="shared" si="7"/>
        <v>2903802.602005227</v>
      </c>
      <c r="IB17" s="10">
        <f t="shared" si="7"/>
        <v>2887542.3914480349</v>
      </c>
      <c r="IC17" s="10">
        <f t="shared" si="7"/>
        <v>3264237.2693563192</v>
      </c>
      <c r="ID17" s="10">
        <f t="shared" si="7"/>
        <v>2795401.198290613</v>
      </c>
      <c r="IE17" s="10">
        <f t="shared" si="7"/>
        <v>3194710.0478420914</v>
      </c>
      <c r="IF17" s="10">
        <f t="shared" si="7"/>
        <v>2380628.0991831794</v>
      </c>
      <c r="IG17" s="10">
        <f t="shared" si="7"/>
        <v>2362430.1081539821</v>
      </c>
      <c r="IH17" s="10">
        <f>+IG16*IG5</f>
        <v>2569598.1509350194</v>
      </c>
    </row>
    <row r="18" spans="1:242" x14ac:dyDescent="0.3">
      <c r="A18" t="s">
        <v>911</v>
      </c>
      <c r="B18" s="30"/>
      <c r="C18" s="31"/>
      <c r="D18" s="31">
        <f>+C16*(C5*$B$1)</f>
        <v>0</v>
      </c>
      <c r="E18" s="31">
        <f t="shared" ref="E18:BP18" si="8">+D16*(D5*$B$1)</f>
        <v>0</v>
      </c>
      <c r="F18" s="31">
        <f t="shared" si="8"/>
        <v>0</v>
      </c>
      <c r="G18" s="31">
        <f t="shared" si="8"/>
        <v>0</v>
      </c>
      <c r="H18" s="31">
        <f t="shared" si="8"/>
        <v>0</v>
      </c>
      <c r="I18" s="31">
        <f>+H16*(H5*$B$1)</f>
        <v>0</v>
      </c>
      <c r="J18" s="31"/>
      <c r="K18" s="31">
        <f t="shared" si="8"/>
        <v>0</v>
      </c>
      <c r="L18" s="31">
        <f t="shared" si="8"/>
        <v>0</v>
      </c>
      <c r="M18" s="31">
        <f t="shared" si="8"/>
        <v>0</v>
      </c>
      <c r="N18" s="31">
        <f>+M16*(M5*$B$1)</f>
        <v>0</v>
      </c>
      <c r="O18" s="31">
        <f t="shared" si="8"/>
        <v>0</v>
      </c>
      <c r="P18" s="31">
        <f t="shared" si="8"/>
        <v>0</v>
      </c>
      <c r="Q18" s="31">
        <f t="shared" si="8"/>
        <v>0</v>
      </c>
      <c r="R18" s="31">
        <f t="shared" si="8"/>
        <v>0</v>
      </c>
      <c r="S18" s="31">
        <f t="shared" si="8"/>
        <v>0</v>
      </c>
      <c r="T18" s="31">
        <f t="shared" si="8"/>
        <v>0</v>
      </c>
      <c r="U18" s="31">
        <f t="shared" si="8"/>
        <v>0</v>
      </c>
      <c r="V18" s="31">
        <f t="shared" si="8"/>
        <v>0</v>
      </c>
      <c r="W18" s="31">
        <f t="shared" si="8"/>
        <v>0</v>
      </c>
      <c r="X18" s="31">
        <f t="shared" si="8"/>
        <v>0</v>
      </c>
      <c r="Y18" s="31">
        <f t="shared" si="8"/>
        <v>0</v>
      </c>
      <c r="Z18" s="31">
        <f t="shared" si="8"/>
        <v>0</v>
      </c>
      <c r="AA18" s="31">
        <f t="shared" si="8"/>
        <v>0</v>
      </c>
      <c r="AB18" s="31">
        <f t="shared" si="8"/>
        <v>0</v>
      </c>
      <c r="AC18" s="31">
        <f t="shared" si="8"/>
        <v>0</v>
      </c>
      <c r="AD18" s="31">
        <f t="shared" si="8"/>
        <v>0</v>
      </c>
      <c r="AE18" s="31">
        <f t="shared" si="8"/>
        <v>0</v>
      </c>
      <c r="AF18" s="31">
        <f t="shared" si="8"/>
        <v>0</v>
      </c>
      <c r="AG18" s="31">
        <f t="shared" si="8"/>
        <v>0</v>
      </c>
      <c r="AH18" s="31">
        <f t="shared" si="8"/>
        <v>0</v>
      </c>
      <c r="AI18" s="31">
        <f t="shared" si="8"/>
        <v>0</v>
      </c>
      <c r="AJ18" s="31">
        <f t="shared" si="8"/>
        <v>0</v>
      </c>
      <c r="AK18" s="31">
        <f t="shared" si="8"/>
        <v>0</v>
      </c>
      <c r="AL18" s="31">
        <f t="shared" si="8"/>
        <v>0</v>
      </c>
      <c r="AM18" s="31">
        <f t="shared" si="8"/>
        <v>0</v>
      </c>
      <c r="AN18" s="31">
        <f t="shared" si="8"/>
        <v>0</v>
      </c>
      <c r="AO18" s="31">
        <f t="shared" si="8"/>
        <v>0</v>
      </c>
      <c r="AP18" s="31">
        <f t="shared" si="8"/>
        <v>0</v>
      </c>
      <c r="AQ18" s="31">
        <f t="shared" si="8"/>
        <v>0</v>
      </c>
      <c r="AR18" s="31">
        <f t="shared" si="8"/>
        <v>0</v>
      </c>
      <c r="AS18" s="31">
        <f t="shared" si="8"/>
        <v>0</v>
      </c>
      <c r="AT18" s="31">
        <f t="shared" si="8"/>
        <v>0</v>
      </c>
      <c r="AU18" s="31">
        <f t="shared" si="8"/>
        <v>0</v>
      </c>
      <c r="AV18" s="31">
        <f t="shared" si="8"/>
        <v>0</v>
      </c>
      <c r="AW18" s="31">
        <f t="shared" si="8"/>
        <v>0</v>
      </c>
      <c r="AX18" s="31">
        <f t="shared" si="8"/>
        <v>0</v>
      </c>
      <c r="AY18" s="31">
        <f t="shared" si="8"/>
        <v>0</v>
      </c>
      <c r="AZ18" s="31">
        <f t="shared" si="8"/>
        <v>0</v>
      </c>
      <c r="BA18" s="31">
        <f t="shared" si="8"/>
        <v>0</v>
      </c>
      <c r="BB18" s="31">
        <f t="shared" si="8"/>
        <v>0</v>
      </c>
      <c r="BC18" s="31">
        <f t="shared" si="8"/>
        <v>0</v>
      </c>
      <c r="BD18" s="31">
        <f t="shared" si="8"/>
        <v>0</v>
      </c>
      <c r="BE18" s="31">
        <f t="shared" si="8"/>
        <v>0</v>
      </c>
      <c r="BF18" s="31">
        <f t="shared" si="8"/>
        <v>0</v>
      </c>
      <c r="BG18" s="31">
        <f t="shared" si="8"/>
        <v>0</v>
      </c>
      <c r="BH18" s="31">
        <f t="shared" si="8"/>
        <v>0</v>
      </c>
      <c r="BI18" s="31">
        <f t="shared" si="8"/>
        <v>0</v>
      </c>
      <c r="BJ18" s="31">
        <f t="shared" si="8"/>
        <v>0</v>
      </c>
      <c r="BK18" s="31">
        <f t="shared" si="8"/>
        <v>0</v>
      </c>
      <c r="BL18" s="31">
        <f t="shared" si="8"/>
        <v>0</v>
      </c>
      <c r="BM18" s="31">
        <f t="shared" si="8"/>
        <v>0</v>
      </c>
      <c r="BN18" s="31">
        <f t="shared" si="8"/>
        <v>0</v>
      </c>
      <c r="BO18" s="31">
        <f t="shared" si="8"/>
        <v>0</v>
      </c>
      <c r="BP18" s="31">
        <f t="shared" si="8"/>
        <v>0</v>
      </c>
      <c r="BQ18" s="31">
        <f t="shared" ref="BQ18:EB18" si="9">+BP16*(BP5*$B$1)</f>
        <v>0</v>
      </c>
      <c r="BR18" s="31">
        <f t="shared" si="9"/>
        <v>0</v>
      </c>
      <c r="BS18" s="31">
        <f t="shared" si="9"/>
        <v>0</v>
      </c>
      <c r="BT18" s="31">
        <f t="shared" si="9"/>
        <v>0</v>
      </c>
      <c r="BU18" s="31">
        <f t="shared" si="9"/>
        <v>0</v>
      </c>
      <c r="BV18" s="31">
        <f t="shared" si="9"/>
        <v>0</v>
      </c>
      <c r="BW18" s="31">
        <f t="shared" si="9"/>
        <v>0</v>
      </c>
      <c r="BX18" s="31">
        <f t="shared" si="9"/>
        <v>0</v>
      </c>
      <c r="BY18" s="31">
        <f t="shared" si="9"/>
        <v>0</v>
      </c>
      <c r="BZ18" s="31">
        <f t="shared" si="9"/>
        <v>0</v>
      </c>
      <c r="CA18" s="31">
        <f t="shared" si="9"/>
        <v>0</v>
      </c>
      <c r="CB18" s="31">
        <f t="shared" si="9"/>
        <v>0</v>
      </c>
      <c r="CC18" s="31">
        <f t="shared" si="9"/>
        <v>0</v>
      </c>
      <c r="CD18" s="31">
        <f t="shared" si="9"/>
        <v>0</v>
      </c>
      <c r="CE18" s="31">
        <f t="shared" si="9"/>
        <v>0</v>
      </c>
      <c r="CF18" s="31">
        <f t="shared" si="9"/>
        <v>0</v>
      </c>
      <c r="CG18" s="31">
        <f t="shared" si="9"/>
        <v>0</v>
      </c>
      <c r="CH18" s="31">
        <f t="shared" si="9"/>
        <v>0</v>
      </c>
      <c r="CI18" s="31">
        <f t="shared" si="9"/>
        <v>0</v>
      </c>
      <c r="CJ18" s="31">
        <f t="shared" si="9"/>
        <v>0</v>
      </c>
      <c r="CK18" s="31">
        <f t="shared" si="9"/>
        <v>0</v>
      </c>
      <c r="CL18" s="31">
        <f t="shared" si="9"/>
        <v>0</v>
      </c>
      <c r="CM18" s="31">
        <f t="shared" si="9"/>
        <v>0</v>
      </c>
      <c r="CN18" s="31">
        <f t="shared" si="9"/>
        <v>0</v>
      </c>
      <c r="CO18" s="31">
        <f t="shared" si="9"/>
        <v>0</v>
      </c>
      <c r="CP18" s="31">
        <f t="shared" si="9"/>
        <v>0</v>
      </c>
      <c r="CQ18" s="31">
        <f t="shared" si="9"/>
        <v>0</v>
      </c>
      <c r="CR18" s="31">
        <f t="shared" si="9"/>
        <v>0</v>
      </c>
      <c r="CS18" s="31">
        <f t="shared" si="9"/>
        <v>0</v>
      </c>
      <c r="CT18" s="31">
        <f t="shared" si="9"/>
        <v>0</v>
      </c>
      <c r="CU18" s="31">
        <f t="shared" si="9"/>
        <v>0</v>
      </c>
      <c r="CV18" s="31">
        <f t="shared" si="9"/>
        <v>0</v>
      </c>
      <c r="CW18" s="31">
        <f t="shared" si="9"/>
        <v>0</v>
      </c>
      <c r="CX18" s="31">
        <f t="shared" si="9"/>
        <v>0</v>
      </c>
      <c r="CY18" s="31">
        <f t="shared" si="9"/>
        <v>0</v>
      </c>
      <c r="CZ18" s="31">
        <f t="shared" si="9"/>
        <v>0</v>
      </c>
      <c r="DA18" s="31">
        <f t="shared" si="9"/>
        <v>0</v>
      </c>
      <c r="DB18" s="31">
        <f t="shared" si="9"/>
        <v>0</v>
      </c>
      <c r="DC18" s="31">
        <f t="shared" si="9"/>
        <v>0</v>
      </c>
      <c r="DD18" s="31">
        <f t="shared" si="9"/>
        <v>0</v>
      </c>
      <c r="DE18" s="31">
        <f t="shared" si="9"/>
        <v>0</v>
      </c>
      <c r="DF18" s="31">
        <f t="shared" si="9"/>
        <v>0</v>
      </c>
      <c r="DG18" s="31">
        <f t="shared" si="9"/>
        <v>0</v>
      </c>
      <c r="DH18" s="31">
        <f t="shared" si="9"/>
        <v>0</v>
      </c>
      <c r="DI18" s="31">
        <f t="shared" si="9"/>
        <v>0</v>
      </c>
      <c r="DJ18" s="31">
        <f t="shared" si="9"/>
        <v>0</v>
      </c>
      <c r="DK18" s="31">
        <f t="shared" si="9"/>
        <v>0</v>
      </c>
      <c r="DL18" s="31">
        <f t="shared" si="9"/>
        <v>0</v>
      </c>
      <c r="DM18" s="31">
        <f t="shared" si="9"/>
        <v>0</v>
      </c>
      <c r="DN18" s="31">
        <f t="shared" si="9"/>
        <v>0</v>
      </c>
      <c r="DO18" s="31">
        <f t="shared" si="9"/>
        <v>0</v>
      </c>
      <c r="DP18" s="31">
        <f t="shared" si="9"/>
        <v>0</v>
      </c>
      <c r="DQ18" s="31">
        <f t="shared" si="9"/>
        <v>0</v>
      </c>
      <c r="DR18" s="31">
        <f t="shared" si="9"/>
        <v>0</v>
      </c>
      <c r="DS18" s="31">
        <f t="shared" si="9"/>
        <v>0</v>
      </c>
      <c r="DT18" s="31">
        <f t="shared" si="9"/>
        <v>0</v>
      </c>
      <c r="DU18" s="31">
        <f t="shared" si="9"/>
        <v>0</v>
      </c>
      <c r="DV18" s="31">
        <f t="shared" si="9"/>
        <v>0</v>
      </c>
      <c r="DW18" s="31">
        <f t="shared" si="9"/>
        <v>0</v>
      </c>
      <c r="DX18" s="31">
        <f t="shared" si="9"/>
        <v>0</v>
      </c>
      <c r="DY18" s="31">
        <f t="shared" si="9"/>
        <v>0</v>
      </c>
      <c r="DZ18" s="31">
        <f t="shared" si="9"/>
        <v>0</v>
      </c>
      <c r="EA18" s="31">
        <f t="shared" si="9"/>
        <v>0</v>
      </c>
      <c r="EB18" s="31">
        <f t="shared" si="9"/>
        <v>0</v>
      </c>
      <c r="EC18" s="31">
        <f t="shared" ref="EC18:GN18" si="10">+EB16*(EB5*$B$1)</f>
        <v>0</v>
      </c>
      <c r="ED18" s="31">
        <f t="shared" si="10"/>
        <v>0</v>
      </c>
      <c r="EE18" s="31">
        <f t="shared" si="10"/>
        <v>0</v>
      </c>
      <c r="EF18" s="31">
        <f t="shared" si="10"/>
        <v>0</v>
      </c>
      <c r="EG18" s="31">
        <f t="shared" si="10"/>
        <v>0</v>
      </c>
      <c r="EH18" s="31">
        <f t="shared" si="10"/>
        <v>0</v>
      </c>
      <c r="EI18" s="31">
        <f t="shared" si="10"/>
        <v>0</v>
      </c>
      <c r="EJ18" s="31">
        <f t="shared" si="10"/>
        <v>0</v>
      </c>
      <c r="EK18" s="31">
        <f t="shared" si="10"/>
        <v>0</v>
      </c>
      <c r="EL18" s="31">
        <f t="shared" si="10"/>
        <v>0</v>
      </c>
      <c r="EM18" s="31">
        <f t="shared" si="10"/>
        <v>0</v>
      </c>
      <c r="EN18" s="31">
        <f t="shared" si="10"/>
        <v>0</v>
      </c>
      <c r="EO18" s="31">
        <f t="shared" si="10"/>
        <v>0</v>
      </c>
      <c r="EP18" s="31">
        <f t="shared" si="10"/>
        <v>0</v>
      </c>
      <c r="EQ18" s="31">
        <f t="shared" si="10"/>
        <v>0</v>
      </c>
      <c r="ER18" s="31">
        <f t="shared" si="10"/>
        <v>0</v>
      </c>
      <c r="ES18" s="31">
        <f t="shared" si="10"/>
        <v>0</v>
      </c>
      <c r="ET18" s="31">
        <f t="shared" si="10"/>
        <v>0</v>
      </c>
      <c r="EU18" s="31">
        <f t="shared" si="10"/>
        <v>0</v>
      </c>
      <c r="EV18" s="31">
        <f t="shared" si="10"/>
        <v>0</v>
      </c>
      <c r="EW18" s="31">
        <f t="shared" si="10"/>
        <v>0</v>
      </c>
      <c r="EX18" s="31">
        <f t="shared" si="10"/>
        <v>0</v>
      </c>
      <c r="EY18" s="31">
        <f t="shared" si="10"/>
        <v>0</v>
      </c>
      <c r="EZ18" s="31">
        <f t="shared" si="10"/>
        <v>0</v>
      </c>
      <c r="FA18" s="31">
        <f t="shared" si="10"/>
        <v>0</v>
      </c>
      <c r="FB18" s="31">
        <f t="shared" si="10"/>
        <v>0</v>
      </c>
      <c r="FC18" s="31">
        <f t="shared" si="10"/>
        <v>0</v>
      </c>
      <c r="FD18" s="31">
        <f t="shared" si="10"/>
        <v>0</v>
      </c>
      <c r="FE18" s="31">
        <f t="shared" si="10"/>
        <v>0</v>
      </c>
      <c r="FF18" s="31">
        <f t="shared" si="10"/>
        <v>0</v>
      </c>
      <c r="FG18" s="31">
        <f t="shared" si="10"/>
        <v>0</v>
      </c>
      <c r="FH18" s="31">
        <f t="shared" si="10"/>
        <v>0</v>
      </c>
      <c r="FI18" s="31">
        <f t="shared" si="10"/>
        <v>0</v>
      </c>
      <c r="FJ18" s="31">
        <f t="shared" si="10"/>
        <v>0</v>
      </c>
      <c r="FK18" s="31">
        <f t="shared" si="10"/>
        <v>0</v>
      </c>
      <c r="FL18" s="31">
        <f t="shared" si="10"/>
        <v>0</v>
      </c>
      <c r="FM18" s="31">
        <f t="shared" si="10"/>
        <v>0</v>
      </c>
      <c r="FN18" s="31">
        <f t="shared" si="10"/>
        <v>0</v>
      </c>
      <c r="FO18" s="31">
        <f t="shared" si="10"/>
        <v>0</v>
      </c>
      <c r="FP18" s="31">
        <f t="shared" si="10"/>
        <v>0</v>
      </c>
      <c r="FQ18" s="31">
        <f t="shared" si="10"/>
        <v>0</v>
      </c>
      <c r="FR18" s="31">
        <f t="shared" si="10"/>
        <v>0</v>
      </c>
      <c r="FS18" s="31">
        <f t="shared" si="10"/>
        <v>0</v>
      </c>
      <c r="FT18" s="31">
        <f t="shared" si="10"/>
        <v>0</v>
      </c>
      <c r="FU18" s="31">
        <f t="shared" si="10"/>
        <v>0</v>
      </c>
      <c r="FV18" s="31">
        <f t="shared" si="10"/>
        <v>0</v>
      </c>
      <c r="FW18" s="31">
        <f t="shared" si="10"/>
        <v>0</v>
      </c>
      <c r="FX18" s="31">
        <f t="shared" si="10"/>
        <v>0</v>
      </c>
      <c r="FY18" s="31">
        <f t="shared" si="10"/>
        <v>0</v>
      </c>
      <c r="FZ18" s="31">
        <f t="shared" si="10"/>
        <v>0</v>
      </c>
      <c r="GA18" s="31">
        <f t="shared" si="10"/>
        <v>0</v>
      </c>
      <c r="GB18" s="31">
        <f t="shared" si="10"/>
        <v>0</v>
      </c>
      <c r="GC18" s="31">
        <f t="shared" si="10"/>
        <v>0</v>
      </c>
      <c r="GD18" s="31">
        <f t="shared" si="10"/>
        <v>0</v>
      </c>
      <c r="GE18" s="31">
        <f t="shared" si="10"/>
        <v>0</v>
      </c>
      <c r="GF18" s="31">
        <f t="shared" si="10"/>
        <v>0</v>
      </c>
      <c r="GG18" s="31">
        <f t="shared" si="10"/>
        <v>0</v>
      </c>
      <c r="GH18" s="31">
        <f t="shared" si="10"/>
        <v>0</v>
      </c>
      <c r="GI18" s="31">
        <f t="shared" si="10"/>
        <v>0</v>
      </c>
      <c r="GJ18" s="31">
        <f t="shared" si="10"/>
        <v>0</v>
      </c>
      <c r="GK18" s="31">
        <f t="shared" si="10"/>
        <v>0</v>
      </c>
      <c r="GL18" s="31">
        <f t="shared" si="10"/>
        <v>0</v>
      </c>
      <c r="GM18" s="31">
        <f t="shared" si="10"/>
        <v>0</v>
      </c>
      <c r="GN18" s="31">
        <f t="shared" si="10"/>
        <v>0</v>
      </c>
      <c r="GO18" s="31">
        <f t="shared" ref="GO18:IG18" si="11">+GN16*(GN5*$B$1)</f>
        <v>0</v>
      </c>
      <c r="GP18" s="31">
        <f t="shared" si="11"/>
        <v>0</v>
      </c>
      <c r="GQ18" s="31">
        <f t="shared" si="11"/>
        <v>0</v>
      </c>
      <c r="GR18" s="31">
        <f t="shared" si="11"/>
        <v>0</v>
      </c>
      <c r="GS18" s="31">
        <f t="shared" si="11"/>
        <v>0</v>
      </c>
      <c r="GT18" s="31">
        <f t="shared" si="11"/>
        <v>0</v>
      </c>
      <c r="GU18" s="31">
        <f t="shared" si="11"/>
        <v>0</v>
      </c>
      <c r="GV18" s="31">
        <f t="shared" si="11"/>
        <v>0</v>
      </c>
      <c r="GW18" s="31">
        <f t="shared" si="11"/>
        <v>0</v>
      </c>
      <c r="GX18" s="31">
        <f t="shared" si="11"/>
        <v>0</v>
      </c>
      <c r="GY18" s="31">
        <f t="shared" si="11"/>
        <v>0</v>
      </c>
      <c r="GZ18" s="31">
        <f t="shared" si="11"/>
        <v>0</v>
      </c>
      <c r="HA18" s="31">
        <f t="shared" si="11"/>
        <v>0</v>
      </c>
      <c r="HB18" s="31">
        <f t="shared" si="11"/>
        <v>0</v>
      </c>
      <c r="HC18" s="31">
        <f t="shared" si="11"/>
        <v>0</v>
      </c>
      <c r="HD18" s="31">
        <f t="shared" si="11"/>
        <v>0</v>
      </c>
      <c r="HE18" s="31">
        <f t="shared" si="11"/>
        <v>0</v>
      </c>
      <c r="HF18" s="31">
        <f t="shared" si="11"/>
        <v>0</v>
      </c>
      <c r="HG18" s="31">
        <f t="shared" si="11"/>
        <v>0</v>
      </c>
      <c r="HH18" s="31">
        <f t="shared" si="11"/>
        <v>0</v>
      </c>
      <c r="HI18" s="31">
        <f t="shared" si="11"/>
        <v>0</v>
      </c>
      <c r="HJ18" s="31">
        <f t="shared" si="11"/>
        <v>0</v>
      </c>
      <c r="HK18" s="31">
        <f t="shared" si="11"/>
        <v>0</v>
      </c>
      <c r="HL18" s="31">
        <f t="shared" si="11"/>
        <v>0</v>
      </c>
      <c r="HM18" s="31">
        <f t="shared" si="11"/>
        <v>0</v>
      </c>
      <c r="HN18" s="31">
        <f t="shared" si="11"/>
        <v>0</v>
      </c>
      <c r="HO18" s="31">
        <f t="shared" si="11"/>
        <v>0</v>
      </c>
      <c r="HP18" s="31">
        <f t="shared" si="11"/>
        <v>0</v>
      </c>
      <c r="HQ18" s="31">
        <f t="shared" si="11"/>
        <v>0</v>
      </c>
      <c r="HR18" s="31">
        <f t="shared" si="11"/>
        <v>0</v>
      </c>
      <c r="HS18" s="31">
        <f t="shared" si="11"/>
        <v>0</v>
      </c>
      <c r="HT18" s="31">
        <f t="shared" si="11"/>
        <v>0</v>
      </c>
      <c r="HU18" s="31">
        <f t="shared" si="11"/>
        <v>0</v>
      </c>
      <c r="HV18" s="31">
        <f t="shared" si="11"/>
        <v>0</v>
      </c>
      <c r="HW18" s="31">
        <f t="shared" si="11"/>
        <v>0</v>
      </c>
      <c r="HX18" s="31">
        <f t="shared" si="11"/>
        <v>0</v>
      </c>
      <c r="HY18" s="31">
        <f t="shared" si="11"/>
        <v>0</v>
      </c>
      <c r="HZ18" s="31">
        <f t="shared" si="11"/>
        <v>0</v>
      </c>
      <c r="IA18" s="31">
        <f t="shared" si="11"/>
        <v>0</v>
      </c>
      <c r="IB18" s="31">
        <f t="shared" si="11"/>
        <v>0</v>
      </c>
      <c r="IC18" s="31">
        <f t="shared" si="11"/>
        <v>0</v>
      </c>
      <c r="ID18" s="31">
        <f t="shared" si="11"/>
        <v>0</v>
      </c>
      <c r="IE18" s="31">
        <f t="shared" si="11"/>
        <v>0</v>
      </c>
      <c r="IF18" s="31">
        <f t="shared" si="11"/>
        <v>0</v>
      </c>
      <c r="IG18" s="31">
        <f t="shared" si="11"/>
        <v>0</v>
      </c>
      <c r="IH18" s="31">
        <f>+IG16*(IG5*$B$1)</f>
        <v>0</v>
      </c>
    </row>
    <row r="19" spans="1:242" x14ac:dyDescent="0.3">
      <c r="A19" t="s">
        <v>912</v>
      </c>
      <c r="C19" s="31"/>
      <c r="D19" s="31">
        <f>+D17+D18</f>
        <v>0</v>
      </c>
      <c r="E19" s="31">
        <f t="shared" ref="E19:BP19" si="12">+E17+E18</f>
        <v>0</v>
      </c>
      <c r="F19" s="31">
        <f t="shared" si="12"/>
        <v>0</v>
      </c>
      <c r="G19" s="31">
        <f t="shared" si="12"/>
        <v>0</v>
      </c>
      <c r="H19" s="31">
        <f>+H17+H18</f>
        <v>0</v>
      </c>
      <c r="I19" s="31">
        <f>+I17+I18</f>
        <v>0</v>
      </c>
      <c r="J19" s="31"/>
      <c r="K19" s="31">
        <f>+K17+K18</f>
        <v>1821898.5</v>
      </c>
      <c r="L19" s="31">
        <f t="shared" si="12"/>
        <v>1357638.94</v>
      </c>
      <c r="M19" s="31">
        <f t="shared" si="12"/>
        <v>1347260.8800000001</v>
      </c>
      <c r="N19" s="31">
        <f>+N17+N18</f>
        <v>1465405.92</v>
      </c>
      <c r="O19" s="31">
        <f t="shared" si="12"/>
        <v>1090309.01</v>
      </c>
      <c r="P19" s="31">
        <f t="shared" si="12"/>
        <v>1205437.7</v>
      </c>
      <c r="Q19" s="31">
        <f t="shared" si="12"/>
        <v>1361040</v>
      </c>
      <c r="R19" s="31">
        <f t="shared" si="12"/>
        <v>1244175</v>
      </c>
      <c r="S19" s="31">
        <f t="shared" si="12"/>
        <v>1705677.99</v>
      </c>
      <c r="T19" s="31">
        <f t="shared" si="12"/>
        <v>1696126.8299999998</v>
      </c>
      <c r="U19" s="31">
        <f t="shared" si="12"/>
        <v>1917395.3699999999</v>
      </c>
      <c r="V19" s="31">
        <f t="shared" si="12"/>
        <v>1642003.5899999999</v>
      </c>
      <c r="W19" s="31">
        <f t="shared" si="12"/>
        <v>1876555.4550000001</v>
      </c>
      <c r="X19" s="31">
        <f t="shared" si="12"/>
        <v>1398368.1082000001</v>
      </c>
      <c r="Y19" s="31">
        <f t="shared" si="12"/>
        <v>1387678.7064</v>
      </c>
      <c r="Z19" s="31">
        <f t="shared" si="12"/>
        <v>1509368.0976</v>
      </c>
      <c r="AA19" s="31">
        <f t="shared" si="12"/>
        <v>1123018.2803000002</v>
      </c>
      <c r="AB19" s="31">
        <f t="shared" si="12"/>
        <v>1241600.831</v>
      </c>
      <c r="AC19" s="31">
        <f t="shared" si="12"/>
        <v>1401871.2</v>
      </c>
      <c r="AD19" s="31">
        <f t="shared" si="12"/>
        <v>1281500.25</v>
      </c>
      <c r="AE19" s="31">
        <f t="shared" si="12"/>
        <v>1756848.3297000001</v>
      </c>
      <c r="AF19" s="31">
        <f t="shared" si="12"/>
        <v>1747010.6348999999</v>
      </c>
      <c r="AG19" s="31">
        <f t="shared" si="12"/>
        <v>1974917.2311</v>
      </c>
      <c r="AH19" s="31">
        <f t="shared" si="12"/>
        <v>1691263.6977000001</v>
      </c>
      <c r="AI19" s="31">
        <f t="shared" si="12"/>
        <v>1932852.1186500003</v>
      </c>
      <c r="AJ19" s="31">
        <f t="shared" si="12"/>
        <v>1440319.1514460002</v>
      </c>
      <c r="AK19" s="31">
        <f t="shared" si="12"/>
        <v>1429309.0675920001</v>
      </c>
      <c r="AL19" s="31">
        <f t="shared" si="12"/>
        <v>1554649.140528</v>
      </c>
      <c r="AM19" s="31">
        <f t="shared" si="12"/>
        <v>1156708.8287090003</v>
      </c>
      <c r="AN19" s="31">
        <f t="shared" si="12"/>
        <v>1278848.8559300001</v>
      </c>
      <c r="AO19" s="31">
        <f t="shared" si="12"/>
        <v>1443927.3360000001</v>
      </c>
      <c r="AP19" s="31">
        <f t="shared" si="12"/>
        <v>1319945.2575000001</v>
      </c>
      <c r="AQ19" s="31">
        <f t="shared" si="12"/>
        <v>1809553.7795910002</v>
      </c>
      <c r="AR19" s="31">
        <f t="shared" si="12"/>
        <v>1799420.953947</v>
      </c>
      <c r="AS19" s="31">
        <f t="shared" si="12"/>
        <v>2034164.7480330002</v>
      </c>
      <c r="AT19" s="31">
        <f t="shared" si="12"/>
        <v>1742001.6086310002</v>
      </c>
      <c r="AU19" s="31">
        <f t="shared" si="12"/>
        <v>1990837.6822095003</v>
      </c>
      <c r="AV19" s="31">
        <f t="shared" si="12"/>
        <v>1483528.7259893802</v>
      </c>
      <c r="AW19" s="31">
        <f t="shared" si="12"/>
        <v>1472188.3396197602</v>
      </c>
      <c r="AX19" s="31">
        <f t="shared" si="12"/>
        <v>1601288.6147438399</v>
      </c>
      <c r="AY19" s="31">
        <f t="shared" si="12"/>
        <v>1191410.0935702701</v>
      </c>
      <c r="AZ19" s="31">
        <f t="shared" si="12"/>
        <v>1317214.3216079003</v>
      </c>
      <c r="BA19" s="31">
        <f t="shared" si="12"/>
        <v>1487245.1560800001</v>
      </c>
      <c r="BB19" s="31">
        <f t="shared" si="12"/>
        <v>1359543.6152250001</v>
      </c>
      <c r="BC19" s="31">
        <f t="shared" si="12"/>
        <v>1863840.3929787301</v>
      </c>
      <c r="BD19" s="31">
        <f t="shared" si="12"/>
        <v>1853403.5825654101</v>
      </c>
      <c r="BE19" s="31">
        <f t="shared" si="12"/>
        <v>2095189.6904739903</v>
      </c>
      <c r="BF19" s="31">
        <f t="shared" si="12"/>
        <v>1794261.6568899301</v>
      </c>
      <c r="BG19" s="31">
        <f t="shared" si="12"/>
        <v>2050562.8126757857</v>
      </c>
      <c r="BH19" s="31">
        <f t="shared" si="12"/>
        <v>1528034.5877690618</v>
      </c>
      <c r="BI19" s="31">
        <f t="shared" si="12"/>
        <v>1516353.9898083531</v>
      </c>
      <c r="BJ19" s="31">
        <f t="shared" si="12"/>
        <v>1649327.2731861551</v>
      </c>
      <c r="BK19" s="31">
        <f t="shared" si="12"/>
        <v>1227152.3963773784</v>
      </c>
      <c r="BL19" s="31">
        <f t="shared" si="12"/>
        <v>1356730.7512561372</v>
      </c>
      <c r="BM19" s="31">
        <f t="shared" si="12"/>
        <v>1531862.5107624</v>
      </c>
      <c r="BN19" s="31">
        <f t="shared" si="12"/>
        <v>1400329.92368175</v>
      </c>
      <c r="BO19" s="31">
        <f t="shared" si="12"/>
        <v>1919755.604768092</v>
      </c>
      <c r="BP19" s="31">
        <f t="shared" si="12"/>
        <v>1909005.6900423726</v>
      </c>
      <c r="BQ19" s="31">
        <f t="shared" ref="BQ19:EB19" si="13">+BQ17+BQ18</f>
        <v>2158045.3811882101</v>
      </c>
      <c r="BR19" s="31">
        <f t="shared" si="13"/>
        <v>1848089.5065966281</v>
      </c>
      <c r="BS19" s="31">
        <f t="shared" si="13"/>
        <v>2112079.6970560593</v>
      </c>
      <c r="BT19" s="31">
        <f t="shared" si="13"/>
        <v>1573875.6254021334</v>
      </c>
      <c r="BU19" s="31">
        <f t="shared" si="13"/>
        <v>1561844.6095026035</v>
      </c>
      <c r="BV19" s="31">
        <f t="shared" si="13"/>
        <v>1698807.0913817396</v>
      </c>
      <c r="BW19" s="31">
        <f t="shared" si="13"/>
        <v>1263966.9682686997</v>
      </c>
      <c r="BX19" s="31">
        <f t="shared" si="13"/>
        <v>1397432.6737938214</v>
      </c>
      <c r="BY19" s="31">
        <f t="shared" si="13"/>
        <v>1577818.3860852721</v>
      </c>
      <c r="BZ19" s="31">
        <f t="shared" si="13"/>
        <v>1442339.8213922025</v>
      </c>
      <c r="CA19" s="31">
        <f t="shared" si="13"/>
        <v>1977348.2729111349</v>
      </c>
      <c r="CB19" s="31">
        <f t="shared" si="13"/>
        <v>1966275.8607436437</v>
      </c>
      <c r="CC19" s="31">
        <f t="shared" si="13"/>
        <v>2222786.7426238563</v>
      </c>
      <c r="CD19" s="31">
        <f t="shared" si="13"/>
        <v>1903532.191794527</v>
      </c>
      <c r="CE19" s="31">
        <f t="shared" si="13"/>
        <v>2175442.0879677408</v>
      </c>
      <c r="CF19" s="31">
        <f t="shared" si="13"/>
        <v>1621091.8941641976</v>
      </c>
      <c r="CG19" s="31">
        <f t="shared" si="13"/>
        <v>1608699.9477876818</v>
      </c>
      <c r="CH19" s="31">
        <f t="shared" si="13"/>
        <v>1749771.3041231921</v>
      </c>
      <c r="CI19" s="31">
        <f t="shared" si="13"/>
        <v>1301885.9773167607</v>
      </c>
      <c r="CJ19" s="31">
        <f t="shared" si="13"/>
        <v>1439355.654007636</v>
      </c>
      <c r="CK19" s="31">
        <f t="shared" si="13"/>
        <v>1625152.9376678304</v>
      </c>
      <c r="CL19" s="31">
        <f t="shared" si="13"/>
        <v>1485610.0160339689</v>
      </c>
      <c r="CM19" s="31">
        <f t="shared" si="13"/>
        <v>2036668.7210984691</v>
      </c>
      <c r="CN19" s="31">
        <f t="shared" si="13"/>
        <v>2025264.1365659533</v>
      </c>
      <c r="CO19" s="31">
        <f t="shared" si="13"/>
        <v>2289470.3449025722</v>
      </c>
      <c r="CP19" s="31">
        <f t="shared" si="13"/>
        <v>1960638.1575483629</v>
      </c>
      <c r="CQ19" s="31">
        <f t="shared" si="13"/>
        <v>2240705.350606773</v>
      </c>
      <c r="CR19" s="31">
        <f t="shared" si="13"/>
        <v>1669724.6509891236</v>
      </c>
      <c r="CS19" s="31">
        <f t="shared" si="13"/>
        <v>1656960.9462213123</v>
      </c>
      <c r="CT19" s="31">
        <f t="shared" si="13"/>
        <v>1802264.443246888</v>
      </c>
      <c r="CU19" s="31">
        <f t="shared" si="13"/>
        <v>1340942.5566362636</v>
      </c>
      <c r="CV19" s="31">
        <f t="shared" si="13"/>
        <v>1482536.3236278654</v>
      </c>
      <c r="CW19" s="31">
        <f t="shared" si="13"/>
        <v>1673907.5257978654</v>
      </c>
      <c r="CX19" s="31">
        <f t="shared" si="13"/>
        <v>1530178.316514988</v>
      </c>
      <c r="CY19" s="31">
        <f t="shared" si="13"/>
        <v>2097768.7827314232</v>
      </c>
      <c r="CZ19" s="31">
        <f t="shared" si="13"/>
        <v>2086022.0606629318</v>
      </c>
      <c r="DA19" s="31">
        <f t="shared" si="13"/>
        <v>2358154.4552496495</v>
      </c>
      <c r="DB19" s="31">
        <f t="shared" si="13"/>
        <v>2019457.3022748139</v>
      </c>
      <c r="DC19" s="31">
        <f t="shared" si="13"/>
        <v>2307926.511124976</v>
      </c>
      <c r="DD19" s="31">
        <f t="shared" si="13"/>
        <v>1719816.3905187973</v>
      </c>
      <c r="DE19" s="31">
        <f t="shared" si="13"/>
        <v>1706669.7746079518</v>
      </c>
      <c r="DF19" s="31">
        <f t="shared" si="13"/>
        <v>1856332.3765442946</v>
      </c>
      <c r="DG19" s="31">
        <f t="shared" si="13"/>
        <v>1381170.8333353517</v>
      </c>
      <c r="DH19" s="31">
        <f t="shared" si="13"/>
        <v>1527012.4133367015</v>
      </c>
      <c r="DI19" s="31">
        <f t="shared" si="13"/>
        <v>1724124.7515718015</v>
      </c>
      <c r="DJ19" s="31">
        <f t="shared" si="13"/>
        <v>1576083.6660104375</v>
      </c>
      <c r="DK19" s="31">
        <f t="shared" si="13"/>
        <v>2160701.8462133659</v>
      </c>
      <c r="DL19" s="31">
        <f t="shared" si="13"/>
        <v>2148602.72248282</v>
      </c>
      <c r="DM19" s="31">
        <f t="shared" si="13"/>
        <v>2428899.0889071389</v>
      </c>
      <c r="DN19" s="31">
        <f t="shared" si="13"/>
        <v>2080041.0213430584</v>
      </c>
      <c r="DO19" s="31">
        <f t="shared" si="13"/>
        <v>2377164.3064587256</v>
      </c>
      <c r="DP19" s="31">
        <f t="shared" si="13"/>
        <v>1771410.8822343613</v>
      </c>
      <c r="DQ19" s="31">
        <f t="shared" si="13"/>
        <v>1757869.8678461905</v>
      </c>
      <c r="DR19" s="31">
        <f t="shared" si="13"/>
        <v>1912022.3478406235</v>
      </c>
      <c r="DS19" s="31">
        <f t="shared" si="13"/>
        <v>1422605.9583354122</v>
      </c>
      <c r="DT19" s="31">
        <f t="shared" si="13"/>
        <v>1572822.7857368025</v>
      </c>
      <c r="DU19" s="31">
        <f t="shared" si="13"/>
        <v>1775848.4941189557</v>
      </c>
      <c r="DV19" s="31">
        <f t="shared" si="13"/>
        <v>1623366.175990751</v>
      </c>
      <c r="DW19" s="31">
        <f t="shared" si="13"/>
        <v>2225522.9015997667</v>
      </c>
      <c r="DX19" s="31">
        <f t="shared" si="13"/>
        <v>2213060.8041573041</v>
      </c>
      <c r="DY19" s="31">
        <f t="shared" si="13"/>
        <v>2501766.0615743529</v>
      </c>
      <c r="DZ19" s="31">
        <f t="shared" si="13"/>
        <v>2142442.2519833501</v>
      </c>
      <c r="EA19" s="31">
        <f t="shared" si="13"/>
        <v>2448479.2356524873</v>
      </c>
      <c r="EB19" s="31">
        <f t="shared" si="13"/>
        <v>1824553.2087013922</v>
      </c>
      <c r="EC19" s="31">
        <f t="shared" ref="EC19:GN19" si="14">+EC17+EC18</f>
        <v>1810605.9638815762</v>
      </c>
      <c r="ED19" s="31">
        <f t="shared" si="14"/>
        <v>1969383.0182758425</v>
      </c>
      <c r="EE19" s="31">
        <f t="shared" si="14"/>
        <v>1465284.1370854743</v>
      </c>
      <c r="EF19" s="31">
        <f t="shared" si="14"/>
        <v>1620007.4693089065</v>
      </c>
      <c r="EG19" s="31">
        <f t="shared" si="14"/>
        <v>1829123.9489425244</v>
      </c>
      <c r="EH19" s="31">
        <f t="shared" si="14"/>
        <v>1672067.1612704734</v>
      </c>
      <c r="EI19" s="31">
        <f t="shared" si="14"/>
        <v>2292288.58864776</v>
      </c>
      <c r="EJ19" s="31">
        <f t="shared" si="14"/>
        <v>2279452.6282820236</v>
      </c>
      <c r="EK19" s="31">
        <f t="shared" si="14"/>
        <v>2576819.0434215837</v>
      </c>
      <c r="EL19" s="31">
        <f t="shared" si="14"/>
        <v>2206715.5195428506</v>
      </c>
      <c r="EM19" s="31">
        <f t="shared" si="14"/>
        <v>2521933.6127220616</v>
      </c>
      <c r="EN19" s="31">
        <f t="shared" si="14"/>
        <v>1879289.8049624339</v>
      </c>
      <c r="EO19" s="31">
        <f t="shared" si="14"/>
        <v>1864924.1427980233</v>
      </c>
      <c r="EP19" s="31">
        <f t="shared" si="14"/>
        <v>2028464.5088241177</v>
      </c>
      <c r="EQ19" s="31">
        <f t="shared" si="14"/>
        <v>1509242.6611980386</v>
      </c>
      <c r="ER19" s="31">
        <f t="shared" si="14"/>
        <v>1668607.6933881738</v>
      </c>
      <c r="ES19" s="31">
        <f t="shared" si="14"/>
        <v>1883997.6674108</v>
      </c>
      <c r="ET19" s="31">
        <f t="shared" si="14"/>
        <v>1722229.1761085875</v>
      </c>
      <c r="EU19" s="31">
        <f t="shared" si="14"/>
        <v>2361057.2463071928</v>
      </c>
      <c r="EV19" s="31">
        <f t="shared" si="14"/>
        <v>2347836.2071304843</v>
      </c>
      <c r="EW19" s="31">
        <f t="shared" si="14"/>
        <v>2654123.6147242314</v>
      </c>
      <c r="EX19" s="31">
        <f t="shared" si="14"/>
        <v>2272916.9851291361</v>
      </c>
      <c r="EY19" s="31">
        <f t="shared" si="14"/>
        <v>2597591.6211037235</v>
      </c>
      <c r="EZ19" s="31">
        <f t="shared" si="14"/>
        <v>1935668.4991113069</v>
      </c>
      <c r="FA19" s="31">
        <f t="shared" si="14"/>
        <v>1920871.8670819642</v>
      </c>
      <c r="FB19" s="31">
        <f t="shared" si="14"/>
        <v>2089318.4440888413</v>
      </c>
      <c r="FC19" s="31">
        <f t="shared" si="14"/>
        <v>1554519.9410339799</v>
      </c>
      <c r="FD19" s="31">
        <f t="shared" si="14"/>
        <v>1718665.9241898193</v>
      </c>
      <c r="FE19" s="31">
        <f t="shared" si="14"/>
        <v>1940517.5974331242</v>
      </c>
      <c r="FF19" s="31">
        <f t="shared" si="14"/>
        <v>1773896.0513918453</v>
      </c>
      <c r="FG19" s="31">
        <f t="shared" si="14"/>
        <v>2431888.9636964086</v>
      </c>
      <c r="FH19" s="31">
        <f t="shared" si="14"/>
        <v>2418271.293344399</v>
      </c>
      <c r="FI19" s="31">
        <f t="shared" si="14"/>
        <v>2733747.3231659578</v>
      </c>
      <c r="FJ19" s="31">
        <f t="shared" si="14"/>
        <v>2341104.49468301</v>
      </c>
      <c r="FK19" s="31">
        <f t="shared" si="14"/>
        <v>2675519.3697368354</v>
      </c>
      <c r="FL19" s="31">
        <f t="shared" si="14"/>
        <v>1993738.5540846463</v>
      </c>
      <c r="FM19" s="31">
        <f t="shared" si="14"/>
        <v>1978498.0230944231</v>
      </c>
      <c r="FN19" s="31">
        <f t="shared" si="14"/>
        <v>2151997.9974115067</v>
      </c>
      <c r="FO19" s="31">
        <f t="shared" si="14"/>
        <v>1601155.5392649993</v>
      </c>
      <c r="FP19" s="31">
        <f t="shared" si="14"/>
        <v>1770225.9019155139</v>
      </c>
      <c r="FQ19" s="31">
        <f t="shared" si="14"/>
        <v>1998733.125356118</v>
      </c>
      <c r="FR19" s="31">
        <f t="shared" si="14"/>
        <v>1827112.9329336009</v>
      </c>
      <c r="FS19" s="31">
        <f t="shared" si="14"/>
        <v>2504845.6326073008</v>
      </c>
      <c r="FT19" s="31">
        <f t="shared" si="14"/>
        <v>2490819.4321447308</v>
      </c>
      <c r="FU19" s="31">
        <f t="shared" si="14"/>
        <v>2815759.7428609366</v>
      </c>
      <c r="FV19" s="31">
        <f t="shared" si="14"/>
        <v>2411337.6295235003</v>
      </c>
      <c r="FW19" s="31">
        <f t="shared" si="14"/>
        <v>2755784.9508289406</v>
      </c>
      <c r="FX19" s="31">
        <f t="shared" si="14"/>
        <v>2053550.7107071856</v>
      </c>
      <c r="FY19" s="31">
        <f t="shared" si="14"/>
        <v>2037852.9637872558</v>
      </c>
      <c r="FZ19" s="31">
        <f t="shared" si="14"/>
        <v>2216557.9373338521</v>
      </c>
      <c r="GA19" s="31">
        <f t="shared" si="14"/>
        <v>1649190.2054429492</v>
      </c>
      <c r="GB19" s="31">
        <f t="shared" si="14"/>
        <v>1823332.6789729793</v>
      </c>
      <c r="GC19" s="31">
        <f t="shared" si="14"/>
        <v>2058695.1191168018</v>
      </c>
      <c r="GD19" s="31">
        <f t="shared" si="14"/>
        <v>1881926.3209216089</v>
      </c>
      <c r="GE19" s="31">
        <f t="shared" si="14"/>
        <v>2579991.0015855199</v>
      </c>
      <c r="GF19" s="31">
        <f t="shared" si="14"/>
        <v>2565544.0151090724</v>
      </c>
      <c r="GG19" s="31">
        <f t="shared" si="14"/>
        <v>2900232.5351467649</v>
      </c>
      <c r="GH19" s="31">
        <f t="shared" si="14"/>
        <v>2483677.7584092054</v>
      </c>
      <c r="GI19" s="31">
        <f t="shared" si="14"/>
        <v>2838458.4993538088</v>
      </c>
      <c r="GJ19" s="31">
        <f t="shared" si="14"/>
        <v>2115157.232028401</v>
      </c>
      <c r="GK19" s="31">
        <f t="shared" si="14"/>
        <v>2098988.5527008735</v>
      </c>
      <c r="GL19" s="31">
        <f t="shared" si="14"/>
        <v>2283054.6754538678</v>
      </c>
      <c r="GM19" s="31">
        <f t="shared" si="14"/>
        <v>1698665.9116062378</v>
      </c>
      <c r="GN19" s="31">
        <f t="shared" si="14"/>
        <v>1878032.6593421686</v>
      </c>
      <c r="GO19" s="31">
        <f t="shared" ref="GO19:IG19" si="15">+GO17+GO18</f>
        <v>2120455.9726903057</v>
      </c>
      <c r="GP19" s="31">
        <f t="shared" si="15"/>
        <v>1938384.1105492571</v>
      </c>
      <c r="GQ19" s="31">
        <f t="shared" si="15"/>
        <v>2657390.7316330858</v>
      </c>
      <c r="GR19" s="31">
        <f t="shared" si="15"/>
        <v>2642510.3355623451</v>
      </c>
      <c r="GS19" s="31">
        <f t="shared" si="15"/>
        <v>2987239.5112011679</v>
      </c>
      <c r="GT19" s="31">
        <f t="shared" si="15"/>
        <v>2558188.091161482</v>
      </c>
      <c r="GU19" s="31">
        <f t="shared" si="15"/>
        <v>2923612.2543344232</v>
      </c>
      <c r="GV19" s="31">
        <f t="shared" si="15"/>
        <v>2178611.948989253</v>
      </c>
      <c r="GW19" s="31">
        <f t="shared" si="15"/>
        <v>2161958.2092818995</v>
      </c>
      <c r="GX19" s="31">
        <f t="shared" si="15"/>
        <v>2351546.3157174839</v>
      </c>
      <c r="GY19" s="31">
        <f t="shared" si="15"/>
        <v>1749625.888954425</v>
      </c>
      <c r="GZ19" s="31">
        <f t="shared" si="15"/>
        <v>1934373.639122434</v>
      </c>
      <c r="HA19" s="31">
        <f t="shared" si="15"/>
        <v>2184069.6518710149</v>
      </c>
      <c r="HB19" s="31">
        <f t="shared" si="15"/>
        <v>1996535.633865735</v>
      </c>
      <c r="HC19" s="31">
        <f t="shared" si="15"/>
        <v>2737112.4535820782</v>
      </c>
      <c r="HD19" s="31">
        <f t="shared" si="15"/>
        <v>2721785.6456292155</v>
      </c>
      <c r="HE19" s="31">
        <f t="shared" si="15"/>
        <v>3076856.6965372032</v>
      </c>
      <c r="HF19" s="31">
        <f t="shared" si="15"/>
        <v>2634933.7338963263</v>
      </c>
      <c r="HG19" s="31">
        <f t="shared" si="15"/>
        <v>3011320.621964456</v>
      </c>
      <c r="HH19" s="31">
        <f t="shared" si="15"/>
        <v>2243970.3074589306</v>
      </c>
      <c r="HI19" s="31">
        <f t="shared" si="15"/>
        <v>2226816.9555603564</v>
      </c>
      <c r="HJ19" s="31">
        <f t="shared" si="15"/>
        <v>2422092.7051890083</v>
      </c>
      <c r="HK19" s="31">
        <f t="shared" si="15"/>
        <v>1802114.6656230579</v>
      </c>
      <c r="HL19" s="31">
        <f t="shared" si="15"/>
        <v>1992404.848296107</v>
      </c>
      <c r="HM19" s="31">
        <f t="shared" si="15"/>
        <v>2249591.7414271454</v>
      </c>
      <c r="HN19" s="31">
        <f t="shared" si="15"/>
        <v>2056431.7028817073</v>
      </c>
      <c r="HO19" s="31">
        <f t="shared" si="15"/>
        <v>2819225.827189541</v>
      </c>
      <c r="HP19" s="31">
        <f t="shared" si="15"/>
        <v>2803439.214998092</v>
      </c>
      <c r="HQ19" s="31">
        <f t="shared" si="15"/>
        <v>3169162.3974333196</v>
      </c>
      <c r="HR19" s="31">
        <f t="shared" si="15"/>
        <v>2713981.7459132164</v>
      </c>
      <c r="HS19" s="31">
        <f t="shared" si="15"/>
        <v>3101660.2406233894</v>
      </c>
      <c r="HT19" s="31">
        <f t="shared" si="15"/>
        <v>2311289.4166826988</v>
      </c>
      <c r="HU19" s="31">
        <f t="shared" si="15"/>
        <v>2293621.464227167</v>
      </c>
      <c r="HV19" s="31">
        <f t="shared" si="15"/>
        <v>2494755.4863446788</v>
      </c>
      <c r="HW19" s="31">
        <f t="shared" si="15"/>
        <v>1856178.1055917495</v>
      </c>
      <c r="HX19" s="31">
        <f t="shared" si="15"/>
        <v>2052176.9937449903</v>
      </c>
      <c r="HY19" s="31">
        <f t="shared" si="15"/>
        <v>2317079.4936699597</v>
      </c>
      <c r="HZ19" s="31">
        <f t="shared" si="15"/>
        <v>2118124.6539681586</v>
      </c>
      <c r="IA19" s="31">
        <f t="shared" si="15"/>
        <v>2903802.602005227</v>
      </c>
      <c r="IB19" s="31">
        <f t="shared" si="15"/>
        <v>2887542.3914480349</v>
      </c>
      <c r="IC19" s="31">
        <f t="shared" si="15"/>
        <v>3264237.2693563192</v>
      </c>
      <c r="ID19" s="31">
        <f t="shared" si="15"/>
        <v>2795401.198290613</v>
      </c>
      <c r="IE19" s="31">
        <f t="shared" si="15"/>
        <v>3194710.0478420914</v>
      </c>
      <c r="IF19" s="31">
        <f t="shared" si="15"/>
        <v>2380628.0991831794</v>
      </c>
      <c r="IG19" s="31">
        <f t="shared" si="15"/>
        <v>2362430.1081539821</v>
      </c>
      <c r="IH19" s="31">
        <f>+IH17+IH18</f>
        <v>2569598.1509350194</v>
      </c>
    </row>
    <row r="20" spans="1:242" x14ac:dyDescent="0.3"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</row>
    <row r="21" spans="1:242" x14ac:dyDescent="0.3">
      <c r="C21">
        <v>2024</v>
      </c>
      <c r="D21">
        <v>2025</v>
      </c>
      <c r="E21">
        <v>2026</v>
      </c>
      <c r="F21">
        <v>2027</v>
      </c>
      <c r="G21">
        <v>2028</v>
      </c>
      <c r="H21">
        <v>2029</v>
      </c>
      <c r="I21">
        <v>2030</v>
      </c>
      <c r="J21">
        <v>2031</v>
      </c>
      <c r="K21">
        <v>2032</v>
      </c>
      <c r="L21">
        <v>2033</v>
      </c>
      <c r="M21">
        <v>2034</v>
      </c>
      <c r="N21">
        <v>2035</v>
      </c>
      <c r="O21">
        <v>2036</v>
      </c>
      <c r="P21">
        <v>2037</v>
      </c>
      <c r="Q21">
        <v>2038</v>
      </c>
      <c r="R21">
        <v>2039</v>
      </c>
      <c r="S21">
        <v>2040</v>
      </c>
      <c r="T21">
        <v>2041</v>
      </c>
      <c r="U21">
        <v>2042</v>
      </c>
      <c r="V21">
        <v>2043</v>
      </c>
      <c r="W21">
        <v>2044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</row>
    <row r="22" spans="1:242" x14ac:dyDescent="0.3">
      <c r="A22" s="6" t="s">
        <v>913</v>
      </c>
      <c r="C22" s="31">
        <f>+SUMIFS(19:19,12:12,C21)</f>
        <v>0</v>
      </c>
      <c r="D22" s="31">
        <f>+SUMIFS(19:19,12:12,D21)</f>
        <v>12598843.939999999</v>
      </c>
      <c r="E22" s="31">
        <f>+SUMIFS(19:19,12:12,E21)</f>
        <v>18232335.0482</v>
      </c>
      <c r="F22" s="31">
        <f t="shared" ref="F22:L22" si="16">+SUMIFS(19:19,12:12,F21)</f>
        <v>18779305.099646006</v>
      </c>
      <c r="G22" s="31">
        <f t="shared" si="16"/>
        <v>19342684.252635382</v>
      </c>
      <c r="H22" s="31">
        <f t="shared" si="16"/>
        <v>19922964.780214448</v>
      </c>
      <c r="I22" s="31">
        <f t="shared" si="16"/>
        <v>20520653.723620877</v>
      </c>
      <c r="J22" s="31">
        <f t="shared" si="16"/>
        <v>21136273.335329503</v>
      </c>
      <c r="K22" s="31">
        <f t="shared" si="16"/>
        <v>21770361.535389386</v>
      </c>
      <c r="L22" s="31">
        <f t="shared" si="16"/>
        <v>22423472.381451074</v>
      </c>
      <c r="M22" s="31">
        <f>+SUMIFS(19:19,12:12,M21)</f>
        <v>23096176.552894607</v>
      </c>
      <c r="N22" s="31">
        <f t="shared" ref="N22:V22" si="17">+SUMIFS(19:19,12:12,N21)</f>
        <v>23789061.849481445</v>
      </c>
      <c r="O22" s="31">
        <f t="shared" si="17"/>
        <v>24502733.704965889</v>
      </c>
      <c r="P22" s="31">
        <f t="shared" si="17"/>
        <v>25237815.716114867</v>
      </c>
      <c r="Q22" s="31">
        <f t="shared" si="17"/>
        <v>25994950.18759831</v>
      </c>
      <c r="R22" s="31">
        <f t="shared" si="17"/>
        <v>26774798.693226259</v>
      </c>
      <c r="S22" s="31">
        <f t="shared" si="17"/>
        <v>27578042.654023048</v>
      </c>
      <c r="T22" s="31">
        <f t="shared" si="17"/>
        <v>28405383.93364374</v>
      </c>
      <c r="U22" s="31">
        <f t="shared" si="17"/>
        <v>29257545.451653056</v>
      </c>
      <c r="V22" s="31">
        <f t="shared" si="17"/>
        <v>30135271.81520265</v>
      </c>
      <c r="W22" s="31">
        <f>+SUMIFS(19:19,12:12,W21)</f>
        <v>19454547.265209239</v>
      </c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</row>
    <row r="24" spans="1:242" x14ac:dyDescent="0.3">
      <c r="A24" s="6" t="s">
        <v>914</v>
      </c>
      <c r="C24" s="14">
        <v>45505</v>
      </c>
      <c r="D24" s="14">
        <v>45536</v>
      </c>
      <c r="E24" s="14">
        <v>45566</v>
      </c>
      <c r="F24" s="14">
        <v>45597</v>
      </c>
      <c r="G24" s="14">
        <v>45627</v>
      </c>
      <c r="H24" s="14">
        <v>45658</v>
      </c>
      <c r="I24" s="14">
        <v>45689</v>
      </c>
      <c r="J24" s="14">
        <v>45717</v>
      </c>
      <c r="K24" s="14">
        <v>45748</v>
      </c>
      <c r="L24" s="14">
        <v>45778</v>
      </c>
      <c r="M24" s="14">
        <v>45809</v>
      </c>
      <c r="N24" s="14">
        <v>45839</v>
      </c>
      <c r="O24" s="14">
        <v>45870</v>
      </c>
      <c r="P24" s="14">
        <v>45901</v>
      </c>
      <c r="Q24" s="14">
        <v>45931</v>
      </c>
      <c r="R24" s="14">
        <v>45962</v>
      </c>
      <c r="S24" s="14">
        <v>45992</v>
      </c>
      <c r="T24" s="14">
        <v>46023</v>
      </c>
      <c r="U24" s="14">
        <v>46054</v>
      </c>
      <c r="V24" s="14">
        <v>46082</v>
      </c>
      <c r="W24" s="14">
        <v>46113</v>
      </c>
      <c r="X24" s="14">
        <v>46143</v>
      </c>
      <c r="Y24" s="14">
        <v>46174</v>
      </c>
      <c r="Z24" s="14">
        <v>46204</v>
      </c>
      <c r="AA24" s="14">
        <v>46235</v>
      </c>
      <c r="AB24" s="14">
        <v>46266</v>
      </c>
      <c r="AC24" s="14">
        <v>46296</v>
      </c>
      <c r="AD24" s="14">
        <v>46327</v>
      </c>
      <c r="AE24" s="14">
        <v>46357</v>
      </c>
      <c r="AF24" s="14">
        <v>46388</v>
      </c>
      <c r="AG24" s="14">
        <v>46419</v>
      </c>
      <c r="AH24" s="14">
        <v>46447</v>
      </c>
      <c r="AI24" s="14">
        <v>46478</v>
      </c>
      <c r="AJ24" s="14">
        <v>46508</v>
      </c>
      <c r="AK24" s="14">
        <v>46539</v>
      </c>
      <c r="AL24" s="14">
        <v>46569</v>
      </c>
      <c r="AM24" s="14">
        <v>46600</v>
      </c>
      <c r="AN24" s="14">
        <v>46631</v>
      </c>
      <c r="AO24" s="14">
        <v>46661</v>
      </c>
      <c r="AP24" s="14">
        <v>46692</v>
      </c>
      <c r="AQ24" s="14">
        <v>46722</v>
      </c>
      <c r="AR24" s="14">
        <v>46753</v>
      </c>
      <c r="AS24" s="14">
        <v>46784</v>
      </c>
      <c r="AT24" s="14">
        <v>46813</v>
      </c>
      <c r="AU24" s="14">
        <v>46844</v>
      </c>
      <c r="AV24" s="14">
        <v>46874</v>
      </c>
      <c r="AW24" s="14">
        <v>46905</v>
      </c>
      <c r="AX24" s="14">
        <v>46935</v>
      </c>
      <c r="AY24" s="14">
        <v>46966</v>
      </c>
      <c r="AZ24" s="14">
        <v>46997</v>
      </c>
      <c r="BA24" s="14">
        <v>47027</v>
      </c>
      <c r="BB24" s="14">
        <v>47058</v>
      </c>
      <c r="BC24" s="14">
        <v>47088</v>
      </c>
      <c r="BD24" s="14">
        <v>47119</v>
      </c>
      <c r="BE24" s="14">
        <v>47150</v>
      </c>
      <c r="BF24" s="14">
        <v>47178</v>
      </c>
      <c r="BG24" s="14">
        <v>47209</v>
      </c>
      <c r="BH24" s="14">
        <v>47239</v>
      </c>
      <c r="BI24" s="14">
        <v>47270</v>
      </c>
      <c r="BJ24" s="14">
        <v>47300</v>
      </c>
      <c r="BK24" s="14">
        <v>47331</v>
      </c>
      <c r="BL24" s="14">
        <v>47362</v>
      </c>
      <c r="BM24" s="14">
        <v>47392</v>
      </c>
      <c r="BN24" s="14">
        <v>47423</v>
      </c>
      <c r="BO24" s="14">
        <v>47453</v>
      </c>
      <c r="BP24" s="14">
        <v>47484</v>
      </c>
      <c r="BQ24" s="14">
        <v>47515</v>
      </c>
      <c r="BR24" s="14">
        <v>47543</v>
      </c>
      <c r="BS24" s="14">
        <v>47574</v>
      </c>
      <c r="BT24" s="14">
        <v>47604</v>
      </c>
      <c r="BU24" s="14">
        <v>47635</v>
      </c>
      <c r="BV24" s="14">
        <v>47665</v>
      </c>
      <c r="BW24" s="14">
        <v>47696</v>
      </c>
      <c r="BX24" s="14">
        <v>47727</v>
      </c>
      <c r="BY24" s="14">
        <v>47757</v>
      </c>
      <c r="BZ24" s="14">
        <v>47788</v>
      </c>
      <c r="CA24" s="14">
        <v>47818</v>
      </c>
      <c r="CB24" s="14">
        <v>47849</v>
      </c>
      <c r="CC24" s="14">
        <v>47880</v>
      </c>
      <c r="CD24" s="14">
        <v>47908</v>
      </c>
      <c r="CE24" s="14">
        <v>47939</v>
      </c>
      <c r="CF24" s="14">
        <v>47969</v>
      </c>
      <c r="CG24" s="14">
        <v>48000</v>
      </c>
      <c r="CH24" s="14">
        <v>48030</v>
      </c>
      <c r="CI24" s="14">
        <v>48061</v>
      </c>
      <c r="CJ24" s="14">
        <v>48092</v>
      </c>
      <c r="CK24" s="14">
        <v>48122</v>
      </c>
      <c r="CL24" s="14">
        <v>48153</v>
      </c>
      <c r="CM24" s="14">
        <v>48183</v>
      </c>
      <c r="CN24" s="14">
        <v>48214</v>
      </c>
      <c r="CO24" s="14">
        <v>48245</v>
      </c>
      <c r="CP24" s="14">
        <v>48274</v>
      </c>
      <c r="CQ24" s="14">
        <v>48305</v>
      </c>
      <c r="CR24" s="14">
        <v>48335</v>
      </c>
      <c r="CS24" s="14">
        <v>48366</v>
      </c>
      <c r="CT24" s="14">
        <v>48396</v>
      </c>
      <c r="CU24" s="14">
        <v>48427</v>
      </c>
      <c r="CV24" s="14">
        <v>48458</v>
      </c>
      <c r="CW24" s="14">
        <v>48488</v>
      </c>
      <c r="CX24" s="14">
        <v>48519</v>
      </c>
      <c r="CY24" s="14">
        <v>48549</v>
      </c>
      <c r="CZ24" s="14">
        <v>48580</v>
      </c>
      <c r="DA24" s="14">
        <v>48611</v>
      </c>
      <c r="DB24" s="14">
        <v>48639</v>
      </c>
      <c r="DC24" s="14">
        <v>48670</v>
      </c>
      <c r="DD24" s="14">
        <v>48700</v>
      </c>
      <c r="DE24" s="14">
        <v>48731</v>
      </c>
      <c r="DF24" s="14">
        <v>48761</v>
      </c>
      <c r="DG24" s="14">
        <v>48792</v>
      </c>
      <c r="DH24" s="14">
        <v>48823</v>
      </c>
      <c r="DI24" s="14">
        <v>48853</v>
      </c>
      <c r="DJ24" s="14">
        <v>48884</v>
      </c>
      <c r="DK24" s="14">
        <v>48914</v>
      </c>
      <c r="DL24" s="14">
        <v>48945</v>
      </c>
      <c r="DM24" s="14">
        <v>48976</v>
      </c>
      <c r="DN24" s="14">
        <v>49004</v>
      </c>
      <c r="DO24" s="14">
        <v>49035</v>
      </c>
      <c r="DP24" s="14">
        <v>49065</v>
      </c>
      <c r="DQ24" s="14">
        <v>49096</v>
      </c>
      <c r="DR24" s="14">
        <v>49126</v>
      </c>
      <c r="DS24" s="14">
        <v>49157</v>
      </c>
      <c r="DT24" s="14">
        <v>49188</v>
      </c>
      <c r="DU24" s="14">
        <v>49218</v>
      </c>
      <c r="DV24" s="14">
        <v>49249</v>
      </c>
      <c r="DW24" s="14">
        <v>49279</v>
      </c>
      <c r="DX24" s="14">
        <v>49310</v>
      </c>
      <c r="DY24" s="14">
        <v>49341</v>
      </c>
      <c r="DZ24" s="14">
        <v>49369</v>
      </c>
      <c r="EA24" s="14">
        <v>49400</v>
      </c>
      <c r="EB24" s="14">
        <v>49430</v>
      </c>
      <c r="EC24" s="14">
        <v>49461</v>
      </c>
      <c r="ED24" s="14">
        <v>49491</v>
      </c>
      <c r="EE24" s="14">
        <v>49522</v>
      </c>
      <c r="EF24" s="14">
        <v>49553</v>
      </c>
      <c r="EG24" s="14">
        <v>49583</v>
      </c>
      <c r="EH24" s="14">
        <v>49614</v>
      </c>
      <c r="EI24" s="14">
        <v>49644</v>
      </c>
      <c r="EJ24" s="14">
        <v>49675</v>
      </c>
      <c r="EK24" s="14">
        <v>49706</v>
      </c>
      <c r="EL24" s="14">
        <v>49735</v>
      </c>
      <c r="EM24" s="14">
        <v>49766</v>
      </c>
      <c r="EN24" s="14">
        <v>49796</v>
      </c>
      <c r="EO24" s="14">
        <v>49827</v>
      </c>
      <c r="EP24" s="14">
        <v>49857</v>
      </c>
      <c r="EQ24" s="14">
        <v>49888</v>
      </c>
      <c r="ER24" s="14">
        <v>49919</v>
      </c>
      <c r="ES24" s="14">
        <v>49949</v>
      </c>
      <c r="ET24" s="14">
        <v>49980</v>
      </c>
      <c r="EU24" s="14">
        <v>50010</v>
      </c>
      <c r="EV24" s="14">
        <v>50041</v>
      </c>
      <c r="EW24" s="14">
        <v>50072</v>
      </c>
      <c r="EX24" s="14">
        <v>50100</v>
      </c>
      <c r="EY24" s="14">
        <v>50131</v>
      </c>
      <c r="EZ24" s="14">
        <v>50161</v>
      </c>
      <c r="FA24" s="14">
        <v>50192</v>
      </c>
      <c r="FB24" s="14">
        <v>50222</v>
      </c>
      <c r="FC24" s="14">
        <v>50253</v>
      </c>
      <c r="FD24" s="14">
        <v>50284</v>
      </c>
      <c r="FE24" s="14">
        <v>50314</v>
      </c>
      <c r="FF24" s="14">
        <v>50345</v>
      </c>
      <c r="FG24" s="14">
        <v>50375</v>
      </c>
      <c r="FH24" s="14">
        <v>50406</v>
      </c>
      <c r="FI24" s="14">
        <v>50437</v>
      </c>
      <c r="FJ24" s="14">
        <v>50465</v>
      </c>
      <c r="FK24" s="14">
        <v>50496</v>
      </c>
      <c r="FL24" s="14">
        <v>50526</v>
      </c>
      <c r="FM24" s="14">
        <v>50557</v>
      </c>
      <c r="FN24" s="14">
        <v>50587</v>
      </c>
      <c r="FO24" s="14">
        <v>50618</v>
      </c>
      <c r="FP24" s="14">
        <v>50649</v>
      </c>
      <c r="FQ24" s="14">
        <v>50679</v>
      </c>
      <c r="FR24" s="14">
        <v>50710</v>
      </c>
      <c r="FS24" s="14">
        <v>50740</v>
      </c>
      <c r="FT24" s="14">
        <v>50771</v>
      </c>
      <c r="FU24" s="14">
        <v>50802</v>
      </c>
      <c r="FV24" s="14">
        <v>50830</v>
      </c>
      <c r="FW24" s="14">
        <v>50861</v>
      </c>
      <c r="FX24" s="14">
        <v>50891</v>
      </c>
      <c r="FY24" s="14">
        <v>50922</v>
      </c>
      <c r="FZ24" s="14">
        <v>50952</v>
      </c>
      <c r="GA24" s="14">
        <v>50983</v>
      </c>
      <c r="GB24" s="14">
        <v>51014</v>
      </c>
      <c r="GC24" s="14">
        <v>51044</v>
      </c>
      <c r="GD24" s="14">
        <v>51075</v>
      </c>
      <c r="GE24" s="14">
        <v>51105</v>
      </c>
      <c r="GF24" s="14">
        <v>51136</v>
      </c>
      <c r="GG24" s="14">
        <v>51167</v>
      </c>
      <c r="GH24" s="14">
        <v>51196</v>
      </c>
      <c r="GI24" s="14">
        <v>51227</v>
      </c>
      <c r="GJ24" s="14">
        <v>51257</v>
      </c>
      <c r="GK24" s="14">
        <v>51288</v>
      </c>
      <c r="GL24" s="14">
        <v>51318</v>
      </c>
      <c r="GM24" s="14">
        <v>51349</v>
      </c>
      <c r="GN24" s="14">
        <v>51380</v>
      </c>
      <c r="GO24" s="14">
        <v>51410</v>
      </c>
      <c r="GP24" s="14">
        <v>51441</v>
      </c>
      <c r="GQ24" s="14">
        <v>51471</v>
      </c>
      <c r="GR24" s="14">
        <v>51502</v>
      </c>
      <c r="GS24" s="14">
        <v>51533</v>
      </c>
      <c r="GT24" s="14">
        <v>51561</v>
      </c>
      <c r="GU24" s="14">
        <v>51592</v>
      </c>
      <c r="GV24" s="14">
        <v>51622</v>
      </c>
      <c r="GW24" s="14">
        <v>51653</v>
      </c>
      <c r="GX24" s="14">
        <v>51683</v>
      </c>
      <c r="GY24" s="14">
        <v>51714</v>
      </c>
      <c r="GZ24" s="14">
        <v>51745</v>
      </c>
      <c r="HA24" s="14">
        <v>51775</v>
      </c>
      <c r="HB24" s="14">
        <v>51806</v>
      </c>
      <c r="HC24" s="14">
        <v>51836</v>
      </c>
      <c r="HD24" s="14">
        <v>51867</v>
      </c>
      <c r="HE24" s="14">
        <v>51898</v>
      </c>
      <c r="HF24" s="14">
        <v>51926</v>
      </c>
      <c r="HG24" s="14">
        <v>51957</v>
      </c>
      <c r="HH24" s="14">
        <v>51987</v>
      </c>
      <c r="HI24" s="14">
        <v>52018</v>
      </c>
      <c r="HJ24" s="14">
        <v>52048</v>
      </c>
      <c r="HK24" s="14">
        <v>52079</v>
      </c>
      <c r="HL24" s="14">
        <v>52110</v>
      </c>
      <c r="HM24" s="14">
        <v>52140</v>
      </c>
      <c r="HN24" s="14">
        <v>52171</v>
      </c>
      <c r="HO24" s="14">
        <v>52201</v>
      </c>
      <c r="HP24" s="14">
        <v>52232</v>
      </c>
      <c r="HQ24" s="14">
        <v>52263</v>
      </c>
      <c r="HR24" s="14">
        <v>52291</v>
      </c>
      <c r="HS24" s="14">
        <v>52322</v>
      </c>
      <c r="HT24" s="14">
        <v>52352</v>
      </c>
      <c r="HU24" s="14">
        <v>52383</v>
      </c>
      <c r="HV24" s="14">
        <v>52413</v>
      </c>
      <c r="HW24" s="14">
        <v>52444</v>
      </c>
      <c r="HX24" s="14">
        <v>52475</v>
      </c>
      <c r="HY24" s="14">
        <v>52505</v>
      </c>
      <c r="HZ24" s="14">
        <v>52536</v>
      </c>
      <c r="IA24" s="14">
        <v>52566</v>
      </c>
      <c r="IB24" s="14">
        <v>52597</v>
      </c>
      <c r="IC24" s="14">
        <v>52628</v>
      </c>
      <c r="ID24" s="14">
        <v>52657</v>
      </c>
      <c r="IE24" s="14">
        <v>52688</v>
      </c>
      <c r="IF24" s="14">
        <v>52718</v>
      </c>
      <c r="IG24" s="14">
        <v>52749</v>
      </c>
      <c r="IH24" s="14">
        <v>52779</v>
      </c>
    </row>
    <row r="25" spans="1:242" x14ac:dyDescent="0.3">
      <c r="A25" t="s">
        <v>915</v>
      </c>
      <c r="C25" s="30"/>
      <c r="D25" s="30"/>
      <c r="E25" s="30"/>
      <c r="F25" s="30"/>
      <c r="G25" s="30"/>
      <c r="H25" s="30"/>
      <c r="I25" s="30"/>
      <c r="J25" s="30"/>
      <c r="K25" s="30">
        <f>+Producción!L13*'Análisis cliente final CP'!J6</f>
        <v>125495.70303110732</v>
      </c>
      <c r="L25" s="30">
        <f>+Producción!M13*'Análisis cliente final CP'!K6</f>
        <v>91489.676189293314</v>
      </c>
      <c r="M25" s="30">
        <f>+Producción!N13*'Análisis cliente final CP'!L6</f>
        <v>88360.656415209087</v>
      </c>
      <c r="N25" s="30">
        <f>+Producción!O13*'Análisis cliente final CP'!M6</f>
        <v>98135.431302765835</v>
      </c>
      <c r="O25" s="30">
        <f>+Producción!P13*'Análisis cliente final CP'!N6</f>
        <v>70376.2525564807</v>
      </c>
      <c r="P25" s="30">
        <f>+Producción!Q13*'Análisis cliente final CP'!O6</f>
        <v>70261.383349018812</v>
      </c>
      <c r="Q25" s="30">
        <f>+Producción!R13*'Análisis cliente final CP'!P6</f>
        <v>94985.633539129311</v>
      </c>
      <c r="R25" s="30">
        <f>+Producción!S13*'Análisis cliente final CP'!Q6</f>
        <v>79318.769456991213</v>
      </c>
      <c r="S25" s="30">
        <f>+Producción!T13*'Análisis cliente final CP'!R6</f>
        <v>71217.293719734953</v>
      </c>
      <c r="T25" s="30">
        <f>+Producción!U13*'Análisis cliente final CP'!S6</f>
        <v>104835.01290380952</v>
      </c>
      <c r="U25" s="30">
        <f>+Producción!V13*'Análisis cliente final CP'!T6</f>
        <v>129201.09629768685</v>
      </c>
      <c r="V25" s="30">
        <f>+Producción!W13*'Análisis cliente final CP'!U6</f>
        <v>135208.61427051251</v>
      </c>
      <c r="W25" s="30">
        <f>+Producción!X13*'Análisis cliente final CP'!V6</f>
        <v>129260.57412204055</v>
      </c>
      <c r="X25" s="30">
        <f>+Producción!Y13*'Análisis cliente final CP'!W6</f>
        <v>94234.366474972121</v>
      </c>
      <c r="Y25" s="30">
        <f>+Producción!Z13*'Análisis cliente final CP'!X6</f>
        <v>91011.476107665367</v>
      </c>
      <c r="Z25" s="30">
        <f>+Producción!AA13*'Análisis cliente final CP'!Y6</f>
        <v>101079.49424184881</v>
      </c>
      <c r="AA25" s="30">
        <f>+Producción!AB13*'Análisis cliente final CP'!Z6</f>
        <v>72487.54013317512</v>
      </c>
      <c r="AB25" s="30">
        <f>+Producción!AC13*'Análisis cliente final CP'!AA6</f>
        <v>72369.224849489372</v>
      </c>
      <c r="AC25" s="30">
        <f>+Producción!AD13*'Análisis cliente final CP'!AB6</f>
        <v>97835.202545303182</v>
      </c>
      <c r="AD25" s="30">
        <f>+Producción!AE13*'Análisis cliente final CP'!AC6</f>
        <v>81698.332540700954</v>
      </c>
      <c r="AE25" s="30">
        <f>+Producción!AF13*'Análisis cliente final CP'!AD6</f>
        <v>73353.812531326999</v>
      </c>
      <c r="AF25" s="30">
        <f>+Producción!AG13*'Análisis cliente final CP'!AE6</f>
        <v>107980.0632909238</v>
      </c>
      <c r="AG25" s="30">
        <f>+Producción!AH13*'Análisis cliente final CP'!AF6</f>
        <v>133077.12918661747</v>
      </c>
      <c r="AH25" s="30">
        <f>+Producción!AI13*'Análisis cliente final CP'!AG6</f>
        <v>139264.87269862788</v>
      </c>
      <c r="AI25" s="30">
        <f>+Producción!AJ13*'Análisis cliente final CP'!AH6</f>
        <v>133138.39134570176</v>
      </c>
      <c r="AJ25" s="30">
        <f>+Producción!AK13*'Análisis cliente final CP'!AI6</f>
        <v>97061.39746922128</v>
      </c>
      <c r="AK25" s="30">
        <f>+Producción!AL13*'Análisis cliente final CP'!AJ6</f>
        <v>93741.820390895329</v>
      </c>
      <c r="AL25" s="30">
        <f>+Producción!AM13*'Análisis cliente final CP'!AK6</f>
        <v>104111.87906910428</v>
      </c>
      <c r="AM25" s="30">
        <f>+Producción!AN13*'Análisis cliente final CP'!AL6</f>
        <v>74662.166337170376</v>
      </c>
      <c r="AN25" s="30">
        <f>+Producción!AO13*'Análisis cliente final CP'!AM6</f>
        <v>74540.301594974066</v>
      </c>
      <c r="AO25" s="30">
        <f>+Producción!AP13*'Análisis cliente final CP'!AN6</f>
        <v>100770.25862166229</v>
      </c>
      <c r="AP25" s="30">
        <f>+Producción!AQ13*'Análisis cliente final CP'!AO6</f>
        <v>84149.282516921987</v>
      </c>
      <c r="AQ25" s="30">
        <f>+Producción!AR13*'Análisis cliente final CP'!AP6</f>
        <v>75554.42690726681</v>
      </c>
      <c r="AR25" s="30">
        <f>+Producción!AS13*'Análisis cliente final CP'!AQ6</f>
        <v>111219.46518965153</v>
      </c>
      <c r="AS25" s="30">
        <f>+Producción!AT13*'Análisis cliente final CP'!AR6</f>
        <v>137069.44306221599</v>
      </c>
      <c r="AT25" s="30">
        <f>+Producción!AU13*'Análisis cliente final CP'!AS6</f>
        <v>143442.8188795867</v>
      </c>
      <c r="AU25" s="30">
        <f>+Producción!AV13*'Análisis cliente final CP'!AT6</f>
        <v>137132.54308607284</v>
      </c>
      <c r="AV25" s="30">
        <f>+Producción!AW13*'Análisis cliente final CP'!AU6</f>
        <v>99973.239393297918</v>
      </c>
      <c r="AW25" s="30">
        <f>+Producción!AX13*'Análisis cliente final CP'!AV6</f>
        <v>96554.075002622194</v>
      </c>
      <c r="AX25" s="30">
        <f>+Producción!AY13*'Análisis cliente final CP'!AW6</f>
        <v>107235.23544117741</v>
      </c>
      <c r="AY25" s="30">
        <f>+Producción!AZ13*'Análisis cliente final CP'!AX6</f>
        <v>76902.031327285484</v>
      </c>
      <c r="AZ25" s="30">
        <f>+Producción!BA13*'Análisis cliente final CP'!AY6</f>
        <v>76776.510642823298</v>
      </c>
      <c r="BA25" s="30">
        <f>+Producción!BB13*'Análisis cliente final CP'!AZ6</f>
        <v>103793.36638031216</v>
      </c>
      <c r="BB25" s="30">
        <f>+Producción!BC13*'Análisis cliente final CP'!BA6</f>
        <v>86673.760992429641</v>
      </c>
      <c r="BC25" s="30">
        <f>+Producción!BD13*'Análisis cliente final CP'!BB6</f>
        <v>77821.059714484814</v>
      </c>
      <c r="BD25" s="30">
        <f>+Producción!BE13*'Análisis cliente final CP'!BC6</f>
        <v>114556.04914534107</v>
      </c>
      <c r="BE25" s="30">
        <f>+Producción!BF13*'Análisis cliente final CP'!BD6</f>
        <v>141181.52635408248</v>
      </c>
      <c r="BF25" s="30">
        <f>+Producción!BG13*'Análisis cliente final CP'!BE6</f>
        <v>147746.1034459743</v>
      </c>
      <c r="BG25" s="30">
        <f>+Producción!BH13*'Análisis cliente final CP'!BF6</f>
        <v>141246.51937865501</v>
      </c>
      <c r="BH25" s="30">
        <f>+Producción!BI13*'Análisis cliente final CP'!BG6</f>
        <v>102972.43657509686</v>
      </c>
      <c r="BI25" s="30">
        <f>+Producción!BJ13*'Análisis cliente final CP'!BH6</f>
        <v>99450.697252700862</v>
      </c>
      <c r="BJ25" s="30">
        <f>+Producción!BK13*'Análisis cliente final CP'!BI6</f>
        <v>110452.29250441275</v>
      </c>
      <c r="BK25" s="30">
        <f>+Producción!BL13*'Análisis cliente final CP'!BJ6</f>
        <v>79209.092267104046</v>
      </c>
      <c r="BL25" s="30">
        <f>+Producción!BM13*'Análisis cliente final CP'!BK6</f>
        <v>79079.805962107988</v>
      </c>
      <c r="BM25" s="30">
        <f>+Producción!BN13*'Análisis cliente final CP'!BL6</f>
        <v>106907.16737172153</v>
      </c>
      <c r="BN25" s="30">
        <f>+Producción!BO13*'Análisis cliente final CP'!BM6</f>
        <v>89273.973822202533</v>
      </c>
      <c r="BO25" s="30">
        <f>+Producción!BP13*'Análisis cliente final CP'!BN6</f>
        <v>80155.691505919371</v>
      </c>
      <c r="BP25" s="30">
        <f>+Producción!BQ13*'Análisis cliente final CP'!BO6</f>
        <v>117992.73061970131</v>
      </c>
      <c r="BQ25" s="30">
        <f>+Producción!BR13*'Análisis cliente final CP'!BP6</f>
        <v>145416.97214470495</v>
      </c>
      <c r="BR25" s="30">
        <f>+Producción!BS13*'Análisis cliente final CP'!BQ6</f>
        <v>152178.48654935355</v>
      </c>
      <c r="BS25" s="30">
        <f>+Producción!BT13*'Análisis cliente final CP'!BR6</f>
        <v>145483.91496001469</v>
      </c>
      <c r="BT25" s="30">
        <f>+Producción!BU13*'Análisis cliente final CP'!BS6</f>
        <v>106061.60967234976</v>
      </c>
      <c r="BU25" s="30">
        <f>+Producción!BV13*'Análisis cliente final CP'!BT6</f>
        <v>102434.21817028189</v>
      </c>
      <c r="BV25" s="30">
        <f>+Producción!BW13*'Análisis cliente final CP'!BU6</f>
        <v>113765.86127954515</v>
      </c>
      <c r="BW25" s="30">
        <f>+Producción!BX13*'Análisis cliente final CP'!BV6</f>
        <v>81585.365035117167</v>
      </c>
      <c r="BX25" s="30">
        <f>+Producción!BY13*'Análisis cliente final CP'!BW6</f>
        <v>81452.200140971239</v>
      </c>
      <c r="BY25" s="30">
        <f>+Producción!BZ13*'Análisis cliente final CP'!BX6</f>
        <v>110114.38239287319</v>
      </c>
      <c r="BZ25" s="30">
        <f>+Producción!CA13*'Análisis cliente final CP'!BY6</f>
        <v>91952.19303686863</v>
      </c>
      <c r="CA25" s="30">
        <f>+Producción!CB13*'Análisis cliente final CP'!BZ6</f>
        <v>82560.362251096944</v>
      </c>
      <c r="CB25" s="30">
        <f>+Producción!CC13*'Análisis cliente final CP'!CA6</f>
        <v>121532.51253829234</v>
      </c>
      <c r="CC25" s="30">
        <f>+Producción!CD13*'Análisis cliente final CP'!CB6</f>
        <v>149779.4813090461</v>
      </c>
      <c r="CD25" s="30">
        <f>+Producción!CE13*'Análisis cliente final CP'!CC6</f>
        <v>156743.84114583416</v>
      </c>
      <c r="CE25" s="30">
        <f>+Producción!CF13*'Análisis cliente final CP'!CD6</f>
        <v>149848.43240881513</v>
      </c>
      <c r="CF25" s="30">
        <f>+Producción!CG13*'Análisis cliente final CP'!CE6</f>
        <v>109243.45796252028</v>
      </c>
      <c r="CG25" s="30">
        <f>+Producción!CH13*'Análisis cliente final CP'!CF6</f>
        <v>105507.24471539035</v>
      </c>
      <c r="CH25" s="30">
        <f>+Producción!CI13*'Análisis cliente final CP'!CG6</f>
        <v>117178.83711793149</v>
      </c>
      <c r="CI25" s="30">
        <f>+Producción!CJ13*'Análisis cliente final CP'!CH6</f>
        <v>84032.925986170681</v>
      </c>
      <c r="CJ25" s="30">
        <f>+Producción!CK13*'Análisis cliente final CP'!CI6</f>
        <v>83895.766145200381</v>
      </c>
      <c r="CK25" s="30">
        <f>+Producción!CL13*'Análisis cliente final CP'!CJ6</f>
        <v>113417.81386465939</v>
      </c>
      <c r="CL25" s="30">
        <f>+Producción!CM13*'Análisis cliente final CP'!CK6</f>
        <v>94710.758827974685</v>
      </c>
      <c r="CM25" s="30">
        <f>+Producción!CN13*'Análisis cliente final CP'!CL6</f>
        <v>85037.173118629857</v>
      </c>
      <c r="CN25" s="30">
        <f>+Producción!CO13*'Análisis cliente final CP'!CM6</f>
        <v>125178.48791444111</v>
      </c>
      <c r="CO25" s="30">
        <f>+Producción!CP13*'Análisis cliente final CP'!CN6</f>
        <v>154272.86574831748</v>
      </c>
      <c r="CP25" s="30">
        <f>+Producción!CQ13*'Análisis cliente final CP'!CO6</f>
        <v>161446.1563802092</v>
      </c>
      <c r="CQ25" s="30">
        <f>+Producción!CR13*'Análisis cliente final CP'!CP6</f>
        <v>154343.88538107957</v>
      </c>
      <c r="CR25" s="30">
        <f>+Producción!CS13*'Análisis cliente final CP'!CQ6</f>
        <v>112520.76170139588</v>
      </c>
      <c r="CS25" s="30">
        <f>+Producción!CT13*'Análisis cliente final CP'!CR6</f>
        <v>108672.46205685206</v>
      </c>
      <c r="CT25" s="30">
        <f>+Producción!CU13*'Análisis cliente final CP'!CS6</f>
        <v>120694.20223146945</v>
      </c>
      <c r="CU25" s="30">
        <f>+Producción!CV13*'Análisis cliente final CP'!CT6</f>
        <v>86553.913765755802</v>
      </c>
      <c r="CV25" s="30">
        <f>+Producción!CW13*'Análisis cliente final CP'!CU6</f>
        <v>86412.639129556395</v>
      </c>
      <c r="CW25" s="30">
        <f>+Producción!CX13*'Análisis cliente final CP'!CV6</f>
        <v>116820.34828059917</v>
      </c>
      <c r="CX25" s="30">
        <f>+Producción!CY13*'Análisis cliente final CP'!CW6</f>
        <v>97552.08159281392</v>
      </c>
      <c r="CY25" s="30">
        <f>+Producción!CZ13*'Análisis cliente final CP'!CX6</f>
        <v>87588.288312188743</v>
      </c>
      <c r="CZ25" s="30">
        <f>+Producción!DA13*'Análisis cliente final CP'!CY6</f>
        <v>128933.84255187435</v>
      </c>
      <c r="DA25" s="30">
        <f>+Producción!DB13*'Análisis cliente final CP'!CZ6</f>
        <v>158901.05172076702</v>
      </c>
      <c r="DB25" s="30">
        <f>+Producción!DC13*'Análisis cliente final CP'!DA6</f>
        <v>166289.5410716155</v>
      </c>
      <c r="DC25" s="30">
        <f>+Producción!DD13*'Análisis cliente final CP'!DB6</f>
        <v>158974.20194251195</v>
      </c>
      <c r="DD25" s="30">
        <f>+Producción!DE13*'Análisis cliente final CP'!DC6</f>
        <v>115896.38455243775</v>
      </c>
      <c r="DE25" s="30">
        <f>+Producción!DF13*'Análisis cliente final CP'!DD6</f>
        <v>111932.63591855763</v>
      </c>
      <c r="DF25" s="30">
        <f>+Producción!DG13*'Análisis cliente final CP'!DE6</f>
        <v>124315.02829841353</v>
      </c>
      <c r="DG25" s="30">
        <f>+Producción!DH13*'Análisis cliente final CP'!DF6</f>
        <v>89150.531178728474</v>
      </c>
      <c r="DH25" s="30">
        <f>+Producción!DI13*'Análisis cliente final CP'!DG6</f>
        <v>89005.018303443096</v>
      </c>
      <c r="DI25" s="30">
        <f>+Producción!DJ13*'Análisis cliente final CP'!DH6</f>
        <v>120324.95872901713</v>
      </c>
      <c r="DJ25" s="30">
        <f>+Producción!DK13*'Análisis cliente final CP'!DI6</f>
        <v>100478.64404059833</v>
      </c>
      <c r="DK25" s="30">
        <f>+Producción!DL13*'Análisis cliente final CP'!DJ6</f>
        <v>90215.936961554413</v>
      </c>
      <c r="DL25" s="30">
        <f>+Producción!DM13*'Análisis cliente final CP'!DK6</f>
        <v>132801.8578284306</v>
      </c>
      <c r="DM25" s="30">
        <f>+Producción!DN13*'Análisis cliente final CP'!DL6</f>
        <v>163668.08327239004</v>
      </c>
      <c r="DN25" s="30">
        <f>+Producción!DO13*'Análisis cliente final CP'!DM6</f>
        <v>171278.22730376397</v>
      </c>
      <c r="DO25" s="30">
        <f>+Producción!DP13*'Análisis cliente final CP'!DN6</f>
        <v>163743.42800078733</v>
      </c>
      <c r="DP25" s="30">
        <f>+Producción!DQ13*'Análisis cliente final CP'!DO6</f>
        <v>119373.27608901089</v>
      </c>
      <c r="DQ25" s="30">
        <f>+Producción!DR13*'Análisis cliente final CP'!DP6</f>
        <v>115290.61499611435</v>
      </c>
      <c r="DR25" s="30">
        <f>+Producción!DS13*'Análisis cliente final CP'!DQ6</f>
        <v>128044.47914736594</v>
      </c>
      <c r="DS25" s="30">
        <f>+Producción!DT13*'Análisis cliente final CP'!DR6</f>
        <v>91825.047114090339</v>
      </c>
      <c r="DT25" s="30">
        <f>+Producción!DU13*'Análisis cliente final CP'!DS6</f>
        <v>91675.168852546383</v>
      </c>
      <c r="DU25" s="30">
        <f>+Producción!DV13*'Análisis cliente final CP'!DT6</f>
        <v>123934.70749088765</v>
      </c>
      <c r="DV25" s="30">
        <f>+Producción!DW13*'Análisis cliente final CP'!DU6</f>
        <v>103493.00336181629</v>
      </c>
      <c r="DW25" s="30">
        <f>+Producción!DX13*'Análisis cliente final CP'!DV6</f>
        <v>92922.415070401054</v>
      </c>
      <c r="DX25" s="30">
        <f>+Producción!DY13*'Análisis cliente final CP'!DW6</f>
        <v>136785.91356328351</v>
      </c>
      <c r="DY25" s="30">
        <f>+Producción!DZ13*'Análisis cliente final CP'!DX6</f>
        <v>168578.12577056172</v>
      </c>
      <c r="DZ25" s="30">
        <f>+Producción!EA13*'Análisis cliente final CP'!DY6</f>
        <v>176416.57412287689</v>
      </c>
      <c r="EA25" s="30">
        <f>+Producción!EB13*'Análisis cliente final CP'!DZ6</f>
        <v>168655.73084081095</v>
      </c>
      <c r="EB25" s="30">
        <f>+Producción!EC13*'Análisis cliente final CP'!EA6</f>
        <v>122954.47437168122</v>
      </c>
      <c r="EC25" s="30">
        <f>+Producción!ED13*'Análisis cliente final CP'!EB6</f>
        <v>118749.33344599779</v>
      </c>
      <c r="ED25" s="30">
        <f>+Producción!EE13*'Análisis cliente final CP'!EC6</f>
        <v>131885.81352178691</v>
      </c>
      <c r="EE25" s="30">
        <f>+Producción!EF13*'Análisis cliente final CP'!ED6</f>
        <v>94579.798527513049</v>
      </c>
      <c r="EF25" s="30">
        <f>+Producción!EG13*'Análisis cliente final CP'!EE6</f>
        <v>94425.423918122789</v>
      </c>
      <c r="EG25" s="30">
        <f>+Producción!EH13*'Análisis cliente final CP'!EF6</f>
        <v>127652.7487156143</v>
      </c>
      <c r="EH25" s="30">
        <f>+Producción!EI13*'Análisis cliente final CP'!EG6</f>
        <v>106597.79346267077</v>
      </c>
      <c r="EI25" s="30">
        <f>+Producción!EJ13*'Análisis cliente final CP'!EH6</f>
        <v>95710.087522513073</v>
      </c>
      <c r="EJ25" s="30">
        <f>+Producción!EK13*'Análisis cliente final CP'!EI6</f>
        <v>140889.490970182</v>
      </c>
      <c r="EK25" s="30">
        <f>+Producción!EL13*'Análisis cliente final CP'!EJ6</f>
        <v>173635.4695436786</v>
      </c>
      <c r="EL25" s="30">
        <f>+Producción!EM13*'Análisis cliente final CP'!EK6</f>
        <v>181709.0713465632</v>
      </c>
      <c r="EM25" s="30">
        <f>+Producción!EN13*'Análisis cliente final CP'!EL6</f>
        <v>173715.40276603529</v>
      </c>
      <c r="EN25" s="30">
        <f>+Producción!EO13*'Análisis cliente final CP'!EM6</f>
        <v>126643.10860283166</v>
      </c>
      <c r="EO25" s="30">
        <f>+Producción!EP13*'Análisis cliente final CP'!EN6</f>
        <v>122311.81344937772</v>
      </c>
      <c r="EP25" s="30">
        <f>+Producción!EQ13*'Análisis cliente final CP'!EO6</f>
        <v>135842.38792744055</v>
      </c>
      <c r="EQ25" s="30">
        <f>+Producción!ER13*'Análisis cliente final CP'!EP6</f>
        <v>97417.19248333844</v>
      </c>
      <c r="ER25" s="30">
        <f>+Producción!ES13*'Análisis cliente final CP'!EQ6</f>
        <v>97258.186635666469</v>
      </c>
      <c r="ES25" s="30">
        <f>+Producción!ET13*'Análisis cliente final CP'!ER6</f>
        <v>131482.33117708273</v>
      </c>
      <c r="ET25" s="30">
        <f>+Producción!EU13*'Análisis cliente final CP'!ES6</f>
        <v>109795.72726655091</v>
      </c>
      <c r="EU25" s="30">
        <f>+Producción!EV13*'Análisis cliente final CP'!ET6</f>
        <v>98581.390148188468</v>
      </c>
      <c r="EV25" s="30">
        <f>+Producción!EW13*'Análisis cliente final CP'!EU6</f>
        <v>145116.17569928747</v>
      </c>
      <c r="EW25" s="30">
        <f>+Producción!EX13*'Análisis cliente final CP'!EV6</f>
        <v>178844.53362998893</v>
      </c>
      <c r="EX25" s="30">
        <f>+Producción!EY13*'Análisis cliente final CP'!EW6</f>
        <v>187160.3434869601</v>
      </c>
      <c r="EY25" s="30">
        <f>+Producción!EZ13*'Análisis cliente final CP'!EX6</f>
        <v>178926.86484901636</v>
      </c>
      <c r="EZ25" s="30">
        <f>+Producción!FA13*'Análisis cliente final CP'!EY6</f>
        <v>130442.40186091662</v>
      </c>
      <c r="FA25" s="30">
        <f>+Producción!FB13*'Análisis cliente final CP'!EZ6</f>
        <v>125981.16785285907</v>
      </c>
      <c r="FB25" s="30">
        <f>+Producción!FC13*'Análisis cliente final CP'!FA6</f>
        <v>139917.65956526375</v>
      </c>
      <c r="FC25" s="30">
        <f>+Producción!FD13*'Análisis cliente final CP'!FB6</f>
        <v>100339.7082578386</v>
      </c>
      <c r="FD25" s="30">
        <f>+Producción!FE13*'Análisis cliente final CP'!FC6</f>
        <v>100175.93223473647</v>
      </c>
      <c r="FE25" s="30">
        <f>+Producción!FF13*'Análisis cliente final CP'!FD6</f>
        <v>135426.80111239522</v>
      </c>
      <c r="FF25" s="30">
        <f>+Producción!FG13*'Análisis cliente final CP'!FE6</f>
        <v>113089.59908454743</v>
      </c>
      <c r="FG25" s="30">
        <f>+Producción!FH13*'Análisis cliente final CP'!FF6</f>
        <v>101538.83185263413</v>
      </c>
      <c r="FH25" s="30">
        <f>+Producción!FI13*'Análisis cliente final CP'!FG6</f>
        <v>149469.66097026612</v>
      </c>
      <c r="FI25" s="30">
        <f>+Producción!FJ13*'Análisis cliente final CP'!FH6</f>
        <v>184209.86963888863</v>
      </c>
      <c r="FJ25" s="30">
        <f>+Producción!FK13*'Análisis cliente final CP'!FI6</f>
        <v>192775.15379156891</v>
      </c>
      <c r="FK25" s="30">
        <f>+Producción!FL13*'Análisis cliente final CP'!FJ6</f>
        <v>184294.67079448685</v>
      </c>
      <c r="FL25" s="30">
        <f>+Producción!FM13*'Análisis cliente final CP'!FK6</f>
        <v>134355.67391674413</v>
      </c>
      <c r="FM25" s="30">
        <f>+Producción!FN13*'Análisis cliente final CP'!FL6</f>
        <v>129760.60288844485</v>
      </c>
      <c r="FN25" s="30">
        <f>+Producción!FO13*'Análisis cliente final CP'!FM6</f>
        <v>144115.18935222167</v>
      </c>
      <c r="FO25" s="30">
        <f>+Producción!FP13*'Análisis cliente final CP'!FN6</f>
        <v>103349.89950557376</v>
      </c>
      <c r="FP25" s="30">
        <f>+Producción!FQ13*'Análisis cliente final CP'!FO6</f>
        <v>103181.21020177857</v>
      </c>
      <c r="FQ25" s="30">
        <f>+Producción!FR13*'Análisis cliente final CP'!FP6</f>
        <v>139489.60514576707</v>
      </c>
      <c r="FR25" s="30">
        <f>+Producción!FS13*'Análisis cliente final CP'!FQ6</f>
        <v>116482.28705708386</v>
      </c>
      <c r="FS25" s="30">
        <f>+Producción!FT13*'Análisis cliente final CP'!FR6</f>
        <v>104584.99680821315</v>
      </c>
      <c r="FT25" s="30">
        <f>+Producción!FU13*'Análisis cliente final CP'!FS6</f>
        <v>153953.7507993741</v>
      </c>
      <c r="FU25" s="30">
        <f>+Producción!FV13*'Análisis cliente final CP'!FT6</f>
        <v>189736.16572805529</v>
      </c>
      <c r="FV25" s="30">
        <f>+Producción!FW13*'Análisis cliente final CP'!FU6</f>
        <v>198558.408405316</v>
      </c>
      <c r="FW25" s="30">
        <f>+Producción!FX13*'Análisis cliente final CP'!FV6</f>
        <v>189823.51091832147</v>
      </c>
      <c r="FX25" s="30">
        <f>+Producción!FY13*'Análisis cliente final CP'!FW6</f>
        <v>138386.34413424644</v>
      </c>
      <c r="FY25" s="30">
        <f>+Producción!FZ13*'Análisis cliente final CP'!FX6</f>
        <v>133653.42097509821</v>
      </c>
      <c r="FZ25" s="30">
        <f>+Producción!GA13*'Análisis cliente final CP'!FY6</f>
        <v>148438.64503278834</v>
      </c>
      <c r="GA25" s="30">
        <f>+Producción!GB13*'Análisis cliente final CP'!FZ6</f>
        <v>106450.39649074098</v>
      </c>
      <c r="GB25" s="30">
        <f>+Producción!GC13*'Análisis cliente final CP'!GA6</f>
        <v>106276.64650783192</v>
      </c>
      <c r="GC25" s="30">
        <f>+Producción!GD13*'Análisis cliente final CP'!GB6</f>
        <v>143674.29330014007</v>
      </c>
      <c r="GD25" s="30">
        <f>+Producción!GE13*'Análisis cliente final CP'!GC6</f>
        <v>119976.75566879637</v>
      </c>
      <c r="GE25" s="30">
        <f>+Producción!GF13*'Análisis cliente final CP'!GD6</f>
        <v>107722.54671245955</v>
      </c>
      <c r="GF25" s="30">
        <f>+Producción!GG13*'Análisis cliente final CP'!GE6</f>
        <v>158572.36332335533</v>
      </c>
      <c r="GG25" s="30">
        <f>+Producción!GH13*'Análisis cliente final CP'!GF6</f>
        <v>195428.25069989695</v>
      </c>
      <c r="GH25" s="30">
        <f>+Producción!GI13*'Análisis cliente final CP'!GG6</f>
        <v>204515.16065747547</v>
      </c>
      <c r="GI25" s="30">
        <f>+Producción!GJ13*'Análisis cliente final CP'!GH6</f>
        <v>195518.21624587112</v>
      </c>
      <c r="GJ25" s="30">
        <f>+Producción!GK13*'Análisis cliente final CP'!GI6</f>
        <v>142537.93445827384</v>
      </c>
      <c r="GK25" s="30">
        <f>+Producción!GL13*'Análisis cliente final CP'!GJ6</f>
        <v>137663.02360435115</v>
      </c>
      <c r="GL25" s="30">
        <f>+Producción!GM13*'Análisis cliente final CP'!GK6</f>
        <v>152891.80438377199</v>
      </c>
      <c r="GM25" s="30">
        <f>+Producción!GN13*'Análisis cliente final CP'!GL6</f>
        <v>109643.90838546322</v>
      </c>
      <c r="GN25" s="30">
        <f>+Producción!GO13*'Análisis cliente final CP'!GM6</f>
        <v>109464.94590306688</v>
      </c>
      <c r="GO25" s="30">
        <f>+Producción!GP13*'Análisis cliente final CP'!GN6</f>
        <v>147984.52209914429</v>
      </c>
      <c r="GP25" s="30">
        <f>+Producción!GQ13*'Análisis cliente final CP'!GO6</f>
        <v>123576.05833886025</v>
      </c>
      <c r="GQ25" s="30">
        <f>+Producción!GR13*'Análisis cliente final CP'!GP6</f>
        <v>110954.22311383333</v>
      </c>
      <c r="GR25" s="30">
        <f>+Producción!GS13*'Análisis cliente final CP'!GQ6</f>
        <v>163329.53422305599</v>
      </c>
      <c r="GS25" s="30">
        <f>+Producción!GT13*'Análisis cliente final CP'!GR6</f>
        <v>201291.09822089385</v>
      </c>
      <c r="GT25" s="30">
        <f>+Producción!GU13*'Análisis cliente final CP'!GS6</f>
        <v>210650.61547719975</v>
      </c>
      <c r="GU25" s="30">
        <f>+Producción!GV13*'Análisis cliente final CP'!GT6</f>
        <v>201383.76273324725</v>
      </c>
      <c r="GV25" s="30">
        <f>+Producción!GW13*'Análisis cliente final CP'!GU6</f>
        <v>146814.07249202207</v>
      </c>
      <c r="GW25" s="30">
        <f>+Producción!GX13*'Análisis cliente final CP'!GV6</f>
        <v>141792.91431248168</v>
      </c>
      <c r="GX25" s="30">
        <f>+Producción!GY13*'Análisis cliente final CP'!GW6</f>
        <v>157478.55851528514</v>
      </c>
      <c r="GY25" s="30">
        <f>+Producción!GZ13*'Análisis cliente final CP'!GX6</f>
        <v>112933.22563702712</v>
      </c>
      <c r="GZ25" s="30">
        <f>+Producción!HA13*'Análisis cliente final CP'!GY6</f>
        <v>112748.89428015889</v>
      </c>
      <c r="HA25" s="30">
        <f>+Producción!HB13*'Análisis cliente final CP'!GZ6</f>
        <v>152424.05776211861</v>
      </c>
      <c r="HB25" s="30">
        <f>+Producción!HC13*'Análisis cliente final CP'!HA6</f>
        <v>127283.34008902607</v>
      </c>
      <c r="HC25" s="30">
        <f>+Producción!HD13*'Análisis cliente final CP'!HB6</f>
        <v>114282.84980724833</v>
      </c>
      <c r="HD25" s="30">
        <f>+Producción!HE13*'Análisis cliente final CP'!HC6</f>
        <v>168229.42024974769</v>
      </c>
      <c r="HE25" s="30">
        <f>+Producción!HF13*'Análisis cliente final CP'!HD6</f>
        <v>207329.83116752066</v>
      </c>
      <c r="HF25" s="30">
        <f>+Producción!HG13*'Análisis cliente final CP'!HE6</f>
        <v>216970.13394151576</v>
      </c>
      <c r="HG25" s="30">
        <f>+Producción!HH13*'Análisis cliente final CP'!HF6</f>
        <v>207425.27561524467</v>
      </c>
      <c r="HH25" s="30">
        <f>+Producción!HI13*'Análisis cliente final CP'!HG6</f>
        <v>151218.4946667827</v>
      </c>
      <c r="HI25" s="30">
        <f>+Producción!HJ13*'Análisis cliente final CP'!HH6</f>
        <v>146046.70174185612</v>
      </c>
      <c r="HJ25" s="30">
        <f>+Producción!HK13*'Análisis cliente final CP'!HI6</f>
        <v>162202.91527074372</v>
      </c>
      <c r="HK25" s="30">
        <f>+Producción!HL13*'Análisis cliente final CP'!HJ6</f>
        <v>116321.22240613794</v>
      </c>
      <c r="HL25" s="30">
        <f>+Producción!HM13*'Análisis cliente final CP'!HK6</f>
        <v>116131.36110856365</v>
      </c>
      <c r="HM25" s="30">
        <f>+Producción!HN13*'Análisis cliente final CP'!HL6</f>
        <v>156996.77949498218</v>
      </c>
      <c r="HN25" s="30">
        <f>+Producción!HO13*'Análisis cliente final CP'!HM6</f>
        <v>131101.84029169686</v>
      </c>
      <c r="HO25" s="30">
        <f>+Producción!HP13*'Análisis cliente final CP'!HN6</f>
        <v>117711.33530146579</v>
      </c>
      <c r="HP25" s="30">
        <f>+Producción!HQ13*'Análisis cliente final CP'!HO6</f>
        <v>173276.30285724011</v>
      </c>
      <c r="HQ25" s="30">
        <f>+Producción!HR13*'Análisis cliente final CP'!HP6</f>
        <v>213549.72610254629</v>
      </c>
      <c r="HR25" s="30">
        <f>+Producción!HS13*'Análisis cliente final CP'!HQ6</f>
        <v>223479.23795976126</v>
      </c>
      <c r="HS25" s="30">
        <f>+Producción!HT13*'Análisis cliente final CP'!HR6</f>
        <v>213648.03388370204</v>
      </c>
      <c r="HT25" s="30">
        <f>+Producción!HU13*'Análisis cliente final CP'!HS6</f>
        <v>155755.04950678619</v>
      </c>
      <c r="HU25" s="30">
        <f>+Producción!HV13*'Análisis cliente final CP'!HT6</f>
        <v>150428.10279411182</v>
      </c>
      <c r="HV25" s="30">
        <f>+Producción!HW13*'Análisis cliente final CP'!HU6</f>
        <v>167069.00272886601</v>
      </c>
      <c r="HW25" s="30">
        <f>+Producción!HX13*'Análisis cliente final CP'!HV6</f>
        <v>119810.85907832209</v>
      </c>
      <c r="HX25" s="30">
        <f>+Producción!HY13*'Análisis cliente final CP'!HW6</f>
        <v>119615.30194182057</v>
      </c>
      <c r="HY25" s="30">
        <f>+Producción!HZ13*'Análisis cliente final CP'!HX6</f>
        <v>161706.68287983164</v>
      </c>
      <c r="HZ25" s="30">
        <f>+Producción!IA13*'Análisis cliente final CP'!HY6</f>
        <v>135034.89550044775</v>
      </c>
      <c r="IA25" s="30">
        <f>+Producción!IB13*'Análisis cliente final CP'!HZ6</f>
        <v>121242.67536050978</v>
      </c>
      <c r="IB25" s="30">
        <f>+Producción!IC13*'Análisis cliente final CP'!IA6</f>
        <v>178474.59194295731</v>
      </c>
      <c r="IC25" s="30">
        <f>+Producción!ID13*'Análisis cliente final CP'!IB6</f>
        <v>219956.21788562267</v>
      </c>
      <c r="ID25" s="30">
        <f>+Producción!IE13*'Análisis cliente final CP'!IC6</f>
        <v>230183.61509855412</v>
      </c>
      <c r="IE25" s="30">
        <f>+Producción!IF13*'Análisis cliente final CP'!ID6</f>
        <v>220057.4749002131</v>
      </c>
      <c r="IF25" s="30">
        <f>+Producción!IG13*'Análisis cliente final CP'!IE6</f>
        <v>160427.70099198978</v>
      </c>
      <c r="IG25" s="30">
        <f>+Producción!IH13*'Análisis cliente final CP'!IF6</f>
        <v>154940.94587793516</v>
      </c>
      <c r="IH25" s="30">
        <f>+Producción!II13*'Análisis cliente final CP'!IG6</f>
        <v>172081.07281073197</v>
      </c>
    </row>
    <row r="26" spans="1:242" x14ac:dyDescent="0.3">
      <c r="A26" t="s">
        <v>916</v>
      </c>
      <c r="C26" s="30"/>
      <c r="D26" s="30"/>
      <c r="E26" s="30"/>
      <c r="F26" s="30"/>
      <c r="G26" s="30"/>
      <c r="H26" s="30"/>
      <c r="I26" s="30"/>
      <c r="J26" s="30"/>
      <c r="K26" s="30">
        <f t="shared" ref="K26:BP26" si="18">+K25*$B$1</f>
        <v>0</v>
      </c>
      <c r="L26" s="30">
        <f t="shared" si="18"/>
        <v>0</v>
      </c>
      <c r="M26" s="30">
        <f t="shared" si="18"/>
        <v>0</v>
      </c>
      <c r="N26" s="30">
        <f t="shared" si="18"/>
        <v>0</v>
      </c>
      <c r="O26" s="30">
        <f t="shared" si="18"/>
        <v>0</v>
      </c>
      <c r="P26" s="30">
        <f t="shared" si="18"/>
        <v>0</v>
      </c>
      <c r="Q26" s="30">
        <f t="shared" si="18"/>
        <v>0</v>
      </c>
      <c r="R26" s="30">
        <f t="shared" si="18"/>
        <v>0</v>
      </c>
      <c r="S26" s="30">
        <f t="shared" si="18"/>
        <v>0</v>
      </c>
      <c r="T26" s="30">
        <f t="shared" si="18"/>
        <v>0</v>
      </c>
      <c r="U26" s="30">
        <f t="shared" si="18"/>
        <v>0</v>
      </c>
      <c r="V26" s="30">
        <f t="shared" si="18"/>
        <v>0</v>
      </c>
      <c r="W26" s="30">
        <f t="shared" si="18"/>
        <v>0</v>
      </c>
      <c r="X26" s="30">
        <f t="shared" si="18"/>
        <v>0</v>
      </c>
      <c r="Y26" s="30">
        <f t="shared" si="18"/>
        <v>0</v>
      </c>
      <c r="Z26" s="30">
        <f t="shared" si="18"/>
        <v>0</v>
      </c>
      <c r="AA26" s="30">
        <f t="shared" si="18"/>
        <v>0</v>
      </c>
      <c r="AB26" s="30">
        <f t="shared" si="18"/>
        <v>0</v>
      </c>
      <c r="AC26" s="30">
        <f t="shared" si="18"/>
        <v>0</v>
      </c>
      <c r="AD26" s="30">
        <f t="shared" si="18"/>
        <v>0</v>
      </c>
      <c r="AE26" s="30">
        <f t="shared" si="18"/>
        <v>0</v>
      </c>
      <c r="AF26" s="30">
        <f t="shared" si="18"/>
        <v>0</v>
      </c>
      <c r="AG26" s="30">
        <f t="shared" si="18"/>
        <v>0</v>
      </c>
      <c r="AH26" s="30">
        <f t="shared" si="18"/>
        <v>0</v>
      </c>
      <c r="AI26" s="30">
        <f t="shared" si="18"/>
        <v>0</v>
      </c>
      <c r="AJ26" s="30">
        <f t="shared" si="18"/>
        <v>0</v>
      </c>
      <c r="AK26" s="30">
        <f t="shared" si="18"/>
        <v>0</v>
      </c>
      <c r="AL26" s="30">
        <f t="shared" si="18"/>
        <v>0</v>
      </c>
      <c r="AM26" s="30">
        <f t="shared" si="18"/>
        <v>0</v>
      </c>
      <c r="AN26" s="30">
        <f t="shared" si="18"/>
        <v>0</v>
      </c>
      <c r="AO26" s="30">
        <f t="shared" si="18"/>
        <v>0</v>
      </c>
      <c r="AP26" s="30">
        <f t="shared" si="18"/>
        <v>0</v>
      </c>
      <c r="AQ26" s="30">
        <f t="shared" si="18"/>
        <v>0</v>
      </c>
      <c r="AR26" s="30">
        <f t="shared" si="18"/>
        <v>0</v>
      </c>
      <c r="AS26" s="30">
        <f t="shared" si="18"/>
        <v>0</v>
      </c>
      <c r="AT26" s="30">
        <f t="shared" si="18"/>
        <v>0</v>
      </c>
      <c r="AU26" s="30">
        <f t="shared" si="18"/>
        <v>0</v>
      </c>
      <c r="AV26" s="30">
        <f t="shared" si="18"/>
        <v>0</v>
      </c>
      <c r="AW26" s="30">
        <f t="shared" si="18"/>
        <v>0</v>
      </c>
      <c r="AX26" s="30">
        <f t="shared" si="18"/>
        <v>0</v>
      </c>
      <c r="AY26" s="30">
        <f t="shared" si="18"/>
        <v>0</v>
      </c>
      <c r="AZ26" s="30">
        <f t="shared" si="18"/>
        <v>0</v>
      </c>
      <c r="BA26" s="30">
        <f t="shared" si="18"/>
        <v>0</v>
      </c>
      <c r="BB26" s="30">
        <f t="shared" si="18"/>
        <v>0</v>
      </c>
      <c r="BC26" s="30">
        <f t="shared" si="18"/>
        <v>0</v>
      </c>
      <c r="BD26" s="30">
        <f t="shared" si="18"/>
        <v>0</v>
      </c>
      <c r="BE26" s="30">
        <f t="shared" si="18"/>
        <v>0</v>
      </c>
      <c r="BF26" s="30">
        <f t="shared" si="18"/>
        <v>0</v>
      </c>
      <c r="BG26" s="30">
        <f t="shared" si="18"/>
        <v>0</v>
      </c>
      <c r="BH26" s="30">
        <f t="shared" si="18"/>
        <v>0</v>
      </c>
      <c r="BI26" s="30">
        <f t="shared" si="18"/>
        <v>0</v>
      </c>
      <c r="BJ26" s="30">
        <f t="shared" si="18"/>
        <v>0</v>
      </c>
      <c r="BK26" s="30">
        <f t="shared" si="18"/>
        <v>0</v>
      </c>
      <c r="BL26" s="30">
        <f t="shared" si="18"/>
        <v>0</v>
      </c>
      <c r="BM26" s="30">
        <f t="shared" si="18"/>
        <v>0</v>
      </c>
      <c r="BN26" s="30">
        <f t="shared" si="18"/>
        <v>0</v>
      </c>
      <c r="BO26" s="30">
        <f t="shared" si="18"/>
        <v>0</v>
      </c>
      <c r="BP26" s="30">
        <f t="shared" si="18"/>
        <v>0</v>
      </c>
      <c r="BQ26" s="30">
        <f t="shared" ref="BQ26:EB26" si="19">+BQ25*$B$1</f>
        <v>0</v>
      </c>
      <c r="BR26" s="30">
        <f t="shared" si="19"/>
        <v>0</v>
      </c>
      <c r="BS26" s="30">
        <f t="shared" si="19"/>
        <v>0</v>
      </c>
      <c r="BT26" s="30">
        <f t="shared" si="19"/>
        <v>0</v>
      </c>
      <c r="BU26" s="30">
        <f t="shared" si="19"/>
        <v>0</v>
      </c>
      <c r="BV26" s="30">
        <f t="shared" si="19"/>
        <v>0</v>
      </c>
      <c r="BW26" s="30">
        <f t="shared" si="19"/>
        <v>0</v>
      </c>
      <c r="BX26" s="30">
        <f t="shared" si="19"/>
        <v>0</v>
      </c>
      <c r="BY26" s="30">
        <f t="shared" si="19"/>
        <v>0</v>
      </c>
      <c r="BZ26" s="30">
        <f t="shared" si="19"/>
        <v>0</v>
      </c>
      <c r="CA26" s="30">
        <f t="shared" si="19"/>
        <v>0</v>
      </c>
      <c r="CB26" s="30">
        <f t="shared" si="19"/>
        <v>0</v>
      </c>
      <c r="CC26" s="30">
        <f t="shared" si="19"/>
        <v>0</v>
      </c>
      <c r="CD26" s="30">
        <f t="shared" si="19"/>
        <v>0</v>
      </c>
      <c r="CE26" s="30">
        <f t="shared" si="19"/>
        <v>0</v>
      </c>
      <c r="CF26" s="30">
        <f t="shared" si="19"/>
        <v>0</v>
      </c>
      <c r="CG26" s="30">
        <f t="shared" si="19"/>
        <v>0</v>
      </c>
      <c r="CH26" s="30">
        <f t="shared" si="19"/>
        <v>0</v>
      </c>
      <c r="CI26" s="30">
        <f t="shared" si="19"/>
        <v>0</v>
      </c>
      <c r="CJ26" s="30">
        <f t="shared" si="19"/>
        <v>0</v>
      </c>
      <c r="CK26" s="30">
        <f t="shared" si="19"/>
        <v>0</v>
      </c>
      <c r="CL26" s="30">
        <f t="shared" si="19"/>
        <v>0</v>
      </c>
      <c r="CM26" s="30">
        <f t="shared" si="19"/>
        <v>0</v>
      </c>
      <c r="CN26" s="30">
        <f t="shared" si="19"/>
        <v>0</v>
      </c>
      <c r="CO26" s="30">
        <f t="shared" si="19"/>
        <v>0</v>
      </c>
      <c r="CP26" s="30">
        <f t="shared" si="19"/>
        <v>0</v>
      </c>
      <c r="CQ26" s="30">
        <f t="shared" si="19"/>
        <v>0</v>
      </c>
      <c r="CR26" s="30">
        <f t="shared" si="19"/>
        <v>0</v>
      </c>
      <c r="CS26" s="30">
        <f t="shared" si="19"/>
        <v>0</v>
      </c>
      <c r="CT26" s="30">
        <f t="shared" si="19"/>
        <v>0</v>
      </c>
      <c r="CU26" s="30">
        <f t="shared" si="19"/>
        <v>0</v>
      </c>
      <c r="CV26" s="30">
        <f t="shared" si="19"/>
        <v>0</v>
      </c>
      <c r="CW26" s="30">
        <f t="shared" si="19"/>
        <v>0</v>
      </c>
      <c r="CX26" s="30">
        <f t="shared" si="19"/>
        <v>0</v>
      </c>
      <c r="CY26" s="30">
        <f t="shared" si="19"/>
        <v>0</v>
      </c>
      <c r="CZ26" s="30">
        <f t="shared" si="19"/>
        <v>0</v>
      </c>
      <c r="DA26" s="30">
        <f t="shared" si="19"/>
        <v>0</v>
      </c>
      <c r="DB26" s="30">
        <f t="shared" si="19"/>
        <v>0</v>
      </c>
      <c r="DC26" s="30">
        <f t="shared" si="19"/>
        <v>0</v>
      </c>
      <c r="DD26" s="30">
        <f t="shared" si="19"/>
        <v>0</v>
      </c>
      <c r="DE26" s="30">
        <f t="shared" si="19"/>
        <v>0</v>
      </c>
      <c r="DF26" s="30">
        <f t="shared" si="19"/>
        <v>0</v>
      </c>
      <c r="DG26" s="30">
        <f t="shared" si="19"/>
        <v>0</v>
      </c>
      <c r="DH26" s="30">
        <f t="shared" si="19"/>
        <v>0</v>
      </c>
      <c r="DI26" s="30">
        <f t="shared" si="19"/>
        <v>0</v>
      </c>
      <c r="DJ26" s="30">
        <f t="shared" si="19"/>
        <v>0</v>
      </c>
      <c r="DK26" s="30">
        <f t="shared" si="19"/>
        <v>0</v>
      </c>
      <c r="DL26" s="30">
        <f t="shared" si="19"/>
        <v>0</v>
      </c>
      <c r="DM26" s="30">
        <f t="shared" si="19"/>
        <v>0</v>
      </c>
      <c r="DN26" s="30">
        <f t="shared" si="19"/>
        <v>0</v>
      </c>
      <c r="DO26" s="30">
        <f t="shared" si="19"/>
        <v>0</v>
      </c>
      <c r="DP26" s="30">
        <f t="shared" si="19"/>
        <v>0</v>
      </c>
      <c r="DQ26" s="30">
        <f t="shared" si="19"/>
        <v>0</v>
      </c>
      <c r="DR26" s="30">
        <f t="shared" si="19"/>
        <v>0</v>
      </c>
      <c r="DS26" s="30">
        <f t="shared" si="19"/>
        <v>0</v>
      </c>
      <c r="DT26" s="30">
        <f t="shared" si="19"/>
        <v>0</v>
      </c>
      <c r="DU26" s="30">
        <f t="shared" si="19"/>
        <v>0</v>
      </c>
      <c r="DV26" s="30">
        <f t="shared" si="19"/>
        <v>0</v>
      </c>
      <c r="DW26" s="30">
        <f t="shared" si="19"/>
        <v>0</v>
      </c>
      <c r="DX26" s="30">
        <f t="shared" si="19"/>
        <v>0</v>
      </c>
      <c r="DY26" s="30">
        <f t="shared" si="19"/>
        <v>0</v>
      </c>
      <c r="DZ26" s="30">
        <f t="shared" si="19"/>
        <v>0</v>
      </c>
      <c r="EA26" s="30">
        <f t="shared" si="19"/>
        <v>0</v>
      </c>
      <c r="EB26" s="30">
        <f t="shared" si="19"/>
        <v>0</v>
      </c>
      <c r="EC26" s="30">
        <f t="shared" ref="EC26:GN26" si="20">+EC25*$B$1</f>
        <v>0</v>
      </c>
      <c r="ED26" s="30">
        <f t="shared" si="20"/>
        <v>0</v>
      </c>
      <c r="EE26" s="30">
        <f t="shared" si="20"/>
        <v>0</v>
      </c>
      <c r="EF26" s="30">
        <f t="shared" si="20"/>
        <v>0</v>
      </c>
      <c r="EG26" s="30">
        <f t="shared" si="20"/>
        <v>0</v>
      </c>
      <c r="EH26" s="30">
        <f t="shared" si="20"/>
        <v>0</v>
      </c>
      <c r="EI26" s="30">
        <f t="shared" si="20"/>
        <v>0</v>
      </c>
      <c r="EJ26" s="30">
        <f t="shared" si="20"/>
        <v>0</v>
      </c>
      <c r="EK26" s="30">
        <f t="shared" si="20"/>
        <v>0</v>
      </c>
      <c r="EL26" s="30">
        <f t="shared" si="20"/>
        <v>0</v>
      </c>
      <c r="EM26" s="30">
        <f t="shared" si="20"/>
        <v>0</v>
      </c>
      <c r="EN26" s="30">
        <f t="shared" si="20"/>
        <v>0</v>
      </c>
      <c r="EO26" s="30">
        <f t="shared" si="20"/>
        <v>0</v>
      </c>
      <c r="EP26" s="30">
        <f t="shared" si="20"/>
        <v>0</v>
      </c>
      <c r="EQ26" s="30">
        <f t="shared" si="20"/>
        <v>0</v>
      </c>
      <c r="ER26" s="30">
        <f t="shared" si="20"/>
        <v>0</v>
      </c>
      <c r="ES26" s="30">
        <f t="shared" si="20"/>
        <v>0</v>
      </c>
      <c r="ET26" s="30">
        <f t="shared" si="20"/>
        <v>0</v>
      </c>
      <c r="EU26" s="30">
        <f t="shared" si="20"/>
        <v>0</v>
      </c>
      <c r="EV26" s="30">
        <f t="shared" si="20"/>
        <v>0</v>
      </c>
      <c r="EW26" s="30">
        <f t="shared" si="20"/>
        <v>0</v>
      </c>
      <c r="EX26" s="30">
        <f t="shared" si="20"/>
        <v>0</v>
      </c>
      <c r="EY26" s="30">
        <f t="shared" si="20"/>
        <v>0</v>
      </c>
      <c r="EZ26" s="30">
        <f t="shared" si="20"/>
        <v>0</v>
      </c>
      <c r="FA26" s="30">
        <f t="shared" si="20"/>
        <v>0</v>
      </c>
      <c r="FB26" s="30">
        <f t="shared" si="20"/>
        <v>0</v>
      </c>
      <c r="FC26" s="30">
        <f t="shared" si="20"/>
        <v>0</v>
      </c>
      <c r="FD26" s="30">
        <f t="shared" si="20"/>
        <v>0</v>
      </c>
      <c r="FE26" s="30">
        <f t="shared" si="20"/>
        <v>0</v>
      </c>
      <c r="FF26" s="30">
        <f t="shared" si="20"/>
        <v>0</v>
      </c>
      <c r="FG26" s="30">
        <f t="shared" si="20"/>
        <v>0</v>
      </c>
      <c r="FH26" s="30">
        <f t="shared" si="20"/>
        <v>0</v>
      </c>
      <c r="FI26" s="30">
        <f t="shared" si="20"/>
        <v>0</v>
      </c>
      <c r="FJ26" s="30">
        <f t="shared" si="20"/>
        <v>0</v>
      </c>
      <c r="FK26" s="30">
        <f t="shared" si="20"/>
        <v>0</v>
      </c>
      <c r="FL26" s="30">
        <f t="shared" si="20"/>
        <v>0</v>
      </c>
      <c r="FM26" s="30">
        <f t="shared" si="20"/>
        <v>0</v>
      </c>
      <c r="FN26" s="30">
        <f t="shared" si="20"/>
        <v>0</v>
      </c>
      <c r="FO26" s="30">
        <f t="shared" si="20"/>
        <v>0</v>
      </c>
      <c r="FP26" s="30">
        <f t="shared" si="20"/>
        <v>0</v>
      </c>
      <c r="FQ26" s="30">
        <f t="shared" si="20"/>
        <v>0</v>
      </c>
      <c r="FR26" s="30">
        <f t="shared" si="20"/>
        <v>0</v>
      </c>
      <c r="FS26" s="30">
        <f t="shared" si="20"/>
        <v>0</v>
      </c>
      <c r="FT26" s="30">
        <f t="shared" si="20"/>
        <v>0</v>
      </c>
      <c r="FU26" s="30">
        <f t="shared" si="20"/>
        <v>0</v>
      </c>
      <c r="FV26" s="30">
        <f t="shared" si="20"/>
        <v>0</v>
      </c>
      <c r="FW26" s="30">
        <f t="shared" si="20"/>
        <v>0</v>
      </c>
      <c r="FX26" s="30">
        <f t="shared" si="20"/>
        <v>0</v>
      </c>
      <c r="FY26" s="30">
        <f t="shared" si="20"/>
        <v>0</v>
      </c>
      <c r="FZ26" s="30">
        <f t="shared" si="20"/>
        <v>0</v>
      </c>
      <c r="GA26" s="30">
        <f t="shared" si="20"/>
        <v>0</v>
      </c>
      <c r="GB26" s="30">
        <f t="shared" si="20"/>
        <v>0</v>
      </c>
      <c r="GC26" s="30">
        <f t="shared" si="20"/>
        <v>0</v>
      </c>
      <c r="GD26" s="30">
        <f t="shared" si="20"/>
        <v>0</v>
      </c>
      <c r="GE26" s="30">
        <f t="shared" si="20"/>
        <v>0</v>
      </c>
      <c r="GF26" s="30">
        <f t="shared" si="20"/>
        <v>0</v>
      </c>
      <c r="GG26" s="30">
        <f t="shared" si="20"/>
        <v>0</v>
      </c>
      <c r="GH26" s="30">
        <f t="shared" si="20"/>
        <v>0</v>
      </c>
      <c r="GI26" s="30">
        <f t="shared" si="20"/>
        <v>0</v>
      </c>
      <c r="GJ26" s="30">
        <f t="shared" si="20"/>
        <v>0</v>
      </c>
      <c r="GK26" s="30">
        <f t="shared" si="20"/>
        <v>0</v>
      </c>
      <c r="GL26" s="30">
        <f t="shared" si="20"/>
        <v>0</v>
      </c>
      <c r="GM26" s="30">
        <f t="shared" si="20"/>
        <v>0</v>
      </c>
      <c r="GN26" s="30">
        <f t="shared" si="20"/>
        <v>0</v>
      </c>
      <c r="GO26" s="30">
        <f t="shared" ref="GO26:IH26" si="21">+GO25*$B$1</f>
        <v>0</v>
      </c>
      <c r="GP26" s="30">
        <f t="shared" si="21"/>
        <v>0</v>
      </c>
      <c r="GQ26" s="30">
        <f t="shared" si="21"/>
        <v>0</v>
      </c>
      <c r="GR26" s="30">
        <f t="shared" si="21"/>
        <v>0</v>
      </c>
      <c r="GS26" s="30">
        <f t="shared" si="21"/>
        <v>0</v>
      </c>
      <c r="GT26" s="30">
        <f t="shared" si="21"/>
        <v>0</v>
      </c>
      <c r="GU26" s="30">
        <f t="shared" si="21"/>
        <v>0</v>
      </c>
      <c r="GV26" s="30">
        <f t="shared" si="21"/>
        <v>0</v>
      </c>
      <c r="GW26" s="30">
        <f t="shared" si="21"/>
        <v>0</v>
      </c>
      <c r="GX26" s="30">
        <f t="shared" si="21"/>
        <v>0</v>
      </c>
      <c r="GY26" s="30">
        <f t="shared" si="21"/>
        <v>0</v>
      </c>
      <c r="GZ26" s="30">
        <f t="shared" si="21"/>
        <v>0</v>
      </c>
      <c r="HA26" s="30">
        <f t="shared" si="21"/>
        <v>0</v>
      </c>
      <c r="HB26" s="30">
        <f t="shared" si="21"/>
        <v>0</v>
      </c>
      <c r="HC26" s="30">
        <f t="shared" si="21"/>
        <v>0</v>
      </c>
      <c r="HD26" s="30">
        <f t="shared" si="21"/>
        <v>0</v>
      </c>
      <c r="HE26" s="30">
        <f t="shared" si="21"/>
        <v>0</v>
      </c>
      <c r="HF26" s="30">
        <f t="shared" si="21"/>
        <v>0</v>
      </c>
      <c r="HG26" s="30">
        <f t="shared" si="21"/>
        <v>0</v>
      </c>
      <c r="HH26" s="30">
        <f t="shared" si="21"/>
        <v>0</v>
      </c>
      <c r="HI26" s="30">
        <f t="shared" si="21"/>
        <v>0</v>
      </c>
      <c r="HJ26" s="30">
        <f t="shared" si="21"/>
        <v>0</v>
      </c>
      <c r="HK26" s="30">
        <f t="shared" si="21"/>
        <v>0</v>
      </c>
      <c r="HL26" s="30">
        <f t="shared" si="21"/>
        <v>0</v>
      </c>
      <c r="HM26" s="30">
        <f t="shared" si="21"/>
        <v>0</v>
      </c>
      <c r="HN26" s="30">
        <f t="shared" si="21"/>
        <v>0</v>
      </c>
      <c r="HO26" s="30">
        <f t="shared" si="21"/>
        <v>0</v>
      </c>
      <c r="HP26" s="30">
        <f t="shared" si="21"/>
        <v>0</v>
      </c>
      <c r="HQ26" s="30">
        <f t="shared" si="21"/>
        <v>0</v>
      </c>
      <c r="HR26" s="30">
        <f t="shared" si="21"/>
        <v>0</v>
      </c>
      <c r="HS26" s="30">
        <f t="shared" si="21"/>
        <v>0</v>
      </c>
      <c r="HT26" s="30">
        <f t="shared" si="21"/>
        <v>0</v>
      </c>
      <c r="HU26" s="30">
        <f t="shared" si="21"/>
        <v>0</v>
      </c>
      <c r="HV26" s="30">
        <f t="shared" si="21"/>
        <v>0</v>
      </c>
      <c r="HW26" s="30">
        <f t="shared" si="21"/>
        <v>0</v>
      </c>
      <c r="HX26" s="30">
        <f t="shared" si="21"/>
        <v>0</v>
      </c>
      <c r="HY26" s="30">
        <f t="shared" si="21"/>
        <v>0</v>
      </c>
      <c r="HZ26" s="30">
        <f t="shared" si="21"/>
        <v>0</v>
      </c>
      <c r="IA26" s="30">
        <f t="shared" si="21"/>
        <v>0</v>
      </c>
      <c r="IB26" s="30">
        <f t="shared" si="21"/>
        <v>0</v>
      </c>
      <c r="IC26" s="30">
        <f t="shared" si="21"/>
        <v>0</v>
      </c>
      <c r="ID26" s="30">
        <f t="shared" si="21"/>
        <v>0</v>
      </c>
      <c r="IE26" s="30">
        <f t="shared" si="21"/>
        <v>0</v>
      </c>
      <c r="IF26" s="30">
        <f t="shared" si="21"/>
        <v>0</v>
      </c>
      <c r="IG26" s="30">
        <f t="shared" si="21"/>
        <v>0</v>
      </c>
      <c r="IH26" s="30">
        <f t="shared" si="21"/>
        <v>0</v>
      </c>
    </row>
    <row r="27" spans="1:242" x14ac:dyDescent="0.3">
      <c r="A27" t="s">
        <v>771</v>
      </c>
      <c r="C27" s="30"/>
      <c r="D27" s="30"/>
      <c r="E27" s="30"/>
      <c r="F27" s="30"/>
      <c r="G27" s="30"/>
      <c r="H27" s="30"/>
      <c r="I27" s="30"/>
      <c r="J27" s="30"/>
      <c r="K27" s="30">
        <f>+Producción!L14*J5</f>
        <v>0</v>
      </c>
      <c r="L27" s="30">
        <f>+Producción!M14*K5</f>
        <v>0</v>
      </c>
      <c r="M27" s="30">
        <f>+Producción!N14*L5</f>
        <v>0</v>
      </c>
      <c r="N27" s="30">
        <f>+Producción!O14*M5</f>
        <v>0</v>
      </c>
      <c r="O27" s="30">
        <f>+Producción!P14*N5</f>
        <v>0</v>
      </c>
      <c r="P27" s="30">
        <f>+Producción!Q14*O5</f>
        <v>0</v>
      </c>
      <c r="Q27" s="30">
        <f>+Producción!R14*P5</f>
        <v>0</v>
      </c>
      <c r="R27" s="30">
        <f>+Producción!S14*Q5</f>
        <v>0</v>
      </c>
      <c r="S27" s="30">
        <f>+Producción!T14*R5</f>
        <v>296340.91229759972</v>
      </c>
      <c r="T27" s="30">
        <f>+Producción!U14*S5</f>
        <v>206335.1176393558</v>
      </c>
      <c r="U27" s="30">
        <f>+Producción!V14*T5</f>
        <v>205685.32086491352</v>
      </c>
      <c r="V27" s="30">
        <f>+Producción!W14*U5</f>
        <v>63964.086682799651</v>
      </c>
      <c r="W27" s="30">
        <f>+Producción!X14*V5</f>
        <v>0</v>
      </c>
      <c r="X27" s="30">
        <f>+Producción!Y14*W5</f>
        <v>0</v>
      </c>
      <c r="Y27" s="30">
        <f>+Producción!Z14*X5</f>
        <v>0</v>
      </c>
      <c r="Z27" s="30">
        <f>+Producción!AA14*Y5</f>
        <v>0</v>
      </c>
      <c r="AA27" s="30">
        <f>+Producción!AB14*Z5</f>
        <v>0</v>
      </c>
      <c r="AB27" s="30">
        <f>+Producción!AC14*AA5</f>
        <v>0</v>
      </c>
      <c r="AC27" s="30">
        <f>+Producción!AD14*AB5</f>
        <v>0</v>
      </c>
      <c r="AD27" s="30">
        <f>+Producción!AE14*AC5</f>
        <v>0</v>
      </c>
      <c r="AE27" s="30">
        <f>+Producción!AF14*AD5</f>
        <v>305231.13966652774</v>
      </c>
      <c r="AF27" s="30">
        <f>+Producción!AG14*AE5</f>
        <v>212525.1711685365</v>
      </c>
      <c r="AG27" s="30">
        <f>+Producción!AH14*AF5</f>
        <v>211855.88049086093</v>
      </c>
      <c r="AH27" s="30">
        <f>+Producción!AI14*AG5</f>
        <v>65883.009283283638</v>
      </c>
      <c r="AI27" s="30">
        <f>+Producción!AJ14*AH5</f>
        <v>0</v>
      </c>
      <c r="AJ27" s="30">
        <f>+Producción!AK14*AI5</f>
        <v>0</v>
      </c>
      <c r="AK27" s="30">
        <f>+Producción!AL14*AJ5</f>
        <v>0</v>
      </c>
      <c r="AL27" s="30">
        <f>+Producción!AM14*AK5</f>
        <v>0</v>
      </c>
      <c r="AM27" s="30">
        <f>+Producción!AN14*AL5</f>
        <v>0</v>
      </c>
      <c r="AN27" s="30">
        <f>+Producción!AO14*AM5</f>
        <v>0</v>
      </c>
      <c r="AO27" s="30">
        <f>+Producción!AP14*AN5</f>
        <v>0</v>
      </c>
      <c r="AP27" s="30">
        <f>+Producción!AQ14*AO5</f>
        <v>0</v>
      </c>
      <c r="AQ27" s="30">
        <f>+Producción!AR14*AP5</f>
        <v>314388.07385652361</v>
      </c>
      <c r="AR27" s="30">
        <f>+Producción!AS14*AQ5</f>
        <v>218900.9263035926</v>
      </c>
      <c r="AS27" s="30">
        <f>+Producción!AT14*AR5</f>
        <v>218211.55690558677</v>
      </c>
      <c r="AT27" s="30">
        <f>+Producción!AU14*AS5</f>
        <v>67859.499561782155</v>
      </c>
      <c r="AU27" s="30">
        <f>+Producción!AV14*AT5</f>
        <v>0</v>
      </c>
      <c r="AV27" s="30">
        <f>+Producción!AW14*AU5</f>
        <v>0</v>
      </c>
      <c r="AW27" s="30">
        <f>+Producción!AX14*AV5</f>
        <v>0</v>
      </c>
      <c r="AX27" s="30">
        <f>+Producción!AY14*AW5</f>
        <v>0</v>
      </c>
      <c r="AY27" s="30">
        <f>+Producción!AZ14*AX5</f>
        <v>0</v>
      </c>
      <c r="AZ27" s="30">
        <f>+Producción!BA14*AY5</f>
        <v>0</v>
      </c>
      <c r="BA27" s="30">
        <f>+Producción!BB14*AZ5</f>
        <v>0</v>
      </c>
      <c r="BB27" s="30">
        <f>+Producción!BC14*BA5</f>
        <v>0</v>
      </c>
      <c r="BC27" s="30">
        <f>+Producción!BD14*BB5</f>
        <v>323819.71607221931</v>
      </c>
      <c r="BD27" s="30">
        <f>+Producción!BE14*BC5</f>
        <v>225467.95409270038</v>
      </c>
      <c r="BE27" s="30">
        <f>+Producción!BF14*BD5</f>
        <v>224757.90361275439</v>
      </c>
      <c r="BF27" s="30">
        <f>+Producción!BG14*BE5</f>
        <v>69895.284548635624</v>
      </c>
      <c r="BG27" s="30">
        <f>+Producción!BH14*BF5</f>
        <v>0</v>
      </c>
      <c r="BH27" s="30">
        <f>+Producción!BI14*BG5</f>
        <v>0</v>
      </c>
      <c r="BI27" s="30">
        <f>+Producción!BJ14*BH5</f>
        <v>0</v>
      </c>
      <c r="BJ27" s="30">
        <f>+Producción!BK14*BI5</f>
        <v>0</v>
      </c>
      <c r="BK27" s="30">
        <f>+Producción!BL14*BJ5</f>
        <v>0</v>
      </c>
      <c r="BL27" s="30">
        <f>+Producción!BM14*BK5</f>
        <v>0</v>
      </c>
      <c r="BM27" s="30">
        <f>+Producción!BN14*BL5</f>
        <v>0</v>
      </c>
      <c r="BN27" s="30">
        <f>+Producción!BO14*BM5</f>
        <v>0</v>
      </c>
      <c r="BO27" s="30">
        <f>+Producción!BP14*BN5</f>
        <v>333534.30755438592</v>
      </c>
      <c r="BP27" s="30">
        <f>+Producción!BQ14*BO5</f>
        <v>232231.99271548141</v>
      </c>
      <c r="BQ27" s="30">
        <f>+Producción!BR14*BP5</f>
        <v>231500.64072113702</v>
      </c>
      <c r="BR27" s="30">
        <f>+Producción!BS14*BQ5</f>
        <v>71992.143085094693</v>
      </c>
      <c r="BS27" s="30">
        <f>+Producción!BT14*BR5</f>
        <v>0</v>
      </c>
      <c r="BT27" s="30">
        <f>+Producción!BU14*BS5</f>
        <v>0</v>
      </c>
      <c r="BU27" s="30">
        <f>+Producción!BV14*BT5</f>
        <v>0</v>
      </c>
      <c r="BV27" s="30">
        <f>+Producción!BW14*BU5</f>
        <v>0</v>
      </c>
      <c r="BW27" s="30">
        <f>+Producción!BX14*BV5</f>
        <v>0</v>
      </c>
      <c r="BX27" s="30">
        <f>+Producción!BY14*BW5</f>
        <v>0</v>
      </c>
      <c r="BY27" s="30">
        <f>+Producción!BZ14*BX5</f>
        <v>0</v>
      </c>
      <c r="BZ27" s="30">
        <f>+Producción!CA14*BY5</f>
        <v>0</v>
      </c>
      <c r="CA27" s="30">
        <f>+Producción!CB14*BZ5</f>
        <v>343540.33678101748</v>
      </c>
      <c r="CB27" s="30">
        <f>+Producción!CC14*CA5</f>
        <v>239198.95249694586</v>
      </c>
      <c r="CC27" s="30">
        <f>+Producción!CD14*CB5</f>
        <v>238445.65994277113</v>
      </c>
      <c r="CD27" s="30">
        <f>+Producción!CE14*CC5</f>
        <v>74151.907377647542</v>
      </c>
      <c r="CE27" s="30">
        <f>+Producción!CF14*CD5</f>
        <v>0</v>
      </c>
      <c r="CF27" s="30">
        <f>+Producción!CG14*CE5</f>
        <v>0</v>
      </c>
      <c r="CG27" s="30">
        <f>+Producción!CH14*CF5</f>
        <v>0</v>
      </c>
      <c r="CH27" s="30">
        <f>+Producción!CI14*CG5</f>
        <v>0</v>
      </c>
      <c r="CI27" s="30">
        <f>+Producción!CJ14*CH5</f>
        <v>0</v>
      </c>
      <c r="CJ27" s="30">
        <f>+Producción!CK14*CI5</f>
        <v>0</v>
      </c>
      <c r="CK27" s="30">
        <f>+Producción!CL14*CJ5</f>
        <v>0</v>
      </c>
      <c r="CL27" s="30">
        <f>+Producción!CM14*CK5</f>
        <v>0</v>
      </c>
      <c r="CM27" s="30">
        <f>+Producción!CN14*CL5</f>
        <v>353846.54688444803</v>
      </c>
      <c r="CN27" s="30">
        <f>+Producción!CO14*CM5</f>
        <v>246374.92107185425</v>
      </c>
      <c r="CO27" s="30">
        <f>+Producción!CP14*CN5</f>
        <v>245599.02974105428</v>
      </c>
      <c r="CP27" s="30">
        <f>+Producción!CQ14*CO5</f>
        <v>76376.464598976963</v>
      </c>
      <c r="CQ27" s="30">
        <f>+Producción!CR14*CP5</f>
        <v>0</v>
      </c>
      <c r="CR27" s="30">
        <f>+Producción!CS14*CQ5</f>
        <v>0</v>
      </c>
      <c r="CS27" s="30">
        <f>+Producción!CT14*CR5</f>
        <v>0</v>
      </c>
      <c r="CT27" s="30">
        <f>+Producción!CU14*CS5</f>
        <v>0</v>
      </c>
      <c r="CU27" s="30">
        <f>+Producción!CV14*CT5</f>
        <v>0</v>
      </c>
      <c r="CV27" s="30">
        <f>+Producción!CW14*CU5</f>
        <v>0</v>
      </c>
      <c r="CW27" s="30">
        <f>+Producción!CX14*CV5</f>
        <v>0</v>
      </c>
      <c r="CX27" s="30">
        <f>+Producción!CY14*CW5</f>
        <v>0</v>
      </c>
      <c r="CY27" s="30">
        <f>+Producción!CZ14*CX5</f>
        <v>364461.94329098152</v>
      </c>
      <c r="CZ27" s="30">
        <f>+Producción!DA14*CY5</f>
        <v>253766.16870400988</v>
      </c>
      <c r="DA27" s="30">
        <f>+Producción!DB14*CZ5</f>
        <v>252967.00063328593</v>
      </c>
      <c r="DB27" s="30">
        <f>+Producción!DC14*DA5</f>
        <v>78667.758536946276</v>
      </c>
      <c r="DC27" s="30">
        <f>+Producción!DD14*DB5</f>
        <v>0</v>
      </c>
      <c r="DD27" s="30">
        <f>+Producción!DE14*DC5</f>
        <v>0</v>
      </c>
      <c r="DE27" s="30">
        <f>+Producción!DF14*DD5</f>
        <v>0</v>
      </c>
      <c r="DF27" s="30">
        <f>+Producción!DG14*DE5</f>
        <v>0</v>
      </c>
      <c r="DG27" s="30">
        <f>+Producción!DH14*DF5</f>
        <v>0</v>
      </c>
      <c r="DH27" s="30">
        <f>+Producción!DI14*DG5</f>
        <v>0</v>
      </c>
      <c r="DI27" s="30">
        <f>+Producción!DJ14*DH5</f>
        <v>0</v>
      </c>
      <c r="DJ27" s="30">
        <f>+Producción!DK14*DI5</f>
        <v>0</v>
      </c>
      <c r="DK27" s="30">
        <f>+Producción!DL14*DJ5</f>
        <v>375395.80158971093</v>
      </c>
      <c r="DL27" s="30">
        <f>+Producción!DM14*DK5</f>
        <v>261379.15376513018</v>
      </c>
      <c r="DM27" s="30">
        <f>+Producción!DN14*DL5</f>
        <v>260556.01065228452</v>
      </c>
      <c r="DN27" s="30">
        <f>+Producción!DO14*DM5</f>
        <v>81027.791293054674</v>
      </c>
      <c r="DO27" s="30">
        <f>+Producción!DP14*DN5</f>
        <v>0</v>
      </c>
      <c r="DP27" s="30">
        <f>+Producción!DQ14*DO5</f>
        <v>0</v>
      </c>
      <c r="DQ27" s="30">
        <f>+Producción!DR14*DP5</f>
        <v>0</v>
      </c>
      <c r="DR27" s="30">
        <f>+Producción!DS14*DQ5</f>
        <v>0</v>
      </c>
      <c r="DS27" s="30">
        <f>+Producción!DT14*DR5</f>
        <v>0</v>
      </c>
      <c r="DT27" s="30">
        <f>+Producción!DU14*DS5</f>
        <v>0</v>
      </c>
      <c r="DU27" s="30">
        <f>+Producción!DV14*DT5</f>
        <v>0</v>
      </c>
      <c r="DV27" s="30">
        <f>+Producción!DW14*DU5</f>
        <v>0</v>
      </c>
      <c r="DW27" s="30">
        <f>+Producción!DX14*DV5</f>
        <v>386657.67563740228</v>
      </c>
      <c r="DX27" s="30">
        <f>+Producción!DY14*DW5</f>
        <v>269220.52837808407</v>
      </c>
      <c r="DY27" s="30">
        <f>+Producción!DZ14*DX5</f>
        <v>268372.69097185304</v>
      </c>
      <c r="DZ27" s="30">
        <f>+Producción!EA14*DY5</f>
        <v>83458.625031846299</v>
      </c>
      <c r="EA27" s="30">
        <f>+Producción!EB14*DZ5</f>
        <v>0</v>
      </c>
      <c r="EB27" s="30">
        <f>+Producción!EC14*EA5</f>
        <v>0</v>
      </c>
      <c r="EC27" s="30">
        <f>+Producción!ED14*EB5</f>
        <v>0</v>
      </c>
      <c r="ED27" s="30">
        <f>+Producción!EE14*EC5</f>
        <v>0</v>
      </c>
      <c r="EE27" s="30">
        <f>+Producción!EF14*ED5</f>
        <v>0</v>
      </c>
      <c r="EF27" s="30">
        <f>+Producción!EG14*EE5</f>
        <v>0</v>
      </c>
      <c r="EG27" s="30">
        <f>+Producción!EH14*EF5</f>
        <v>0</v>
      </c>
      <c r="EH27" s="30">
        <f>+Producción!EI14*EG5</f>
        <v>0</v>
      </c>
      <c r="EI27" s="30">
        <f>+Producción!EJ14*EH5</f>
        <v>398257.40590652433</v>
      </c>
      <c r="EJ27" s="30">
        <f>+Producción!EK14*EI5</f>
        <v>277297.14422942657</v>
      </c>
      <c r="EK27" s="30">
        <f>+Producción!EL14*EJ5</f>
        <v>276423.87170100864</v>
      </c>
      <c r="EL27" s="30">
        <f>+Producción!EM14*EK5</f>
        <v>85962.383782801699</v>
      </c>
      <c r="EM27" s="30">
        <f>+Producción!EN14*EL5</f>
        <v>0</v>
      </c>
      <c r="EN27" s="30">
        <f>+Producción!EO14*EM5</f>
        <v>0</v>
      </c>
      <c r="EO27" s="30">
        <f>+Producción!EP14*EN5</f>
        <v>0</v>
      </c>
      <c r="EP27" s="30">
        <f>+Producción!EQ14*EO5</f>
        <v>0</v>
      </c>
      <c r="EQ27" s="30">
        <f>+Producción!ER14*EP5</f>
        <v>0</v>
      </c>
      <c r="ER27" s="30">
        <f>+Producción!ES14*EQ5</f>
        <v>0</v>
      </c>
      <c r="ES27" s="30">
        <f>+Producción!ET14*ER5</f>
        <v>0</v>
      </c>
      <c r="ET27" s="30">
        <f>+Producción!EU14*ES5</f>
        <v>0</v>
      </c>
      <c r="EU27" s="30">
        <f>+Producción!EV14*ET5</f>
        <v>410205.1280837201</v>
      </c>
      <c r="EV27" s="30">
        <f>+Producción!EW14*EU5</f>
        <v>285616.05855630944</v>
      </c>
      <c r="EW27" s="30">
        <f>+Producción!EX14*EV5</f>
        <v>284716.58785203891</v>
      </c>
      <c r="EX27" s="30">
        <f>+Producción!EY14*EW5</f>
        <v>88541.255296285759</v>
      </c>
      <c r="EY27" s="30">
        <f>+Producción!EZ14*EX5</f>
        <v>0</v>
      </c>
      <c r="EZ27" s="30">
        <f>+Producción!FA14*EY5</f>
        <v>0</v>
      </c>
      <c r="FA27" s="30">
        <f>+Producción!FB14*EZ5</f>
        <v>0</v>
      </c>
      <c r="FB27" s="30">
        <f>+Producción!FC14*FA5</f>
        <v>0</v>
      </c>
      <c r="FC27" s="30">
        <f>+Producción!FD14*FB5</f>
        <v>0</v>
      </c>
      <c r="FD27" s="30">
        <f>+Producción!FE14*FC5</f>
        <v>0</v>
      </c>
      <c r="FE27" s="30">
        <f>+Producción!FF14*FD5</f>
        <v>0</v>
      </c>
      <c r="FF27" s="30">
        <f>+Producción!FG14*FE5</f>
        <v>0</v>
      </c>
      <c r="FG27" s="30">
        <f>+Producción!FH14*FF5</f>
        <v>422511.28192623163</v>
      </c>
      <c r="FH27" s="30">
        <f>+Producción!FI14*FG5</f>
        <v>294184.5403129987</v>
      </c>
      <c r="FI27" s="30">
        <f>+Producción!FJ14*FH5</f>
        <v>293258.08548760007</v>
      </c>
      <c r="FJ27" s="30">
        <f>+Producción!FK14*FI5</f>
        <v>91197.492955174326</v>
      </c>
      <c r="FK27" s="30">
        <f>+Producción!FL14*FJ5</f>
        <v>0</v>
      </c>
      <c r="FL27" s="30">
        <f>+Producción!FM14*FK5</f>
        <v>0</v>
      </c>
      <c r="FM27" s="30">
        <f>+Producción!FN14*FL5</f>
        <v>0</v>
      </c>
      <c r="FN27" s="30">
        <f>+Producción!FO14*FM5</f>
        <v>0</v>
      </c>
      <c r="FO27" s="30">
        <f>+Producción!FP14*FN5</f>
        <v>0</v>
      </c>
      <c r="FP27" s="30">
        <f>+Producción!FQ14*FO5</f>
        <v>0</v>
      </c>
      <c r="FQ27" s="30">
        <f>+Producción!FR14*FP5</f>
        <v>0</v>
      </c>
      <c r="FR27" s="30">
        <f>+Producción!FS14*FQ5</f>
        <v>0</v>
      </c>
      <c r="FS27" s="30">
        <f>+Producción!FT14*FR5</f>
        <v>435186.62038401858</v>
      </c>
      <c r="FT27" s="30">
        <f>+Producción!FU14*FS5</f>
        <v>303010.07652238861</v>
      </c>
      <c r="FU27" s="30">
        <f>+Producción!FV14*FT5</f>
        <v>302055.82805222803</v>
      </c>
      <c r="FV27" s="30">
        <f>+Producción!FW14*FU5</f>
        <v>93933.417743829545</v>
      </c>
      <c r="FW27" s="30">
        <f>+Producción!FX14*FV5</f>
        <v>0</v>
      </c>
      <c r="FX27" s="30">
        <f>+Producción!FY14*FW5</f>
        <v>0</v>
      </c>
      <c r="FY27" s="30">
        <f>+Producción!FZ14*FX5</f>
        <v>0</v>
      </c>
      <c r="FZ27" s="30">
        <f>+Producción!GA14*FY5</f>
        <v>0</v>
      </c>
      <c r="GA27" s="30">
        <f>+Producción!GB14*FZ5</f>
        <v>0</v>
      </c>
      <c r="GB27" s="30">
        <f>+Producción!GC14*GA5</f>
        <v>0</v>
      </c>
      <c r="GC27" s="30">
        <f>+Producción!GD14*GB5</f>
        <v>0</v>
      </c>
      <c r="GD27" s="30">
        <f>+Producción!GE14*GC5</f>
        <v>0</v>
      </c>
      <c r="GE27" s="30">
        <f>+Producción!GF14*GD5</f>
        <v>448242.21899553918</v>
      </c>
      <c r="GF27" s="30">
        <f>+Producción!GG14*GE5</f>
        <v>312100.37881806033</v>
      </c>
      <c r="GG27" s="30">
        <f>+Producción!GH14*GF5</f>
        <v>311117.50289379491</v>
      </c>
      <c r="GH27" s="30">
        <f>+Producción!GI14*GG5</f>
        <v>96751.420276144432</v>
      </c>
      <c r="GI27" s="30">
        <f>+Producción!GJ14*GH5</f>
        <v>0</v>
      </c>
      <c r="GJ27" s="30">
        <f>+Producción!GK14*GI5</f>
        <v>0</v>
      </c>
      <c r="GK27" s="30">
        <f>+Producción!GL14*GJ5</f>
        <v>0</v>
      </c>
      <c r="GL27" s="30">
        <f>+Producción!GM14*GK5</f>
        <v>0</v>
      </c>
      <c r="GM27" s="30">
        <f>+Producción!GN14*GL5</f>
        <v>0</v>
      </c>
      <c r="GN27" s="30">
        <f>+Producción!GO14*GM5</f>
        <v>0</v>
      </c>
      <c r="GO27" s="30">
        <f>+Producción!GP14*GN5</f>
        <v>0</v>
      </c>
      <c r="GP27" s="30">
        <f>+Producción!GQ14*GO5</f>
        <v>0</v>
      </c>
      <c r="GQ27" s="30">
        <f>+Producción!GR14*GP5</f>
        <v>461689.4855654054</v>
      </c>
      <c r="GR27" s="30">
        <f>+Producción!GS14*GQ5</f>
        <v>321463.39018260216</v>
      </c>
      <c r="GS27" s="30">
        <f>+Producción!GT14*GR5</f>
        <v>320451.02798060875</v>
      </c>
      <c r="GT27" s="30">
        <f>+Producción!GU14*GS5</f>
        <v>99653.96288442878</v>
      </c>
      <c r="GU27" s="30">
        <f>+Producción!GV14*GT5</f>
        <v>0</v>
      </c>
      <c r="GV27" s="30">
        <f>+Producción!GW14*GU5</f>
        <v>0</v>
      </c>
      <c r="GW27" s="30">
        <f>+Producción!GX14*GV5</f>
        <v>0</v>
      </c>
      <c r="GX27" s="30">
        <f>+Producción!GY14*GW5</f>
        <v>0</v>
      </c>
      <c r="GY27" s="30">
        <f>+Producción!GZ14*GX5</f>
        <v>0</v>
      </c>
      <c r="GZ27" s="30">
        <f>+Producción!HA14*GY5</f>
        <v>0</v>
      </c>
      <c r="HA27" s="30">
        <f>+Producción!HB14*GZ5</f>
        <v>0</v>
      </c>
      <c r="HB27" s="30">
        <f>+Producción!HC14*HA5</f>
        <v>0</v>
      </c>
      <c r="HC27" s="30">
        <f>+Producción!HD14*HB5</f>
        <v>475540.17013236758</v>
      </c>
      <c r="HD27" s="30">
        <f>+Producción!HE14*HC5</f>
        <v>331107.29188808025</v>
      </c>
      <c r="HE27" s="30">
        <f>+Producción!HF14*HD5</f>
        <v>330064.55882002704</v>
      </c>
      <c r="HF27" s="30">
        <f>+Producción!HG14*HE5</f>
        <v>102643.58177096165</v>
      </c>
      <c r="HG27" s="30">
        <f>+Producción!HH14*HF5</f>
        <v>0</v>
      </c>
      <c r="HH27" s="30">
        <f>+Producción!HI14*HG5</f>
        <v>0</v>
      </c>
      <c r="HI27" s="30">
        <f>+Producción!HJ14*HH5</f>
        <v>0</v>
      </c>
      <c r="HJ27" s="30">
        <f>+Producción!HK14*HI5</f>
        <v>0</v>
      </c>
      <c r="HK27" s="30">
        <f>+Producción!HL14*HJ5</f>
        <v>0</v>
      </c>
      <c r="HL27" s="30">
        <f>+Producción!HM14*HK5</f>
        <v>0</v>
      </c>
      <c r="HM27" s="30">
        <f>+Producción!HN14*HL5</f>
        <v>0</v>
      </c>
      <c r="HN27" s="30">
        <f>+Producción!HO14*HM5</f>
        <v>0</v>
      </c>
      <c r="HO27" s="30">
        <f>+Producción!HP14*HN5</f>
        <v>489806.37523633859</v>
      </c>
      <c r="HP27" s="30">
        <f>+Producción!HQ14*HO5</f>
        <v>341040.51064472261</v>
      </c>
      <c r="HQ27" s="30">
        <f>+Producción!HR14*HP5</f>
        <v>339966.4955846279</v>
      </c>
      <c r="HR27" s="30">
        <f>+Producción!HS14*HQ5</f>
        <v>105722.8892240905</v>
      </c>
      <c r="HS27" s="30">
        <f>+Producción!HT14*HR5</f>
        <v>0</v>
      </c>
      <c r="HT27" s="30">
        <f>+Producción!HU14*HS5</f>
        <v>0</v>
      </c>
      <c r="HU27" s="30">
        <f>+Producción!HV14*HT5</f>
        <v>0</v>
      </c>
      <c r="HV27" s="30">
        <f>+Producción!HW14*HU5</f>
        <v>0</v>
      </c>
      <c r="HW27" s="30">
        <f>+Producción!HX14*HV5</f>
        <v>0</v>
      </c>
      <c r="HX27" s="30">
        <f>+Producción!HY14*HW5</f>
        <v>0</v>
      </c>
      <c r="HY27" s="30">
        <f>+Producción!HZ14*HX5</f>
        <v>0</v>
      </c>
      <c r="HZ27" s="30">
        <f>+Producción!IA14*HY5</f>
        <v>0</v>
      </c>
      <c r="IA27" s="30">
        <f>+Producción!IB14*HZ5</f>
        <v>504500.56649342878</v>
      </c>
      <c r="IB27" s="30">
        <f>+Producción!IC14*IA5</f>
        <v>351271.72596406436</v>
      </c>
      <c r="IC27" s="30">
        <f>+Producción!ID14*IB5</f>
        <v>350165.4904521667</v>
      </c>
      <c r="ID27" s="30">
        <f>+Producción!IE14*IC5</f>
        <v>108894.57590081322</v>
      </c>
      <c r="IE27" s="30">
        <f>+Producción!IF14*ID5</f>
        <v>0</v>
      </c>
      <c r="IF27" s="30">
        <f>+Producción!IG14*IE5</f>
        <v>0</v>
      </c>
      <c r="IG27" s="30">
        <f>+Producción!IH14*IF5</f>
        <v>0</v>
      </c>
      <c r="IH27" s="30">
        <f>+Producción!II14*IG5</f>
        <v>0</v>
      </c>
    </row>
    <row r="28" spans="1:242" x14ac:dyDescent="0.3">
      <c r="A28" t="s">
        <v>917</v>
      </c>
      <c r="C28" s="30"/>
      <c r="D28" s="30"/>
      <c r="E28" s="30"/>
      <c r="F28" s="30"/>
      <c r="G28" s="30"/>
      <c r="H28" s="30"/>
      <c r="I28" s="30"/>
      <c r="J28" s="30"/>
      <c r="K28" s="30">
        <f t="shared" ref="K28:BP28" si="22">+K27*$B$1</f>
        <v>0</v>
      </c>
      <c r="L28" s="30">
        <f t="shared" si="22"/>
        <v>0</v>
      </c>
      <c r="M28" s="30">
        <f t="shared" si="22"/>
        <v>0</v>
      </c>
      <c r="N28" s="30">
        <f t="shared" si="22"/>
        <v>0</v>
      </c>
      <c r="O28" s="30">
        <f t="shared" si="22"/>
        <v>0</v>
      </c>
      <c r="P28" s="30">
        <f t="shared" si="22"/>
        <v>0</v>
      </c>
      <c r="Q28" s="30">
        <f t="shared" si="22"/>
        <v>0</v>
      </c>
      <c r="R28" s="30">
        <f t="shared" si="22"/>
        <v>0</v>
      </c>
      <c r="S28" s="30">
        <f t="shared" si="22"/>
        <v>0</v>
      </c>
      <c r="T28" s="30">
        <f t="shared" si="22"/>
        <v>0</v>
      </c>
      <c r="U28" s="30">
        <f t="shared" si="22"/>
        <v>0</v>
      </c>
      <c r="V28" s="30">
        <f t="shared" si="22"/>
        <v>0</v>
      </c>
      <c r="W28" s="30">
        <f t="shared" si="22"/>
        <v>0</v>
      </c>
      <c r="X28" s="30">
        <f t="shared" si="22"/>
        <v>0</v>
      </c>
      <c r="Y28" s="30">
        <f t="shared" si="22"/>
        <v>0</v>
      </c>
      <c r="Z28" s="30">
        <f t="shared" si="22"/>
        <v>0</v>
      </c>
      <c r="AA28" s="30">
        <f t="shared" si="22"/>
        <v>0</v>
      </c>
      <c r="AB28" s="30">
        <f t="shared" si="22"/>
        <v>0</v>
      </c>
      <c r="AC28" s="30">
        <f t="shared" si="22"/>
        <v>0</v>
      </c>
      <c r="AD28" s="30">
        <f t="shared" si="22"/>
        <v>0</v>
      </c>
      <c r="AE28" s="30">
        <f t="shared" si="22"/>
        <v>0</v>
      </c>
      <c r="AF28" s="30">
        <f t="shared" si="22"/>
        <v>0</v>
      </c>
      <c r="AG28" s="30">
        <f t="shared" si="22"/>
        <v>0</v>
      </c>
      <c r="AH28" s="30">
        <f t="shared" si="22"/>
        <v>0</v>
      </c>
      <c r="AI28" s="30">
        <f t="shared" si="22"/>
        <v>0</v>
      </c>
      <c r="AJ28" s="30">
        <f t="shared" si="22"/>
        <v>0</v>
      </c>
      <c r="AK28" s="30">
        <f t="shared" si="22"/>
        <v>0</v>
      </c>
      <c r="AL28" s="30">
        <f t="shared" si="22"/>
        <v>0</v>
      </c>
      <c r="AM28" s="30">
        <f t="shared" si="22"/>
        <v>0</v>
      </c>
      <c r="AN28" s="30">
        <f t="shared" si="22"/>
        <v>0</v>
      </c>
      <c r="AO28" s="30">
        <f t="shared" si="22"/>
        <v>0</v>
      </c>
      <c r="AP28" s="30">
        <f t="shared" si="22"/>
        <v>0</v>
      </c>
      <c r="AQ28" s="30">
        <f t="shared" si="22"/>
        <v>0</v>
      </c>
      <c r="AR28" s="30">
        <f t="shared" si="22"/>
        <v>0</v>
      </c>
      <c r="AS28" s="30">
        <f t="shared" si="22"/>
        <v>0</v>
      </c>
      <c r="AT28" s="30">
        <f t="shared" si="22"/>
        <v>0</v>
      </c>
      <c r="AU28" s="30">
        <f t="shared" si="22"/>
        <v>0</v>
      </c>
      <c r="AV28" s="30">
        <f t="shared" si="22"/>
        <v>0</v>
      </c>
      <c r="AW28" s="30">
        <f t="shared" si="22"/>
        <v>0</v>
      </c>
      <c r="AX28" s="30">
        <f t="shared" si="22"/>
        <v>0</v>
      </c>
      <c r="AY28" s="30">
        <f t="shared" si="22"/>
        <v>0</v>
      </c>
      <c r="AZ28" s="30">
        <f t="shared" si="22"/>
        <v>0</v>
      </c>
      <c r="BA28" s="30">
        <f t="shared" si="22"/>
        <v>0</v>
      </c>
      <c r="BB28" s="30">
        <f t="shared" si="22"/>
        <v>0</v>
      </c>
      <c r="BC28" s="30">
        <f t="shared" si="22"/>
        <v>0</v>
      </c>
      <c r="BD28" s="30">
        <f t="shared" si="22"/>
        <v>0</v>
      </c>
      <c r="BE28" s="30">
        <f t="shared" si="22"/>
        <v>0</v>
      </c>
      <c r="BF28" s="30">
        <f t="shared" si="22"/>
        <v>0</v>
      </c>
      <c r="BG28" s="30">
        <f t="shared" si="22"/>
        <v>0</v>
      </c>
      <c r="BH28" s="30">
        <f t="shared" si="22"/>
        <v>0</v>
      </c>
      <c r="BI28" s="30">
        <f t="shared" si="22"/>
        <v>0</v>
      </c>
      <c r="BJ28" s="30">
        <f t="shared" si="22"/>
        <v>0</v>
      </c>
      <c r="BK28" s="30">
        <f t="shared" si="22"/>
        <v>0</v>
      </c>
      <c r="BL28" s="30">
        <f t="shared" si="22"/>
        <v>0</v>
      </c>
      <c r="BM28" s="30">
        <f t="shared" si="22"/>
        <v>0</v>
      </c>
      <c r="BN28" s="30">
        <f t="shared" si="22"/>
        <v>0</v>
      </c>
      <c r="BO28" s="30">
        <f t="shared" si="22"/>
        <v>0</v>
      </c>
      <c r="BP28" s="30">
        <f t="shared" si="22"/>
        <v>0</v>
      </c>
      <c r="BQ28" s="30">
        <f t="shared" ref="BQ28:EB28" si="23">+BQ27*$B$1</f>
        <v>0</v>
      </c>
      <c r="BR28" s="30">
        <f t="shared" si="23"/>
        <v>0</v>
      </c>
      <c r="BS28" s="30">
        <f t="shared" si="23"/>
        <v>0</v>
      </c>
      <c r="BT28" s="30">
        <f t="shared" si="23"/>
        <v>0</v>
      </c>
      <c r="BU28" s="30">
        <f t="shared" si="23"/>
        <v>0</v>
      </c>
      <c r="BV28" s="30">
        <f t="shared" si="23"/>
        <v>0</v>
      </c>
      <c r="BW28" s="30">
        <f t="shared" si="23"/>
        <v>0</v>
      </c>
      <c r="BX28" s="30">
        <f t="shared" si="23"/>
        <v>0</v>
      </c>
      <c r="BY28" s="30">
        <f t="shared" si="23"/>
        <v>0</v>
      </c>
      <c r="BZ28" s="30">
        <f t="shared" si="23"/>
        <v>0</v>
      </c>
      <c r="CA28" s="30">
        <f t="shared" si="23"/>
        <v>0</v>
      </c>
      <c r="CB28" s="30">
        <f t="shared" si="23"/>
        <v>0</v>
      </c>
      <c r="CC28" s="30">
        <f t="shared" si="23"/>
        <v>0</v>
      </c>
      <c r="CD28" s="30">
        <f t="shared" si="23"/>
        <v>0</v>
      </c>
      <c r="CE28" s="30">
        <f t="shared" si="23"/>
        <v>0</v>
      </c>
      <c r="CF28" s="30">
        <f t="shared" si="23"/>
        <v>0</v>
      </c>
      <c r="CG28" s="30">
        <f t="shared" si="23"/>
        <v>0</v>
      </c>
      <c r="CH28" s="30">
        <f t="shared" si="23"/>
        <v>0</v>
      </c>
      <c r="CI28" s="30">
        <f t="shared" si="23"/>
        <v>0</v>
      </c>
      <c r="CJ28" s="30">
        <f t="shared" si="23"/>
        <v>0</v>
      </c>
      <c r="CK28" s="30">
        <f t="shared" si="23"/>
        <v>0</v>
      </c>
      <c r="CL28" s="30">
        <f t="shared" si="23"/>
        <v>0</v>
      </c>
      <c r="CM28" s="30">
        <f t="shared" si="23"/>
        <v>0</v>
      </c>
      <c r="CN28" s="30">
        <f t="shared" si="23"/>
        <v>0</v>
      </c>
      <c r="CO28" s="30">
        <f t="shared" si="23"/>
        <v>0</v>
      </c>
      <c r="CP28" s="30">
        <f t="shared" si="23"/>
        <v>0</v>
      </c>
      <c r="CQ28" s="30">
        <f t="shared" si="23"/>
        <v>0</v>
      </c>
      <c r="CR28" s="30">
        <f t="shared" si="23"/>
        <v>0</v>
      </c>
      <c r="CS28" s="30">
        <f t="shared" si="23"/>
        <v>0</v>
      </c>
      <c r="CT28" s="30">
        <f t="shared" si="23"/>
        <v>0</v>
      </c>
      <c r="CU28" s="30">
        <f t="shared" si="23"/>
        <v>0</v>
      </c>
      <c r="CV28" s="30">
        <f t="shared" si="23"/>
        <v>0</v>
      </c>
      <c r="CW28" s="30">
        <f t="shared" si="23"/>
        <v>0</v>
      </c>
      <c r="CX28" s="30">
        <f t="shared" si="23"/>
        <v>0</v>
      </c>
      <c r="CY28" s="30">
        <f t="shared" si="23"/>
        <v>0</v>
      </c>
      <c r="CZ28" s="30">
        <f t="shared" si="23"/>
        <v>0</v>
      </c>
      <c r="DA28" s="30">
        <f t="shared" si="23"/>
        <v>0</v>
      </c>
      <c r="DB28" s="30">
        <f t="shared" si="23"/>
        <v>0</v>
      </c>
      <c r="DC28" s="30">
        <f t="shared" si="23"/>
        <v>0</v>
      </c>
      <c r="DD28" s="30">
        <f t="shared" si="23"/>
        <v>0</v>
      </c>
      <c r="DE28" s="30">
        <f t="shared" si="23"/>
        <v>0</v>
      </c>
      <c r="DF28" s="30">
        <f t="shared" si="23"/>
        <v>0</v>
      </c>
      <c r="DG28" s="30">
        <f t="shared" si="23"/>
        <v>0</v>
      </c>
      <c r="DH28" s="30">
        <f t="shared" si="23"/>
        <v>0</v>
      </c>
      <c r="DI28" s="30">
        <f t="shared" si="23"/>
        <v>0</v>
      </c>
      <c r="DJ28" s="30">
        <f t="shared" si="23"/>
        <v>0</v>
      </c>
      <c r="DK28" s="30">
        <f t="shared" si="23"/>
        <v>0</v>
      </c>
      <c r="DL28" s="30">
        <f t="shared" si="23"/>
        <v>0</v>
      </c>
      <c r="DM28" s="30">
        <f t="shared" si="23"/>
        <v>0</v>
      </c>
      <c r="DN28" s="30">
        <f t="shared" si="23"/>
        <v>0</v>
      </c>
      <c r="DO28" s="30">
        <f t="shared" si="23"/>
        <v>0</v>
      </c>
      <c r="DP28" s="30">
        <f t="shared" si="23"/>
        <v>0</v>
      </c>
      <c r="DQ28" s="30">
        <f t="shared" si="23"/>
        <v>0</v>
      </c>
      <c r="DR28" s="30">
        <f t="shared" si="23"/>
        <v>0</v>
      </c>
      <c r="DS28" s="30">
        <f t="shared" si="23"/>
        <v>0</v>
      </c>
      <c r="DT28" s="30">
        <f t="shared" si="23"/>
        <v>0</v>
      </c>
      <c r="DU28" s="30">
        <f t="shared" si="23"/>
        <v>0</v>
      </c>
      <c r="DV28" s="30">
        <f t="shared" si="23"/>
        <v>0</v>
      </c>
      <c r="DW28" s="30">
        <f t="shared" si="23"/>
        <v>0</v>
      </c>
      <c r="DX28" s="30">
        <f t="shared" si="23"/>
        <v>0</v>
      </c>
      <c r="DY28" s="30">
        <f t="shared" si="23"/>
        <v>0</v>
      </c>
      <c r="DZ28" s="30">
        <f t="shared" si="23"/>
        <v>0</v>
      </c>
      <c r="EA28" s="30">
        <f t="shared" si="23"/>
        <v>0</v>
      </c>
      <c r="EB28" s="30">
        <f t="shared" si="23"/>
        <v>0</v>
      </c>
      <c r="EC28" s="30">
        <f t="shared" ref="EC28:GN28" si="24">+EC27*$B$1</f>
        <v>0</v>
      </c>
      <c r="ED28" s="30">
        <f t="shared" si="24"/>
        <v>0</v>
      </c>
      <c r="EE28" s="30">
        <f t="shared" si="24"/>
        <v>0</v>
      </c>
      <c r="EF28" s="30">
        <f t="shared" si="24"/>
        <v>0</v>
      </c>
      <c r="EG28" s="30">
        <f t="shared" si="24"/>
        <v>0</v>
      </c>
      <c r="EH28" s="30">
        <f t="shared" si="24"/>
        <v>0</v>
      </c>
      <c r="EI28" s="30">
        <f t="shared" si="24"/>
        <v>0</v>
      </c>
      <c r="EJ28" s="30">
        <f t="shared" si="24"/>
        <v>0</v>
      </c>
      <c r="EK28" s="30">
        <f t="shared" si="24"/>
        <v>0</v>
      </c>
      <c r="EL28" s="30">
        <f t="shared" si="24"/>
        <v>0</v>
      </c>
      <c r="EM28" s="30">
        <f t="shared" si="24"/>
        <v>0</v>
      </c>
      <c r="EN28" s="30">
        <f t="shared" si="24"/>
        <v>0</v>
      </c>
      <c r="EO28" s="30">
        <f t="shared" si="24"/>
        <v>0</v>
      </c>
      <c r="EP28" s="30">
        <f t="shared" si="24"/>
        <v>0</v>
      </c>
      <c r="EQ28" s="30">
        <f t="shared" si="24"/>
        <v>0</v>
      </c>
      <c r="ER28" s="30">
        <f t="shared" si="24"/>
        <v>0</v>
      </c>
      <c r="ES28" s="30">
        <f t="shared" si="24"/>
        <v>0</v>
      </c>
      <c r="ET28" s="30">
        <f t="shared" si="24"/>
        <v>0</v>
      </c>
      <c r="EU28" s="30">
        <f t="shared" si="24"/>
        <v>0</v>
      </c>
      <c r="EV28" s="30">
        <f t="shared" si="24"/>
        <v>0</v>
      </c>
      <c r="EW28" s="30">
        <f t="shared" si="24"/>
        <v>0</v>
      </c>
      <c r="EX28" s="30">
        <f t="shared" si="24"/>
        <v>0</v>
      </c>
      <c r="EY28" s="30">
        <f t="shared" si="24"/>
        <v>0</v>
      </c>
      <c r="EZ28" s="30">
        <f t="shared" si="24"/>
        <v>0</v>
      </c>
      <c r="FA28" s="30">
        <f t="shared" si="24"/>
        <v>0</v>
      </c>
      <c r="FB28" s="30">
        <f t="shared" si="24"/>
        <v>0</v>
      </c>
      <c r="FC28" s="30">
        <f t="shared" si="24"/>
        <v>0</v>
      </c>
      <c r="FD28" s="30">
        <f t="shared" si="24"/>
        <v>0</v>
      </c>
      <c r="FE28" s="30">
        <f t="shared" si="24"/>
        <v>0</v>
      </c>
      <c r="FF28" s="30">
        <f t="shared" si="24"/>
        <v>0</v>
      </c>
      <c r="FG28" s="30">
        <f t="shared" si="24"/>
        <v>0</v>
      </c>
      <c r="FH28" s="30">
        <f t="shared" si="24"/>
        <v>0</v>
      </c>
      <c r="FI28" s="30">
        <f t="shared" si="24"/>
        <v>0</v>
      </c>
      <c r="FJ28" s="30">
        <f t="shared" si="24"/>
        <v>0</v>
      </c>
      <c r="FK28" s="30">
        <f t="shared" si="24"/>
        <v>0</v>
      </c>
      <c r="FL28" s="30">
        <f t="shared" si="24"/>
        <v>0</v>
      </c>
      <c r="FM28" s="30">
        <f t="shared" si="24"/>
        <v>0</v>
      </c>
      <c r="FN28" s="30">
        <f t="shared" si="24"/>
        <v>0</v>
      </c>
      <c r="FO28" s="30">
        <f t="shared" si="24"/>
        <v>0</v>
      </c>
      <c r="FP28" s="30">
        <f t="shared" si="24"/>
        <v>0</v>
      </c>
      <c r="FQ28" s="30">
        <f t="shared" si="24"/>
        <v>0</v>
      </c>
      <c r="FR28" s="30">
        <f t="shared" si="24"/>
        <v>0</v>
      </c>
      <c r="FS28" s="30">
        <f t="shared" si="24"/>
        <v>0</v>
      </c>
      <c r="FT28" s="30">
        <f t="shared" si="24"/>
        <v>0</v>
      </c>
      <c r="FU28" s="30">
        <f t="shared" si="24"/>
        <v>0</v>
      </c>
      <c r="FV28" s="30">
        <f t="shared" si="24"/>
        <v>0</v>
      </c>
      <c r="FW28" s="30">
        <f t="shared" si="24"/>
        <v>0</v>
      </c>
      <c r="FX28" s="30">
        <f t="shared" si="24"/>
        <v>0</v>
      </c>
      <c r="FY28" s="30">
        <f t="shared" si="24"/>
        <v>0</v>
      </c>
      <c r="FZ28" s="30">
        <f t="shared" si="24"/>
        <v>0</v>
      </c>
      <c r="GA28" s="30">
        <f t="shared" si="24"/>
        <v>0</v>
      </c>
      <c r="GB28" s="30">
        <f t="shared" si="24"/>
        <v>0</v>
      </c>
      <c r="GC28" s="30">
        <f t="shared" si="24"/>
        <v>0</v>
      </c>
      <c r="GD28" s="30">
        <f t="shared" si="24"/>
        <v>0</v>
      </c>
      <c r="GE28" s="30">
        <f t="shared" si="24"/>
        <v>0</v>
      </c>
      <c r="GF28" s="30">
        <f t="shared" si="24"/>
        <v>0</v>
      </c>
      <c r="GG28" s="30">
        <f t="shared" si="24"/>
        <v>0</v>
      </c>
      <c r="GH28" s="30">
        <f t="shared" si="24"/>
        <v>0</v>
      </c>
      <c r="GI28" s="30">
        <f t="shared" si="24"/>
        <v>0</v>
      </c>
      <c r="GJ28" s="30">
        <f t="shared" si="24"/>
        <v>0</v>
      </c>
      <c r="GK28" s="30">
        <f t="shared" si="24"/>
        <v>0</v>
      </c>
      <c r="GL28" s="30">
        <f t="shared" si="24"/>
        <v>0</v>
      </c>
      <c r="GM28" s="30">
        <f t="shared" si="24"/>
        <v>0</v>
      </c>
      <c r="GN28" s="30">
        <f t="shared" si="24"/>
        <v>0</v>
      </c>
      <c r="GO28" s="30">
        <f t="shared" ref="GO28:IH28" si="25">+GO27*$B$1</f>
        <v>0</v>
      </c>
      <c r="GP28" s="30">
        <f t="shared" si="25"/>
        <v>0</v>
      </c>
      <c r="GQ28" s="30">
        <f t="shared" si="25"/>
        <v>0</v>
      </c>
      <c r="GR28" s="30">
        <f t="shared" si="25"/>
        <v>0</v>
      </c>
      <c r="GS28" s="30">
        <f t="shared" si="25"/>
        <v>0</v>
      </c>
      <c r="GT28" s="30">
        <f t="shared" si="25"/>
        <v>0</v>
      </c>
      <c r="GU28" s="30">
        <f t="shared" si="25"/>
        <v>0</v>
      </c>
      <c r="GV28" s="30">
        <f t="shared" si="25"/>
        <v>0</v>
      </c>
      <c r="GW28" s="30">
        <f t="shared" si="25"/>
        <v>0</v>
      </c>
      <c r="GX28" s="30">
        <f t="shared" si="25"/>
        <v>0</v>
      </c>
      <c r="GY28" s="30">
        <f t="shared" si="25"/>
        <v>0</v>
      </c>
      <c r="GZ28" s="30">
        <f t="shared" si="25"/>
        <v>0</v>
      </c>
      <c r="HA28" s="30">
        <f t="shared" si="25"/>
        <v>0</v>
      </c>
      <c r="HB28" s="30">
        <f t="shared" si="25"/>
        <v>0</v>
      </c>
      <c r="HC28" s="30">
        <f t="shared" si="25"/>
        <v>0</v>
      </c>
      <c r="HD28" s="30">
        <f t="shared" si="25"/>
        <v>0</v>
      </c>
      <c r="HE28" s="30">
        <f t="shared" si="25"/>
        <v>0</v>
      </c>
      <c r="HF28" s="30">
        <f t="shared" si="25"/>
        <v>0</v>
      </c>
      <c r="HG28" s="30">
        <f t="shared" si="25"/>
        <v>0</v>
      </c>
      <c r="HH28" s="30">
        <f t="shared" si="25"/>
        <v>0</v>
      </c>
      <c r="HI28" s="30">
        <f t="shared" si="25"/>
        <v>0</v>
      </c>
      <c r="HJ28" s="30">
        <f t="shared" si="25"/>
        <v>0</v>
      </c>
      <c r="HK28" s="30">
        <f t="shared" si="25"/>
        <v>0</v>
      </c>
      <c r="HL28" s="30">
        <f t="shared" si="25"/>
        <v>0</v>
      </c>
      <c r="HM28" s="30">
        <f t="shared" si="25"/>
        <v>0</v>
      </c>
      <c r="HN28" s="30">
        <f t="shared" si="25"/>
        <v>0</v>
      </c>
      <c r="HO28" s="30">
        <f t="shared" si="25"/>
        <v>0</v>
      </c>
      <c r="HP28" s="30">
        <f t="shared" si="25"/>
        <v>0</v>
      </c>
      <c r="HQ28" s="30">
        <f t="shared" si="25"/>
        <v>0</v>
      </c>
      <c r="HR28" s="30">
        <f t="shared" si="25"/>
        <v>0</v>
      </c>
      <c r="HS28" s="30">
        <f t="shared" si="25"/>
        <v>0</v>
      </c>
      <c r="HT28" s="30">
        <f t="shared" si="25"/>
        <v>0</v>
      </c>
      <c r="HU28" s="30">
        <f t="shared" si="25"/>
        <v>0</v>
      </c>
      <c r="HV28" s="30">
        <f t="shared" si="25"/>
        <v>0</v>
      </c>
      <c r="HW28" s="30">
        <f t="shared" si="25"/>
        <v>0</v>
      </c>
      <c r="HX28" s="30">
        <f t="shared" si="25"/>
        <v>0</v>
      </c>
      <c r="HY28" s="30">
        <f t="shared" si="25"/>
        <v>0</v>
      </c>
      <c r="HZ28" s="30">
        <f t="shared" si="25"/>
        <v>0</v>
      </c>
      <c r="IA28" s="30">
        <f t="shared" si="25"/>
        <v>0</v>
      </c>
      <c r="IB28" s="30">
        <f t="shared" si="25"/>
        <v>0</v>
      </c>
      <c r="IC28" s="30">
        <f t="shared" si="25"/>
        <v>0</v>
      </c>
      <c r="ID28" s="30">
        <f t="shared" si="25"/>
        <v>0</v>
      </c>
      <c r="IE28" s="30">
        <f t="shared" si="25"/>
        <v>0</v>
      </c>
      <c r="IF28" s="30">
        <f t="shared" si="25"/>
        <v>0</v>
      </c>
      <c r="IG28" s="30">
        <f t="shared" si="25"/>
        <v>0</v>
      </c>
      <c r="IH28" s="30">
        <f t="shared" si="25"/>
        <v>0</v>
      </c>
    </row>
    <row r="29" spans="1:242" x14ac:dyDescent="0.3">
      <c r="A29" t="s">
        <v>918</v>
      </c>
      <c r="B29" s="30"/>
      <c r="C29" s="30"/>
      <c r="D29" s="30"/>
      <c r="E29" s="30"/>
      <c r="F29" s="30"/>
      <c r="G29" s="30"/>
      <c r="H29" s="30"/>
      <c r="I29" s="30"/>
      <c r="J29" s="30"/>
      <c r="K29" s="30">
        <f>Producción!L15*J8</f>
        <v>-171931.85923999996</v>
      </c>
      <c r="L29" s="30">
        <f>Producción!M15*K8</f>
        <v>-282223.02759999991</v>
      </c>
      <c r="M29" s="30">
        <f>Producción!N15*L8</f>
        <v>-260519.88284000003</v>
      </c>
      <c r="N29" s="30">
        <f>Producción!O15*M8</f>
        <v>-195537.95008000016</v>
      </c>
      <c r="O29" s="30">
        <f>Producción!P15*N8</f>
        <v>-397234.61356000014</v>
      </c>
      <c r="P29" s="30">
        <f>Producción!Q15*O8</f>
        <v>-353039.97167405859</v>
      </c>
      <c r="Q29" s="30">
        <f>Producción!R15*P8</f>
        <v>-245639.37826247944</v>
      </c>
      <c r="R29" s="30">
        <f>Producción!S15*Q8</f>
        <v>-215977.52639558609</v>
      </c>
      <c r="S29" s="30">
        <f>Producción!T15*R8</f>
        <v>0</v>
      </c>
      <c r="T29" s="30">
        <f>Producción!U15*S8</f>
        <v>0</v>
      </c>
      <c r="U29" s="30">
        <f>Producción!V15*T8</f>
        <v>0</v>
      </c>
      <c r="V29" s="30">
        <f>Producción!W15*U8</f>
        <v>0</v>
      </c>
      <c r="W29" s="30">
        <f>Producción!X15*V8</f>
        <v>-173097.66407613215</v>
      </c>
      <c r="X29" s="30">
        <f>Producción!Y15*W8</f>
        <v>-280814.98989980709</v>
      </c>
      <c r="Y29" s="30">
        <f>Producción!Z15*X8</f>
        <v>-260519.88284000003</v>
      </c>
      <c r="Z29" s="30">
        <f>Producción!AA15*Y8</f>
        <v>-195537.95008000016</v>
      </c>
      <c r="AA29" s="30">
        <f>Producción!AB15*Z8</f>
        <v>-397234.61356000014</v>
      </c>
      <c r="AB29" s="30">
        <f>Producción!AC15*AA8</f>
        <v>-370691.97025776154</v>
      </c>
      <c r="AC29" s="30">
        <f>Producción!AD15*AB8</f>
        <v>-257921.34717560341</v>
      </c>
      <c r="AD29" s="30">
        <f>Producción!AE15*AC8</f>
        <v>-226776.40271536537</v>
      </c>
      <c r="AE29" s="30">
        <f>Producción!AF15*AD8</f>
        <v>0</v>
      </c>
      <c r="AF29" s="30">
        <f>Producción!AG15*AE8</f>
        <v>0</v>
      </c>
      <c r="AG29" s="30">
        <f>Producción!AH15*AF8</f>
        <v>0</v>
      </c>
      <c r="AH29" s="30">
        <f>Producción!AI15*AG8</f>
        <v>0</v>
      </c>
      <c r="AI29" s="30">
        <f>Producción!AJ15*AH8</f>
        <v>-181752.54727993876</v>
      </c>
      <c r="AJ29" s="30">
        <f>Producción!AK15*AI8</f>
        <v>-294855.73939479742</v>
      </c>
      <c r="AK29" s="30">
        <f>Producción!AL15*AJ8</f>
        <v>-260519.88284000003</v>
      </c>
      <c r="AL29" s="30">
        <f>Producción!AM15*AK8</f>
        <v>-195537.95008000016</v>
      </c>
      <c r="AM29" s="30">
        <f>Producción!AN15*AL8</f>
        <v>-397234.61356000014</v>
      </c>
      <c r="AN29" s="30">
        <f>Producción!AO15*AM8</f>
        <v>-389226.56877064961</v>
      </c>
      <c r="AO29" s="30">
        <f>Producción!AP15*AN8</f>
        <v>-270817.41453438357</v>
      </c>
      <c r="AP29" s="30">
        <f>Producción!AQ15*AO8</f>
        <v>-238115.22285113367</v>
      </c>
      <c r="AQ29" s="30">
        <f>Producción!AR15*AP8</f>
        <v>0</v>
      </c>
      <c r="AR29" s="30">
        <f>Producción!AS15*AQ8</f>
        <v>0</v>
      </c>
      <c r="AS29" s="30">
        <f>Producción!AT15*AR8</f>
        <v>0</v>
      </c>
      <c r="AT29" s="30">
        <f>Producción!AU15*AS8</f>
        <v>0</v>
      </c>
      <c r="AU29" s="30">
        <f>Producción!AV15*AT8</f>
        <v>-190840.17464393569</v>
      </c>
      <c r="AV29" s="30">
        <f>Producción!AW15*AU8</f>
        <v>-309598.52636453731</v>
      </c>
      <c r="AW29" s="30">
        <f>Producción!AX15*AV8</f>
        <v>-260519.88284000003</v>
      </c>
      <c r="AX29" s="30">
        <f>Producción!AY15*AW8</f>
        <v>-195537.95008000016</v>
      </c>
      <c r="AY29" s="30">
        <f>Producción!AZ15*AX8</f>
        <v>-397234.61356000014</v>
      </c>
      <c r="AZ29" s="30">
        <f>Producción!BA15*AY8</f>
        <v>-408687.89720918209</v>
      </c>
      <c r="BA29" s="30">
        <f>Producción!BB15*AZ8</f>
        <v>-284358.28526110278</v>
      </c>
      <c r="BB29" s="30">
        <f>Producción!BC15*BA8</f>
        <v>-250020.98399369037</v>
      </c>
      <c r="BC29" s="30">
        <f>Producción!BD15*BB8</f>
        <v>0</v>
      </c>
      <c r="BD29" s="30">
        <f>Producción!BE15*BC8</f>
        <v>0</v>
      </c>
      <c r="BE29" s="30">
        <f>Producción!BF15*BD8</f>
        <v>0</v>
      </c>
      <c r="BF29" s="30">
        <f>Producción!BG15*BE8</f>
        <v>0</v>
      </c>
      <c r="BG29" s="30">
        <f>Producción!BH15*BF8</f>
        <v>-200382.18337613251</v>
      </c>
      <c r="BH29" s="30">
        <f>Producción!BI15*BG8</f>
        <v>-325078.45268276421</v>
      </c>
      <c r="BI29" s="30">
        <f>Producción!BJ15*BH8</f>
        <v>-260519.88284000003</v>
      </c>
      <c r="BJ29" s="30">
        <f>Producción!BK15*BI8</f>
        <v>-195537.95008000016</v>
      </c>
      <c r="BK29" s="30">
        <f>Producción!BL15*BJ8</f>
        <v>-397234.61356000014</v>
      </c>
      <c r="BL29" s="30">
        <f>Producción!BM15*BK8</f>
        <v>-429122.29206964123</v>
      </c>
      <c r="BM29" s="30">
        <f>Producción!BN15*BL8</f>
        <v>-298576.19952415791</v>
      </c>
      <c r="BN29" s="30">
        <f>Producción!BO15*BM8</f>
        <v>-262522.03319337487</v>
      </c>
      <c r="BO29" s="30">
        <f>Producción!BP15*BN8</f>
        <v>0</v>
      </c>
      <c r="BP29" s="30">
        <f>Producción!BQ15*BO8</f>
        <v>0</v>
      </c>
      <c r="BQ29" s="30">
        <f>Producción!BR15*BP8</f>
        <v>0</v>
      </c>
      <c r="BR29" s="30">
        <f>Producción!BS15*BQ8</f>
        <v>0</v>
      </c>
      <c r="BS29" s="30">
        <f>Producción!BT15*BR8</f>
        <v>-210401.29254493915</v>
      </c>
      <c r="BT29" s="30">
        <f>Producción!BU15*BS8</f>
        <v>-341332.37531690247</v>
      </c>
      <c r="BU29" s="30">
        <f>Producción!BV15*BT8</f>
        <v>-271414.08828272438</v>
      </c>
      <c r="BV29" s="30">
        <f>Producción!BW15*BU8</f>
        <v>-195537.95008000016</v>
      </c>
      <c r="BW29" s="30">
        <f>Producción!BX15*BV8</f>
        <v>-397234.61356000014</v>
      </c>
      <c r="BX29" s="30">
        <f>Producción!BY15*BW8</f>
        <v>-450578.40667312336</v>
      </c>
      <c r="BY29" s="30">
        <f>Producción!BZ15*BX8</f>
        <v>-313505.00950036582</v>
      </c>
      <c r="BZ29" s="30">
        <f>Producción!CA15*BY8</f>
        <v>-275648.13485304365</v>
      </c>
      <c r="CA29" s="30">
        <f>Producción!CB15*BZ8</f>
        <v>0</v>
      </c>
      <c r="CB29" s="30">
        <f>Producción!CC15*CA8</f>
        <v>0</v>
      </c>
      <c r="CC29" s="30">
        <f>Producción!CD15*CB8</f>
        <v>0</v>
      </c>
      <c r="CD29" s="30">
        <f>Producción!CE15*CC8</f>
        <v>0</v>
      </c>
      <c r="CE29" s="30">
        <f>Producción!CF15*CD8</f>
        <v>-220921.35717218608</v>
      </c>
      <c r="CF29" s="30">
        <f>Producción!CG15*CE8</f>
        <v>-358398.99408274761</v>
      </c>
      <c r="CG29" s="30">
        <f>Producción!CH15*CF8</f>
        <v>-284984.79269686062</v>
      </c>
      <c r="CH29" s="30">
        <f>Producción!CI15*CG8</f>
        <v>-195537.95008000016</v>
      </c>
      <c r="CI29" s="30">
        <f>Producción!CJ15*CH8</f>
        <v>-412409.79606531136</v>
      </c>
      <c r="CJ29" s="30">
        <f>Producción!CK15*CI8</f>
        <v>-473107.32700677961</v>
      </c>
      <c r="CK29" s="30">
        <f>Producción!CL15*CJ8</f>
        <v>-171519.41599999997</v>
      </c>
      <c r="CL29" s="30">
        <f>Producción!CM15*CK8</f>
        <v>-143883.71980000005</v>
      </c>
      <c r="CM29" s="30">
        <f>Producción!CN15*CL8</f>
        <v>0</v>
      </c>
      <c r="CN29" s="30">
        <f>Producción!CO15*CM8</f>
        <v>0</v>
      </c>
      <c r="CO29" s="30">
        <f>Producción!CP15*CN8</f>
        <v>0</v>
      </c>
      <c r="CP29" s="30">
        <f>Producción!CQ15*CO8</f>
        <v>0</v>
      </c>
      <c r="CQ29" s="30">
        <f>Producción!CR15*CP8</f>
        <v>-231967.42503079539</v>
      </c>
      <c r="CR29" s="30">
        <f>Producción!CS15*CQ8</f>
        <v>-376318.94378688501</v>
      </c>
      <c r="CS29" s="30">
        <f>Producción!CT15*CR8</f>
        <v>-299234.0323317037</v>
      </c>
      <c r="CT29" s="30">
        <f>Producción!CU15*CS8</f>
        <v>-197739.42569938154</v>
      </c>
      <c r="CU29" s="30">
        <f>Producción!CV15*CT8</f>
        <v>-433030.28586857696</v>
      </c>
      <c r="CV29" s="30">
        <f>Producción!CW15*CU8</f>
        <v>-496762.69335711864</v>
      </c>
      <c r="CW29" s="30">
        <f>Producción!CX15*CV8</f>
        <v>-171519.41599999997</v>
      </c>
      <c r="CX29" s="30">
        <f>Producción!CY15*CW8</f>
        <v>-143883.71980000005</v>
      </c>
      <c r="CY29" s="30">
        <f>Producción!CZ15*CX8</f>
        <v>0</v>
      </c>
      <c r="CZ29" s="30">
        <f>Producción!DA15*CY8</f>
        <v>0</v>
      </c>
      <c r="DA29" s="30">
        <f>Producción!DB15*CZ8</f>
        <v>0</v>
      </c>
      <c r="DB29" s="30">
        <f>Producción!DC15*DA8</f>
        <v>0</v>
      </c>
      <c r="DC29" s="30">
        <f>Producción!DD15*DB8</f>
        <v>-243565.79628233518</v>
      </c>
      <c r="DD29" s="30">
        <f>Producción!DE15*DC8</f>
        <v>-395134.89097622928</v>
      </c>
      <c r="DE29" s="30">
        <f>Producción!DF15*DD8</f>
        <v>-314195.73394828883</v>
      </c>
      <c r="DF29" s="30">
        <f>Producción!DG15*DE8</f>
        <v>-207626.39698435063</v>
      </c>
      <c r="DG29" s="30">
        <f>Producción!DH15*DF8</f>
        <v>-454681.80016200576</v>
      </c>
      <c r="DH29" s="30">
        <f>Producción!DI15*DG8</f>
        <v>-521600.8280249745</v>
      </c>
      <c r="DI29" s="30">
        <f>Producción!DJ15*DH8</f>
        <v>-171519.41599999997</v>
      </c>
      <c r="DJ29" s="30">
        <f>Producción!DK15*DI8</f>
        <v>-143883.71980000005</v>
      </c>
      <c r="DK29" s="30">
        <f>Producción!DL15*DJ8</f>
        <v>0</v>
      </c>
      <c r="DL29" s="30">
        <f>Producción!DM15*DK8</f>
        <v>0</v>
      </c>
      <c r="DM29" s="30">
        <f>Producción!DN15*DL8</f>
        <v>0</v>
      </c>
      <c r="DN29" s="30">
        <f>Producción!DO15*DM8</f>
        <v>0</v>
      </c>
      <c r="DO29" s="30">
        <f>Producción!DP15*DN8</f>
        <v>-255744.08609645194</v>
      </c>
      <c r="DP29" s="30">
        <f>Producción!DQ15*DO8</f>
        <v>-414891.63552504079</v>
      </c>
      <c r="DQ29" s="30">
        <f>Producción!DR15*DP8</f>
        <v>-329905.52064570331</v>
      </c>
      <c r="DR29" s="30">
        <f>Producción!DS15*DQ8</f>
        <v>-218007.71683356815</v>
      </c>
      <c r="DS29" s="30">
        <f>Producción!DT15*DR8</f>
        <v>-477415.89017010608</v>
      </c>
      <c r="DT29" s="30">
        <f>Producción!DU15*DS8</f>
        <v>-547680.86942622333</v>
      </c>
      <c r="DU29" s="30">
        <f>Producción!DV15*DT8</f>
        <v>-171519.41599999997</v>
      </c>
      <c r="DV29" s="30">
        <f>Producción!DW15*DU8</f>
        <v>-143883.71980000005</v>
      </c>
      <c r="DW29" s="30">
        <f>Producción!DX15*DV8</f>
        <v>0</v>
      </c>
      <c r="DX29" s="30">
        <f>Producción!DY15*DW8</f>
        <v>0</v>
      </c>
      <c r="DY29" s="30">
        <f>Producción!DZ15*DX8</f>
        <v>0</v>
      </c>
      <c r="DZ29" s="30">
        <f>Producción!EA15*DY8</f>
        <v>0</v>
      </c>
      <c r="EA29" s="30">
        <f>Producción!EB15*DZ8</f>
        <v>-268531.29040127457</v>
      </c>
      <c r="EB29" s="30">
        <f>Producción!EC15*EA8</f>
        <v>-435636.21730129281</v>
      </c>
      <c r="EC29" s="30">
        <f>Producción!ED15*EB8</f>
        <v>-346400.79667798849</v>
      </c>
      <c r="ED29" s="30">
        <f>Producción!EE15*EC8</f>
        <v>-228908.10267524657</v>
      </c>
      <c r="EE29" s="30">
        <f>Producción!EF15*ED8</f>
        <v>-501286.68467861146</v>
      </c>
      <c r="EF29" s="30">
        <f>Producción!EG15*EE8</f>
        <v>-575064.91289753444</v>
      </c>
      <c r="EG29" s="30">
        <f>Producción!EH15*EF8</f>
        <v>-171519.41599999997</v>
      </c>
      <c r="EH29" s="30">
        <f>Producción!EI15*EG8</f>
        <v>-143883.71980000005</v>
      </c>
      <c r="EI29" s="30">
        <f>Producción!EJ15*EH8</f>
        <v>0</v>
      </c>
      <c r="EJ29" s="30">
        <f>Producción!EK15*EI8</f>
        <v>0</v>
      </c>
      <c r="EK29" s="30">
        <f>Producción!EL15*EJ8</f>
        <v>0</v>
      </c>
      <c r="EL29" s="30">
        <f>Producción!EM15*EK8</f>
        <v>0</v>
      </c>
      <c r="EM29" s="30">
        <f>Producción!EN15*EL8</f>
        <v>-281957.85492133832</v>
      </c>
      <c r="EN29" s="30">
        <f>Producción!EO15*EM8</f>
        <v>-457418.02816635754</v>
      </c>
      <c r="EO29" s="30">
        <f>Producción!EP15*EN8</f>
        <v>-363720.8365118879</v>
      </c>
      <c r="EP29" s="30">
        <f>Producción!EQ15*EO8</f>
        <v>-240353.50780900894</v>
      </c>
      <c r="EQ29" s="30">
        <f>Producción!ER15*EP8</f>
        <v>-526351.01891254203</v>
      </c>
      <c r="ER29" s="30">
        <f>Producción!ES15*EQ8</f>
        <v>-603818.15854241129</v>
      </c>
      <c r="ES29" s="30">
        <f>Producción!ET15*ER8</f>
        <v>-171519.41599999997</v>
      </c>
      <c r="ET29" s="30">
        <f>Producción!EU15*ES8</f>
        <v>-143883.71980000005</v>
      </c>
      <c r="EU29" s="30">
        <f>Producción!EV15*ET8</f>
        <v>0</v>
      </c>
      <c r="EV29" s="30">
        <f>Producción!EW15*EU8</f>
        <v>0</v>
      </c>
      <c r="EW29" s="30">
        <f>Producción!EX15*EV8</f>
        <v>0</v>
      </c>
      <c r="EX29" s="30">
        <f>Producción!EY15*EW8</f>
        <v>0</v>
      </c>
      <c r="EY29" s="30">
        <f>Producción!EZ15*EX8</f>
        <v>-214914.82404999994</v>
      </c>
      <c r="EZ29" s="30">
        <f>Producción!FA15*EY8</f>
        <v>-352778.78449999989</v>
      </c>
      <c r="FA29" s="30">
        <f>Producción!FB15*EZ8</f>
        <v>-325649.85355000006</v>
      </c>
      <c r="FB29" s="30">
        <f>Producción!FC15*FA8</f>
        <v>-244422.43760000018</v>
      </c>
      <c r="FC29" s="30">
        <f>Producción!FD15*FB8</f>
        <v>-496543.26695000019</v>
      </c>
      <c r="FD29" s="30">
        <f>Producción!FE15*FC8</f>
        <v>-417466.76990000001</v>
      </c>
      <c r="FE29" s="30">
        <f>Producción!FF15*FD8</f>
        <v>-171519.41599999997</v>
      </c>
      <c r="FF29" s="30">
        <f>Producción!FG15*FE8</f>
        <v>-143883.71980000005</v>
      </c>
      <c r="FG29" s="30">
        <f>Producción!FH15*FF8</f>
        <v>0</v>
      </c>
      <c r="FH29" s="30">
        <f>Producción!FI15*FG8</f>
        <v>0</v>
      </c>
      <c r="FI29" s="30">
        <f>Producción!FJ15*FH8</f>
        <v>0</v>
      </c>
      <c r="FJ29" s="30">
        <f>Producción!FK15*FI8</f>
        <v>0</v>
      </c>
      <c r="FK29" s="30">
        <f>Producción!FL15*FJ8</f>
        <v>-214914.82404999994</v>
      </c>
      <c r="FL29" s="30">
        <f>Producción!FM15*FK8</f>
        <v>-352778.78449999989</v>
      </c>
      <c r="FM29" s="30">
        <f>Producción!FN15*FL8</f>
        <v>-325649.85355000006</v>
      </c>
      <c r="FN29" s="30">
        <f>Producción!FO15*FM8</f>
        <v>-244422.43760000018</v>
      </c>
      <c r="FO29" s="30">
        <f>Producción!FP15*FN8</f>
        <v>-496543.26695000019</v>
      </c>
      <c r="FP29" s="30">
        <f>Producción!FQ15*FO8</f>
        <v>-417466.76990000001</v>
      </c>
      <c r="FQ29" s="30">
        <f>Producción!FR15*FP8</f>
        <v>-171519.41599999997</v>
      </c>
      <c r="FR29" s="30">
        <f>Producción!FS15*FQ8</f>
        <v>-143883.71980000005</v>
      </c>
      <c r="FS29" s="30">
        <f>Producción!FT15*FR8</f>
        <v>0</v>
      </c>
      <c r="FT29" s="30">
        <f>Producción!FU15*FS8</f>
        <v>0</v>
      </c>
      <c r="FU29" s="30">
        <f>Producción!FV15*FT8</f>
        <v>0</v>
      </c>
      <c r="FV29" s="30">
        <f>Producción!FW15*FU8</f>
        <v>0</v>
      </c>
      <c r="FW29" s="30">
        <f>Producción!FX15*FV8</f>
        <v>-214914.82404999994</v>
      </c>
      <c r="FX29" s="30">
        <f>Producción!FY15*FW8</f>
        <v>-352778.78449999989</v>
      </c>
      <c r="FY29" s="30">
        <f>Producción!FZ15*FX8</f>
        <v>-325649.85355000006</v>
      </c>
      <c r="FZ29" s="30">
        <f>Producción!GA15*FY8</f>
        <v>-244422.43760000018</v>
      </c>
      <c r="GA29" s="30">
        <f>Producción!GB15*FZ8</f>
        <v>-496543.26695000019</v>
      </c>
      <c r="GB29" s="30">
        <f>Producción!GC15*GA8</f>
        <v>-417466.76990000001</v>
      </c>
      <c r="GC29" s="30">
        <f>Producción!GD15*GB8</f>
        <v>-171519.41599999997</v>
      </c>
      <c r="GD29" s="30">
        <f>Producción!GE15*GC8</f>
        <v>-143883.71980000005</v>
      </c>
      <c r="GE29" s="30">
        <f>Producción!GF15*GD8</f>
        <v>0</v>
      </c>
      <c r="GF29" s="30">
        <f>Producción!GG15*GE8</f>
        <v>0</v>
      </c>
      <c r="GG29" s="30">
        <f>Producción!GH15*GF8</f>
        <v>0</v>
      </c>
      <c r="GH29" s="30">
        <f>Producción!GI15*GG8</f>
        <v>0</v>
      </c>
      <c r="GI29" s="30">
        <f>Producción!GJ15*GH8</f>
        <v>-214914.82404999994</v>
      </c>
      <c r="GJ29" s="30">
        <f>Producción!GK15*GI8</f>
        <v>-352778.78449999989</v>
      </c>
      <c r="GK29" s="30">
        <f>Producción!GL15*GJ8</f>
        <v>-325649.85355000006</v>
      </c>
      <c r="GL29" s="30">
        <f>Producción!GM15*GK8</f>
        <v>-244422.43760000018</v>
      </c>
      <c r="GM29" s="30">
        <f>Producción!GN15*GL8</f>
        <v>-496543.26695000019</v>
      </c>
      <c r="GN29" s="30">
        <f>Producción!GO15*GM8</f>
        <v>-417466.76990000001</v>
      </c>
      <c r="GO29" s="30">
        <f>Producción!GP15*GN8</f>
        <v>-171519.41599999997</v>
      </c>
      <c r="GP29" s="30">
        <f>Producción!GQ15*GO8</f>
        <v>-143883.71980000005</v>
      </c>
      <c r="GQ29" s="30">
        <f>Producción!GR15*GP8</f>
        <v>0</v>
      </c>
      <c r="GR29" s="30">
        <f>Producción!GS15*GQ8</f>
        <v>0</v>
      </c>
      <c r="GS29" s="30">
        <f>Producción!GT15*GR8</f>
        <v>0</v>
      </c>
      <c r="GT29" s="30">
        <f>Producción!GU15*GS8</f>
        <v>0</v>
      </c>
      <c r="GU29" s="30">
        <f>Producción!GV15*GT8</f>
        <v>-214914.82404999994</v>
      </c>
      <c r="GV29" s="30">
        <f>Producción!GW15*GU8</f>
        <v>-352778.78449999989</v>
      </c>
      <c r="GW29" s="30">
        <f>Producción!GX15*GV8</f>
        <v>-325649.85355000006</v>
      </c>
      <c r="GX29" s="30">
        <f>Producción!GY15*GW8</f>
        <v>-244422.43760000018</v>
      </c>
      <c r="GY29" s="30">
        <f>Producción!GZ15*GX8</f>
        <v>-496543.26695000019</v>
      </c>
      <c r="GZ29" s="30">
        <f>Producción!HA15*GY8</f>
        <v>-417466.76990000001</v>
      </c>
      <c r="HA29" s="30">
        <f>Producción!HB15*GZ8</f>
        <v>-171519.41599999997</v>
      </c>
      <c r="HB29" s="30">
        <f>Producción!HC15*HA8</f>
        <v>-143883.71980000005</v>
      </c>
      <c r="HC29" s="30">
        <f>Producción!HD15*HB8</f>
        <v>0</v>
      </c>
      <c r="HD29" s="30">
        <f>Producción!HE15*HC8</f>
        <v>0</v>
      </c>
      <c r="HE29" s="30">
        <f>Producción!HF15*HD8</f>
        <v>0</v>
      </c>
      <c r="HF29" s="30">
        <f>Producción!HG15*HE8</f>
        <v>0</v>
      </c>
      <c r="HG29" s="30">
        <f>Producción!HH15*HF8</f>
        <v>-214914.82404999994</v>
      </c>
      <c r="HH29" s="30">
        <f>Producción!HI15*HG8</f>
        <v>-352778.78449999989</v>
      </c>
      <c r="HI29" s="30">
        <f>Producción!HJ15*HH8</f>
        <v>-325649.85355000006</v>
      </c>
      <c r="HJ29" s="30">
        <f>Producción!HK15*HI8</f>
        <v>-244422.43760000018</v>
      </c>
      <c r="HK29" s="30">
        <f>Producción!HL15*HJ8</f>
        <v>-496543.26695000019</v>
      </c>
      <c r="HL29" s="30">
        <f>Producción!HM15*HK8</f>
        <v>-417466.76990000001</v>
      </c>
      <c r="HM29" s="30">
        <f>Producción!HN15*HL8</f>
        <v>-171519.41599999997</v>
      </c>
      <c r="HN29" s="30">
        <f>Producción!HO15*HM8</f>
        <v>-143883.71980000005</v>
      </c>
      <c r="HO29" s="30">
        <f>Producción!HP15*HN8</f>
        <v>0</v>
      </c>
      <c r="HP29" s="30">
        <f>Producción!HQ15*HO8</f>
        <v>0</v>
      </c>
      <c r="HQ29" s="30">
        <f>Producción!HR15*HP8</f>
        <v>0</v>
      </c>
      <c r="HR29" s="30">
        <f>Producción!HS15*HQ8</f>
        <v>0</v>
      </c>
      <c r="HS29" s="30">
        <f>Producción!HT15*HR8</f>
        <v>-214914.82404999994</v>
      </c>
      <c r="HT29" s="30">
        <f>Producción!HU15*HS8</f>
        <v>-352778.78449999989</v>
      </c>
      <c r="HU29" s="30">
        <f>Producción!HV15*HT8</f>
        <v>-325649.85355000006</v>
      </c>
      <c r="HV29" s="30">
        <f>Producción!HW15*HU8</f>
        <v>-244422.43760000018</v>
      </c>
      <c r="HW29" s="30">
        <f>Producción!HX15*HV8</f>
        <v>-496543.26695000019</v>
      </c>
      <c r="HX29" s="30">
        <f>Producción!HY15*HW8</f>
        <v>-417466.76990000001</v>
      </c>
      <c r="HY29" s="30">
        <f>Producción!HZ15*HX8</f>
        <v>-171519.41599999997</v>
      </c>
      <c r="HZ29" s="30">
        <f>Producción!IA15*HY8</f>
        <v>-143883.71980000005</v>
      </c>
      <c r="IA29" s="30">
        <f>Producción!IB15*HZ8</f>
        <v>0</v>
      </c>
      <c r="IB29" s="30">
        <f>Producción!IC15*IA8</f>
        <v>0</v>
      </c>
      <c r="IC29" s="30">
        <f>Producción!ID15*IB8</f>
        <v>0</v>
      </c>
      <c r="ID29" s="30">
        <f>Producción!IE15*IC8</f>
        <v>0</v>
      </c>
      <c r="IE29" s="30">
        <f>Producción!IF15*ID8</f>
        <v>-214914.82404999994</v>
      </c>
      <c r="IF29" s="30">
        <f>Producción!IG15*IE8</f>
        <v>-352778.78449999989</v>
      </c>
      <c r="IG29" s="30">
        <f>Producción!IH15*IF8</f>
        <v>-325649.85355000006</v>
      </c>
      <c r="IH29" s="30">
        <f>Producción!II15*IG8</f>
        <v>-244422.43760000018</v>
      </c>
    </row>
    <row r="30" spans="1:242" x14ac:dyDescent="0.3">
      <c r="A30" t="s">
        <v>919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</row>
    <row r="31" spans="1:242" x14ac:dyDescent="0.3">
      <c r="A31" t="s">
        <v>940</v>
      </c>
      <c r="B31" s="11"/>
      <c r="C31" s="30"/>
      <c r="D31" s="30"/>
      <c r="E31" s="30"/>
      <c r="F31" s="30"/>
      <c r="G31" s="30"/>
      <c r="H31" s="30"/>
      <c r="I31" s="30"/>
      <c r="J31" s="30"/>
      <c r="K31" s="30">
        <f ca="1">+J14*J7</f>
        <v>278021.6345918703</v>
      </c>
      <c r="L31" s="30">
        <f t="shared" ref="L31:BP31" ca="1" si="26">+K14*K7</f>
        <v>252552.48776191767</v>
      </c>
      <c r="M31" s="30">
        <f t="shared" ca="1" si="26"/>
        <v>244867.4362589386</v>
      </c>
      <c r="N31" s="30">
        <f t="shared" ca="1" si="26"/>
        <v>246135.54614909223</v>
      </c>
      <c r="O31" s="30">
        <f t="shared" ca="1" si="26"/>
        <v>261918.16683016066</v>
      </c>
      <c r="P31" s="30">
        <f t="shared" ca="1" si="26"/>
        <v>258074.98628871058</v>
      </c>
      <c r="Q31" s="30">
        <f t="shared" ca="1" si="26"/>
        <v>241516.47068493298</v>
      </c>
      <c r="R31" s="30">
        <f t="shared" ca="1" si="26"/>
        <v>217744.71900205518</v>
      </c>
      <c r="S31" s="30">
        <f t="shared" ca="1" si="26"/>
        <v>208097.43366792329</v>
      </c>
      <c r="T31" s="30">
        <f t="shared" ca="1" si="26"/>
        <v>219977.06364712282</v>
      </c>
      <c r="U31" s="30">
        <f t="shared" ca="1" si="26"/>
        <v>260327.03479212502</v>
      </c>
      <c r="V31" s="30">
        <f t="shared" ca="1" si="26"/>
        <v>239997.6239497932</v>
      </c>
      <c r="W31" s="30">
        <f t="shared" ca="1" si="26"/>
        <v>285777.87080589251</v>
      </c>
      <c r="X31" s="30">
        <f t="shared" ca="1" si="26"/>
        <v>259598.18675723489</v>
      </c>
      <c r="Y31" s="30">
        <f t="shared" ca="1" si="26"/>
        <v>251698.73800110121</v>
      </c>
      <c r="Z31" s="30">
        <f t="shared" ca="1" si="26"/>
        <v>253002.2255692108</v>
      </c>
      <c r="AA31" s="30">
        <f t="shared" ca="1" si="26"/>
        <v>269225.149157851</v>
      </c>
      <c r="AB31" s="30">
        <f t="shared" ca="1" si="26"/>
        <v>265545.43911267107</v>
      </c>
      <c r="AC31" s="30">
        <f t="shared" ca="1" si="26"/>
        <v>248507.60696825653</v>
      </c>
      <c r="AD31" s="30">
        <f t="shared" ca="1" si="26"/>
        <v>224047.73842429265</v>
      </c>
      <c r="AE31" s="30">
        <f t="shared" ca="1" si="26"/>
        <v>214121.19475906738</v>
      </c>
      <c r="AF31" s="30">
        <f t="shared" ca="1" si="26"/>
        <v>226344.70237089586</v>
      </c>
      <c r="AG31" s="30">
        <f t="shared" ca="1" si="26"/>
        <v>267862.67728186434</v>
      </c>
      <c r="AH31" s="30">
        <f t="shared" ca="1" si="26"/>
        <v>246944.79443447484</v>
      </c>
      <c r="AI31" s="30">
        <f t="shared" ca="1" si="26"/>
        <v>294050.23432584631</v>
      </c>
      <c r="AJ31" s="30">
        <f t="shared" ca="1" si="26"/>
        <v>267112.73140661861</v>
      </c>
      <c r="AK31" s="30">
        <f t="shared" ca="1" si="26"/>
        <v>258984.61864814741</v>
      </c>
      <c r="AL31" s="30">
        <f t="shared" ca="1" si="26"/>
        <v>260325.83804964466</v>
      </c>
      <c r="AM31" s="30">
        <f t="shared" ca="1" si="26"/>
        <v>277018.36385382112</v>
      </c>
      <c r="AN31" s="30">
        <f t="shared" ca="1" si="26"/>
        <v>273231.85161840945</v>
      </c>
      <c r="AO31" s="30">
        <f t="shared" ca="1" si="26"/>
        <v>255700.84660496312</v>
      </c>
      <c r="AP31" s="30">
        <f t="shared" ca="1" si="26"/>
        <v>230532.96876476245</v>
      </c>
      <c r="AQ31" s="30">
        <f t="shared" ca="1" si="26"/>
        <v>220319.09382537901</v>
      </c>
      <c r="AR31" s="30">
        <f t="shared" ca="1" si="26"/>
        <v>232896.4200608129</v>
      </c>
      <c r="AS31" s="30">
        <f t="shared" ca="1" si="26"/>
        <v>275616.16398967517</v>
      </c>
      <c r="AT31" s="30">
        <f t="shared" ca="1" si="26"/>
        <v>263167.54004692117</v>
      </c>
      <c r="AU31" s="30">
        <f t="shared" ca="1" si="26"/>
        <v>302561.739573272</v>
      </c>
      <c r="AV31" s="30">
        <f t="shared" ca="1" si="26"/>
        <v>274844.51036688389</v>
      </c>
      <c r="AW31" s="30">
        <f t="shared" ca="1" si="26"/>
        <v>266481.12326981546</v>
      </c>
      <c r="AX31" s="30">
        <f t="shared" ca="1" si="26"/>
        <v>267861.16527589236</v>
      </c>
      <c r="AY31" s="30">
        <f t="shared" ca="1" si="26"/>
        <v>285036.86879730748</v>
      </c>
      <c r="AZ31" s="30">
        <f t="shared" ca="1" si="26"/>
        <v>281140.45797929069</v>
      </c>
      <c r="BA31" s="30">
        <f t="shared" ca="1" si="26"/>
        <v>263102.02377360064</v>
      </c>
      <c r="BB31" s="30">
        <f t="shared" ca="1" si="26"/>
        <v>237205.66996107853</v>
      </c>
      <c r="BC31" s="30">
        <f t="shared" ca="1" si="26"/>
        <v>226696.15776038609</v>
      </c>
      <c r="BD31" s="30">
        <f t="shared" ca="1" si="26"/>
        <v>239637.53057999117</v>
      </c>
      <c r="BE31" s="30">
        <f t="shared" ca="1" si="26"/>
        <v>283593.78349040088</v>
      </c>
      <c r="BF31" s="30">
        <f t="shared" ca="1" si="26"/>
        <v>261447.42999503168</v>
      </c>
      <c r="BG31" s="30">
        <f t="shared" ca="1" si="26"/>
        <v>311319.28992465005</v>
      </c>
      <c r="BH31" s="30">
        <f t="shared" ca="1" si="26"/>
        <v>282799.7946064992</v>
      </c>
      <c r="BI31" s="30">
        <f t="shared" ca="1" si="26"/>
        <v>274194.33201200014</v>
      </c>
      <c r="BJ31" s="30">
        <f t="shared" ca="1" si="26"/>
        <v>275614.31888147019</v>
      </c>
      <c r="BK31" s="30">
        <f t="shared" ca="1" si="26"/>
        <v>293287.16750993434</v>
      </c>
      <c r="BL31" s="30">
        <f t="shared" ca="1" si="26"/>
        <v>288089.67340216337</v>
      </c>
      <c r="BM31" s="30">
        <f t="shared" ca="1" si="26"/>
        <v>269605.36610482499</v>
      </c>
      <c r="BN31" s="30">
        <f t="shared" ca="1" si="26"/>
        <v>243068.90754678319</v>
      </c>
      <c r="BO31" s="30">
        <f t="shared" ca="1" si="26"/>
        <v>232299.62176246333</v>
      </c>
      <c r="BP31" s="30">
        <f t="shared" ca="1" si="26"/>
        <v>245560.87877176324</v>
      </c>
      <c r="BQ31" s="30">
        <f t="shared" ref="BQ31:EB31" ca="1" si="27">+BP14*BP7</f>
        <v>290603.64008744562</v>
      </c>
      <c r="BR31" s="30">
        <f t="shared" ca="1" si="27"/>
        <v>267909.87416208844</v>
      </c>
      <c r="BS31" s="30">
        <f t="shared" ca="1" si="27"/>
        <v>319014.46416791581</v>
      </c>
      <c r="BT31" s="30">
        <f t="shared" ca="1" si="27"/>
        <v>289790.02542702906</v>
      </c>
      <c r="BU31" s="30">
        <f t="shared" ca="1" si="27"/>
        <v>280971.85344942502</v>
      </c>
      <c r="BV31" s="30">
        <f t="shared" ca="1" si="27"/>
        <v>282426.93948151468</v>
      </c>
      <c r="BW31" s="30">
        <f t="shared" ca="1" si="27"/>
        <v>300536.62467607739</v>
      </c>
      <c r="BX31" s="30">
        <f t="shared" ca="1" si="27"/>
        <v>295202.81533822708</v>
      </c>
      <c r="BY31" s="30">
        <f t="shared" ca="1" si="27"/>
        <v>276262.11715452664</v>
      </c>
      <c r="BZ31" s="30">
        <f t="shared" ca="1" si="27"/>
        <v>249070.45428466509</v>
      </c>
      <c r="CA31" s="30">
        <f t="shared" ca="1" si="27"/>
        <v>238035.26706268088</v>
      </c>
      <c r="CB31" s="30">
        <f t="shared" ca="1" si="27"/>
        <v>251623.95407751971</v>
      </c>
      <c r="CC31" s="30">
        <f t="shared" ca="1" si="27"/>
        <v>297778.85367517179</v>
      </c>
      <c r="CD31" s="30">
        <f t="shared" ca="1" si="27"/>
        <v>274524.76229217305</v>
      </c>
      <c r="CE31" s="30">
        <f t="shared" ca="1" si="27"/>
        <v>326891.16150484525</v>
      </c>
      <c r="CF31" s="30">
        <f t="shared" ca="1" si="27"/>
        <v>296945.15028164483</v>
      </c>
      <c r="CG31" s="30">
        <f t="shared" ca="1" si="27"/>
        <v>287909.2512742845</v>
      </c>
      <c r="CH31" s="30">
        <f t="shared" ca="1" si="27"/>
        <v>289400.26443056861</v>
      </c>
      <c r="CI31" s="30">
        <f t="shared" ca="1" si="27"/>
        <v>307957.09082143009</v>
      </c>
      <c r="CJ31" s="30">
        <f t="shared" ca="1" si="27"/>
        <v>302483.46508439281</v>
      </c>
      <c r="CK31" s="30">
        <f t="shared" ca="1" si="27"/>
        <v>283075.62843771605</v>
      </c>
      <c r="CL31" s="30">
        <f t="shared" ca="1" si="27"/>
        <v>255213.33181002786</v>
      </c>
      <c r="CM31" s="30">
        <f t="shared" ca="1" si="27"/>
        <v>243905.98142132521</v>
      </c>
      <c r="CN31" s="30">
        <f t="shared" ca="1" si="27"/>
        <v>257829.8091107269</v>
      </c>
      <c r="CO31" s="30">
        <f t="shared" ca="1" si="27"/>
        <v>305123.03680208279</v>
      </c>
      <c r="CP31" s="30">
        <f t="shared" ca="1" si="27"/>
        <v>291341.68999557802</v>
      </c>
      <c r="CQ31" s="30">
        <f t="shared" ca="1" si="27"/>
        <v>334953.34766423941</v>
      </c>
      <c r="CR31" s="30">
        <f t="shared" ca="1" si="27"/>
        <v>304268.77160465339</v>
      </c>
      <c r="CS31" s="30">
        <f t="shared" ca="1" si="27"/>
        <v>295010.01830053108</v>
      </c>
      <c r="CT31" s="30">
        <f t="shared" ca="1" si="27"/>
        <v>296537.8046310324</v>
      </c>
      <c r="CU31" s="30">
        <f t="shared" ca="1" si="27"/>
        <v>315552.30197329546</v>
      </c>
      <c r="CV31" s="30">
        <f t="shared" ca="1" si="27"/>
        <v>309935.27128152386</v>
      </c>
      <c r="CW31" s="30">
        <f t="shared" ca="1" si="27"/>
        <v>290049.31449245766</v>
      </c>
      <c r="CX31" s="30">
        <f t="shared" ca="1" si="27"/>
        <v>261500.61857805619</v>
      </c>
      <c r="CY31" s="30">
        <f t="shared" ca="1" si="27"/>
        <v>249914.70690113187</v>
      </c>
      <c r="CZ31" s="30">
        <f t="shared" ca="1" si="27"/>
        <v>264181.55388725683</v>
      </c>
      <c r="DA31" s="30">
        <f t="shared" ca="1" si="27"/>
        <v>312639.86994830082</v>
      </c>
      <c r="DB31" s="30">
        <f t="shared" ca="1" si="27"/>
        <v>288225.25482026621</v>
      </c>
      <c r="DC31" s="30">
        <f t="shared" ca="1" si="27"/>
        <v>343205.06294784287</v>
      </c>
      <c r="DD31" s="30">
        <f t="shared" ca="1" si="27"/>
        <v>311764.55957178882</v>
      </c>
      <c r="DE31" s="30">
        <f t="shared" ca="1" si="27"/>
        <v>302277.71302220569</v>
      </c>
      <c r="DF31" s="30">
        <f t="shared" ca="1" si="27"/>
        <v>303843.13700553653</v>
      </c>
      <c r="DG31" s="30">
        <f t="shared" ca="1" si="27"/>
        <v>323326.06441253342</v>
      </c>
      <c r="DH31" s="30">
        <f t="shared" ca="1" si="27"/>
        <v>317561.95073190698</v>
      </c>
      <c r="DI31" s="30">
        <f t="shared" ca="1" si="27"/>
        <v>297186.65364488994</v>
      </c>
      <c r="DJ31" s="30">
        <f t="shared" ca="1" si="27"/>
        <v>267935.45055353717</v>
      </c>
      <c r="DK31" s="30">
        <f t="shared" ca="1" si="27"/>
        <v>256064.4405264477</v>
      </c>
      <c r="DL31" s="30">
        <f t="shared" ca="1" si="27"/>
        <v>270682.35652217886</v>
      </c>
      <c r="DM31" s="30">
        <f t="shared" ca="1" si="27"/>
        <v>320333.10235016997</v>
      </c>
      <c r="DN31" s="30">
        <f t="shared" ca="1" si="27"/>
        <v>295317.70873469161</v>
      </c>
      <c r="DO31" s="30">
        <f t="shared" ca="1" si="27"/>
        <v>351650.42313556466</v>
      </c>
      <c r="DP31" s="30">
        <f t="shared" ca="1" si="27"/>
        <v>319436.25292250834</v>
      </c>
      <c r="DQ31" s="30">
        <f t="shared" ca="1" si="27"/>
        <v>309715.96041071025</v>
      </c>
      <c r="DR31" s="30">
        <f t="shared" ca="1" si="27"/>
        <v>311319.90529834293</v>
      </c>
      <c r="DS31" s="30">
        <f t="shared" ca="1" si="27"/>
        <v>331282.25552634965</v>
      </c>
      <c r="DT31" s="30">
        <f t="shared" ca="1" si="27"/>
        <v>323645.76915645512</v>
      </c>
      <c r="DU31" s="30">
        <f t="shared" ca="1" si="27"/>
        <v>312976.12841503351</v>
      </c>
      <c r="DV31" s="30">
        <f t="shared" ca="1" si="27"/>
        <v>273068.52971151017</v>
      </c>
      <c r="DW31" s="30">
        <f t="shared" ca="1" si="27"/>
        <v>269669.09932803182</v>
      </c>
      <c r="DX31" s="30">
        <f t="shared" ca="1" si="27"/>
        <v>275868.06061555113</v>
      </c>
      <c r="DY31" s="30">
        <f t="shared" ca="1" si="27"/>
        <v>326470.01020572061</v>
      </c>
      <c r="DZ31" s="30">
        <f t="shared" ca="1" si="27"/>
        <v>300975.37431255623</v>
      </c>
      <c r="EA31" s="30">
        <f t="shared" ca="1" si="27"/>
        <v>358387.30492616171</v>
      </c>
      <c r="EB31" s="30">
        <f t="shared" ca="1" si="27"/>
        <v>325555.97903112893</v>
      </c>
      <c r="EC31" s="30">
        <f t="shared" ref="EC31:GN31" ca="1" si="28">+EB14*EB7</f>
        <v>315649.46617857856</v>
      </c>
      <c r="ED31" s="30">
        <f t="shared" ca="1" si="28"/>
        <v>317284.13927353226</v>
      </c>
      <c r="EE31" s="30">
        <f t="shared" ca="1" si="28"/>
        <v>337628.92610590713</v>
      </c>
      <c r="EF31" s="30">
        <f t="shared" ca="1" si="28"/>
        <v>329808.81093081733</v>
      </c>
      <c r="EG31" s="30">
        <f t="shared" ca="1" si="28"/>
        <v>318935.99298804323</v>
      </c>
      <c r="EH31" s="30">
        <f t="shared" ca="1" si="28"/>
        <v>278268.45171346341</v>
      </c>
      <c r="EI31" s="30">
        <f t="shared" ca="1" si="28"/>
        <v>274804.28749608685</v>
      </c>
      <c r="EJ31" s="30">
        <f t="shared" ca="1" si="28"/>
        <v>281121.29283365578</v>
      </c>
      <c r="EK31" s="30">
        <f t="shared" ca="1" si="28"/>
        <v>332686.8327404891</v>
      </c>
      <c r="EL31" s="30">
        <f t="shared" ca="1" si="28"/>
        <v>317660.52509748976</v>
      </c>
      <c r="EM31" s="30">
        <f t="shared" ca="1" si="28"/>
        <v>365211.91424337274</v>
      </c>
      <c r="EN31" s="30">
        <f t="shared" ca="1" si="28"/>
        <v>331755.39607863658</v>
      </c>
      <c r="EO31" s="30">
        <f t="shared" ca="1" si="28"/>
        <v>321660.23792814935</v>
      </c>
      <c r="EP31" s="30">
        <f t="shared" ca="1" si="28"/>
        <v>323326.03937246435</v>
      </c>
      <c r="EQ31" s="30">
        <f t="shared" ca="1" si="28"/>
        <v>344058.2428902642</v>
      </c>
      <c r="ER31" s="30">
        <f t="shared" ca="1" si="28"/>
        <v>336050.35401940055</v>
      </c>
      <c r="ES31" s="30">
        <f t="shared" ca="1" si="28"/>
        <v>324971.77091985993</v>
      </c>
      <c r="ET31" s="30">
        <f t="shared" ca="1" si="28"/>
        <v>283534.60735879344</v>
      </c>
      <c r="EU31" s="30">
        <f t="shared" ca="1" si="28"/>
        <v>280004.88476483</v>
      </c>
      <c r="EV31" s="30">
        <f t="shared" ca="1" si="28"/>
        <v>286441.43773029267</v>
      </c>
      <c r="EW31" s="30">
        <f t="shared" ca="1" si="28"/>
        <v>338982.84161815856</v>
      </c>
      <c r="EX31" s="30">
        <f t="shared" ca="1" si="28"/>
        <v>312511.05599950592</v>
      </c>
      <c r="EY31" s="30">
        <f t="shared" ca="1" si="28"/>
        <v>372123.45154518279</v>
      </c>
      <c r="EZ31" s="30">
        <f t="shared" ca="1" si="28"/>
        <v>338033.77776786668</v>
      </c>
      <c r="FA31" s="30">
        <f t="shared" ca="1" si="28"/>
        <v>327747.57146313367</v>
      </c>
      <c r="FB31" s="30">
        <f t="shared" ca="1" si="28"/>
        <v>329444.89775198628</v>
      </c>
      <c r="FC31" s="30">
        <f t="shared" ca="1" si="28"/>
        <v>350569.45264818752</v>
      </c>
      <c r="FD31" s="30">
        <f t="shared" ca="1" si="28"/>
        <v>342369.56176346104</v>
      </c>
      <c r="FE31" s="30">
        <f t="shared" ca="1" si="28"/>
        <v>331082.65313389641</v>
      </c>
      <c r="FF31" s="30">
        <f t="shared" ca="1" si="28"/>
        <v>288866.29073630116</v>
      </c>
      <c r="FG31" s="30">
        <f t="shared" ca="1" si="28"/>
        <v>285270.19401095127</v>
      </c>
      <c r="FH31" s="30">
        <f t="shared" ca="1" si="28"/>
        <v>291827.78215717751</v>
      </c>
      <c r="FI31" s="30">
        <f t="shared" ca="1" si="28"/>
        <v>345357.19287902175</v>
      </c>
      <c r="FJ31" s="30">
        <f t="shared" ca="1" si="28"/>
        <v>318387.62259601842</v>
      </c>
      <c r="FK31" s="30">
        <f t="shared" ca="1" si="28"/>
        <v>379120.99036228238</v>
      </c>
      <c r="FL31" s="30">
        <f t="shared" ca="1" si="28"/>
        <v>344390.28250197991</v>
      </c>
      <c r="FM31" s="30">
        <f t="shared" ca="1" si="28"/>
        <v>333910.65079608181</v>
      </c>
      <c r="FN31" s="30">
        <f t="shared" ca="1" si="28"/>
        <v>335639.89419884427</v>
      </c>
      <c r="FO31" s="30">
        <f t="shared" ca="1" si="28"/>
        <v>357161.68257298495</v>
      </c>
      <c r="FP31" s="30">
        <f t="shared" ca="1" si="28"/>
        <v>348765.47665354767</v>
      </c>
      <c r="FQ31" s="30">
        <f t="shared" ca="1" si="28"/>
        <v>337267.71368694719</v>
      </c>
      <c r="FR31" s="30">
        <f t="shared" ca="1" si="28"/>
        <v>294262.69396983646</v>
      </c>
      <c r="FS31" s="30">
        <f t="shared" ca="1" si="28"/>
        <v>290599.41741555143</v>
      </c>
      <c r="FT31" s="30">
        <f t="shared" ca="1" si="28"/>
        <v>297279.50995571824</v>
      </c>
      <c r="FU31" s="30">
        <f t="shared" ca="1" si="28"/>
        <v>351808.92065808037</v>
      </c>
      <c r="FV31" s="30">
        <f t="shared" ca="1" si="28"/>
        <v>324335.52323792205</v>
      </c>
      <c r="FW31" s="30">
        <f t="shared" ca="1" si="28"/>
        <v>386203.47040201735</v>
      </c>
      <c r="FX31" s="30">
        <f t="shared" ca="1" si="28"/>
        <v>350823.94712014875</v>
      </c>
      <c r="FY31" s="30">
        <f t="shared" ca="1" si="28"/>
        <v>340148.54207468987</v>
      </c>
      <c r="FZ31" s="30">
        <f t="shared" ca="1" si="28"/>
        <v>341910.090024537</v>
      </c>
      <c r="GA31" s="30">
        <f t="shared" ca="1" si="28"/>
        <v>363833.93378588685</v>
      </c>
      <c r="GB31" s="30">
        <f t="shared" ca="1" si="28"/>
        <v>355237.01383145241</v>
      </c>
      <c r="GC31" s="30">
        <f t="shared" ca="1" si="28"/>
        <v>343525.90348536056</v>
      </c>
      <c r="GD31" s="30">
        <f t="shared" ca="1" si="28"/>
        <v>299722.90173572121</v>
      </c>
      <c r="GE31" s="30">
        <f t="shared" ca="1" si="28"/>
        <v>295991.6510498178</v>
      </c>
      <c r="GF31" s="30">
        <f t="shared" ca="1" si="28"/>
        <v>302795.6964182299</v>
      </c>
      <c r="GG31" s="30">
        <f t="shared" ca="1" si="28"/>
        <v>358336.93063029146</v>
      </c>
      <c r="GH31" s="30">
        <f t="shared" ca="1" si="28"/>
        <v>342152.09723864641</v>
      </c>
      <c r="GI31" s="30">
        <f t="shared" ca="1" si="28"/>
        <v>393369.69035281031</v>
      </c>
      <c r="GJ31" s="30">
        <f t="shared" ca="1" si="28"/>
        <v>357333.68036115589</v>
      </c>
      <c r="GK31" s="30">
        <f t="shared" ca="1" si="28"/>
        <v>346460.18724429799</v>
      </c>
      <c r="GL31" s="30">
        <f t="shared" ca="1" si="28"/>
        <v>348254.42169499217</v>
      </c>
      <c r="GM31" s="30">
        <f t="shared" ca="1" si="28"/>
        <v>370585.07455724716</v>
      </c>
      <c r="GN31" s="30">
        <f t="shared" ca="1" si="28"/>
        <v>361782.9543110432</v>
      </c>
      <c r="GO31" s="30">
        <f t="shared" ref="GO31:IH31" ca="1" si="29">+GN14*GN7</f>
        <v>349856.04372936039</v>
      </c>
      <c r="GP31" s="30">
        <f t="shared" ca="1" si="29"/>
        <v>305245.88554298616</v>
      </c>
      <c r="GQ31" s="30">
        <f t="shared" ca="1" si="29"/>
        <v>301445.87922646606</v>
      </c>
      <c r="GR31" s="30">
        <f t="shared" ca="1" si="29"/>
        <v>308375.30250953214</v>
      </c>
      <c r="GS31" s="30">
        <f t="shared" ca="1" si="29"/>
        <v>364939.99317224283</v>
      </c>
      <c r="GT31" s="30">
        <f t="shared" ca="1" si="29"/>
        <v>336441.16645637562</v>
      </c>
      <c r="GU31" s="30">
        <f t="shared" ca="1" si="29"/>
        <v>400618.30037728901</v>
      </c>
      <c r="GV31" s="30">
        <f t="shared" ca="1" si="29"/>
        <v>363918.25604421535</v>
      </c>
      <c r="GW31" s="30">
        <f t="shared" ca="1" si="29"/>
        <v>352844.39743621531</v>
      </c>
      <c r="GX31" s="30">
        <f t="shared" ca="1" si="29"/>
        <v>354671.69418465276</v>
      </c>
      <c r="GY31" s="30">
        <f t="shared" ca="1" si="29"/>
        <v>377413.8332344818</v>
      </c>
      <c r="GZ31" s="30">
        <f t="shared" ca="1" si="29"/>
        <v>368401.93790696113</v>
      </c>
      <c r="HA31" s="30">
        <f t="shared" ca="1" si="29"/>
        <v>356256.81907486351</v>
      </c>
      <c r="HB31" s="30">
        <f t="shared" ca="1" si="29"/>
        <v>310830.49776712491</v>
      </c>
      <c r="HC31" s="30">
        <f t="shared" ca="1" si="29"/>
        <v>306960.96860776853</v>
      </c>
      <c r="HD31" s="30">
        <f t="shared" ca="1" si="29"/>
        <v>314017.16883953603</v>
      </c>
      <c r="HE31" s="30">
        <f t="shared" ca="1" si="29"/>
        <v>371616.73622914409</v>
      </c>
      <c r="HF31" s="30">
        <f t="shared" ca="1" si="29"/>
        <v>342596.51052449801</v>
      </c>
      <c r="HG31" s="30">
        <f t="shared" ca="1" si="29"/>
        <v>407947.79428191896</v>
      </c>
      <c r="HH31" s="30">
        <f t="shared" ca="1" si="29"/>
        <v>370576.30595593335</v>
      </c>
      <c r="HI31" s="30">
        <f t="shared" ca="1" si="29"/>
        <v>359299.84607112792</v>
      </c>
      <c r="HJ31" s="30">
        <f t="shared" ca="1" si="29"/>
        <v>361160.57404416741</v>
      </c>
      <c r="HK31" s="30">
        <f t="shared" ca="1" si="29"/>
        <v>384318.790865249</v>
      </c>
      <c r="HL31" s="30">
        <f t="shared" ca="1" si="29"/>
        <v>375092.45585975412</v>
      </c>
      <c r="HM31" s="30">
        <f t="shared" ca="1" si="29"/>
        <v>362726.77050174034</v>
      </c>
      <c r="HN31" s="30">
        <f t="shared" ca="1" si="29"/>
        <v>316475.46542772325</v>
      </c>
      <c r="HO31" s="30">
        <f t="shared" ca="1" si="29"/>
        <v>312535.66206064518</v>
      </c>
      <c r="HP31" s="30">
        <f t="shared" ca="1" si="29"/>
        <v>319720.00937708159</v>
      </c>
      <c r="HQ31" s="30">
        <f t="shared" ca="1" si="29"/>
        <v>378365.63787560444</v>
      </c>
      <c r="HR31" s="30">
        <f t="shared" ca="1" si="29"/>
        <v>348818.37818689691</v>
      </c>
      <c r="HS31" s="30">
        <f t="shared" ca="1" si="29"/>
        <v>415356.50135048712</v>
      </c>
      <c r="HT31" s="30">
        <f t="shared" ca="1" si="29"/>
        <v>377306.31243191479</v>
      </c>
      <c r="HU31" s="30">
        <f t="shared" ca="1" si="29"/>
        <v>365825.06166644266</v>
      </c>
      <c r="HV31" s="30">
        <f t="shared" ca="1" si="29"/>
        <v>367719.5821704868</v>
      </c>
      <c r="HW31" s="30">
        <f t="shared" ca="1" si="29"/>
        <v>391298.37350395124</v>
      </c>
      <c r="HX31" s="30">
        <f t="shared" ca="1" si="29"/>
        <v>381852.84314559866</v>
      </c>
      <c r="HY31" s="30">
        <f t="shared" ca="1" si="29"/>
        <v>369264.28787706239</v>
      </c>
      <c r="HZ31" s="30">
        <f t="shared" ca="1" si="29"/>
        <v>322179.38369996712</v>
      </c>
      <c r="IA31" s="30">
        <f t="shared" ca="1" si="29"/>
        <v>318168.57224894752</v>
      </c>
      <c r="IB31" s="30">
        <f t="shared" ca="1" si="29"/>
        <v>325482.40489492437</v>
      </c>
      <c r="IC31" s="30">
        <f t="shared" ca="1" si="29"/>
        <v>385185.01855824614</v>
      </c>
      <c r="ID31" s="30">
        <f t="shared" ca="1" si="29"/>
        <v>367787.55037276662</v>
      </c>
      <c r="IE31" s="30">
        <f t="shared" ca="1" si="29"/>
        <v>422842.57782831567</v>
      </c>
      <c r="IF31" s="30">
        <f t="shared" ca="1" si="29"/>
        <v>384106.60062109458</v>
      </c>
      <c r="IG31" s="30">
        <f t="shared" ca="1" si="29"/>
        <v>372418.42033601226</v>
      </c>
      <c r="IH31" s="30">
        <f t="shared" ca="1" si="29"/>
        <v>374347.08626774553</v>
      </c>
    </row>
    <row r="32" spans="1:242" x14ac:dyDescent="0.3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69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</row>
    <row r="33" spans="1:242" x14ac:dyDescent="0.3">
      <c r="A33" s="6" t="s">
        <v>920</v>
      </c>
      <c r="C33" s="31">
        <f t="shared" ref="C33:BN33" si="30">+SUM(C25:C31)</f>
        <v>0</v>
      </c>
      <c r="D33" s="31">
        <f>+SUM(D25:D31)</f>
        <v>0</v>
      </c>
      <c r="E33" s="31">
        <f t="shared" si="30"/>
        <v>0</v>
      </c>
      <c r="F33" s="31">
        <f t="shared" si="30"/>
        <v>0</v>
      </c>
      <c r="G33" s="31">
        <f t="shared" si="30"/>
        <v>0</v>
      </c>
      <c r="H33" s="31">
        <f t="shared" si="30"/>
        <v>0</v>
      </c>
      <c r="I33" s="31">
        <f t="shared" si="30"/>
        <v>0</v>
      </c>
      <c r="J33" s="31">
        <f>+SUM(J25:J31)</f>
        <v>0</v>
      </c>
      <c r="K33" s="31">
        <f ca="1">+SUM(K25:K31)</f>
        <v>231585.47838297766</v>
      </c>
      <c r="L33" s="31">
        <f ca="1">+SUM(L25:L31)</f>
        <v>61819.136351211084</v>
      </c>
      <c r="M33" s="31">
        <f ca="1">+SUM(M25:M31)</f>
        <v>72708.209834147652</v>
      </c>
      <c r="N33" s="31">
        <f t="shared" ca="1" si="30"/>
        <v>148733.0273718579</v>
      </c>
      <c r="O33" s="31">
        <f t="shared" ca="1" si="30"/>
        <v>-64940.194173358788</v>
      </c>
      <c r="P33" s="31">
        <f t="shared" ca="1" si="30"/>
        <v>-24703.60203632919</v>
      </c>
      <c r="Q33" s="31">
        <f t="shared" ca="1" si="30"/>
        <v>90862.725961582852</v>
      </c>
      <c r="R33" s="31">
        <f t="shared" ca="1" si="30"/>
        <v>81085.96206346032</v>
      </c>
      <c r="S33" s="31">
        <f t="shared" ca="1" si="30"/>
        <v>575655.63968525792</v>
      </c>
      <c r="T33" s="31">
        <f t="shared" ca="1" si="30"/>
        <v>531147.1941902882</v>
      </c>
      <c r="U33" s="31">
        <f t="shared" ca="1" si="30"/>
        <v>595213.45195472543</v>
      </c>
      <c r="V33" s="31">
        <f t="shared" ca="1" si="30"/>
        <v>439170.32490310539</v>
      </c>
      <c r="W33" s="31">
        <f t="shared" ca="1" si="30"/>
        <v>241940.78085180093</v>
      </c>
      <c r="X33" s="31">
        <f t="shared" ca="1" si="30"/>
        <v>73017.563332399906</v>
      </c>
      <c r="Y33" s="31">
        <f t="shared" ca="1" si="30"/>
        <v>82190.331268766546</v>
      </c>
      <c r="Z33" s="31">
        <f t="shared" ca="1" si="30"/>
        <v>158543.76973105944</v>
      </c>
      <c r="AA33" s="31">
        <f t="shared" ca="1" si="30"/>
        <v>-55521.924268973991</v>
      </c>
      <c r="AB33" s="31">
        <f t="shared" ca="1" si="30"/>
        <v>-32777.306295601069</v>
      </c>
      <c r="AC33" s="31">
        <f t="shared" ca="1" si="30"/>
        <v>88421.462337956298</v>
      </c>
      <c r="AD33" s="31">
        <f t="shared" ca="1" si="30"/>
        <v>78969.668249628216</v>
      </c>
      <c r="AE33" s="31">
        <f t="shared" ca="1" si="30"/>
        <v>592706.14695692214</v>
      </c>
      <c r="AF33" s="31">
        <f t="shared" ca="1" si="30"/>
        <v>546849.93683035614</v>
      </c>
      <c r="AG33" s="31">
        <f t="shared" ca="1" si="30"/>
        <v>612795.6869593428</v>
      </c>
      <c r="AH33" s="31">
        <f t="shared" ca="1" si="30"/>
        <v>452092.67641638638</v>
      </c>
      <c r="AI33" s="31">
        <f t="shared" ca="1" si="30"/>
        <v>245436.07839160931</v>
      </c>
      <c r="AJ33" s="31">
        <f t="shared" ca="1" si="30"/>
        <v>69318.389481042454</v>
      </c>
      <c r="AK33" s="31">
        <f t="shared" ca="1" si="30"/>
        <v>92206.556199042709</v>
      </c>
      <c r="AL33" s="31">
        <f t="shared" ca="1" si="30"/>
        <v>168899.76703874877</v>
      </c>
      <c r="AM33" s="31">
        <f t="shared" ca="1" si="30"/>
        <v>-45554.083369008673</v>
      </c>
      <c r="AN33" s="31">
        <f t="shared" ca="1" si="30"/>
        <v>-41454.415557266097</v>
      </c>
      <c r="AO33" s="31">
        <f t="shared" ca="1" si="30"/>
        <v>85653.690692241827</v>
      </c>
      <c r="AP33" s="31">
        <f t="shared" ca="1" si="30"/>
        <v>76567.028430550767</v>
      </c>
      <c r="AQ33" s="31">
        <f t="shared" ca="1" si="30"/>
        <v>610261.59458916949</v>
      </c>
      <c r="AR33" s="31">
        <f t="shared" ca="1" si="30"/>
        <v>563016.81155405706</v>
      </c>
      <c r="AS33" s="31">
        <f t="shared" ca="1" si="30"/>
        <v>630897.16395747801</v>
      </c>
      <c r="AT33" s="31">
        <f t="shared" ca="1" si="30"/>
        <v>474469.85848829005</v>
      </c>
      <c r="AU33" s="31">
        <f t="shared" ca="1" si="30"/>
        <v>248854.10801540915</v>
      </c>
      <c r="AV33" s="31">
        <f t="shared" ca="1" si="30"/>
        <v>65219.223395644512</v>
      </c>
      <c r="AW33" s="31">
        <f t="shared" ca="1" si="30"/>
        <v>102515.31543243764</v>
      </c>
      <c r="AX33" s="31">
        <f t="shared" ca="1" si="30"/>
        <v>179558.45063706962</v>
      </c>
      <c r="AY33" s="31">
        <f t="shared" ca="1" si="30"/>
        <v>-35295.713435407146</v>
      </c>
      <c r="AZ33" s="31">
        <f t="shared" ca="1" si="30"/>
        <v>-50770.928587068105</v>
      </c>
      <c r="BA33" s="31">
        <f t="shared" ca="1" si="30"/>
        <v>82537.104892810021</v>
      </c>
      <c r="BB33" s="31">
        <f t="shared" ca="1" si="30"/>
        <v>73858.446959817811</v>
      </c>
      <c r="BC33" s="31">
        <f t="shared" ca="1" si="30"/>
        <v>628336.93354709027</v>
      </c>
      <c r="BD33" s="31">
        <f t="shared" ca="1" si="30"/>
        <v>579661.53381803259</v>
      </c>
      <c r="BE33" s="31">
        <f t="shared" ca="1" si="30"/>
        <v>649533.2134572377</v>
      </c>
      <c r="BF33" s="31">
        <f t="shared" ca="1" si="30"/>
        <v>479088.81798964157</v>
      </c>
      <c r="BG33" s="31">
        <f t="shared" ca="1" si="30"/>
        <v>252183.62592717254</v>
      </c>
      <c r="BH33" s="31">
        <f t="shared" ca="1" si="30"/>
        <v>60693.778498831845</v>
      </c>
      <c r="BI33" s="31">
        <f t="shared" ca="1" si="30"/>
        <v>113125.14642470097</v>
      </c>
      <c r="BJ33" s="31">
        <f t="shared" ca="1" si="30"/>
        <v>190528.66130588279</v>
      </c>
      <c r="BK33" s="31">
        <f t="shared" ca="1" si="30"/>
        <v>-24738.353782961785</v>
      </c>
      <c r="BL33" s="31">
        <f t="shared" ca="1" si="30"/>
        <v>-61952.812705369841</v>
      </c>
      <c r="BM33" s="31">
        <f t="shared" ca="1" si="30"/>
        <v>77936.33395238861</v>
      </c>
      <c r="BN33" s="31">
        <f t="shared" ca="1" si="30"/>
        <v>69820.848175610852</v>
      </c>
      <c r="BO33" s="31">
        <f t="shared" ref="BO33:DZ33" ca="1" si="31">+SUM(BO25:BO31)</f>
        <v>645989.62082276866</v>
      </c>
      <c r="BP33" s="31">
        <f t="shared" ca="1" si="31"/>
        <v>595785.60210694594</v>
      </c>
      <c r="BQ33" s="31">
        <f t="shared" ca="1" si="31"/>
        <v>667521.25295328756</v>
      </c>
      <c r="BR33" s="31">
        <f t="shared" ca="1" si="31"/>
        <v>492080.50379653671</v>
      </c>
      <c r="BS33" s="31">
        <f t="shared" ca="1" si="31"/>
        <v>254097.08658299135</v>
      </c>
      <c r="BT33" s="31">
        <f t="shared" ca="1" si="31"/>
        <v>54519.259782476351</v>
      </c>
      <c r="BU33" s="31">
        <f t="shared" ca="1" si="31"/>
        <v>111991.98333698255</v>
      </c>
      <c r="BV33" s="31">
        <f t="shared" ca="1" si="31"/>
        <v>200654.85068105967</v>
      </c>
      <c r="BW33" s="31">
        <f t="shared" ca="1" si="31"/>
        <v>-15112.623848805553</v>
      </c>
      <c r="BX33" s="31">
        <f t="shared" ca="1" si="31"/>
        <v>-73923.391193925054</v>
      </c>
      <c r="BY33" s="31">
        <f t="shared" ca="1" si="31"/>
        <v>72871.490047033993</v>
      </c>
      <c r="BZ33" s="31">
        <f t="shared" ca="1" si="31"/>
        <v>65374.51246849008</v>
      </c>
      <c r="CA33" s="31">
        <f t="shared" ca="1" si="31"/>
        <v>664135.96609479527</v>
      </c>
      <c r="CB33" s="31">
        <f t="shared" ca="1" si="31"/>
        <v>612355.4191127579</v>
      </c>
      <c r="CC33" s="31">
        <f t="shared" ca="1" si="31"/>
        <v>686003.99492698908</v>
      </c>
      <c r="CD33" s="31">
        <f t="shared" ca="1" si="31"/>
        <v>505420.51081565476</v>
      </c>
      <c r="CE33" s="31">
        <f t="shared" ca="1" si="31"/>
        <v>255818.23674147431</v>
      </c>
      <c r="CF33" s="31">
        <f t="shared" ca="1" si="31"/>
        <v>47789.614161417499</v>
      </c>
      <c r="CG33" s="31">
        <f t="shared" ca="1" si="31"/>
        <v>108431.70329281423</v>
      </c>
      <c r="CH33" s="31">
        <f t="shared" ca="1" si="31"/>
        <v>211041.15146849994</v>
      </c>
      <c r="CI33" s="31">
        <f t="shared" ca="1" si="31"/>
        <v>-20419.779257710557</v>
      </c>
      <c r="CJ33" s="31">
        <f t="shared" ca="1" si="31"/>
        <v>-86728.095777186449</v>
      </c>
      <c r="CK33" s="31">
        <f t="shared" ca="1" si="31"/>
        <v>224974.02630237548</v>
      </c>
      <c r="CL33" s="31">
        <f t="shared" ca="1" si="31"/>
        <v>206040.37083800248</v>
      </c>
      <c r="CM33" s="31">
        <f t="shared" ca="1" si="31"/>
        <v>682789.70142440312</v>
      </c>
      <c r="CN33" s="31">
        <f t="shared" ca="1" si="31"/>
        <v>629383.21809702227</v>
      </c>
      <c r="CO33" s="31">
        <f t="shared" ca="1" si="31"/>
        <v>704994.93229145452</v>
      </c>
      <c r="CP33" s="31">
        <f t="shared" ca="1" si="31"/>
        <v>529164.31097476417</v>
      </c>
      <c r="CQ33" s="31">
        <f t="shared" ca="1" si="31"/>
        <v>257329.80801452359</v>
      </c>
      <c r="CR33" s="31">
        <f t="shared" ca="1" si="31"/>
        <v>40470.589519164234</v>
      </c>
      <c r="CS33" s="31">
        <f t="shared" ca="1" si="31"/>
        <v>104448.44802567945</v>
      </c>
      <c r="CT33" s="31">
        <f t="shared" ca="1" si="31"/>
        <v>219492.58116312031</v>
      </c>
      <c r="CU33" s="31">
        <f t="shared" ca="1" si="31"/>
        <v>-30924.070129525673</v>
      </c>
      <c r="CV33" s="31">
        <f t="shared" ca="1" si="31"/>
        <v>-100414.78294603841</v>
      </c>
      <c r="CW33" s="31">
        <f t="shared" ca="1" si="31"/>
        <v>235350.24677305686</v>
      </c>
      <c r="CX33" s="31">
        <f t="shared" ca="1" si="31"/>
        <v>215168.98037087006</v>
      </c>
      <c r="CY33" s="31">
        <f t="shared" ca="1" si="31"/>
        <v>701964.93850430218</v>
      </c>
      <c r="CZ33" s="31">
        <f t="shared" ca="1" si="31"/>
        <v>646881.56514314096</v>
      </c>
      <c r="DA33" s="31">
        <f t="shared" ca="1" si="31"/>
        <v>724507.92230235378</v>
      </c>
      <c r="DB33" s="31">
        <f t="shared" ca="1" si="31"/>
        <v>533182.55442882795</v>
      </c>
      <c r="DC33" s="31">
        <f t="shared" ca="1" si="31"/>
        <v>258613.46860801964</v>
      </c>
      <c r="DD33" s="31">
        <f t="shared" ca="1" si="31"/>
        <v>32526.0531479973</v>
      </c>
      <c r="DE33" s="31">
        <f t="shared" ca="1" si="31"/>
        <v>100014.6149924745</v>
      </c>
      <c r="DF33" s="31">
        <f t="shared" ca="1" si="31"/>
        <v>220531.76831959942</v>
      </c>
      <c r="DG33" s="31">
        <f t="shared" ca="1" si="31"/>
        <v>-42205.204570743837</v>
      </c>
      <c r="DH33" s="31">
        <f t="shared" ca="1" si="31"/>
        <v>-115033.85898962442</v>
      </c>
      <c r="DI33" s="31">
        <f t="shared" ca="1" si="31"/>
        <v>245992.19637390709</v>
      </c>
      <c r="DJ33" s="31">
        <f t="shared" ca="1" si="31"/>
        <v>224530.37479413545</v>
      </c>
      <c r="DK33" s="31">
        <f t="shared" ca="1" si="31"/>
        <v>721676.17907771305</v>
      </c>
      <c r="DL33" s="31">
        <f t="shared" ca="1" si="31"/>
        <v>664863.36811573966</v>
      </c>
      <c r="DM33" s="31">
        <f t="shared" ca="1" si="31"/>
        <v>744557.19627484446</v>
      </c>
      <c r="DN33" s="31">
        <f t="shared" ca="1" si="31"/>
        <v>547623.72733151028</v>
      </c>
      <c r="DO33" s="31">
        <f t="shared" ca="1" si="31"/>
        <v>259649.76503990006</v>
      </c>
      <c r="DP33" s="31">
        <f t="shared" ca="1" si="31"/>
        <v>23917.893486478424</v>
      </c>
      <c r="DQ33" s="31">
        <f t="shared" ca="1" si="31"/>
        <v>95101.054761121282</v>
      </c>
      <c r="DR33" s="31">
        <f t="shared" ca="1" si="31"/>
        <v>221356.66761214071</v>
      </c>
      <c r="DS33" s="31">
        <f t="shared" ca="1" si="31"/>
        <v>-54308.587529666082</v>
      </c>
      <c r="DT33" s="31">
        <f t="shared" ca="1" si="31"/>
        <v>-132359.93141722184</v>
      </c>
      <c r="DU33" s="31">
        <f t="shared" ca="1" si="31"/>
        <v>265391.41990592121</v>
      </c>
      <c r="DV33" s="31">
        <f t="shared" ca="1" si="31"/>
        <v>232677.81327332641</v>
      </c>
      <c r="DW33" s="31">
        <f t="shared" ca="1" si="31"/>
        <v>749249.19003583514</v>
      </c>
      <c r="DX33" s="31">
        <f t="shared" ca="1" si="31"/>
        <v>681874.50255691865</v>
      </c>
      <c r="DY33" s="31">
        <f t="shared" ca="1" si="31"/>
        <v>763420.82694813539</v>
      </c>
      <c r="DZ33" s="31">
        <f t="shared" ca="1" si="31"/>
        <v>560850.57346727944</v>
      </c>
      <c r="EA33" s="31">
        <f t="shared" ref="EA33:GL33" ca="1" si="32">+SUM(EA25:EA31)</f>
        <v>258511.74536569809</v>
      </c>
      <c r="EB33" s="31">
        <f t="shared" ca="1" si="32"/>
        <v>12874.236101517337</v>
      </c>
      <c r="EC33" s="31">
        <f t="shared" ca="1" si="32"/>
        <v>87998.002946587862</v>
      </c>
      <c r="ED33" s="31">
        <f t="shared" ca="1" si="32"/>
        <v>220261.8501200726</v>
      </c>
      <c r="EE33" s="31">
        <f t="shared" ca="1" si="32"/>
        <v>-69077.960045191285</v>
      </c>
      <c r="EF33" s="31">
        <f t="shared" ca="1" si="32"/>
        <v>-150830.67804859433</v>
      </c>
      <c r="EG33" s="31">
        <f t="shared" ca="1" si="32"/>
        <v>275069.32570365758</v>
      </c>
      <c r="EH33" s="31">
        <f t="shared" ca="1" si="32"/>
        <v>240982.52537613414</v>
      </c>
      <c r="EI33" s="31">
        <f t="shared" ca="1" si="32"/>
        <v>768771.78092512419</v>
      </c>
      <c r="EJ33" s="31">
        <f t="shared" ca="1" si="32"/>
        <v>699307.92803326435</v>
      </c>
      <c r="EK33" s="31">
        <f t="shared" ca="1" si="32"/>
        <v>782746.17398517625</v>
      </c>
      <c r="EL33" s="31">
        <f t="shared" ca="1" si="32"/>
        <v>585331.98022685468</v>
      </c>
      <c r="EM33" s="31">
        <f t="shared" ca="1" si="32"/>
        <v>256969.4620880697</v>
      </c>
      <c r="EN33" s="31">
        <f t="shared" ca="1" si="32"/>
        <v>980.47651511069853</v>
      </c>
      <c r="EO33" s="31">
        <f t="shared" ca="1" si="32"/>
        <v>80251.214865639166</v>
      </c>
      <c r="EP33" s="31">
        <f t="shared" ca="1" si="32"/>
        <v>218814.91949089596</v>
      </c>
      <c r="EQ33" s="31">
        <f t="shared" ca="1" si="32"/>
        <v>-84875.58353893942</v>
      </c>
      <c r="ER33" s="31">
        <f t="shared" ca="1" si="32"/>
        <v>-170509.61788734427</v>
      </c>
      <c r="ES33" s="31">
        <f t="shared" ca="1" si="32"/>
        <v>284934.68609694269</v>
      </c>
      <c r="ET33" s="31">
        <f t="shared" ca="1" si="32"/>
        <v>249446.6148253443</v>
      </c>
      <c r="EU33" s="31">
        <f t="shared" ca="1" si="32"/>
        <v>788791.40299673856</v>
      </c>
      <c r="EV33" s="31">
        <f t="shared" ca="1" si="32"/>
        <v>717173.67198588955</v>
      </c>
      <c r="EW33" s="31">
        <f t="shared" ca="1" si="32"/>
        <v>802543.96310018632</v>
      </c>
      <c r="EX33" s="31">
        <f t="shared" ca="1" si="32"/>
        <v>588212.65478275181</v>
      </c>
      <c r="EY33" s="31">
        <f t="shared" ca="1" si="32"/>
        <v>336135.49234419921</v>
      </c>
      <c r="EZ33" s="31">
        <f t="shared" ca="1" si="32"/>
        <v>115697.39512878342</v>
      </c>
      <c r="FA33" s="31">
        <f t="shared" ca="1" si="32"/>
        <v>128078.88576599269</v>
      </c>
      <c r="FB33" s="31">
        <f t="shared" ca="1" si="32"/>
        <v>224940.11971724985</v>
      </c>
      <c r="FC33" s="31">
        <f t="shared" ca="1" si="32"/>
        <v>-45634.106043974054</v>
      </c>
      <c r="FD33" s="31">
        <f t="shared" ca="1" si="32"/>
        <v>25078.724098197476</v>
      </c>
      <c r="FE33" s="31">
        <f t="shared" ca="1" si="32"/>
        <v>294990.03824629169</v>
      </c>
      <c r="FF33" s="31">
        <f t="shared" ca="1" si="32"/>
        <v>258072.17002084854</v>
      </c>
      <c r="FG33" s="31">
        <f t="shared" ca="1" si="32"/>
        <v>809320.30778981699</v>
      </c>
      <c r="FH33" s="31">
        <f t="shared" ca="1" si="32"/>
        <v>735481.98344044224</v>
      </c>
      <c r="FI33" s="31">
        <f t="shared" ca="1" si="32"/>
        <v>822825.14800551045</v>
      </c>
      <c r="FJ33" s="31">
        <f t="shared" ca="1" si="32"/>
        <v>602360.26934276172</v>
      </c>
      <c r="FK33" s="31">
        <f t="shared" ca="1" si="32"/>
        <v>348500.83710676932</v>
      </c>
      <c r="FL33" s="31">
        <f t="shared" ca="1" si="32"/>
        <v>125967.17191872414</v>
      </c>
      <c r="FM33" s="31">
        <f t="shared" ca="1" si="32"/>
        <v>138021.4001345266</v>
      </c>
      <c r="FN33" s="31">
        <f t="shared" ca="1" si="32"/>
        <v>235332.64595106576</v>
      </c>
      <c r="FO33" s="31">
        <f t="shared" ca="1" si="32"/>
        <v>-36031.684871441452</v>
      </c>
      <c r="FP33" s="31">
        <f t="shared" ca="1" si="32"/>
        <v>34479.916955326218</v>
      </c>
      <c r="FQ33" s="31">
        <f t="shared" ca="1" si="32"/>
        <v>305237.90283271426</v>
      </c>
      <c r="FR33" s="31">
        <f t="shared" ca="1" si="32"/>
        <v>266861.26122692029</v>
      </c>
      <c r="FS33" s="31">
        <f t="shared" ca="1" si="32"/>
        <v>830371.03460778319</v>
      </c>
      <c r="FT33" s="31">
        <f t="shared" ca="1" si="32"/>
        <v>754243.33727748087</v>
      </c>
      <c r="FU33" s="31">
        <f t="shared" ca="1" si="32"/>
        <v>843600.91443836363</v>
      </c>
      <c r="FV33" s="31">
        <f t="shared" ca="1" si="32"/>
        <v>616827.3493870676</v>
      </c>
      <c r="FW33" s="31">
        <f t="shared" ca="1" si="32"/>
        <v>361112.15727033885</v>
      </c>
      <c r="FX33" s="31">
        <f t="shared" ca="1" si="32"/>
        <v>136431.50675439529</v>
      </c>
      <c r="FY33" s="31">
        <f t="shared" ca="1" si="32"/>
        <v>148152.10949978803</v>
      </c>
      <c r="FZ33" s="31">
        <f t="shared" ca="1" si="32"/>
        <v>245926.29745732516</v>
      </c>
      <c r="GA33" s="31">
        <f t="shared" ca="1" si="32"/>
        <v>-26258.936673372344</v>
      </c>
      <c r="GB33" s="31">
        <f t="shared" ca="1" si="32"/>
        <v>44046.890439284325</v>
      </c>
      <c r="GC33" s="31">
        <f t="shared" ca="1" si="32"/>
        <v>315680.78078550065</v>
      </c>
      <c r="GD33" s="31">
        <f t="shared" ca="1" si="32"/>
        <v>275815.93760451756</v>
      </c>
      <c r="GE33" s="31">
        <f t="shared" ca="1" si="32"/>
        <v>851956.41675781657</v>
      </c>
      <c r="GF33" s="31">
        <f t="shared" ca="1" si="32"/>
        <v>773468.43855964555</v>
      </c>
      <c r="GG33" s="31">
        <f t="shared" ca="1" si="32"/>
        <v>864882.68422398332</v>
      </c>
      <c r="GH33" s="31">
        <f t="shared" ca="1" si="32"/>
        <v>643418.67817226634</v>
      </c>
      <c r="GI33" s="31">
        <f t="shared" ca="1" si="32"/>
        <v>373973.08254868153</v>
      </c>
      <c r="GJ33" s="31">
        <f t="shared" ca="1" si="32"/>
        <v>147092.83031942984</v>
      </c>
      <c r="GK33" s="31">
        <f t="shared" ca="1" si="32"/>
        <v>158473.35729864909</v>
      </c>
      <c r="GL33" s="31">
        <f t="shared" ca="1" si="32"/>
        <v>256723.78847876398</v>
      </c>
      <c r="GM33" s="31">
        <f t="shared" ref="GM33:IH33" ca="1" si="33">+SUM(GM25:GM31)</f>
        <v>-16314.284007289796</v>
      </c>
      <c r="GN33" s="31">
        <f t="shared" ca="1" si="33"/>
        <v>53781.13031411008</v>
      </c>
      <c r="GO33" s="31">
        <f t="shared" ca="1" si="33"/>
        <v>326321.14982850471</v>
      </c>
      <c r="GP33" s="31">
        <f t="shared" ca="1" si="33"/>
        <v>284938.22408184636</v>
      </c>
      <c r="GQ33" s="31">
        <f t="shared" ca="1" si="33"/>
        <v>874089.58790570474</v>
      </c>
      <c r="GR33" s="31">
        <f t="shared" ca="1" si="33"/>
        <v>793168.22691519023</v>
      </c>
      <c r="GS33" s="31">
        <f t="shared" ca="1" si="33"/>
        <v>886682.11937374552</v>
      </c>
      <c r="GT33" s="31">
        <f t="shared" ca="1" si="33"/>
        <v>646745.74481800408</v>
      </c>
      <c r="GU33" s="31">
        <f t="shared" ca="1" si="33"/>
        <v>387087.23906053632</v>
      </c>
      <c r="GV33" s="31">
        <f t="shared" ca="1" si="33"/>
        <v>157953.54403623752</v>
      </c>
      <c r="GW33" s="31">
        <f t="shared" ca="1" si="33"/>
        <v>168987.45819869693</v>
      </c>
      <c r="GX33" s="31">
        <f t="shared" ca="1" si="33"/>
        <v>267727.81509993772</v>
      </c>
      <c r="GY33" s="31">
        <f t="shared" ca="1" si="33"/>
        <v>-6196.2080784912687</v>
      </c>
      <c r="GZ33" s="31">
        <f t="shared" ca="1" si="33"/>
        <v>63684.062287119974</v>
      </c>
      <c r="HA33" s="31">
        <f t="shared" ca="1" si="33"/>
        <v>337161.46083698212</v>
      </c>
      <c r="HB33" s="31">
        <f t="shared" ca="1" si="33"/>
        <v>294230.11805615091</v>
      </c>
      <c r="HC33" s="31">
        <f t="shared" ca="1" si="33"/>
        <v>896783.98854738439</v>
      </c>
      <c r="HD33" s="31">
        <f t="shared" ca="1" si="33"/>
        <v>813353.88097736402</v>
      </c>
      <c r="HE33" s="31">
        <f t="shared" ca="1" si="33"/>
        <v>909011.12621669169</v>
      </c>
      <c r="HF33" s="31">
        <f t="shared" ca="1" si="33"/>
        <v>662210.2262369754</v>
      </c>
      <c r="HG33" s="31">
        <f t="shared" ca="1" si="33"/>
        <v>400458.24584716372</v>
      </c>
      <c r="HH33" s="31">
        <f t="shared" ca="1" si="33"/>
        <v>169016.01612271616</v>
      </c>
      <c r="HI33" s="31">
        <f t="shared" ca="1" si="33"/>
        <v>179696.69426298398</v>
      </c>
      <c r="HJ33" s="31">
        <f t="shared" ca="1" si="33"/>
        <v>278941.05171491095</v>
      </c>
      <c r="HK33" s="31">
        <f t="shared" ca="1" si="33"/>
        <v>4096.7463213867741</v>
      </c>
      <c r="HL33" s="31">
        <f t="shared" ca="1" si="33"/>
        <v>73757.04706831777</v>
      </c>
      <c r="HM33" s="31">
        <f t="shared" ca="1" si="33"/>
        <v>348204.13399672252</v>
      </c>
      <c r="HN33" s="31">
        <f t="shared" ca="1" si="33"/>
        <v>303693.58591942006</v>
      </c>
      <c r="HO33" s="31">
        <f t="shared" ca="1" si="33"/>
        <v>920053.37259844958</v>
      </c>
      <c r="HP33" s="31">
        <f t="shared" ca="1" si="33"/>
        <v>834036.82287904434</v>
      </c>
      <c r="HQ33" s="31">
        <f t="shared" ca="1" si="33"/>
        <v>931881.85956277861</v>
      </c>
      <c r="HR33" s="31">
        <f t="shared" ca="1" si="33"/>
        <v>678020.50537074869</v>
      </c>
      <c r="HS33" s="31">
        <f t="shared" ca="1" si="33"/>
        <v>414089.71118418919</v>
      </c>
      <c r="HT33" s="31">
        <f t="shared" ca="1" si="33"/>
        <v>180282.57743870109</v>
      </c>
      <c r="HU33" s="31">
        <f t="shared" ca="1" si="33"/>
        <v>190603.31091055443</v>
      </c>
      <c r="HV33" s="31">
        <f t="shared" ca="1" si="33"/>
        <v>290366.14729935263</v>
      </c>
      <c r="HW33" s="31">
        <f t="shared" ca="1" si="33"/>
        <v>14565.965632273117</v>
      </c>
      <c r="HX33" s="31">
        <f t="shared" ca="1" si="33"/>
        <v>84001.375187419239</v>
      </c>
      <c r="HY33" s="31">
        <f t="shared" ca="1" si="33"/>
        <v>359451.55475689407</v>
      </c>
      <c r="HZ33" s="31">
        <f t="shared" ca="1" si="33"/>
        <v>313330.55940041482</v>
      </c>
      <c r="IA33" s="31">
        <f t="shared" ca="1" si="33"/>
        <v>943911.81410288601</v>
      </c>
      <c r="IB33" s="31">
        <f t="shared" ca="1" si="33"/>
        <v>855228.72280194599</v>
      </c>
      <c r="IC33" s="31">
        <f t="shared" ca="1" si="33"/>
        <v>955306.72689603548</v>
      </c>
      <c r="ID33" s="31">
        <f t="shared" ca="1" si="33"/>
        <v>706865.74137213395</v>
      </c>
      <c r="IE33" s="31">
        <f t="shared" ca="1" si="33"/>
        <v>427985.2286785288</v>
      </c>
      <c r="IF33" s="31">
        <f t="shared" ca="1" si="33"/>
        <v>191755.51711308447</v>
      </c>
      <c r="IG33" s="31">
        <f t="shared" ca="1" si="33"/>
        <v>201709.51266394736</v>
      </c>
      <c r="IH33" s="31">
        <f t="shared" ca="1" si="33"/>
        <v>302005.72147847735</v>
      </c>
    </row>
    <row r="34" spans="1:242" x14ac:dyDescent="0.3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</row>
    <row r="35" spans="1:242" x14ac:dyDescent="0.3">
      <c r="C35">
        <v>2024</v>
      </c>
      <c r="D35">
        <v>2025</v>
      </c>
      <c r="E35">
        <v>2026</v>
      </c>
      <c r="F35">
        <v>2027</v>
      </c>
      <c r="G35">
        <v>2028</v>
      </c>
      <c r="H35">
        <v>2029</v>
      </c>
      <c r="I35">
        <v>2030</v>
      </c>
      <c r="J35">
        <v>2031</v>
      </c>
      <c r="K35">
        <v>2032</v>
      </c>
      <c r="L35">
        <v>2033</v>
      </c>
      <c r="M35">
        <v>2034</v>
      </c>
      <c r="N35">
        <v>2035</v>
      </c>
      <c r="O35">
        <v>2036</v>
      </c>
      <c r="P35">
        <v>2037</v>
      </c>
      <c r="Q35">
        <v>2038</v>
      </c>
      <c r="R35">
        <v>2039</v>
      </c>
      <c r="S35">
        <v>2040</v>
      </c>
      <c r="T35">
        <v>2041</v>
      </c>
      <c r="U35">
        <v>2042</v>
      </c>
      <c r="V35">
        <v>2043</v>
      </c>
      <c r="W35">
        <v>2044</v>
      </c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</row>
    <row r="36" spans="1:242" x14ac:dyDescent="0.3">
      <c r="A36" s="6" t="s">
        <v>921</v>
      </c>
      <c r="C36" s="31">
        <f>+SUMIFS(33:33,12:12,C35)</f>
        <v>0</v>
      </c>
      <c r="D36" s="31">
        <f t="shared" ref="D36:M36" ca="1" si="34">+SUMIFS(33:33,12:12,D35)</f>
        <v>1172806.3834408075</v>
      </c>
      <c r="E36" s="31">
        <f t="shared" ca="1" si="34"/>
        <v>2793021.4632120766</v>
      </c>
      <c r="F36" s="31">
        <f t="shared" ca="1" si="34"/>
        <v>2873072.9061022154</v>
      </c>
      <c r="G36" s="31">
        <f t="shared" ca="1" si="34"/>
        <v>2963196.7748576286</v>
      </c>
      <c r="H36" s="31">
        <f t="shared" ca="1" si="34"/>
        <v>3031870.4138839375</v>
      </c>
      <c r="I36" s="31">
        <f t="shared" ca="1" si="34"/>
        <v>3089996.4928078684</v>
      </c>
      <c r="J36" s="31">
        <f t="shared" ca="1" si="34"/>
        <v>3433516.8540494912</v>
      </c>
      <c r="K36" s="31">
        <f t="shared" ca="1" si="34"/>
        <v>3506429.2006583931</v>
      </c>
      <c r="L36" s="31">
        <f t="shared" ca="1" si="34"/>
        <v>3551217.6336278003</v>
      </c>
      <c r="M36" s="31">
        <f t="shared" ca="1" si="34"/>
        <v>3617719.5768899294</v>
      </c>
      <c r="N36" s="31">
        <f t="shared" ref="N36:W36" ca="1" si="35">+SUMIFS(33:33,12:12,N35)</f>
        <v>3650706.7314173393</v>
      </c>
      <c r="O36" s="31">
        <f t="shared" ca="1" si="35"/>
        <v>3692189.657697753</v>
      </c>
      <c r="P36" s="31">
        <f t="shared" ca="1" si="35"/>
        <v>4254609.316936234</v>
      </c>
      <c r="Q36" s="31">
        <f t="shared" ca="1" si="35"/>
        <v>4409407.8866511025</v>
      </c>
      <c r="R36" s="31">
        <f t="shared" ca="1" si="35"/>
        <v>4567534.7609985061</v>
      </c>
      <c r="S36" s="31">
        <f t="shared" ca="1" si="35"/>
        <v>4740848.6677242955</v>
      </c>
      <c r="T36" s="31">
        <f t="shared" ca="1" si="35"/>
        <v>4894015.5691514956</v>
      </c>
      <c r="U36" s="31">
        <f t="shared" ca="1" si="35"/>
        <v>5062492.1272831028</v>
      </c>
      <c r="V36" s="31">
        <f t="shared" ca="1" si="35"/>
        <v>5234542.203725256</v>
      </c>
      <c r="W36" s="31">
        <f t="shared" ca="1" si="35"/>
        <v>3640857.1710041538</v>
      </c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</row>
    <row r="38" spans="1:242" x14ac:dyDescent="0.3">
      <c r="A38" t="s">
        <v>922</v>
      </c>
      <c r="C38" s="31">
        <f t="shared" ref="C38:AH38" si="36">+C19-C33</f>
        <v>0</v>
      </c>
      <c r="D38" s="31">
        <f t="shared" si="36"/>
        <v>0</v>
      </c>
      <c r="E38" s="31">
        <f t="shared" si="36"/>
        <v>0</v>
      </c>
      <c r="F38" s="31">
        <f t="shared" si="36"/>
        <v>0</v>
      </c>
      <c r="G38" s="31">
        <f t="shared" si="36"/>
        <v>0</v>
      </c>
      <c r="H38" s="31">
        <f t="shared" si="36"/>
        <v>0</v>
      </c>
      <c r="I38" s="31">
        <f t="shared" si="36"/>
        <v>0</v>
      </c>
      <c r="J38" s="31">
        <f t="shared" si="36"/>
        <v>0</v>
      </c>
      <c r="K38" s="31">
        <f ca="1">+K19-K33</f>
        <v>1590313.0216170223</v>
      </c>
      <c r="L38" s="31">
        <f t="shared" ca="1" si="36"/>
        <v>1295819.8036487889</v>
      </c>
      <c r="M38" s="31">
        <f t="shared" ca="1" si="36"/>
        <v>1274552.6701658524</v>
      </c>
      <c r="N38" s="31">
        <f t="shared" ca="1" si="36"/>
        <v>1316672.8926281421</v>
      </c>
      <c r="O38" s="31">
        <f t="shared" ca="1" si="36"/>
        <v>1155249.2041733589</v>
      </c>
      <c r="P38" s="31">
        <f t="shared" ca="1" si="36"/>
        <v>1230141.3020363292</v>
      </c>
      <c r="Q38" s="31">
        <f t="shared" ca="1" si="36"/>
        <v>1270177.2740384173</v>
      </c>
      <c r="R38" s="31">
        <f t="shared" ca="1" si="36"/>
        <v>1163089.0379365396</v>
      </c>
      <c r="S38" s="31">
        <f t="shared" ca="1" si="36"/>
        <v>1130022.350314742</v>
      </c>
      <c r="T38" s="31">
        <f t="shared" ca="1" si="36"/>
        <v>1164979.6358097116</v>
      </c>
      <c r="U38" s="31">
        <f t="shared" ca="1" si="36"/>
        <v>1322181.9180452744</v>
      </c>
      <c r="V38" s="31">
        <f t="shared" ca="1" si="36"/>
        <v>1202833.2650968945</v>
      </c>
      <c r="W38" s="31">
        <f t="shared" ca="1" si="36"/>
        <v>1634614.6741481991</v>
      </c>
      <c r="X38" s="31">
        <f t="shared" ca="1" si="36"/>
        <v>1325350.5448676003</v>
      </c>
      <c r="Y38" s="31">
        <f t="shared" ca="1" si="36"/>
        <v>1305488.3751312336</v>
      </c>
      <c r="Z38" s="31">
        <f t="shared" ca="1" si="36"/>
        <v>1350824.3278689405</v>
      </c>
      <c r="AA38" s="31">
        <f t="shared" ca="1" si="36"/>
        <v>1178540.2045689742</v>
      </c>
      <c r="AB38" s="31">
        <f t="shared" ca="1" si="36"/>
        <v>1274378.137295601</v>
      </c>
      <c r="AC38" s="31">
        <f t="shared" ca="1" si="36"/>
        <v>1313449.7376620437</v>
      </c>
      <c r="AD38" s="31">
        <f t="shared" ca="1" si="36"/>
        <v>1202530.5817503717</v>
      </c>
      <c r="AE38" s="31">
        <f t="shared" ca="1" si="36"/>
        <v>1164142.1827430781</v>
      </c>
      <c r="AF38" s="31">
        <f t="shared" ca="1" si="36"/>
        <v>1200160.6980696437</v>
      </c>
      <c r="AG38" s="31">
        <f t="shared" ca="1" si="36"/>
        <v>1362121.5441406572</v>
      </c>
      <c r="AH38" s="31">
        <f t="shared" ca="1" si="36"/>
        <v>1239171.0212836138</v>
      </c>
      <c r="AI38" s="31">
        <f t="shared" ref="AI38:BN38" ca="1" si="37">+AI19-AI33</f>
        <v>1687416.0402583911</v>
      </c>
      <c r="AJ38" s="31">
        <f t="shared" ca="1" si="37"/>
        <v>1371000.7619649577</v>
      </c>
      <c r="AK38" s="31">
        <f t="shared" ca="1" si="37"/>
        <v>1337102.5113929575</v>
      </c>
      <c r="AL38" s="31">
        <f t="shared" ca="1" si="37"/>
        <v>1385749.3734892511</v>
      </c>
      <c r="AM38" s="31">
        <f t="shared" ca="1" si="37"/>
        <v>1202262.912078009</v>
      </c>
      <c r="AN38" s="31">
        <f t="shared" ca="1" si="37"/>
        <v>1320303.2714872663</v>
      </c>
      <c r="AO38" s="31">
        <f t="shared" ca="1" si="37"/>
        <v>1358273.6453077584</v>
      </c>
      <c r="AP38" s="31">
        <f t="shared" ca="1" si="37"/>
        <v>1243378.2290694492</v>
      </c>
      <c r="AQ38" s="31">
        <f t="shared" ca="1" si="37"/>
        <v>1199292.1850018306</v>
      </c>
      <c r="AR38" s="31">
        <f t="shared" ca="1" si="37"/>
        <v>1236404.1423929429</v>
      </c>
      <c r="AS38" s="31">
        <f t="shared" ca="1" si="37"/>
        <v>1403267.5840755221</v>
      </c>
      <c r="AT38" s="31">
        <f t="shared" ca="1" si="37"/>
        <v>1267531.7501427101</v>
      </c>
      <c r="AU38" s="31">
        <f t="shared" ca="1" si="37"/>
        <v>1741983.5741940911</v>
      </c>
      <c r="AV38" s="31">
        <f t="shared" ca="1" si="37"/>
        <v>1418309.5025937357</v>
      </c>
      <c r="AW38" s="31">
        <f t="shared" ca="1" si="37"/>
        <v>1369673.0241873225</v>
      </c>
      <c r="AX38" s="31">
        <f t="shared" ca="1" si="37"/>
        <v>1421730.1641067704</v>
      </c>
      <c r="AY38" s="31">
        <f t="shared" ca="1" si="37"/>
        <v>1226705.8070056774</v>
      </c>
      <c r="AZ38" s="31">
        <f t="shared" ca="1" si="37"/>
        <v>1367985.2501949684</v>
      </c>
      <c r="BA38" s="31">
        <f t="shared" ca="1" si="37"/>
        <v>1404708.05118719</v>
      </c>
      <c r="BB38" s="31">
        <f t="shared" ca="1" si="37"/>
        <v>1285685.1682651823</v>
      </c>
      <c r="BC38" s="31">
        <f t="shared" ca="1" si="37"/>
        <v>1235503.4594316399</v>
      </c>
      <c r="BD38" s="31">
        <f t="shared" ca="1" si="37"/>
        <v>1273742.0487473775</v>
      </c>
      <c r="BE38" s="31">
        <f t="shared" ca="1" si="37"/>
        <v>1445656.4770167526</v>
      </c>
      <c r="BF38" s="31">
        <f t="shared" ca="1" si="37"/>
        <v>1315172.8389002886</v>
      </c>
      <c r="BG38" s="31">
        <f t="shared" ca="1" si="37"/>
        <v>1798379.1867486131</v>
      </c>
      <c r="BH38" s="31">
        <f t="shared" ca="1" si="37"/>
        <v>1467340.8092702299</v>
      </c>
      <c r="BI38" s="31">
        <f t="shared" ca="1" si="37"/>
        <v>1403228.8433836522</v>
      </c>
      <c r="BJ38" s="31">
        <f t="shared" ca="1" si="37"/>
        <v>1458798.6118802724</v>
      </c>
      <c r="BK38" s="31">
        <f t="shared" ca="1" si="37"/>
        <v>1251890.7501603402</v>
      </c>
      <c r="BL38" s="31">
        <f t="shared" ca="1" si="37"/>
        <v>1418683.5639615071</v>
      </c>
      <c r="BM38" s="31">
        <f t="shared" ca="1" si="37"/>
        <v>1453926.1768100113</v>
      </c>
      <c r="BN38" s="31">
        <f t="shared" ca="1" si="37"/>
        <v>1330509.0755061391</v>
      </c>
      <c r="BO38" s="31">
        <f t="shared" ref="BO38:CT38" ca="1" si="38">+BO19-BO33</f>
        <v>1273765.9839453234</v>
      </c>
      <c r="BP38" s="31">
        <f t="shared" ca="1" si="38"/>
        <v>1313220.0879354267</v>
      </c>
      <c r="BQ38" s="31">
        <f t="shared" ca="1" si="38"/>
        <v>1490524.1282349224</v>
      </c>
      <c r="BR38" s="31">
        <f t="shared" ca="1" si="38"/>
        <v>1356009.0028000914</v>
      </c>
      <c r="BS38" s="31">
        <f t="shared" ca="1" si="38"/>
        <v>1857982.610473068</v>
      </c>
      <c r="BT38" s="31">
        <f t="shared" ca="1" si="38"/>
        <v>1519356.3656196571</v>
      </c>
      <c r="BU38" s="31">
        <f t="shared" ca="1" si="38"/>
        <v>1449852.626165621</v>
      </c>
      <c r="BV38" s="31">
        <f t="shared" ca="1" si="38"/>
        <v>1498152.2407006798</v>
      </c>
      <c r="BW38" s="31">
        <f t="shared" ca="1" si="38"/>
        <v>1279079.5921175051</v>
      </c>
      <c r="BX38" s="31">
        <f t="shared" ca="1" si="38"/>
        <v>1471356.0649877465</v>
      </c>
      <c r="BY38" s="31">
        <f t="shared" ca="1" si="38"/>
        <v>1504946.896038238</v>
      </c>
      <c r="BZ38" s="31">
        <f t="shared" ca="1" si="38"/>
        <v>1376965.3089237125</v>
      </c>
      <c r="CA38" s="31">
        <f t="shared" ca="1" si="38"/>
        <v>1313212.3068163395</v>
      </c>
      <c r="CB38" s="31">
        <f t="shared" ca="1" si="38"/>
        <v>1353920.4416308859</v>
      </c>
      <c r="CC38" s="31">
        <f t="shared" ca="1" si="38"/>
        <v>1536782.7476968672</v>
      </c>
      <c r="CD38" s="31">
        <f t="shared" ca="1" si="38"/>
        <v>1398111.6809788723</v>
      </c>
      <c r="CE38" s="31">
        <f t="shared" ca="1" si="38"/>
        <v>1919623.8512262665</v>
      </c>
      <c r="CF38" s="31">
        <f t="shared" ca="1" si="38"/>
        <v>1573302.28000278</v>
      </c>
      <c r="CG38" s="31">
        <f t="shared" ca="1" si="38"/>
        <v>1500268.2444948675</v>
      </c>
      <c r="CH38" s="31">
        <f t="shared" ca="1" si="38"/>
        <v>1538730.1526546921</v>
      </c>
      <c r="CI38" s="31">
        <f t="shared" ca="1" si="38"/>
        <v>1322305.7565744712</v>
      </c>
      <c r="CJ38" s="31">
        <f t="shared" ca="1" si="38"/>
        <v>1526083.7497848226</v>
      </c>
      <c r="CK38" s="31">
        <f t="shared" ca="1" si="38"/>
        <v>1400178.911365455</v>
      </c>
      <c r="CL38" s="31">
        <f t="shared" ca="1" si="38"/>
        <v>1279569.6451959664</v>
      </c>
      <c r="CM38" s="31">
        <f t="shared" ca="1" si="38"/>
        <v>1353879.019674066</v>
      </c>
      <c r="CN38" s="31">
        <f t="shared" ca="1" si="38"/>
        <v>1395880.918468931</v>
      </c>
      <c r="CO38" s="31">
        <f t="shared" ca="1" si="38"/>
        <v>1584475.4126111176</v>
      </c>
      <c r="CP38" s="31">
        <f t="shared" ca="1" si="38"/>
        <v>1431473.8465735987</v>
      </c>
      <c r="CQ38" s="31">
        <f t="shared" ca="1" si="38"/>
        <v>1983375.5425922493</v>
      </c>
      <c r="CR38" s="31">
        <f t="shared" ca="1" si="38"/>
        <v>1629254.0614699593</v>
      </c>
      <c r="CS38" s="31">
        <f t="shared" ca="1" si="38"/>
        <v>1552512.4981956328</v>
      </c>
      <c r="CT38" s="31">
        <f t="shared" ca="1" si="38"/>
        <v>1582771.8620837678</v>
      </c>
      <c r="CU38" s="31">
        <f t="shared" ref="CU38:DR38" ca="1" si="39">+CU19-CU33</f>
        <v>1371866.6267657892</v>
      </c>
      <c r="CV38" s="31">
        <f t="shared" ca="1" si="39"/>
        <v>1582951.1065739039</v>
      </c>
      <c r="CW38" s="31">
        <f t="shared" ca="1" si="39"/>
        <v>1438557.2790248084</v>
      </c>
      <c r="CX38" s="31">
        <f t="shared" ca="1" si="39"/>
        <v>1315009.3361441179</v>
      </c>
      <c r="CY38" s="31">
        <f t="shared" ca="1" si="39"/>
        <v>1395803.844227121</v>
      </c>
      <c r="CZ38" s="31">
        <f t="shared" ca="1" si="39"/>
        <v>1439140.4955197908</v>
      </c>
      <c r="DA38" s="31">
        <f t="shared" ca="1" si="39"/>
        <v>1633646.5329472958</v>
      </c>
      <c r="DB38" s="31">
        <f t="shared" ca="1" si="39"/>
        <v>1486274.7478459859</v>
      </c>
      <c r="DC38" s="31">
        <f t="shared" ca="1" si="39"/>
        <v>2049313.0425169563</v>
      </c>
      <c r="DD38" s="31">
        <f t="shared" ca="1" si="39"/>
        <v>1687290.3373708001</v>
      </c>
      <c r="DE38" s="31">
        <f t="shared" ca="1" si="39"/>
        <v>1606655.1596154773</v>
      </c>
      <c r="DF38" s="31">
        <f t="shared" ca="1" si="39"/>
        <v>1635800.6082246953</v>
      </c>
      <c r="DG38" s="31">
        <f t="shared" ca="1" si="39"/>
        <v>1423376.0379060954</v>
      </c>
      <c r="DH38" s="31">
        <f t="shared" ca="1" si="39"/>
        <v>1642046.272326326</v>
      </c>
      <c r="DI38" s="31">
        <f t="shared" ca="1" si="39"/>
        <v>1478132.5551978943</v>
      </c>
      <c r="DJ38" s="31">
        <f t="shared" ca="1" si="39"/>
        <v>1351553.2912163022</v>
      </c>
      <c r="DK38" s="31">
        <f t="shared" ca="1" si="39"/>
        <v>1439025.6671356529</v>
      </c>
      <c r="DL38" s="31">
        <f t="shared" ca="1" si="39"/>
        <v>1483739.3543670804</v>
      </c>
      <c r="DM38" s="31">
        <f t="shared" ca="1" si="39"/>
        <v>1684341.8926322944</v>
      </c>
      <c r="DN38" s="31">
        <f t="shared" ca="1" si="39"/>
        <v>1532417.2940115482</v>
      </c>
      <c r="DO38" s="31">
        <f t="shared" ca="1" si="39"/>
        <v>2117514.5414188257</v>
      </c>
      <c r="DP38" s="31">
        <f t="shared" ca="1" si="39"/>
        <v>1747492.9887478829</v>
      </c>
      <c r="DQ38" s="31">
        <f t="shared" ca="1" si="39"/>
        <v>1662768.8130850692</v>
      </c>
      <c r="DR38" s="31">
        <f t="shared" ca="1" si="39"/>
        <v>1690665.6802284827</v>
      </c>
      <c r="DS38" s="31">
        <f t="shared" ref="DS38:GD38" ca="1" si="40">+DS19-DS33</f>
        <v>1476914.5458650782</v>
      </c>
      <c r="DT38" s="31">
        <f t="shared" ca="1" si="40"/>
        <v>1705182.7171540244</v>
      </c>
      <c r="DU38" s="31">
        <f t="shared" ca="1" si="40"/>
        <v>1510457.0742130345</v>
      </c>
      <c r="DV38" s="31">
        <f t="shared" ca="1" si="40"/>
        <v>1390688.3627174245</v>
      </c>
      <c r="DW38" s="31">
        <f t="shared" ca="1" si="40"/>
        <v>1476273.7115639315</v>
      </c>
      <c r="DX38" s="31">
        <f t="shared" ca="1" si="40"/>
        <v>1531186.3016003855</v>
      </c>
      <c r="DY38" s="31">
        <f t="shared" ca="1" si="40"/>
        <v>1738345.2346262175</v>
      </c>
      <c r="DZ38" s="31">
        <f t="shared" ca="1" si="40"/>
        <v>1581591.6785160708</v>
      </c>
      <c r="EA38" s="31">
        <f t="shared" ca="1" si="40"/>
        <v>2189967.4902867894</v>
      </c>
      <c r="EB38" s="31">
        <f t="shared" ca="1" si="40"/>
        <v>1811678.9725998747</v>
      </c>
      <c r="EC38" s="31">
        <f t="shared" ca="1" si="40"/>
        <v>1722607.9609349882</v>
      </c>
      <c r="ED38" s="31">
        <f t="shared" ca="1" si="40"/>
        <v>1749121.1681557698</v>
      </c>
      <c r="EE38" s="31">
        <f t="shared" ca="1" si="40"/>
        <v>1534362.0971306656</v>
      </c>
      <c r="EF38" s="31">
        <f t="shared" ca="1" si="40"/>
        <v>1770838.1473575009</v>
      </c>
      <c r="EG38" s="31">
        <f t="shared" ca="1" si="40"/>
        <v>1554054.6232388667</v>
      </c>
      <c r="EH38" s="31">
        <f t="shared" ca="1" si="40"/>
        <v>1431084.6358943393</v>
      </c>
      <c r="EI38" s="31">
        <f t="shared" ca="1" si="40"/>
        <v>1523516.8077226358</v>
      </c>
      <c r="EJ38" s="31">
        <f t="shared" ca="1" si="40"/>
        <v>1580144.7002487592</v>
      </c>
      <c r="EK38" s="31">
        <f t="shared" ca="1" si="40"/>
        <v>1794072.8694364075</v>
      </c>
      <c r="EL38" s="31">
        <f t="shared" ca="1" si="40"/>
        <v>1621383.5393159958</v>
      </c>
      <c r="EM38" s="31">
        <f t="shared" ca="1" si="40"/>
        <v>2264964.1506339917</v>
      </c>
      <c r="EN38" s="31">
        <f t="shared" ca="1" si="40"/>
        <v>1878309.3284473233</v>
      </c>
      <c r="EO38" s="31">
        <f t="shared" ca="1" si="40"/>
        <v>1784672.9279323842</v>
      </c>
      <c r="EP38" s="31">
        <f t="shared" ca="1" si="40"/>
        <v>1809649.5893332218</v>
      </c>
      <c r="EQ38" s="31">
        <f t="shared" ca="1" si="40"/>
        <v>1594118.2447369781</v>
      </c>
      <c r="ER38" s="31">
        <f t="shared" ca="1" si="40"/>
        <v>1839117.311275518</v>
      </c>
      <c r="ES38" s="31">
        <f t="shared" ca="1" si="40"/>
        <v>1599062.9813138572</v>
      </c>
      <c r="ET38" s="31">
        <f t="shared" ca="1" si="40"/>
        <v>1472782.5612832434</v>
      </c>
      <c r="EU38" s="31">
        <f t="shared" ca="1" si="40"/>
        <v>1572265.8433104544</v>
      </c>
      <c r="EV38" s="31">
        <f t="shared" ca="1" si="40"/>
        <v>1630662.5351445947</v>
      </c>
      <c r="EW38" s="31">
        <f t="shared" ca="1" si="40"/>
        <v>1851579.6516240451</v>
      </c>
      <c r="EX38" s="31">
        <f t="shared" ca="1" si="40"/>
        <v>1684704.3303463843</v>
      </c>
      <c r="EY38" s="31">
        <f t="shared" ca="1" si="40"/>
        <v>2261456.1287595243</v>
      </c>
      <c r="EZ38" s="31">
        <f t="shared" ca="1" si="40"/>
        <v>1819971.1039825235</v>
      </c>
      <c r="FA38" s="31">
        <f t="shared" ca="1" si="40"/>
        <v>1792792.9813159714</v>
      </c>
      <c r="FB38" s="31">
        <f t="shared" ca="1" si="40"/>
        <v>1864378.3243715914</v>
      </c>
      <c r="FC38" s="31">
        <f t="shared" ca="1" si="40"/>
        <v>1600154.0470779538</v>
      </c>
      <c r="FD38" s="31">
        <f t="shared" ca="1" si="40"/>
        <v>1693587.2000916218</v>
      </c>
      <c r="FE38" s="31">
        <f t="shared" ca="1" si="40"/>
        <v>1645527.5591868325</v>
      </c>
      <c r="FF38" s="31">
        <f t="shared" ca="1" si="40"/>
        <v>1515823.8813709968</v>
      </c>
      <c r="FG38" s="31">
        <f t="shared" ca="1" si="40"/>
        <v>1622568.6559065916</v>
      </c>
      <c r="FH38" s="31">
        <f t="shared" ca="1" si="40"/>
        <v>1682789.3099039567</v>
      </c>
      <c r="FI38" s="31">
        <f t="shared" ca="1" si="40"/>
        <v>1910922.1751604474</v>
      </c>
      <c r="FJ38" s="31">
        <f t="shared" ca="1" si="40"/>
        <v>1738744.2253402483</v>
      </c>
      <c r="FK38" s="31">
        <f t="shared" ca="1" si="40"/>
        <v>2327018.5326300659</v>
      </c>
      <c r="FL38" s="31">
        <f t="shared" ca="1" si="40"/>
        <v>1867771.3821659221</v>
      </c>
      <c r="FM38" s="31">
        <f t="shared" ca="1" si="40"/>
        <v>1840476.6229598965</v>
      </c>
      <c r="FN38" s="31">
        <f t="shared" ca="1" si="40"/>
        <v>1916665.351460441</v>
      </c>
      <c r="FO38" s="31">
        <f t="shared" ca="1" si="40"/>
        <v>1637187.2241364408</v>
      </c>
      <c r="FP38" s="31">
        <f t="shared" ca="1" si="40"/>
        <v>1735745.9849601877</v>
      </c>
      <c r="FQ38" s="31">
        <f t="shared" ca="1" si="40"/>
        <v>1693495.2225234038</v>
      </c>
      <c r="FR38" s="31">
        <f t="shared" ca="1" si="40"/>
        <v>1560251.6717066807</v>
      </c>
      <c r="FS38" s="31">
        <f t="shared" ca="1" si="40"/>
        <v>1674474.5979995176</v>
      </c>
      <c r="FT38" s="31">
        <f t="shared" ca="1" si="40"/>
        <v>1736576.09486725</v>
      </c>
      <c r="FU38" s="31">
        <f t="shared" ca="1" si="40"/>
        <v>1972158.8284225729</v>
      </c>
      <c r="FV38" s="31">
        <f t="shared" ca="1" si="40"/>
        <v>1794510.2801364327</v>
      </c>
      <c r="FW38" s="31">
        <f t="shared" ca="1" si="40"/>
        <v>2394672.7935586018</v>
      </c>
      <c r="FX38" s="31">
        <f t="shared" ca="1" si="40"/>
        <v>1917119.2039527902</v>
      </c>
      <c r="FY38" s="31">
        <f t="shared" ca="1" si="40"/>
        <v>1889700.8542874679</v>
      </c>
      <c r="FZ38" s="31">
        <f t="shared" ca="1" si="40"/>
        <v>1970631.6398765268</v>
      </c>
      <c r="GA38" s="31">
        <f t="shared" ca="1" si="40"/>
        <v>1675449.1421163215</v>
      </c>
      <c r="GB38" s="31">
        <f t="shared" ca="1" si="40"/>
        <v>1779285.788533695</v>
      </c>
      <c r="GC38" s="31">
        <f t="shared" ca="1" si="40"/>
        <v>1743014.3383313012</v>
      </c>
      <c r="GD38" s="31">
        <f t="shared" ca="1" si="40"/>
        <v>1606110.3833170915</v>
      </c>
      <c r="GE38" s="31">
        <f t="shared" ref="GE38:IH38" ca="1" si="41">+GE19-GE33</f>
        <v>1728034.5848277034</v>
      </c>
      <c r="GF38" s="31">
        <f t="shared" ca="1" si="41"/>
        <v>1792075.5765494269</v>
      </c>
      <c r="GG38" s="31">
        <f t="shared" ca="1" si="41"/>
        <v>2035349.8509227815</v>
      </c>
      <c r="GH38" s="31">
        <f t="shared" ca="1" si="41"/>
        <v>1840259.080236939</v>
      </c>
      <c r="GI38" s="31">
        <f t="shared" ca="1" si="41"/>
        <v>2464485.4168051272</v>
      </c>
      <c r="GJ38" s="31">
        <f t="shared" ca="1" si="41"/>
        <v>1968064.4017089712</v>
      </c>
      <c r="GK38" s="31">
        <f t="shared" ca="1" si="41"/>
        <v>1940515.1954022243</v>
      </c>
      <c r="GL38" s="31">
        <f t="shared" ca="1" si="41"/>
        <v>2026330.8869751038</v>
      </c>
      <c r="GM38" s="31">
        <f t="shared" ca="1" si="41"/>
        <v>1714980.1956135277</v>
      </c>
      <c r="GN38" s="31">
        <f t="shared" ca="1" si="41"/>
        <v>1824251.5290280585</v>
      </c>
      <c r="GO38" s="31">
        <f t="shared" ca="1" si="41"/>
        <v>1794134.8228618009</v>
      </c>
      <c r="GP38" s="31">
        <f t="shared" ca="1" si="41"/>
        <v>1653445.8864674107</v>
      </c>
      <c r="GQ38" s="31">
        <f t="shared" ca="1" si="41"/>
        <v>1783301.143727381</v>
      </c>
      <c r="GR38" s="31">
        <f t="shared" ca="1" si="41"/>
        <v>1849342.1086471549</v>
      </c>
      <c r="GS38" s="31">
        <f t="shared" ca="1" si="41"/>
        <v>2100557.3918274222</v>
      </c>
      <c r="GT38" s="31">
        <f t="shared" ca="1" si="41"/>
        <v>1911442.346343478</v>
      </c>
      <c r="GU38" s="31">
        <f t="shared" ca="1" si="41"/>
        <v>2536525.0152738867</v>
      </c>
      <c r="GV38" s="31">
        <f t="shared" ca="1" si="41"/>
        <v>2020658.4049530155</v>
      </c>
      <c r="GW38" s="31">
        <f t="shared" ca="1" si="41"/>
        <v>1992970.7510832027</v>
      </c>
      <c r="GX38" s="31">
        <f t="shared" ca="1" si="41"/>
        <v>2083818.500617546</v>
      </c>
      <c r="GY38" s="31">
        <f t="shared" ca="1" si="41"/>
        <v>1755822.0970329163</v>
      </c>
      <c r="GZ38" s="31">
        <f t="shared" ca="1" si="41"/>
        <v>1870689.576835314</v>
      </c>
      <c r="HA38" s="31">
        <f t="shared" ca="1" si="41"/>
        <v>1846908.1910340327</v>
      </c>
      <c r="HB38" s="31">
        <f t="shared" ca="1" si="41"/>
        <v>1702305.5158095842</v>
      </c>
      <c r="HC38" s="31">
        <f t="shared" ca="1" si="41"/>
        <v>1840328.4650346939</v>
      </c>
      <c r="HD38" s="31">
        <f t="shared" ca="1" si="41"/>
        <v>1908431.7646518515</v>
      </c>
      <c r="HE38" s="31">
        <f t="shared" ca="1" si="41"/>
        <v>2167845.5703205112</v>
      </c>
      <c r="HF38" s="31">
        <f t="shared" ca="1" si="41"/>
        <v>1972723.507659351</v>
      </c>
      <c r="HG38" s="31">
        <f t="shared" ca="1" si="41"/>
        <v>2610862.3761172923</v>
      </c>
      <c r="HH38" s="31">
        <f t="shared" ca="1" si="41"/>
        <v>2074954.2913362144</v>
      </c>
      <c r="HI38" s="31">
        <f t="shared" ca="1" si="41"/>
        <v>2047120.2612973724</v>
      </c>
      <c r="HJ38" s="31">
        <f t="shared" ca="1" si="41"/>
        <v>2143151.6534740971</v>
      </c>
      <c r="HK38" s="31">
        <f t="shared" ca="1" si="41"/>
        <v>1798017.919301671</v>
      </c>
      <c r="HL38" s="31">
        <f t="shared" ca="1" si="41"/>
        <v>1918647.8012277894</v>
      </c>
      <c r="HM38" s="31">
        <f t="shared" ca="1" si="41"/>
        <v>1901387.6074304229</v>
      </c>
      <c r="HN38" s="31">
        <f t="shared" ca="1" si="41"/>
        <v>1752738.1169622873</v>
      </c>
      <c r="HO38" s="31">
        <f t="shared" ca="1" si="41"/>
        <v>1899172.4545910913</v>
      </c>
      <c r="HP38" s="31">
        <f t="shared" ca="1" si="41"/>
        <v>1969402.3921190477</v>
      </c>
      <c r="HQ38" s="31">
        <f t="shared" ca="1" si="41"/>
        <v>2237280.5378705412</v>
      </c>
      <c r="HR38" s="31">
        <f t="shared" ca="1" si="41"/>
        <v>2035961.2405424677</v>
      </c>
      <c r="HS38" s="31">
        <f t="shared" ca="1" si="41"/>
        <v>2687570.5294392002</v>
      </c>
      <c r="HT38" s="31">
        <f t="shared" ca="1" si="41"/>
        <v>2131006.8392439978</v>
      </c>
      <c r="HU38" s="31">
        <f t="shared" ca="1" si="41"/>
        <v>2103018.1533166124</v>
      </c>
      <c r="HV38" s="31">
        <f t="shared" ca="1" si="41"/>
        <v>2204389.3390453262</v>
      </c>
      <c r="HW38" s="31">
        <f t="shared" ca="1" si="41"/>
        <v>1841612.1399594764</v>
      </c>
      <c r="HX38" s="31">
        <f t="shared" ca="1" si="41"/>
        <v>1968175.618557571</v>
      </c>
      <c r="HY38" s="31">
        <f t="shared" ca="1" si="41"/>
        <v>1957627.9389130657</v>
      </c>
      <c r="HZ38" s="31">
        <f t="shared" ca="1" si="41"/>
        <v>1804794.0945677438</v>
      </c>
      <c r="IA38" s="31">
        <f t="shared" ca="1" si="41"/>
        <v>1959890.787902341</v>
      </c>
      <c r="IB38" s="31">
        <f t="shared" ca="1" si="41"/>
        <v>2032313.6686460888</v>
      </c>
      <c r="IC38" s="31">
        <f t="shared" ca="1" si="41"/>
        <v>2308930.5424602837</v>
      </c>
      <c r="ID38" s="31">
        <f t="shared" ca="1" si="41"/>
        <v>2088535.4569184789</v>
      </c>
      <c r="IE38" s="31">
        <f t="shared" ca="1" si="41"/>
        <v>2766724.8191635627</v>
      </c>
      <c r="IF38" s="31">
        <f t="shared" ca="1" si="41"/>
        <v>2188872.582070095</v>
      </c>
      <c r="IG38" s="31">
        <f t="shared" ca="1" si="41"/>
        <v>2160720.5954900347</v>
      </c>
      <c r="IH38" s="31">
        <f t="shared" ca="1" si="41"/>
        <v>2267592.4294565422</v>
      </c>
    </row>
    <row r="39" spans="1:242" x14ac:dyDescent="0.3">
      <c r="A39" t="s">
        <v>923</v>
      </c>
      <c r="C39" s="31">
        <f>+C38</f>
        <v>0</v>
      </c>
      <c r="D39" s="31">
        <f>+D38+C39</f>
        <v>0</v>
      </c>
      <c r="E39" s="31">
        <f>+D39+E38</f>
        <v>0</v>
      </c>
      <c r="F39" s="31">
        <f t="shared" ref="F39:BQ39" si="42">+E39+F38</f>
        <v>0</v>
      </c>
      <c r="G39" s="31">
        <f t="shared" si="42"/>
        <v>0</v>
      </c>
      <c r="H39" s="31">
        <f t="shared" si="42"/>
        <v>0</v>
      </c>
      <c r="I39" s="31">
        <f t="shared" si="42"/>
        <v>0</v>
      </c>
      <c r="J39" s="31">
        <f t="shared" si="42"/>
        <v>0</v>
      </c>
      <c r="K39" s="31">
        <f ca="1">+J39+K38</f>
        <v>1590313.0216170223</v>
      </c>
      <c r="L39" s="31">
        <f t="shared" ca="1" si="42"/>
        <v>2886132.8252658113</v>
      </c>
      <c r="M39" s="31">
        <f t="shared" ca="1" si="42"/>
        <v>4160685.4954316635</v>
      </c>
      <c r="N39" s="31">
        <f t="shared" ca="1" si="42"/>
        <v>5477358.3880598061</v>
      </c>
      <c r="O39" s="31">
        <f t="shared" ca="1" si="42"/>
        <v>6632607.5922331652</v>
      </c>
      <c r="P39" s="31">
        <f t="shared" ca="1" si="42"/>
        <v>7862748.8942694943</v>
      </c>
      <c r="Q39" s="31">
        <f t="shared" ca="1" si="42"/>
        <v>9132926.1683079116</v>
      </c>
      <c r="R39" s="31">
        <f t="shared" ca="1" si="42"/>
        <v>10296015.206244452</v>
      </c>
      <c r="S39" s="31">
        <f t="shared" ca="1" si="42"/>
        <v>11426037.556559194</v>
      </c>
      <c r="T39" s="31">
        <f t="shared" ca="1" si="42"/>
        <v>12591017.192368906</v>
      </c>
      <c r="U39" s="31">
        <f t="shared" ca="1" si="42"/>
        <v>13913199.110414181</v>
      </c>
      <c r="V39" s="31">
        <f t="shared" ca="1" si="42"/>
        <v>15116032.375511076</v>
      </c>
      <c r="W39" s="31">
        <f t="shared" ca="1" si="42"/>
        <v>16750647.049659275</v>
      </c>
      <c r="X39" s="31">
        <f t="shared" ca="1" si="42"/>
        <v>18075997.594526876</v>
      </c>
      <c r="Y39" s="31">
        <f t="shared" ca="1" si="42"/>
        <v>19381485.96965811</v>
      </c>
      <c r="Z39" s="31">
        <f t="shared" ca="1" si="42"/>
        <v>20732310.297527052</v>
      </c>
      <c r="AA39" s="31">
        <f t="shared" ca="1" si="42"/>
        <v>21910850.502096027</v>
      </c>
      <c r="AB39" s="31">
        <f t="shared" ca="1" si="42"/>
        <v>23185228.639391627</v>
      </c>
      <c r="AC39" s="31">
        <f t="shared" ca="1" si="42"/>
        <v>24498678.377053671</v>
      </c>
      <c r="AD39" s="31">
        <f t="shared" ca="1" si="42"/>
        <v>25701208.958804041</v>
      </c>
      <c r="AE39" s="31">
        <f t="shared" ca="1" si="42"/>
        <v>26865351.141547121</v>
      </c>
      <c r="AF39" s="31">
        <f t="shared" ca="1" si="42"/>
        <v>28065511.839616764</v>
      </c>
      <c r="AG39" s="31">
        <f t="shared" ca="1" si="42"/>
        <v>29427633.38375742</v>
      </c>
      <c r="AH39" s="31">
        <f t="shared" ca="1" si="42"/>
        <v>30666804.405041035</v>
      </c>
      <c r="AI39" s="31">
        <f t="shared" ca="1" si="42"/>
        <v>32354220.445299428</v>
      </c>
      <c r="AJ39" s="31">
        <f t="shared" ca="1" si="42"/>
        <v>33725221.207264386</v>
      </c>
      <c r="AK39" s="31">
        <f t="shared" ca="1" si="42"/>
        <v>35062323.718657345</v>
      </c>
      <c r="AL39" s="31">
        <f t="shared" ca="1" si="42"/>
        <v>36448073.092146598</v>
      </c>
      <c r="AM39" s="31">
        <f t="shared" ca="1" si="42"/>
        <v>37650336.004224606</v>
      </c>
      <c r="AN39" s="31">
        <f t="shared" ca="1" si="42"/>
        <v>38970639.275711872</v>
      </c>
      <c r="AO39" s="31">
        <f t="shared" ca="1" si="42"/>
        <v>40328912.921019629</v>
      </c>
      <c r="AP39" s="31">
        <f t="shared" ca="1" si="42"/>
        <v>41572291.150089078</v>
      </c>
      <c r="AQ39" s="31">
        <f t="shared" ca="1" si="42"/>
        <v>42771583.335090905</v>
      </c>
      <c r="AR39" s="31">
        <f t="shared" ca="1" si="42"/>
        <v>44007987.477483846</v>
      </c>
      <c r="AS39" s="31">
        <f t="shared" ca="1" si="42"/>
        <v>45411255.061559372</v>
      </c>
      <c r="AT39" s="31">
        <f t="shared" ca="1" si="42"/>
        <v>46678786.81170208</v>
      </c>
      <c r="AU39" s="31">
        <f t="shared" ca="1" si="42"/>
        <v>48420770.385896169</v>
      </c>
      <c r="AV39" s="31">
        <f t="shared" ca="1" si="42"/>
        <v>49839079.888489902</v>
      </c>
      <c r="AW39" s="31">
        <f t="shared" ca="1" si="42"/>
        <v>51208752.912677221</v>
      </c>
      <c r="AX39" s="31">
        <f t="shared" ca="1" si="42"/>
        <v>52630483.076783992</v>
      </c>
      <c r="AY39" s="31">
        <f t="shared" ca="1" si="42"/>
        <v>53857188.883789673</v>
      </c>
      <c r="AZ39" s="31">
        <f t="shared" ca="1" si="42"/>
        <v>55225174.13398464</v>
      </c>
      <c r="BA39" s="31">
        <f t="shared" ca="1" si="42"/>
        <v>56629882.185171828</v>
      </c>
      <c r="BB39" s="31">
        <f t="shared" ca="1" si="42"/>
        <v>57915567.353437006</v>
      </c>
      <c r="BC39" s="31">
        <f t="shared" ca="1" si="42"/>
        <v>59151070.812868647</v>
      </c>
      <c r="BD39" s="31">
        <f t="shared" ca="1" si="42"/>
        <v>60424812.861616023</v>
      </c>
      <c r="BE39" s="31">
        <f t="shared" ca="1" si="42"/>
        <v>61870469.338632777</v>
      </c>
      <c r="BF39" s="31">
        <f t="shared" ca="1" si="42"/>
        <v>63185642.177533068</v>
      </c>
      <c r="BG39" s="31">
        <f t="shared" ca="1" si="42"/>
        <v>64984021.364281684</v>
      </c>
      <c r="BH39" s="31">
        <f t="shared" ca="1" si="42"/>
        <v>66451362.173551917</v>
      </c>
      <c r="BI39" s="31">
        <f t="shared" ca="1" si="42"/>
        <v>67854591.016935572</v>
      </c>
      <c r="BJ39" s="31">
        <f t="shared" ca="1" si="42"/>
        <v>69313389.628815845</v>
      </c>
      <c r="BK39" s="31">
        <f t="shared" ca="1" si="42"/>
        <v>70565280.378976181</v>
      </c>
      <c r="BL39" s="31">
        <f t="shared" ca="1" si="42"/>
        <v>71983963.942937687</v>
      </c>
      <c r="BM39" s="31">
        <f t="shared" ca="1" si="42"/>
        <v>73437890.119747698</v>
      </c>
      <c r="BN39" s="31">
        <f t="shared" ca="1" si="42"/>
        <v>74768399.195253834</v>
      </c>
      <c r="BO39" s="31">
        <f t="shared" ca="1" si="42"/>
        <v>76042165.179199159</v>
      </c>
      <c r="BP39" s="31">
        <f t="shared" ca="1" si="42"/>
        <v>77355385.267134592</v>
      </c>
      <c r="BQ39" s="31">
        <f t="shared" ca="1" si="42"/>
        <v>78845909.395369515</v>
      </c>
      <c r="BR39" s="31">
        <f t="shared" ref="BR39:DR39" ca="1" si="43">+BQ39+BR38</f>
        <v>80201918.398169607</v>
      </c>
      <c r="BS39" s="31">
        <f t="shared" ca="1" si="43"/>
        <v>82059901.008642673</v>
      </c>
      <c r="BT39" s="31">
        <f t="shared" ca="1" si="43"/>
        <v>83579257.374262333</v>
      </c>
      <c r="BU39" s="31">
        <f t="shared" ca="1" si="43"/>
        <v>85029110.000427961</v>
      </c>
      <c r="BV39" s="31">
        <f t="shared" ca="1" si="43"/>
        <v>86527262.241128638</v>
      </c>
      <c r="BW39" s="31">
        <f t="shared" ca="1" si="43"/>
        <v>87806341.833246142</v>
      </c>
      <c r="BX39" s="31">
        <f t="shared" ca="1" si="43"/>
        <v>89277697.898233891</v>
      </c>
      <c r="BY39" s="31">
        <f t="shared" ca="1" si="43"/>
        <v>90782644.794272125</v>
      </c>
      <c r="BZ39" s="31">
        <f t="shared" ca="1" si="43"/>
        <v>92159610.103195831</v>
      </c>
      <c r="CA39" s="31">
        <f t="shared" ca="1" si="43"/>
        <v>93472822.410012171</v>
      </c>
      <c r="CB39" s="31">
        <f t="shared" ca="1" si="43"/>
        <v>94826742.851643056</v>
      </c>
      <c r="CC39" s="31">
        <f t="shared" ca="1" si="43"/>
        <v>96363525.599339917</v>
      </c>
      <c r="CD39" s="31">
        <f t="shared" ca="1" si="43"/>
        <v>97761637.280318797</v>
      </c>
      <c r="CE39" s="31">
        <f t="shared" ca="1" si="43"/>
        <v>99681261.131545067</v>
      </c>
      <c r="CF39" s="31">
        <f t="shared" ca="1" si="43"/>
        <v>101254563.41154784</v>
      </c>
      <c r="CG39" s="31">
        <f t="shared" ca="1" si="43"/>
        <v>102754831.65604271</v>
      </c>
      <c r="CH39" s="31">
        <f t="shared" ca="1" si="43"/>
        <v>104293561.8086974</v>
      </c>
      <c r="CI39" s="31">
        <f t="shared" ca="1" si="43"/>
        <v>105615867.56527187</v>
      </c>
      <c r="CJ39" s="31">
        <f t="shared" ca="1" si="43"/>
        <v>107141951.3150567</v>
      </c>
      <c r="CK39" s="31">
        <f t="shared" ca="1" si="43"/>
        <v>108542130.22642215</v>
      </c>
      <c r="CL39" s="31">
        <f t="shared" ca="1" si="43"/>
        <v>109821699.87161811</v>
      </c>
      <c r="CM39" s="31">
        <f t="shared" ca="1" si="43"/>
        <v>111175578.89129217</v>
      </c>
      <c r="CN39" s="31">
        <f t="shared" ca="1" si="43"/>
        <v>112571459.80976111</v>
      </c>
      <c r="CO39" s="31">
        <f t="shared" ca="1" si="43"/>
        <v>114155935.22237222</v>
      </c>
      <c r="CP39" s="31">
        <f t="shared" ca="1" si="43"/>
        <v>115587409.06894583</v>
      </c>
      <c r="CQ39" s="31">
        <f t="shared" ca="1" si="43"/>
        <v>117570784.61153807</v>
      </c>
      <c r="CR39" s="31">
        <f t="shared" ca="1" si="43"/>
        <v>119200038.67300802</v>
      </c>
      <c r="CS39" s="31">
        <f t="shared" ca="1" si="43"/>
        <v>120752551.17120366</v>
      </c>
      <c r="CT39" s="31">
        <f t="shared" ca="1" si="43"/>
        <v>122335323.03328742</v>
      </c>
      <c r="CU39" s="31">
        <f t="shared" ca="1" si="43"/>
        <v>123707189.66005321</v>
      </c>
      <c r="CV39" s="31">
        <f t="shared" ca="1" si="43"/>
        <v>125290140.76662712</v>
      </c>
      <c r="CW39" s="31">
        <f t="shared" ca="1" si="43"/>
        <v>126728698.04565193</v>
      </c>
      <c r="CX39" s="31">
        <f t="shared" ca="1" si="43"/>
        <v>128043707.38179605</v>
      </c>
      <c r="CY39" s="31">
        <f t="shared" ca="1" si="43"/>
        <v>129439511.22602317</v>
      </c>
      <c r="CZ39" s="31">
        <f t="shared" ca="1" si="43"/>
        <v>130878651.72154295</v>
      </c>
      <c r="DA39" s="31">
        <f t="shared" ca="1" si="43"/>
        <v>132512298.25449026</v>
      </c>
      <c r="DB39" s="31">
        <f t="shared" ca="1" si="43"/>
        <v>133998573.00233625</v>
      </c>
      <c r="DC39" s="31">
        <f t="shared" ca="1" si="43"/>
        <v>136047886.04485321</v>
      </c>
      <c r="DD39" s="31">
        <f t="shared" ca="1" si="43"/>
        <v>137735176.38222402</v>
      </c>
      <c r="DE39" s="31">
        <f t="shared" ca="1" si="43"/>
        <v>139341831.54183951</v>
      </c>
      <c r="DF39" s="31">
        <f t="shared" ca="1" si="43"/>
        <v>140977632.1500642</v>
      </c>
      <c r="DG39" s="31">
        <f t="shared" ca="1" si="43"/>
        <v>142401008.18797028</v>
      </c>
      <c r="DH39" s="31">
        <f t="shared" ca="1" si="43"/>
        <v>144043054.4602966</v>
      </c>
      <c r="DI39" s="31">
        <f t="shared" ca="1" si="43"/>
        <v>145521187.0154945</v>
      </c>
      <c r="DJ39" s="31">
        <f t="shared" ca="1" si="43"/>
        <v>146872740.30671081</v>
      </c>
      <c r="DK39" s="31">
        <f t="shared" ca="1" si="43"/>
        <v>148311765.97384647</v>
      </c>
      <c r="DL39" s="31">
        <f t="shared" ca="1" si="43"/>
        <v>149795505.32821354</v>
      </c>
      <c r="DM39" s="31">
        <f t="shared" ca="1" si="43"/>
        <v>151479847.22084585</v>
      </c>
      <c r="DN39" s="31">
        <f t="shared" ca="1" si="43"/>
        <v>153012264.51485741</v>
      </c>
      <c r="DO39" s="31">
        <f t="shared" ca="1" si="43"/>
        <v>155129779.05627623</v>
      </c>
      <c r="DP39" s="31">
        <f t="shared" ca="1" si="43"/>
        <v>156877272.04502413</v>
      </c>
      <c r="DQ39" s="31">
        <f t="shared" ca="1" si="43"/>
        <v>158540040.85810921</v>
      </c>
      <c r="DR39" s="31">
        <f t="shared" ca="1" si="43"/>
        <v>160230706.53833768</v>
      </c>
      <c r="DS39" s="31">
        <f t="shared" ref="DS39" ca="1" si="44">+DR39+DS38</f>
        <v>161707621.08420277</v>
      </c>
      <c r="DT39" s="31">
        <f t="shared" ref="DT39" ca="1" si="45">+DS39+DT38</f>
        <v>163412803.80135679</v>
      </c>
      <c r="DU39" s="31">
        <f t="shared" ref="DU39" ca="1" si="46">+DT39+DU38</f>
        <v>164923260.87556982</v>
      </c>
      <c r="DV39" s="31">
        <f t="shared" ref="DV39" ca="1" si="47">+DU39+DV38</f>
        <v>166313949.23828724</v>
      </c>
      <c r="DW39" s="31">
        <f t="shared" ref="DW39" ca="1" si="48">+DV39+DW38</f>
        <v>167790222.94985119</v>
      </c>
      <c r="DX39" s="31">
        <f t="shared" ref="DX39" ca="1" si="49">+DW39+DX38</f>
        <v>169321409.25145158</v>
      </c>
      <c r="DY39" s="31">
        <f t="shared" ref="DY39" ca="1" si="50">+DX39+DY38</f>
        <v>171059754.48607779</v>
      </c>
      <c r="DZ39" s="31">
        <f t="shared" ref="DZ39" ca="1" si="51">+DY39+DZ38</f>
        <v>172641346.16459385</v>
      </c>
      <c r="EA39" s="31">
        <f t="shared" ref="EA39" ca="1" si="52">+DZ39+EA38</f>
        <v>174831313.65488064</v>
      </c>
      <c r="EB39" s="31">
        <f t="shared" ref="EB39" ca="1" si="53">+EA39+EB38</f>
        <v>176642992.62748051</v>
      </c>
      <c r="EC39" s="31">
        <f t="shared" ref="EC39" ca="1" si="54">+EB39+EC38</f>
        <v>178365600.5884155</v>
      </c>
      <c r="ED39" s="31">
        <f t="shared" ref="ED39" ca="1" si="55">+EC39+ED38</f>
        <v>180114721.75657126</v>
      </c>
      <c r="EE39" s="31">
        <f t="shared" ref="EE39" ca="1" si="56">+ED39+EE38</f>
        <v>181649083.85370192</v>
      </c>
      <c r="EF39" s="31">
        <f t="shared" ref="EF39" ca="1" si="57">+EE39+EF38</f>
        <v>183419922.00105941</v>
      </c>
      <c r="EG39" s="31">
        <f t="shared" ref="EG39" ca="1" si="58">+EF39+EG38</f>
        <v>184973976.62429827</v>
      </c>
      <c r="EH39" s="31">
        <f t="shared" ref="EH39" ca="1" si="59">+EG39+EH38</f>
        <v>186405061.2601926</v>
      </c>
      <c r="EI39" s="31">
        <f t="shared" ref="EI39" ca="1" si="60">+EH39+EI38</f>
        <v>187928578.06791523</v>
      </c>
      <c r="EJ39" s="31">
        <f t="shared" ref="EJ39" ca="1" si="61">+EI39+EJ38</f>
        <v>189508722.76816398</v>
      </c>
      <c r="EK39" s="31">
        <f t="shared" ref="EK39" ca="1" si="62">+EJ39+EK38</f>
        <v>191302795.63760039</v>
      </c>
      <c r="EL39" s="31">
        <f t="shared" ref="EL39" ca="1" si="63">+EK39+EL38</f>
        <v>192924179.17691639</v>
      </c>
      <c r="EM39" s="31">
        <f t="shared" ref="EM39" ca="1" si="64">+EL39+EM38</f>
        <v>195189143.32755038</v>
      </c>
      <c r="EN39" s="31">
        <f t="shared" ref="EN39" ca="1" si="65">+EM39+EN38</f>
        <v>197067452.65599769</v>
      </c>
      <c r="EO39" s="31">
        <f t="shared" ref="EO39" ca="1" si="66">+EN39+EO38</f>
        <v>198852125.58393008</v>
      </c>
      <c r="EP39" s="31">
        <f t="shared" ref="EP39" ca="1" si="67">+EO39+EP38</f>
        <v>200661775.17326331</v>
      </c>
      <c r="EQ39" s="31">
        <f t="shared" ref="EQ39" ca="1" si="68">+EP39+EQ38</f>
        <v>202255893.41800028</v>
      </c>
      <c r="ER39" s="31">
        <f t="shared" ref="ER39" ca="1" si="69">+EQ39+ER38</f>
        <v>204095010.72927579</v>
      </c>
      <c r="ES39" s="31">
        <f t="shared" ref="ES39" ca="1" si="70">+ER39+ES38</f>
        <v>205694073.71058965</v>
      </c>
      <c r="ET39" s="31">
        <f t="shared" ref="ET39" ca="1" si="71">+ES39+ET38</f>
        <v>207166856.27187288</v>
      </c>
      <c r="EU39" s="31">
        <f t="shared" ref="EU39" ca="1" si="72">+ET39+EU38</f>
        <v>208739122.11518332</v>
      </c>
      <c r="EV39" s="31">
        <f t="shared" ref="EV39" ca="1" si="73">+EU39+EV38</f>
        <v>210369784.65032792</v>
      </c>
      <c r="EW39" s="31">
        <f t="shared" ref="EW39" ca="1" si="74">+EV39+EW38</f>
        <v>212221364.30195197</v>
      </c>
      <c r="EX39" s="31">
        <f t="shared" ref="EX39" ca="1" si="75">+EW39+EX38</f>
        <v>213906068.63229835</v>
      </c>
      <c r="EY39" s="31">
        <f t="shared" ref="EY39" ca="1" si="76">+EX39+EY38</f>
        <v>216167524.76105788</v>
      </c>
      <c r="EZ39" s="31">
        <f t="shared" ref="EZ39" ca="1" si="77">+EY39+EZ38</f>
        <v>217987495.86504042</v>
      </c>
      <c r="FA39" s="31">
        <f t="shared" ref="FA39" ca="1" si="78">+EZ39+FA38</f>
        <v>219780288.84635639</v>
      </c>
      <c r="FB39" s="31">
        <f t="shared" ref="FB39" ca="1" si="79">+FA39+FB38</f>
        <v>221644667.170728</v>
      </c>
      <c r="FC39" s="31">
        <f t="shared" ref="FC39" ca="1" si="80">+FB39+FC38</f>
        <v>223244821.21780595</v>
      </c>
      <c r="FD39" s="31">
        <f t="shared" ref="FD39" ca="1" si="81">+FC39+FD38</f>
        <v>224938408.41789758</v>
      </c>
      <c r="FE39" s="31">
        <f t="shared" ref="FE39" ca="1" si="82">+FD39+FE38</f>
        <v>226583935.97708443</v>
      </c>
      <c r="FF39" s="31">
        <f t="shared" ref="FF39" ca="1" si="83">+FE39+FF38</f>
        <v>228099759.85845542</v>
      </c>
      <c r="FG39" s="31">
        <f t="shared" ref="FG39" ca="1" si="84">+FF39+FG38</f>
        <v>229722328.51436201</v>
      </c>
      <c r="FH39" s="31">
        <f t="shared" ref="FH39" ca="1" si="85">+FG39+FH38</f>
        <v>231405117.82426596</v>
      </c>
      <c r="FI39" s="31">
        <f t="shared" ref="FI39" ca="1" si="86">+FH39+FI38</f>
        <v>233316039.99942639</v>
      </c>
      <c r="FJ39" s="31">
        <f t="shared" ref="FJ39" ca="1" si="87">+FI39+FJ38</f>
        <v>235054784.22476664</v>
      </c>
      <c r="FK39" s="31">
        <f t="shared" ref="FK39" ca="1" si="88">+FJ39+FK38</f>
        <v>237381802.7573967</v>
      </c>
      <c r="FL39" s="31">
        <f t="shared" ref="FL39" ca="1" si="89">+FK39+FL38</f>
        <v>239249574.13956261</v>
      </c>
      <c r="FM39" s="31">
        <f t="shared" ref="FM39" ca="1" si="90">+FL39+FM38</f>
        <v>241090050.76252249</v>
      </c>
      <c r="FN39" s="31">
        <f t="shared" ref="FN39" ca="1" si="91">+FM39+FN38</f>
        <v>243006716.11398292</v>
      </c>
      <c r="FO39" s="31">
        <f t="shared" ref="FO39" ca="1" si="92">+FN39+FO38</f>
        <v>244643903.33811936</v>
      </c>
      <c r="FP39" s="31">
        <f t="shared" ref="FP39" ca="1" si="93">+FO39+FP38</f>
        <v>246379649.32307956</v>
      </c>
      <c r="FQ39" s="31">
        <f t="shared" ref="FQ39" ca="1" si="94">+FP39+FQ38</f>
        <v>248073144.54560295</v>
      </c>
      <c r="FR39" s="31">
        <f t="shared" ref="FR39" ca="1" si="95">+FQ39+FR38</f>
        <v>249633396.21730962</v>
      </c>
      <c r="FS39" s="31">
        <f t="shared" ref="FS39" ca="1" si="96">+FR39+FS38</f>
        <v>251307870.81530914</v>
      </c>
      <c r="FT39" s="31">
        <f t="shared" ref="FT39" ca="1" si="97">+FS39+FT38</f>
        <v>253044446.9101764</v>
      </c>
      <c r="FU39" s="31">
        <f t="shared" ref="FU39" ca="1" si="98">+FT39+FU38</f>
        <v>255016605.73859897</v>
      </c>
      <c r="FV39" s="31">
        <f t="shared" ref="FV39" ca="1" si="99">+FU39+FV38</f>
        <v>256811116.01873541</v>
      </c>
      <c r="FW39" s="31">
        <f t="shared" ref="FW39" ca="1" si="100">+FV39+FW38</f>
        <v>259205788.81229401</v>
      </c>
      <c r="FX39" s="31">
        <f t="shared" ref="FX39" ca="1" si="101">+FW39+FX38</f>
        <v>261122908.0162468</v>
      </c>
      <c r="FY39" s="31">
        <f t="shared" ref="FY39" ca="1" si="102">+FX39+FY38</f>
        <v>263012608.87053427</v>
      </c>
      <c r="FZ39" s="31">
        <f t="shared" ref="FZ39" ca="1" si="103">+FY39+FZ38</f>
        <v>264983240.51041079</v>
      </c>
      <c r="GA39" s="31">
        <f t="shared" ref="GA39" ca="1" si="104">+FZ39+GA38</f>
        <v>266658689.65252709</v>
      </c>
      <c r="GB39" s="31">
        <f t="shared" ref="GB39" ca="1" si="105">+GA39+GB38</f>
        <v>268437975.44106078</v>
      </c>
      <c r="GC39" s="31">
        <f t="shared" ref="GC39" ca="1" si="106">+GB39+GC38</f>
        <v>270180989.77939206</v>
      </c>
      <c r="GD39" s="31">
        <f t="shared" ref="GD39" ca="1" si="107">+GC39+GD38</f>
        <v>271787100.16270918</v>
      </c>
      <c r="GE39" s="31">
        <f t="shared" ref="GE39" ca="1" si="108">+GD39+GE38</f>
        <v>273515134.7475369</v>
      </c>
      <c r="GF39" s="31">
        <f t="shared" ref="GF39" ca="1" si="109">+GE39+GF38</f>
        <v>275307210.32408631</v>
      </c>
      <c r="GG39" s="31">
        <f t="shared" ref="GG39" ca="1" si="110">+GF39+GG38</f>
        <v>277342560.17500907</v>
      </c>
      <c r="GH39" s="31">
        <f t="shared" ref="GH39" ca="1" si="111">+GG39+GH38</f>
        <v>279182819.25524598</v>
      </c>
      <c r="GI39" s="31">
        <f t="shared" ref="GI39" ca="1" si="112">+GH39+GI38</f>
        <v>281647304.67205113</v>
      </c>
      <c r="GJ39" s="31">
        <f t="shared" ref="GJ39" ca="1" si="113">+GI39+GJ38</f>
        <v>283615369.07376009</v>
      </c>
      <c r="GK39" s="31">
        <f t="shared" ref="GK39" ca="1" si="114">+GJ39+GK38</f>
        <v>285555884.2691623</v>
      </c>
      <c r="GL39" s="31">
        <f t="shared" ref="GL39" ca="1" si="115">+GK39+GL38</f>
        <v>287582215.15613741</v>
      </c>
      <c r="GM39" s="31">
        <f t="shared" ref="GM39" ca="1" si="116">+GL39+GM38</f>
        <v>289297195.35175091</v>
      </c>
      <c r="GN39" s="31">
        <f t="shared" ref="GN39" ca="1" si="117">+GM39+GN38</f>
        <v>291121446.88077897</v>
      </c>
      <c r="GO39" s="31">
        <f t="shared" ref="GO39" ca="1" si="118">+GN39+GO38</f>
        <v>292915581.70364076</v>
      </c>
      <c r="GP39" s="31">
        <f t="shared" ref="GP39" ca="1" si="119">+GO39+GP38</f>
        <v>294569027.59010816</v>
      </c>
      <c r="GQ39" s="31">
        <f t="shared" ref="GQ39" ca="1" si="120">+GP39+GQ38</f>
        <v>296352328.73383552</v>
      </c>
      <c r="GR39" s="31">
        <f t="shared" ref="GR39" ca="1" si="121">+GQ39+GR38</f>
        <v>298201670.84248269</v>
      </c>
      <c r="GS39" s="31">
        <f t="shared" ref="GS39" ca="1" si="122">+GR39+GS38</f>
        <v>300302228.23431009</v>
      </c>
      <c r="GT39" s="31">
        <f t="shared" ref="GT39" ca="1" si="123">+GS39+GT38</f>
        <v>302213670.58065355</v>
      </c>
      <c r="GU39" s="31">
        <f t="shared" ref="GU39" ca="1" si="124">+GT39+GU38</f>
        <v>304750195.59592742</v>
      </c>
      <c r="GV39" s="31">
        <f t="shared" ref="GV39" ca="1" si="125">+GU39+GV38</f>
        <v>306770854.00088042</v>
      </c>
      <c r="GW39" s="31">
        <f t="shared" ref="GW39" ca="1" si="126">+GV39+GW38</f>
        <v>308763824.75196362</v>
      </c>
      <c r="GX39" s="31">
        <f t="shared" ref="GX39" ca="1" si="127">+GW39+GX38</f>
        <v>310847643.25258118</v>
      </c>
      <c r="GY39" s="31">
        <f t="shared" ref="GY39" ca="1" si="128">+GX39+GY38</f>
        <v>312603465.34961408</v>
      </c>
      <c r="GZ39" s="31">
        <f t="shared" ref="GZ39" ca="1" si="129">+GY39+GZ38</f>
        <v>314474154.92644942</v>
      </c>
      <c r="HA39" s="31">
        <f t="shared" ref="HA39" ca="1" si="130">+GZ39+HA38</f>
        <v>316321063.11748344</v>
      </c>
      <c r="HB39" s="31">
        <f t="shared" ref="HB39" ca="1" si="131">+HA39+HB38</f>
        <v>318023368.63329303</v>
      </c>
      <c r="HC39" s="31">
        <f t="shared" ref="HC39" ca="1" si="132">+HB39+HC38</f>
        <v>319863697.09832776</v>
      </c>
      <c r="HD39" s="31">
        <f t="shared" ref="HD39" ca="1" si="133">+HC39+HD38</f>
        <v>321772128.86297959</v>
      </c>
      <c r="HE39" s="31">
        <f t="shared" ref="HE39" ca="1" si="134">+HD39+HE38</f>
        <v>323939974.43330008</v>
      </c>
      <c r="HF39" s="31">
        <f t="shared" ref="HF39" ca="1" si="135">+HE39+HF38</f>
        <v>325912697.94095945</v>
      </c>
      <c r="HG39" s="31">
        <f t="shared" ref="HG39" ca="1" si="136">+HF39+HG38</f>
        <v>328523560.31707674</v>
      </c>
      <c r="HH39" s="31">
        <f t="shared" ref="HH39" ca="1" si="137">+HG39+HH38</f>
        <v>330598514.60841298</v>
      </c>
      <c r="HI39" s="31">
        <f t="shared" ref="HI39" ca="1" si="138">+HH39+HI38</f>
        <v>332645634.86971033</v>
      </c>
      <c r="HJ39" s="31">
        <f t="shared" ref="HJ39" ca="1" si="139">+HI39+HJ38</f>
        <v>334788786.52318442</v>
      </c>
      <c r="HK39" s="31">
        <f t="shared" ref="HK39" ca="1" si="140">+HJ39+HK38</f>
        <v>336586804.44248611</v>
      </c>
      <c r="HL39" s="31">
        <f t="shared" ref="HL39" ca="1" si="141">+HK39+HL38</f>
        <v>338505452.24371392</v>
      </c>
      <c r="HM39" s="31">
        <f t="shared" ref="HM39" ca="1" si="142">+HL39+HM38</f>
        <v>340406839.85114431</v>
      </c>
      <c r="HN39" s="31">
        <f t="shared" ref="HN39" ca="1" si="143">+HM39+HN38</f>
        <v>342159577.96810663</v>
      </c>
      <c r="HO39" s="31">
        <f t="shared" ref="HO39" ca="1" si="144">+HN39+HO38</f>
        <v>344058750.42269772</v>
      </c>
      <c r="HP39" s="31">
        <f t="shared" ref="HP39" ca="1" si="145">+HO39+HP38</f>
        <v>346028152.81481677</v>
      </c>
      <c r="HQ39" s="31">
        <f t="shared" ref="HQ39" ca="1" si="146">+HP39+HQ38</f>
        <v>348265433.3526873</v>
      </c>
      <c r="HR39" s="31">
        <f t="shared" ref="HR39" ca="1" si="147">+HQ39+HR38</f>
        <v>350301394.59322977</v>
      </c>
      <c r="HS39" s="31">
        <f t="shared" ref="HS39" ca="1" si="148">+HR39+HS38</f>
        <v>352988965.12266898</v>
      </c>
      <c r="HT39" s="31">
        <f t="shared" ref="HT39" ca="1" si="149">+HS39+HT38</f>
        <v>355119971.96191299</v>
      </c>
      <c r="HU39" s="31">
        <f t="shared" ref="HU39" ca="1" si="150">+HT39+HU38</f>
        <v>357222990.11522961</v>
      </c>
      <c r="HV39" s="31">
        <f t="shared" ref="HV39" ca="1" si="151">+HU39+HV38</f>
        <v>359427379.45427495</v>
      </c>
      <c r="HW39" s="31">
        <f t="shared" ref="HW39" ca="1" si="152">+HV39+HW38</f>
        <v>361268991.59423441</v>
      </c>
      <c r="HX39" s="31">
        <f t="shared" ref="HX39" ca="1" si="153">+HW39+HX38</f>
        <v>363237167.21279198</v>
      </c>
      <c r="HY39" s="31">
        <f t="shared" ref="HY39" ca="1" si="154">+HX39+HY38</f>
        <v>365194795.15170503</v>
      </c>
      <c r="HZ39" s="31">
        <f t="shared" ref="HZ39" ca="1" si="155">+HY39+HZ38</f>
        <v>366999589.24627274</v>
      </c>
      <c r="IA39" s="31">
        <f t="shared" ref="IA39" ca="1" si="156">+HZ39+IA38</f>
        <v>368959480.0341751</v>
      </c>
      <c r="IB39" s="31">
        <f t="shared" ref="IB39" ca="1" si="157">+IA39+IB38</f>
        <v>370991793.7028212</v>
      </c>
      <c r="IC39" s="31">
        <f t="shared" ref="IC39" ca="1" si="158">+IB39+IC38</f>
        <v>373300724.24528146</v>
      </c>
      <c r="ID39" s="31">
        <f t="shared" ref="ID39" ca="1" si="159">+IC39+ID38</f>
        <v>375389259.70219994</v>
      </c>
      <c r="IE39" s="31">
        <f t="shared" ref="IE39" ca="1" si="160">+ID39+IE38</f>
        <v>378155984.5213635</v>
      </c>
      <c r="IF39" s="31">
        <f t="shared" ref="IF39" ca="1" si="161">+IE39+IF38</f>
        <v>380344857.10343361</v>
      </c>
      <c r="IG39" s="31">
        <f t="shared" ref="IG39" ca="1" si="162">+IF39+IG38</f>
        <v>382505577.69892365</v>
      </c>
      <c r="IH39" s="31">
        <f t="shared" ref="IH39" ca="1" si="163">+IG39+IH38</f>
        <v>384773170.12838018</v>
      </c>
    </row>
    <row r="41" spans="1:242" x14ac:dyDescent="0.3">
      <c r="B41" s="32"/>
      <c r="C41">
        <v>2024</v>
      </c>
      <c r="D41">
        <v>2025</v>
      </c>
      <c r="E41">
        <v>2026</v>
      </c>
      <c r="F41">
        <v>2027</v>
      </c>
      <c r="G41">
        <v>2028</v>
      </c>
      <c r="H41">
        <v>2029</v>
      </c>
      <c r="I41">
        <v>2030</v>
      </c>
      <c r="J41">
        <v>2031</v>
      </c>
      <c r="K41">
        <v>2032</v>
      </c>
      <c r="L41">
        <v>2033</v>
      </c>
      <c r="M41">
        <v>2034</v>
      </c>
      <c r="N41">
        <v>2035</v>
      </c>
      <c r="O41">
        <v>2036</v>
      </c>
      <c r="P41">
        <v>2037</v>
      </c>
      <c r="Q41">
        <v>2038</v>
      </c>
      <c r="R41">
        <v>2039</v>
      </c>
      <c r="S41">
        <v>2040</v>
      </c>
      <c r="T41">
        <v>2041</v>
      </c>
      <c r="U41">
        <v>2042</v>
      </c>
      <c r="V41">
        <v>2043</v>
      </c>
      <c r="W41">
        <v>2044</v>
      </c>
    </row>
    <row r="42" spans="1:242" x14ac:dyDescent="0.3">
      <c r="A42" t="s">
        <v>924</v>
      </c>
      <c r="B42" s="32"/>
      <c r="C42" s="30">
        <f t="shared" ref="C42:M42" si="164">+SUMIFS(38:38,12:12,C41)</f>
        <v>0</v>
      </c>
      <c r="D42" s="30">
        <f t="shared" ca="1" si="164"/>
        <v>11426037.556559194</v>
      </c>
      <c r="E42" s="30">
        <f ca="1">+SUMIFS(38:38,12:12,E41)</f>
        <v>15439313.584987924</v>
      </c>
      <c r="F42" s="30">
        <f t="shared" ca="1" si="164"/>
        <v>15906232.193543784</v>
      </c>
      <c r="G42" s="30">
        <f t="shared" ca="1" si="164"/>
        <v>16379487.477777753</v>
      </c>
      <c r="H42" s="30">
        <f t="shared" ca="1" si="164"/>
        <v>16891094.366330508</v>
      </c>
      <c r="I42" s="69">
        <f t="shared" ca="1" si="164"/>
        <v>17430657.230813012</v>
      </c>
      <c r="J42" s="30">
        <f t="shared" ca="1" si="164"/>
        <v>17702756.481280014</v>
      </c>
      <c r="K42" s="30">
        <f t="shared" ca="1" si="164"/>
        <v>18263932.334730998</v>
      </c>
      <c r="L42" s="30">
        <f t="shared" ca="1" si="164"/>
        <v>18872254.747823272</v>
      </c>
      <c r="M42" s="30">
        <f t="shared" ca="1" si="164"/>
        <v>19478456.976004675</v>
      </c>
      <c r="N42" s="30">
        <f t="shared" ref="N42:W42" ca="1" si="165">+SUMIFS(38:38,12:12,N41)</f>
        <v>20138355.118064106</v>
      </c>
      <c r="O42" s="30">
        <f t="shared" ca="1" si="165"/>
        <v>20810544.04726813</v>
      </c>
      <c r="P42" s="30">
        <f t="shared" ca="1" si="165"/>
        <v>20983206.399178628</v>
      </c>
      <c r="Q42" s="30">
        <f t="shared" ca="1" si="165"/>
        <v>21585542.300947208</v>
      </c>
      <c r="R42" s="30">
        <f t="shared" ca="1" si="165"/>
        <v>22207263.932227753</v>
      </c>
      <c r="S42" s="30">
        <f t="shared" ca="1" si="165"/>
        <v>22837193.986298755</v>
      </c>
      <c r="T42" s="30">
        <f t="shared" ca="1" si="165"/>
        <v>23511368.364492249</v>
      </c>
      <c r="U42" s="30">
        <f t="shared" ca="1" si="165"/>
        <v>24195053.324369956</v>
      </c>
      <c r="V42" s="30">
        <f t="shared" ca="1" si="165"/>
        <v>24900729.611477394</v>
      </c>
      <c r="W42" s="30">
        <f t="shared" ca="1" si="165"/>
        <v>15813690.094205085</v>
      </c>
    </row>
    <row r="43" spans="1:242" x14ac:dyDescent="0.3">
      <c r="A43" t="s">
        <v>925</v>
      </c>
      <c r="B43" s="35"/>
      <c r="C43" s="33">
        <f>+C42</f>
        <v>0</v>
      </c>
      <c r="D43" s="33">
        <f ca="1">+C43+D42</f>
        <v>11426037.556559194</v>
      </c>
      <c r="E43" s="33">
        <f t="shared" ref="E43:M43" ca="1" si="166">+D43+E42</f>
        <v>26865351.141547117</v>
      </c>
      <c r="F43" s="33">
        <f t="shared" ca="1" si="166"/>
        <v>42771583.335090905</v>
      </c>
      <c r="G43" s="33">
        <f t="shared" ca="1" si="166"/>
        <v>59151070.812868655</v>
      </c>
      <c r="H43" s="33">
        <f t="shared" ca="1" si="166"/>
        <v>76042165.179199159</v>
      </c>
      <c r="I43" s="33">
        <f t="shared" ca="1" si="166"/>
        <v>93472822.410012171</v>
      </c>
      <c r="J43" s="33">
        <f t="shared" ca="1" si="166"/>
        <v>111175578.89129218</v>
      </c>
      <c r="K43" s="33">
        <f t="shared" ca="1" si="166"/>
        <v>129439511.22602318</v>
      </c>
      <c r="L43" s="33">
        <f t="shared" ca="1" si="166"/>
        <v>148311765.97384647</v>
      </c>
      <c r="M43" s="33">
        <f t="shared" ca="1" si="166"/>
        <v>167790222.94985116</v>
      </c>
      <c r="N43" s="33">
        <f t="shared" ref="N43" ca="1" si="167">+M43+N42</f>
        <v>187928578.06791526</v>
      </c>
      <c r="O43" s="33">
        <f t="shared" ref="O43" ca="1" si="168">+N43+O42</f>
        <v>208739122.11518338</v>
      </c>
      <c r="P43" s="33">
        <f t="shared" ref="P43" ca="1" si="169">+O43+P42</f>
        <v>229722328.51436201</v>
      </c>
      <c r="Q43" s="33">
        <f t="shared" ref="Q43" ca="1" si="170">+P43+Q42</f>
        <v>251307870.81530923</v>
      </c>
      <c r="R43" s="33">
        <f t="shared" ref="R43" ca="1" si="171">+Q43+R42</f>
        <v>273515134.74753696</v>
      </c>
      <c r="S43" s="33">
        <f t="shared" ref="S43" ca="1" si="172">+R43+S42</f>
        <v>296352328.7338357</v>
      </c>
      <c r="T43" s="33">
        <f t="shared" ref="T43" ca="1" si="173">+S43+T42</f>
        <v>319863697.09832793</v>
      </c>
      <c r="U43" s="33">
        <f t="shared" ref="U43" ca="1" si="174">+T43+U42</f>
        <v>344058750.4226979</v>
      </c>
      <c r="V43" s="33">
        <f t="shared" ref="V43" ca="1" si="175">+U43+V42</f>
        <v>368959480.03417528</v>
      </c>
      <c r="W43" s="33">
        <f t="shared" ref="W43" ca="1" si="176">+V43+W42</f>
        <v>384773170.12838036</v>
      </c>
    </row>
    <row r="44" spans="1:242" x14ac:dyDescent="0.3">
      <c r="B44" s="35"/>
    </row>
    <row r="45" spans="1:242" x14ac:dyDescent="0.3">
      <c r="B45" s="35"/>
    </row>
    <row r="46" spans="1:242" x14ac:dyDescent="0.3">
      <c r="A46" s="6" t="s">
        <v>926</v>
      </c>
      <c r="B46" s="43" t="s">
        <v>927</v>
      </c>
      <c r="C46" s="43"/>
      <c r="D46" s="43"/>
      <c r="E46" s="43"/>
    </row>
    <row r="47" spans="1:242" x14ac:dyDescent="0.3">
      <c r="A47" t="s">
        <v>929</v>
      </c>
      <c r="B47" s="35">
        <f>+NPV(11%,D22:H22)</f>
        <v>64444283.175078757</v>
      </c>
      <c r="C47" s="35"/>
      <c r="D47" s="35"/>
      <c r="E47" s="35"/>
    </row>
    <row r="48" spans="1:242" x14ac:dyDescent="0.3">
      <c r="A48" t="s">
        <v>941</v>
      </c>
      <c r="B48" s="35">
        <f ca="1">+NPV(11%,D36:H36)</f>
        <v>9175444.3719965834</v>
      </c>
      <c r="C48" s="35"/>
      <c r="D48" s="35"/>
      <c r="E48" s="35"/>
    </row>
    <row r="49" spans="1:122" x14ac:dyDescent="0.3">
      <c r="A49" t="s">
        <v>854</v>
      </c>
      <c r="B49" s="35">
        <f ca="1">+B47-B48</f>
        <v>55268838.803082176</v>
      </c>
      <c r="C49" s="35"/>
      <c r="D49" s="35"/>
      <c r="E49" s="35"/>
    </row>
    <row r="50" spans="1:122" hidden="1" x14ac:dyDescent="0.3">
      <c r="A50" t="s">
        <v>932</v>
      </c>
      <c r="B50" s="35">
        <f ca="1">+NPV(15%,C42:H42)</f>
        <v>43331751.452011481</v>
      </c>
      <c r="C50" s="35"/>
      <c r="D50" s="35"/>
      <c r="E50" s="35"/>
    </row>
    <row r="51" spans="1:122" x14ac:dyDescent="0.3">
      <c r="A51" t="s">
        <v>942</v>
      </c>
      <c r="B51" s="38">
        <f ca="1">+B49/B47</f>
        <v>0.85762205862280716</v>
      </c>
      <c r="C51" s="38"/>
      <c r="D51" s="38"/>
      <c r="E51" s="38"/>
    </row>
    <row r="52" spans="1:122" x14ac:dyDescent="0.3">
      <c r="B52" s="38"/>
      <c r="C52" s="38"/>
      <c r="D52" s="38"/>
      <c r="E52" s="38"/>
    </row>
    <row r="53" spans="1:122" x14ac:dyDescent="0.3">
      <c r="A53" s="6"/>
    </row>
    <row r="54" spans="1:122" x14ac:dyDescent="0.3">
      <c r="A54" s="6" t="s">
        <v>935</v>
      </c>
      <c r="B54" s="6" t="s">
        <v>788</v>
      </c>
      <c r="C54" s="6" t="s">
        <v>793</v>
      </c>
    </row>
    <row r="55" spans="1:122" x14ac:dyDescent="0.3">
      <c r="A55" t="s">
        <v>929</v>
      </c>
      <c r="B55" s="31">
        <f>+SUM(D22:I22)</f>
        <v>109396786.84431672</v>
      </c>
      <c r="C55" s="31">
        <f>+SUM(D22:M22)</f>
        <v>197823070.64938128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</row>
    <row r="56" spans="1:122" x14ac:dyDescent="0.3">
      <c r="A56" t="s">
        <v>937</v>
      </c>
      <c r="B56" s="31">
        <f ca="1">+SUM(D36:I36)</f>
        <v>15923964.434304535</v>
      </c>
      <c r="C56" s="31">
        <f ca="1">+SUM(D36:M36)</f>
        <v>30032847.699530151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</row>
    <row r="57" spans="1:122" x14ac:dyDescent="0.3">
      <c r="A57" t="s">
        <v>854</v>
      </c>
      <c r="B57" s="31">
        <f ca="1">+B55-B56</f>
        <v>93472822.410012186</v>
      </c>
      <c r="C57" s="31">
        <f ca="1">+C55-C56</f>
        <v>167790222.94985113</v>
      </c>
      <c r="D57" s="30"/>
      <c r="E57" s="30"/>
      <c r="F57" s="30"/>
      <c r="G57" s="30"/>
      <c r="H57" s="30"/>
      <c r="I57" s="6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</row>
    <row r="58" spans="1:122" x14ac:dyDescent="0.3">
      <c r="A58" t="s">
        <v>938</v>
      </c>
      <c r="B58" s="38">
        <f ca="1">+B57/B55</f>
        <v>0.85443846301476811</v>
      </c>
      <c r="C58" s="38">
        <f ca="1">+C57/C55</f>
        <v>0.84818329024545402</v>
      </c>
      <c r="D58" s="30"/>
      <c r="E58" s="30"/>
      <c r="F58" s="30"/>
      <c r="G58" s="30"/>
      <c r="H58" s="30"/>
      <c r="I58" s="6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</row>
    <row r="59" spans="1:122" x14ac:dyDescent="0.3"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</row>
    <row r="60" spans="1:122" x14ac:dyDescent="0.3"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</row>
    <row r="61" spans="1:122" x14ac:dyDescent="0.3"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</row>
    <row r="62" spans="1:122" x14ac:dyDescent="0.3">
      <c r="C62" s="30"/>
      <c r="D62" s="30"/>
      <c r="E62" s="30"/>
      <c r="F62" s="30"/>
      <c r="G62" s="30"/>
      <c r="H62" s="30"/>
      <c r="I62" s="6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</row>
    <row r="63" spans="1:122" x14ac:dyDescent="0.3"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</row>
    <row r="65" spans="1:122" x14ac:dyDescent="0.3">
      <c r="A65" s="6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</row>
    <row r="66" spans="1:122" x14ac:dyDescent="0.3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</row>
    <row r="67" spans="1:122" x14ac:dyDescent="0.3"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</row>
    <row r="68" spans="1:122" x14ac:dyDescent="0.3">
      <c r="A68" s="6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</row>
    <row r="70" spans="1:122" x14ac:dyDescent="0.3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</row>
    <row r="71" spans="1:122" x14ac:dyDescent="0.3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</row>
    <row r="74" spans="1:122" x14ac:dyDescent="0.3">
      <c r="C74" s="30"/>
      <c r="D74" s="30"/>
      <c r="E74" s="30"/>
      <c r="F74" s="30"/>
      <c r="G74" s="30"/>
      <c r="H74" s="30"/>
      <c r="I74" s="69"/>
      <c r="J74" s="30"/>
      <c r="K74" s="30"/>
      <c r="L74" s="30"/>
      <c r="M74" s="30"/>
    </row>
    <row r="75" spans="1:122" x14ac:dyDescent="0.3">
      <c r="B75" s="35"/>
      <c r="C75" s="30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8" spans="1:122" x14ac:dyDescent="0.3">
      <c r="A78" s="6"/>
      <c r="B78" s="43"/>
      <c r="C78" s="43"/>
    </row>
    <row r="79" spans="1:122" x14ac:dyDescent="0.3">
      <c r="B79" s="35"/>
      <c r="C79" s="35"/>
    </row>
    <row r="80" spans="1:122" x14ac:dyDescent="0.3">
      <c r="B80" s="35"/>
      <c r="C80" s="35"/>
    </row>
    <row r="81" spans="2:3" x14ac:dyDescent="0.3">
      <c r="B81" s="35"/>
      <c r="C81" s="35"/>
    </row>
    <row r="82" spans="2:3" x14ac:dyDescent="0.3">
      <c r="B82" s="35"/>
      <c r="C82" s="35"/>
    </row>
    <row r="83" spans="2:3" x14ac:dyDescent="0.3">
      <c r="B83" s="38"/>
      <c r="C83" s="38"/>
    </row>
    <row r="84" spans="2:3" x14ac:dyDescent="0.3">
      <c r="B84" s="35"/>
    </row>
    <row r="86" spans="2:3" x14ac:dyDescent="0.3">
      <c r="B86" s="38"/>
      <c r="C86" s="38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E264-886C-404A-ABA0-2532F680D223}">
  <dimension ref="A1:IM86"/>
  <sheetViews>
    <sheetView topLeftCell="A31" workbookViewId="0">
      <selection activeCell="B51" sqref="B51"/>
    </sheetView>
  </sheetViews>
  <sheetFormatPr baseColWidth="10" defaultColWidth="11.44140625" defaultRowHeight="14.4" x14ac:dyDescent="0.3"/>
  <cols>
    <col min="1" max="1" width="30.44140625" bestFit="1" customWidth="1"/>
    <col min="2" max="2" width="16.21875" bestFit="1" customWidth="1"/>
    <col min="3" max="3" width="14" hidden="1" customWidth="1"/>
    <col min="4" max="4" width="16.21875" bestFit="1" customWidth="1"/>
    <col min="5" max="7" width="12.5546875" bestFit="1" customWidth="1"/>
    <col min="8" max="12" width="13.5546875" bestFit="1" customWidth="1"/>
    <col min="13" max="23" width="15.44140625" bestFit="1" customWidth="1"/>
    <col min="24" max="125" width="12.5546875" bestFit="1" customWidth="1"/>
    <col min="126" max="242" width="14" bestFit="1" customWidth="1"/>
  </cols>
  <sheetData>
    <row r="1" spans="1:247" x14ac:dyDescent="0.3">
      <c r="A1" t="s">
        <v>905</v>
      </c>
      <c r="B1" s="9">
        <v>0.2</v>
      </c>
    </row>
    <row r="2" spans="1:247" x14ac:dyDescent="0.3">
      <c r="A2" s="6" t="s">
        <v>906</v>
      </c>
    </row>
    <row r="4" spans="1:247" x14ac:dyDescent="0.3">
      <c r="C4" s="14">
        <f>+Tarifas!S6</f>
        <v>45505</v>
      </c>
      <c r="D4" s="14">
        <f>+Tarifas!T6</f>
        <v>45536</v>
      </c>
      <c r="E4" s="14">
        <f>+Tarifas!U6</f>
        <v>45566</v>
      </c>
      <c r="F4" s="14">
        <f>+Tarifas!V6</f>
        <v>45597</v>
      </c>
      <c r="G4" s="14">
        <f>+Tarifas!W6</f>
        <v>45627</v>
      </c>
      <c r="H4" s="14">
        <f>+Tarifas!X6</f>
        <v>45658</v>
      </c>
      <c r="I4" s="14">
        <f>+Tarifas!Y6</f>
        <v>45689</v>
      </c>
      <c r="J4" s="14">
        <f>+Tarifas!Z6</f>
        <v>45717</v>
      </c>
      <c r="K4" s="14">
        <f>+Tarifas!AA6</f>
        <v>45748</v>
      </c>
      <c r="L4" s="14">
        <f>+Tarifas!AB6</f>
        <v>45778</v>
      </c>
      <c r="M4" s="14">
        <f>+Tarifas!AC6</f>
        <v>45809</v>
      </c>
      <c r="N4" s="14">
        <f>+Tarifas!AD6</f>
        <v>45839</v>
      </c>
      <c r="O4" s="14">
        <f>+Tarifas!AE6</f>
        <v>45870</v>
      </c>
      <c r="P4" s="14">
        <f>+Tarifas!AF6</f>
        <v>45901</v>
      </c>
      <c r="Q4" s="14">
        <f>+Tarifas!AG6</f>
        <v>45931</v>
      </c>
      <c r="R4" s="14">
        <f>+Tarifas!AH6</f>
        <v>45962</v>
      </c>
      <c r="S4" s="14">
        <f>+Tarifas!AI6</f>
        <v>45992</v>
      </c>
      <c r="T4" s="14">
        <f>+Tarifas!AJ6</f>
        <v>46023</v>
      </c>
      <c r="U4" s="14">
        <f>+Tarifas!AK6</f>
        <v>46054</v>
      </c>
      <c r="V4" s="14">
        <f>+Tarifas!AL6</f>
        <v>46082</v>
      </c>
      <c r="W4" s="14">
        <f>+Tarifas!AM6</f>
        <v>46113</v>
      </c>
      <c r="X4" s="14">
        <f>+Tarifas!AN6</f>
        <v>46143</v>
      </c>
      <c r="Y4" s="14">
        <f>+Tarifas!AO6</f>
        <v>46174</v>
      </c>
      <c r="Z4" s="14">
        <f>+Tarifas!AP6</f>
        <v>46204</v>
      </c>
      <c r="AA4" s="14">
        <f>+Tarifas!AQ6</f>
        <v>46235</v>
      </c>
      <c r="AB4" s="14">
        <f>+Tarifas!AR6</f>
        <v>46266</v>
      </c>
      <c r="AC4" s="14">
        <f>+Tarifas!AS6</f>
        <v>46296</v>
      </c>
      <c r="AD4" s="14">
        <f>+Tarifas!AT6</f>
        <v>46327</v>
      </c>
      <c r="AE4" s="14">
        <f>+Tarifas!AU6</f>
        <v>46357</v>
      </c>
      <c r="AF4" s="14">
        <f>+Tarifas!AV6</f>
        <v>46388</v>
      </c>
      <c r="AG4" s="14">
        <f>+Tarifas!AW6</f>
        <v>46419</v>
      </c>
      <c r="AH4" s="14">
        <f>+Tarifas!AX6</f>
        <v>46447</v>
      </c>
      <c r="AI4" s="14">
        <f>+Tarifas!AY6</f>
        <v>46478</v>
      </c>
      <c r="AJ4" s="14">
        <f>+Tarifas!AZ6</f>
        <v>46508</v>
      </c>
      <c r="AK4" s="14">
        <f>+Tarifas!BA6</f>
        <v>46539</v>
      </c>
      <c r="AL4" s="14">
        <f>+Tarifas!BB6</f>
        <v>46569</v>
      </c>
      <c r="AM4" s="14">
        <f>+Tarifas!BC6</f>
        <v>46600</v>
      </c>
      <c r="AN4" s="14">
        <f>+Tarifas!BD6</f>
        <v>46631</v>
      </c>
      <c r="AO4" s="14">
        <f>+Tarifas!BE6</f>
        <v>46661</v>
      </c>
      <c r="AP4" s="14">
        <f>+Tarifas!BF6</f>
        <v>46692</v>
      </c>
      <c r="AQ4" s="14">
        <f>+Tarifas!BG6</f>
        <v>46722</v>
      </c>
      <c r="AR4" s="14">
        <f>+Tarifas!BH6</f>
        <v>46753</v>
      </c>
      <c r="AS4" s="14">
        <f>+Tarifas!BI6</f>
        <v>46784</v>
      </c>
      <c r="AT4" s="14">
        <f>+Tarifas!BJ6</f>
        <v>46813</v>
      </c>
      <c r="AU4" s="14">
        <f>+Tarifas!BK6</f>
        <v>46844</v>
      </c>
      <c r="AV4" s="14">
        <f>+Tarifas!BL6</f>
        <v>46874</v>
      </c>
      <c r="AW4" s="14">
        <f>+Tarifas!BM6</f>
        <v>46905</v>
      </c>
      <c r="AX4" s="14">
        <f>+Tarifas!BN6</f>
        <v>46935</v>
      </c>
      <c r="AY4" s="14">
        <f>+Tarifas!BO6</f>
        <v>46966</v>
      </c>
      <c r="AZ4" s="14">
        <f>+Tarifas!BP6</f>
        <v>46997</v>
      </c>
      <c r="BA4" s="14">
        <f>+Tarifas!BQ6</f>
        <v>47027</v>
      </c>
      <c r="BB4" s="14">
        <f>+Tarifas!BR6</f>
        <v>47058</v>
      </c>
      <c r="BC4" s="14">
        <f>+Tarifas!BS6</f>
        <v>47088</v>
      </c>
      <c r="BD4" s="14">
        <f>+Tarifas!BT6</f>
        <v>47119</v>
      </c>
      <c r="BE4" s="14">
        <f>+Tarifas!BU6</f>
        <v>47150</v>
      </c>
      <c r="BF4" s="14">
        <f>+Tarifas!BV6</f>
        <v>47178</v>
      </c>
      <c r="BG4" s="14">
        <f>+Tarifas!BW6</f>
        <v>47209</v>
      </c>
      <c r="BH4" s="14">
        <f>+Tarifas!BX6</f>
        <v>47239</v>
      </c>
      <c r="BI4" s="14">
        <f>+Tarifas!BY6</f>
        <v>47270</v>
      </c>
      <c r="BJ4" s="14">
        <f>+Tarifas!BZ6</f>
        <v>47300</v>
      </c>
      <c r="BK4" s="14">
        <f>+Tarifas!CA6</f>
        <v>47331</v>
      </c>
      <c r="BL4" s="14">
        <f>+Tarifas!CB6</f>
        <v>47362</v>
      </c>
      <c r="BM4" s="14">
        <f>+Tarifas!CC6</f>
        <v>47392</v>
      </c>
      <c r="BN4" s="14">
        <f>+Tarifas!CD6</f>
        <v>47423</v>
      </c>
      <c r="BO4" s="14">
        <f>+Tarifas!CE6</f>
        <v>47453</v>
      </c>
      <c r="BP4" s="14">
        <f>+Tarifas!CF6</f>
        <v>47484</v>
      </c>
      <c r="BQ4" s="14">
        <f>+Tarifas!CG6</f>
        <v>47515</v>
      </c>
      <c r="BR4" s="14">
        <f>+Tarifas!CH6</f>
        <v>47543</v>
      </c>
      <c r="BS4" s="14">
        <f>+Tarifas!CI6</f>
        <v>47574</v>
      </c>
      <c r="BT4" s="14">
        <f>+Tarifas!CJ6</f>
        <v>47604</v>
      </c>
      <c r="BU4" s="14">
        <f>+Tarifas!CK6</f>
        <v>47635</v>
      </c>
      <c r="BV4" s="14">
        <f>+Tarifas!CL6</f>
        <v>47665</v>
      </c>
      <c r="BW4" s="14">
        <f>+Tarifas!CM6</f>
        <v>47696</v>
      </c>
      <c r="BX4" s="14">
        <f>+Tarifas!CN6</f>
        <v>47727</v>
      </c>
      <c r="BY4" s="14">
        <f>+Tarifas!CO6</f>
        <v>47757</v>
      </c>
      <c r="BZ4" s="14">
        <f>+Tarifas!CP6</f>
        <v>47788</v>
      </c>
      <c r="CA4" s="14">
        <f>+Tarifas!CQ6</f>
        <v>47818</v>
      </c>
      <c r="CB4" s="14">
        <f>+Tarifas!CR6</f>
        <v>47849</v>
      </c>
      <c r="CC4" s="14">
        <f>+Tarifas!CS6</f>
        <v>47880</v>
      </c>
      <c r="CD4" s="14">
        <f>+Tarifas!CT6</f>
        <v>47908</v>
      </c>
      <c r="CE4" s="14">
        <f>+Tarifas!CU6</f>
        <v>47939</v>
      </c>
      <c r="CF4" s="14">
        <f>+Tarifas!CV6</f>
        <v>47969</v>
      </c>
      <c r="CG4" s="14">
        <f>+Tarifas!CW6</f>
        <v>48000</v>
      </c>
      <c r="CH4" s="14">
        <f>+Tarifas!CX6</f>
        <v>48030</v>
      </c>
      <c r="CI4" s="14">
        <f>+Tarifas!CY6</f>
        <v>48061</v>
      </c>
      <c r="CJ4" s="14">
        <f>+Tarifas!CZ6</f>
        <v>48092</v>
      </c>
      <c r="CK4" s="14">
        <f>+Tarifas!DA6</f>
        <v>48122</v>
      </c>
      <c r="CL4" s="14">
        <f>+Tarifas!DB6</f>
        <v>48153</v>
      </c>
      <c r="CM4" s="14">
        <f>+Tarifas!DC6</f>
        <v>48183</v>
      </c>
      <c r="CN4" s="14">
        <f>+Tarifas!DD6</f>
        <v>48214</v>
      </c>
      <c r="CO4" s="14">
        <f>+Tarifas!DE6</f>
        <v>48245</v>
      </c>
      <c r="CP4" s="14">
        <f>+Tarifas!DF6</f>
        <v>48274</v>
      </c>
      <c r="CQ4" s="14">
        <f>+Tarifas!DG6</f>
        <v>48305</v>
      </c>
      <c r="CR4" s="14">
        <f>+Tarifas!DH6</f>
        <v>48335</v>
      </c>
      <c r="CS4" s="14">
        <f>+Tarifas!DI6</f>
        <v>48366</v>
      </c>
      <c r="CT4" s="14">
        <f>+Tarifas!DJ6</f>
        <v>48396</v>
      </c>
      <c r="CU4" s="14">
        <f>+Tarifas!DK6</f>
        <v>48427</v>
      </c>
      <c r="CV4" s="14">
        <f>+Tarifas!DL6</f>
        <v>48458</v>
      </c>
      <c r="CW4" s="14">
        <f>+Tarifas!DM6</f>
        <v>48488</v>
      </c>
      <c r="CX4" s="14">
        <f>+Tarifas!DN6</f>
        <v>48519</v>
      </c>
      <c r="CY4" s="14">
        <f>+Tarifas!DO6</f>
        <v>48549</v>
      </c>
      <c r="CZ4" s="14">
        <f>+Tarifas!DP6</f>
        <v>48580</v>
      </c>
      <c r="DA4" s="14">
        <f>+Tarifas!DQ6</f>
        <v>48611</v>
      </c>
      <c r="DB4" s="14">
        <f>+Tarifas!DR6</f>
        <v>48639</v>
      </c>
      <c r="DC4" s="14">
        <f>+Tarifas!DS6</f>
        <v>48670</v>
      </c>
      <c r="DD4" s="14">
        <f>+Tarifas!DT6</f>
        <v>48700</v>
      </c>
      <c r="DE4" s="14">
        <f>+Tarifas!DU6</f>
        <v>48731</v>
      </c>
      <c r="DF4" s="14">
        <f>+Tarifas!DV6</f>
        <v>48761</v>
      </c>
      <c r="DG4" s="14">
        <f>+Tarifas!DW6</f>
        <v>48792</v>
      </c>
      <c r="DH4" s="14">
        <f>+Tarifas!DX6</f>
        <v>48823</v>
      </c>
      <c r="DI4" s="14">
        <f>+Tarifas!DY6</f>
        <v>48853</v>
      </c>
      <c r="DJ4" s="14">
        <f>+Tarifas!DZ6</f>
        <v>48884</v>
      </c>
      <c r="DK4" s="14">
        <f>+Tarifas!EA6</f>
        <v>48914</v>
      </c>
      <c r="DL4" s="14">
        <f>+Tarifas!EB6</f>
        <v>48945</v>
      </c>
      <c r="DM4" s="14">
        <f>+Tarifas!EC6</f>
        <v>48976</v>
      </c>
      <c r="DN4" s="14">
        <f>+Tarifas!ED6</f>
        <v>49004</v>
      </c>
      <c r="DO4" s="14">
        <f>+Tarifas!EE6</f>
        <v>49035</v>
      </c>
      <c r="DP4" s="14">
        <f>+Tarifas!EF6</f>
        <v>49065</v>
      </c>
      <c r="DQ4" s="14">
        <f>+Tarifas!EG6</f>
        <v>49096</v>
      </c>
      <c r="DR4" s="14">
        <f>+Tarifas!EH6</f>
        <v>49126</v>
      </c>
      <c r="DS4" s="14">
        <f>+Tarifas!EI6</f>
        <v>49157</v>
      </c>
      <c r="DT4" s="14">
        <f>+Tarifas!EJ6</f>
        <v>49188</v>
      </c>
      <c r="DU4" s="14">
        <f>+Tarifas!EK6</f>
        <v>49218</v>
      </c>
      <c r="DV4" s="14">
        <f>+Tarifas!EL6</f>
        <v>49249</v>
      </c>
      <c r="DW4" s="14">
        <f>+Tarifas!EM6</f>
        <v>49279</v>
      </c>
      <c r="DX4" s="14">
        <f>+Tarifas!EN6</f>
        <v>49310</v>
      </c>
      <c r="DY4" s="14">
        <f>+Tarifas!EO6</f>
        <v>49341</v>
      </c>
      <c r="DZ4" s="14">
        <f>+Tarifas!EP6</f>
        <v>49369</v>
      </c>
      <c r="EA4" s="14">
        <f>+Tarifas!EQ6</f>
        <v>49400</v>
      </c>
      <c r="EB4" s="14">
        <f>+Tarifas!ER6</f>
        <v>49430</v>
      </c>
      <c r="EC4" s="14">
        <f>+Tarifas!ES6</f>
        <v>49461</v>
      </c>
      <c r="ED4" s="14">
        <f>+Tarifas!ET6</f>
        <v>49491</v>
      </c>
      <c r="EE4" s="14">
        <f>+Tarifas!EU6</f>
        <v>49522</v>
      </c>
      <c r="EF4" s="14">
        <f>+Tarifas!EV6</f>
        <v>49553</v>
      </c>
      <c r="EG4" s="14">
        <f>+Tarifas!EW6</f>
        <v>49583</v>
      </c>
      <c r="EH4" s="14">
        <f>+Tarifas!EX6</f>
        <v>49614</v>
      </c>
      <c r="EI4" s="14">
        <f>+Tarifas!EY6</f>
        <v>49644</v>
      </c>
      <c r="EJ4" s="14">
        <f>+Tarifas!EZ6</f>
        <v>49675</v>
      </c>
      <c r="EK4" s="14">
        <f>+Tarifas!FA6</f>
        <v>49706</v>
      </c>
      <c r="EL4" s="14">
        <f>+Tarifas!FB6</f>
        <v>49735</v>
      </c>
      <c r="EM4" s="14">
        <f>+Tarifas!FC6</f>
        <v>49766</v>
      </c>
      <c r="EN4" s="14">
        <f>+Tarifas!FD6</f>
        <v>49796</v>
      </c>
      <c r="EO4" s="14">
        <f>+Tarifas!FE6</f>
        <v>49827</v>
      </c>
      <c r="EP4" s="14">
        <f>+Tarifas!FF6</f>
        <v>49857</v>
      </c>
      <c r="EQ4" s="14">
        <f>+Tarifas!FG6</f>
        <v>49888</v>
      </c>
      <c r="ER4" s="14">
        <f>+Tarifas!FH6</f>
        <v>49919</v>
      </c>
      <c r="ES4" s="14">
        <f>+Tarifas!FI6</f>
        <v>49949</v>
      </c>
      <c r="ET4" s="14">
        <f>+Tarifas!FJ6</f>
        <v>49980</v>
      </c>
      <c r="EU4" s="14">
        <f>+Tarifas!FK6</f>
        <v>50010</v>
      </c>
      <c r="EV4" s="14">
        <f>+Tarifas!FL6</f>
        <v>50041</v>
      </c>
      <c r="EW4" s="14">
        <f>+Tarifas!FM6</f>
        <v>50072</v>
      </c>
      <c r="EX4" s="14">
        <f>+Tarifas!FN6</f>
        <v>50100</v>
      </c>
      <c r="EY4" s="14">
        <f>+Tarifas!FO6</f>
        <v>50131</v>
      </c>
      <c r="EZ4" s="14">
        <f>+Tarifas!FP6</f>
        <v>50161</v>
      </c>
      <c r="FA4" s="14">
        <f>+Tarifas!FQ6</f>
        <v>50192</v>
      </c>
      <c r="FB4" s="14">
        <f>+Tarifas!FR6</f>
        <v>50222</v>
      </c>
      <c r="FC4" s="14">
        <f>+Tarifas!FS6</f>
        <v>50253</v>
      </c>
      <c r="FD4" s="14">
        <f>+Tarifas!FT6</f>
        <v>50284</v>
      </c>
      <c r="FE4" s="14">
        <f>+Tarifas!FU6</f>
        <v>50314</v>
      </c>
      <c r="FF4" s="14">
        <f>+Tarifas!FV6</f>
        <v>50345</v>
      </c>
      <c r="FG4" s="14">
        <f>+Tarifas!FW6</f>
        <v>50375</v>
      </c>
      <c r="FH4" s="14">
        <f>+Tarifas!FX6</f>
        <v>50406</v>
      </c>
      <c r="FI4" s="14">
        <f>+Tarifas!FY6</f>
        <v>50437</v>
      </c>
      <c r="FJ4" s="14">
        <f>+Tarifas!FZ6</f>
        <v>50465</v>
      </c>
      <c r="FK4" s="14">
        <f>+Tarifas!GA6</f>
        <v>50496</v>
      </c>
      <c r="FL4" s="14">
        <f>+Tarifas!GB6</f>
        <v>50526</v>
      </c>
      <c r="FM4" s="14">
        <f>+Tarifas!GC6</f>
        <v>50557</v>
      </c>
      <c r="FN4" s="14">
        <f>+Tarifas!GD6</f>
        <v>50587</v>
      </c>
      <c r="FO4" s="14">
        <f>+Tarifas!GE6</f>
        <v>50618</v>
      </c>
      <c r="FP4" s="14">
        <f>+Tarifas!GF6</f>
        <v>50649</v>
      </c>
      <c r="FQ4" s="14">
        <f>+Tarifas!GG6</f>
        <v>50679</v>
      </c>
      <c r="FR4" s="14">
        <f>+Tarifas!GH6</f>
        <v>50710</v>
      </c>
      <c r="FS4" s="14">
        <f>+Tarifas!GI6</f>
        <v>50740</v>
      </c>
      <c r="FT4" s="14">
        <f>+Tarifas!GJ6</f>
        <v>50771</v>
      </c>
      <c r="FU4" s="14">
        <f>+Tarifas!GK6</f>
        <v>50802</v>
      </c>
      <c r="FV4" s="14">
        <f>+Tarifas!GL6</f>
        <v>50830</v>
      </c>
      <c r="FW4" s="14">
        <f>+Tarifas!GM6</f>
        <v>50861</v>
      </c>
      <c r="FX4" s="14">
        <f>+Tarifas!GN6</f>
        <v>50891</v>
      </c>
      <c r="FY4" s="14">
        <f>+Tarifas!GO6</f>
        <v>50922</v>
      </c>
      <c r="FZ4" s="14">
        <f>+Tarifas!GP6</f>
        <v>50952</v>
      </c>
      <c r="GA4" s="14">
        <f>+Tarifas!GQ6</f>
        <v>50983</v>
      </c>
      <c r="GB4" s="14">
        <f>+Tarifas!GR6</f>
        <v>51014</v>
      </c>
      <c r="GC4" s="14">
        <f>+Tarifas!GS6</f>
        <v>51044</v>
      </c>
      <c r="GD4" s="14">
        <f>+Tarifas!GT6</f>
        <v>51075</v>
      </c>
      <c r="GE4" s="14">
        <f>+Tarifas!GU6</f>
        <v>51105</v>
      </c>
      <c r="GF4" s="14">
        <f>+Tarifas!GV6</f>
        <v>51136</v>
      </c>
      <c r="GG4" s="14">
        <f>+Tarifas!GW6</f>
        <v>51167</v>
      </c>
      <c r="GH4" s="14">
        <f>+Tarifas!GX6</f>
        <v>51196</v>
      </c>
      <c r="GI4" s="14">
        <f>+Tarifas!GY6</f>
        <v>51227</v>
      </c>
      <c r="GJ4" s="14">
        <f>+Tarifas!GZ6</f>
        <v>51257</v>
      </c>
      <c r="GK4" s="14">
        <f>+Tarifas!HA6</f>
        <v>51288</v>
      </c>
      <c r="GL4" s="14">
        <f>+Tarifas!HB6</f>
        <v>51318</v>
      </c>
      <c r="GM4" s="14">
        <f>+Tarifas!HC6</f>
        <v>51349</v>
      </c>
      <c r="GN4" s="14">
        <f>+Tarifas!HD6</f>
        <v>51380</v>
      </c>
      <c r="GO4" s="14">
        <f>+Tarifas!HE6</f>
        <v>51410</v>
      </c>
      <c r="GP4" s="14">
        <f>+Tarifas!HF6</f>
        <v>51441</v>
      </c>
      <c r="GQ4" s="14">
        <f>+Tarifas!HG6</f>
        <v>51471</v>
      </c>
      <c r="GR4" s="14">
        <f>+Tarifas!HH6</f>
        <v>51502</v>
      </c>
      <c r="GS4" s="14">
        <f>+Tarifas!HI6</f>
        <v>51533</v>
      </c>
      <c r="GT4" s="14">
        <f>+Tarifas!HJ6</f>
        <v>51561</v>
      </c>
      <c r="GU4" s="14">
        <f>+Tarifas!HK6</f>
        <v>51592</v>
      </c>
      <c r="GV4" s="14">
        <f>+Tarifas!HL6</f>
        <v>51622</v>
      </c>
      <c r="GW4" s="14">
        <f>+Tarifas!HM6</f>
        <v>51653</v>
      </c>
      <c r="GX4" s="14">
        <f>+Tarifas!HN6</f>
        <v>51683</v>
      </c>
      <c r="GY4" s="14">
        <f>+Tarifas!HO6</f>
        <v>51714</v>
      </c>
      <c r="GZ4" s="14">
        <f>+Tarifas!HP6</f>
        <v>51745</v>
      </c>
      <c r="HA4" s="14">
        <f>+Tarifas!HQ6</f>
        <v>51775</v>
      </c>
      <c r="HB4" s="14">
        <f>+Tarifas!HR6</f>
        <v>51806</v>
      </c>
      <c r="HC4" s="14">
        <f>+Tarifas!HS6</f>
        <v>51836</v>
      </c>
      <c r="HD4" s="14">
        <f>+Tarifas!HT6</f>
        <v>51867</v>
      </c>
      <c r="HE4" s="14">
        <f>+Tarifas!HU6</f>
        <v>51898</v>
      </c>
      <c r="HF4" s="14">
        <f>+Tarifas!HV6</f>
        <v>51926</v>
      </c>
      <c r="HG4" s="14">
        <f>+Tarifas!HW6</f>
        <v>51957</v>
      </c>
      <c r="HH4" s="14">
        <f>+Tarifas!HX6</f>
        <v>51987</v>
      </c>
      <c r="HI4" s="14">
        <f>+Tarifas!HY6</f>
        <v>52018</v>
      </c>
      <c r="HJ4" s="14">
        <f>+Tarifas!HZ6</f>
        <v>52048</v>
      </c>
      <c r="HK4" s="14">
        <f>+Tarifas!IA6</f>
        <v>52079</v>
      </c>
      <c r="HL4" s="14">
        <f>+Tarifas!IB6</f>
        <v>52110</v>
      </c>
      <c r="HM4" s="14">
        <f>+Tarifas!IC6</f>
        <v>52140</v>
      </c>
      <c r="HN4" s="14">
        <f>+Tarifas!ID6</f>
        <v>52171</v>
      </c>
      <c r="HO4" s="14">
        <f>+Tarifas!IE6</f>
        <v>52201</v>
      </c>
      <c r="HP4" s="14">
        <f>+Tarifas!IF6</f>
        <v>52232</v>
      </c>
      <c r="HQ4" s="14">
        <f>+Tarifas!IG6</f>
        <v>52263</v>
      </c>
      <c r="HR4" s="14">
        <f>+Tarifas!IH6</f>
        <v>52291</v>
      </c>
      <c r="HS4" s="14">
        <f>+Tarifas!II6</f>
        <v>52322</v>
      </c>
      <c r="HT4" s="14">
        <f>+Tarifas!IJ6</f>
        <v>52352</v>
      </c>
      <c r="HU4" s="14">
        <f>+Tarifas!IK6</f>
        <v>52383</v>
      </c>
      <c r="HV4" s="14">
        <f>+Tarifas!IL6</f>
        <v>52413</v>
      </c>
      <c r="HW4" s="14">
        <f>+Tarifas!IM6</f>
        <v>52444</v>
      </c>
      <c r="HX4" s="14">
        <f>+Tarifas!IN6</f>
        <v>52475</v>
      </c>
      <c r="HY4" s="14">
        <f>+Tarifas!IO6</f>
        <v>52505</v>
      </c>
      <c r="HZ4" s="14">
        <f>+Tarifas!IP6</f>
        <v>52536</v>
      </c>
      <c r="IA4" s="14">
        <f>+Tarifas!IQ6</f>
        <v>52566</v>
      </c>
      <c r="IB4" s="14">
        <f>+Tarifas!IR6</f>
        <v>52597</v>
      </c>
      <c r="IC4" s="14">
        <f>+Tarifas!IS6</f>
        <v>52628</v>
      </c>
      <c r="ID4" s="14">
        <f>+Tarifas!IT6</f>
        <v>52657</v>
      </c>
      <c r="IE4" s="14">
        <f>+Tarifas!IU6</f>
        <v>52688</v>
      </c>
      <c r="IF4" s="14">
        <f>+Tarifas!IV6</f>
        <v>52718</v>
      </c>
      <c r="IG4" s="14">
        <f>+Tarifas!IW6</f>
        <v>52749</v>
      </c>
      <c r="IH4" s="14">
        <f>+Tarifas!IX6</f>
        <v>52779</v>
      </c>
      <c r="II4" s="14">
        <f>+Tarifas!IY6</f>
        <v>52810</v>
      </c>
      <c r="IJ4" s="14">
        <f>+Tarifas!IZ6</f>
        <v>52841</v>
      </c>
      <c r="IK4" s="14">
        <f>+Tarifas!JA6</f>
        <v>52871</v>
      </c>
      <c r="IL4" s="14">
        <f>+Tarifas!JB6</f>
        <v>52902</v>
      </c>
      <c r="IM4" s="14">
        <f>+Tarifas!JC6</f>
        <v>52932</v>
      </c>
    </row>
    <row r="5" spans="1:247" x14ac:dyDescent="0.3">
      <c r="A5" t="s">
        <v>888</v>
      </c>
      <c r="C5" s="30">
        <f>+Tarifas!S7</f>
        <v>807.28</v>
      </c>
      <c r="D5" s="30">
        <f>+Tarifas!T7</f>
        <v>855.04</v>
      </c>
      <c r="E5" s="30">
        <f>+Tarifas!U7</f>
        <v>854.84</v>
      </c>
      <c r="F5" s="30">
        <f>+Tarifas!V7</f>
        <v>907.23</v>
      </c>
      <c r="G5" s="30">
        <f>+Tarifas!W7</f>
        <v>907.2</v>
      </c>
      <c r="H5" s="30">
        <f>+Tarifas!X7</f>
        <v>907.22</v>
      </c>
      <c r="I5" s="69">
        <f>+Tarifas!Y7</f>
        <v>943.46</v>
      </c>
      <c r="J5" s="30">
        <f>+Tarifas!Z7</f>
        <v>943.5</v>
      </c>
      <c r="K5" s="30">
        <f>+Tarifas!AA7</f>
        <v>943.46</v>
      </c>
      <c r="L5" s="30">
        <f>+Tarifas!AB7</f>
        <v>943.46</v>
      </c>
      <c r="M5" s="30">
        <f>+Tarifas!AC7</f>
        <v>938.16</v>
      </c>
      <c r="N5" s="30">
        <f>+Tarifas!AD7</f>
        <v>885.71</v>
      </c>
      <c r="O5" s="30">
        <f>+Tarifas!AE7</f>
        <v>885.7</v>
      </c>
      <c r="P5" s="30">
        <f>+Tarifas!AF7</f>
        <v>795</v>
      </c>
      <c r="Q5" s="30">
        <f>+Tarifas!AG7</f>
        <v>795</v>
      </c>
      <c r="R5" s="30">
        <f>+Tarifas!AH7</f>
        <v>795.93</v>
      </c>
      <c r="S5" s="30">
        <f>+Tarifas!AI7</f>
        <v>795.93</v>
      </c>
      <c r="T5" s="30">
        <f>+Tarifas!AJ7</f>
        <v>795.93</v>
      </c>
      <c r="U5" s="30">
        <f>+Tarifas!AK7</f>
        <v>795.93</v>
      </c>
      <c r="V5" s="30">
        <f>+Tarifas!AL7</f>
        <v>971.80500000000006</v>
      </c>
      <c r="W5" s="30">
        <f>+Tarifas!AM7</f>
        <v>971.76380000000006</v>
      </c>
      <c r="X5" s="30">
        <f>+Tarifas!AN7</f>
        <v>971.76380000000006</v>
      </c>
      <c r="Y5" s="30">
        <f>+Tarifas!AO7</f>
        <v>966.3048</v>
      </c>
      <c r="Z5" s="30">
        <f>+Tarifas!AP7</f>
        <v>912.2813000000001</v>
      </c>
      <c r="AA5" s="30">
        <f>+Tarifas!AQ7</f>
        <v>912.27100000000007</v>
      </c>
      <c r="AB5" s="30">
        <f>+Tarifas!AR7</f>
        <v>818.85</v>
      </c>
      <c r="AC5" s="30">
        <f>+Tarifas!AS7</f>
        <v>818.85</v>
      </c>
      <c r="AD5" s="30">
        <f>+Tarifas!AT7</f>
        <v>819.80790000000002</v>
      </c>
      <c r="AE5" s="30">
        <f>+Tarifas!AU7</f>
        <v>819.80790000000002</v>
      </c>
      <c r="AF5" s="30">
        <f>+Tarifas!AV7</f>
        <v>819.80790000000002</v>
      </c>
      <c r="AG5" s="30">
        <f>+Tarifas!AW7</f>
        <v>819.80790000000002</v>
      </c>
      <c r="AH5" s="30">
        <f>+Tarifas!AX7</f>
        <v>1000.9591500000001</v>
      </c>
      <c r="AI5" s="30">
        <f>+Tarifas!AY7</f>
        <v>1000.9167140000001</v>
      </c>
      <c r="AJ5" s="30">
        <f>+Tarifas!AZ7</f>
        <v>1000.9167140000001</v>
      </c>
      <c r="AK5" s="30">
        <f>+Tarifas!BA7</f>
        <v>995.29394400000001</v>
      </c>
      <c r="AL5" s="30">
        <f>+Tarifas!BB7</f>
        <v>939.64973900000018</v>
      </c>
      <c r="AM5" s="30">
        <f>+Tarifas!BC7</f>
        <v>939.63913000000014</v>
      </c>
      <c r="AN5" s="30">
        <f>+Tarifas!BD7</f>
        <v>843.41550000000007</v>
      </c>
      <c r="AO5" s="30">
        <f>+Tarifas!BE7</f>
        <v>843.41550000000007</v>
      </c>
      <c r="AP5" s="30">
        <f>+Tarifas!BF7</f>
        <v>844.40213700000004</v>
      </c>
      <c r="AQ5" s="30">
        <f>+Tarifas!BG7</f>
        <v>844.40213700000004</v>
      </c>
      <c r="AR5" s="30">
        <f>+Tarifas!BH7</f>
        <v>844.40213700000004</v>
      </c>
      <c r="AS5" s="30">
        <f>+Tarifas!BI7</f>
        <v>844.40213700000004</v>
      </c>
      <c r="AT5" s="30">
        <f>+Tarifas!BJ7</f>
        <v>1030.9879245000002</v>
      </c>
      <c r="AU5" s="30">
        <f>+Tarifas!BK7</f>
        <v>1030.9442154200001</v>
      </c>
      <c r="AV5" s="30">
        <f>+Tarifas!BL7</f>
        <v>1030.9442154200001</v>
      </c>
      <c r="AW5" s="30">
        <f>+Tarifas!BM7</f>
        <v>1025.15276232</v>
      </c>
      <c r="AX5" s="30">
        <f>+Tarifas!BN7</f>
        <v>967.83923117000018</v>
      </c>
      <c r="AY5" s="30">
        <f>+Tarifas!BO7</f>
        <v>967.82830390000015</v>
      </c>
      <c r="AZ5" s="30">
        <f>+Tarifas!BP7</f>
        <v>868.71796500000005</v>
      </c>
      <c r="BA5" s="30">
        <f>+Tarifas!BQ7</f>
        <v>868.71796500000005</v>
      </c>
      <c r="BB5" s="30">
        <f>+Tarifas!BR7</f>
        <v>869.73420111000007</v>
      </c>
      <c r="BC5" s="30">
        <f>+Tarifas!BS7</f>
        <v>869.73420111000007</v>
      </c>
      <c r="BD5" s="30">
        <f>+Tarifas!BT7</f>
        <v>869.73420111000007</v>
      </c>
      <c r="BE5" s="30">
        <f>+Tarifas!BU7</f>
        <v>869.73420111000007</v>
      </c>
      <c r="BF5" s="30">
        <f>+Tarifas!BV7</f>
        <v>1061.9175622350003</v>
      </c>
      <c r="BG5" s="30">
        <f>+Tarifas!BW7</f>
        <v>1061.8725418826002</v>
      </c>
      <c r="BH5" s="30">
        <f>+Tarifas!BX7</f>
        <v>1061.8725418826002</v>
      </c>
      <c r="BI5" s="30">
        <f>+Tarifas!BY7</f>
        <v>1055.9073451895999</v>
      </c>
      <c r="BJ5" s="30">
        <f>+Tarifas!BZ7</f>
        <v>996.8744081051002</v>
      </c>
      <c r="BK5" s="30">
        <f>+Tarifas!CA7</f>
        <v>996.86315301700017</v>
      </c>
      <c r="BL5" s="30">
        <f>+Tarifas!CB7</f>
        <v>894.77950395000005</v>
      </c>
      <c r="BM5" s="30">
        <f>+Tarifas!CC7</f>
        <v>894.77950395000005</v>
      </c>
      <c r="BN5" s="30">
        <f>+Tarifas!CD7</f>
        <v>895.82622714330012</v>
      </c>
      <c r="BO5" s="30">
        <f>+Tarifas!CE7</f>
        <v>895.82622714330012</v>
      </c>
      <c r="BP5" s="30">
        <f>+Tarifas!CF7</f>
        <v>895.82622714330012</v>
      </c>
      <c r="BQ5" s="30">
        <f>+Tarifas!CG7</f>
        <v>895.82622714330012</v>
      </c>
      <c r="BR5" s="30">
        <f>+Tarifas!CH7</f>
        <v>1093.7750891020503</v>
      </c>
      <c r="BS5" s="30">
        <f>+Tarifas!CI7</f>
        <v>1093.7287181390782</v>
      </c>
      <c r="BT5" s="30">
        <f>+Tarifas!CJ7</f>
        <v>1093.7287181390782</v>
      </c>
      <c r="BU5" s="30">
        <f>+Tarifas!CK7</f>
        <v>1087.5845655452879</v>
      </c>
      <c r="BV5" s="30">
        <f>+Tarifas!CL7</f>
        <v>1026.7806403482532</v>
      </c>
      <c r="BW5" s="30">
        <f>+Tarifas!CM7</f>
        <v>1026.7690476075102</v>
      </c>
      <c r="BX5" s="30">
        <f>+Tarifas!CN7</f>
        <v>921.62288906850006</v>
      </c>
      <c r="BY5" s="30">
        <f>+Tarifas!CO7</f>
        <v>921.62288906850006</v>
      </c>
      <c r="BZ5" s="30">
        <f>+Tarifas!CP7</f>
        <v>922.70101395759912</v>
      </c>
      <c r="CA5" s="30">
        <f>+Tarifas!CQ7</f>
        <v>922.70101395759912</v>
      </c>
      <c r="CB5" s="30">
        <f>+Tarifas!CR7</f>
        <v>922.70101395759912</v>
      </c>
      <c r="CC5" s="30">
        <f>+Tarifas!CS7</f>
        <v>922.70101395759912</v>
      </c>
      <c r="CD5" s="30">
        <f>+Tarifas!CT7</f>
        <v>1126.5883417751118</v>
      </c>
      <c r="CE5" s="30">
        <f>+Tarifas!CU7</f>
        <v>1126.5405796832506</v>
      </c>
      <c r="CF5" s="30">
        <f>+Tarifas!CV7</f>
        <v>1126.5405796832506</v>
      </c>
      <c r="CG5" s="30">
        <f>+Tarifas!CW7</f>
        <v>1120.2121025116467</v>
      </c>
      <c r="CH5" s="30">
        <f>+Tarifas!CX7</f>
        <v>1057.5840595587008</v>
      </c>
      <c r="CI5" s="30">
        <f>+Tarifas!CY7</f>
        <v>1057.5721190357356</v>
      </c>
      <c r="CJ5" s="30">
        <f>+Tarifas!CZ7</f>
        <v>949.27157574055514</v>
      </c>
      <c r="CK5" s="30">
        <f>+Tarifas!DA7</f>
        <v>949.27157574055514</v>
      </c>
      <c r="CL5" s="30">
        <f>+Tarifas!DB7</f>
        <v>950.38204437632714</v>
      </c>
      <c r="CM5" s="30">
        <f>+Tarifas!DC7</f>
        <v>950.38204437632714</v>
      </c>
      <c r="CN5" s="30">
        <f>+Tarifas!DD7</f>
        <v>950.38204437632714</v>
      </c>
      <c r="CO5" s="30">
        <f>+Tarifas!DE7</f>
        <v>950.38204437632714</v>
      </c>
      <c r="CP5" s="30">
        <f>+Tarifas!DF7</f>
        <v>1160.3859920283651</v>
      </c>
      <c r="CQ5" s="30">
        <f>+Tarifas!DG7</f>
        <v>1160.3367970737481</v>
      </c>
      <c r="CR5" s="30">
        <f>+Tarifas!DH7</f>
        <v>1160.3367970737481</v>
      </c>
      <c r="CS5" s="30">
        <f>+Tarifas!DI7</f>
        <v>1153.8184655869961</v>
      </c>
      <c r="CT5" s="30">
        <f>+Tarifas!DJ7</f>
        <v>1089.3115813454619</v>
      </c>
      <c r="CU5" s="30">
        <f>+Tarifas!DK7</f>
        <v>1089.2992826068078</v>
      </c>
      <c r="CV5" s="30">
        <f>+Tarifas!DL7</f>
        <v>977.74972301277182</v>
      </c>
      <c r="CW5" s="30">
        <f>+Tarifas!DM7</f>
        <v>977.74972301277182</v>
      </c>
      <c r="CX5" s="30">
        <f>+Tarifas!DN7</f>
        <v>978.89350570761701</v>
      </c>
      <c r="CY5" s="30">
        <f>+Tarifas!DO7</f>
        <v>978.89350570761701</v>
      </c>
      <c r="CZ5" s="30">
        <f>+Tarifas!DP7</f>
        <v>978.89350570761701</v>
      </c>
      <c r="DA5" s="30">
        <f>+Tarifas!DQ7</f>
        <v>978.89350570761701</v>
      </c>
      <c r="DB5" s="30">
        <f>+Tarifas!DR7</f>
        <v>1195.197571789216</v>
      </c>
      <c r="DC5" s="30">
        <f>+Tarifas!DS7</f>
        <v>1195.1469009859607</v>
      </c>
      <c r="DD5" s="30">
        <f>+Tarifas!DT7</f>
        <v>1195.1469009859607</v>
      </c>
      <c r="DE5" s="30">
        <f>+Tarifas!DU7</f>
        <v>1188.4330195546061</v>
      </c>
      <c r="DF5" s="30">
        <f>+Tarifas!DV7</f>
        <v>1121.9909287858259</v>
      </c>
      <c r="DG5" s="30">
        <f>+Tarifas!DW7</f>
        <v>1121.978261085012</v>
      </c>
      <c r="DH5" s="30">
        <f>+Tarifas!DX7</f>
        <v>1007.082214703155</v>
      </c>
      <c r="DI5" s="30">
        <f>+Tarifas!DY7</f>
        <v>1007.082214703155</v>
      </c>
      <c r="DJ5" s="30">
        <f>+Tarifas!DZ7</f>
        <v>1008.2603108788455</v>
      </c>
      <c r="DK5" s="30">
        <f>+Tarifas!EA7</f>
        <v>1008.2603108788455</v>
      </c>
      <c r="DL5" s="30">
        <f>+Tarifas!EB7</f>
        <v>1008.2603108788455</v>
      </c>
      <c r="DM5" s="30">
        <f>+Tarifas!EC7</f>
        <v>1008.2603108788455</v>
      </c>
      <c r="DN5" s="30">
        <f>+Tarifas!ED7</f>
        <v>1231.0534989428925</v>
      </c>
      <c r="DO5" s="30">
        <f>+Tarifas!EE7</f>
        <v>1231.0013080155395</v>
      </c>
      <c r="DP5" s="30">
        <f>+Tarifas!EF7</f>
        <v>1231.0013080155395</v>
      </c>
      <c r="DQ5" s="30">
        <f>+Tarifas!EG7</f>
        <v>1224.0860101412443</v>
      </c>
      <c r="DR5" s="30">
        <f>+Tarifas!EH7</f>
        <v>1155.6506566494006</v>
      </c>
      <c r="DS5" s="30">
        <f>+Tarifas!EI7</f>
        <v>1155.6376089175624</v>
      </c>
      <c r="DT5" s="30">
        <f>+Tarifas!EJ7</f>
        <v>1037.2946811442498</v>
      </c>
      <c r="DU5" s="30">
        <f>+Tarifas!EK7</f>
        <v>1037.2946811442498</v>
      </c>
      <c r="DV5" s="30">
        <f>+Tarifas!EL7</f>
        <v>1038.5081202052108</v>
      </c>
      <c r="DW5" s="30">
        <f>+Tarifas!EM7</f>
        <v>1038.5081202052108</v>
      </c>
      <c r="DX5" s="30">
        <f>+Tarifas!EN7</f>
        <v>1038.5081202052108</v>
      </c>
      <c r="DY5" s="30">
        <f>+Tarifas!EO7</f>
        <v>1038.5081202052108</v>
      </c>
      <c r="DZ5" s="30">
        <f>+Tarifas!EP7</f>
        <v>1267.9851039111793</v>
      </c>
      <c r="EA5" s="30">
        <f>+Tarifas!EQ7</f>
        <v>1267.9313472560057</v>
      </c>
      <c r="EB5" s="30">
        <f>+Tarifas!ER7</f>
        <v>1267.9313472560057</v>
      </c>
      <c r="EC5" s="30">
        <f>+Tarifas!ES7</f>
        <v>1260.8085904454817</v>
      </c>
      <c r="ED5" s="30">
        <f>+Tarifas!ET7</f>
        <v>1190.3201763488826</v>
      </c>
      <c r="EE5" s="30">
        <f>+Tarifas!EU7</f>
        <v>1190.3067371850893</v>
      </c>
      <c r="EF5" s="30">
        <f>+Tarifas!EV7</f>
        <v>1068.4135215785773</v>
      </c>
      <c r="EG5" s="30">
        <f>+Tarifas!EW7</f>
        <v>1068.4135215785773</v>
      </c>
      <c r="EH5" s="30">
        <f>+Tarifas!EX7</f>
        <v>1069.6633638113672</v>
      </c>
      <c r="EI5" s="30">
        <f>+Tarifas!EY7</f>
        <v>1069.6633638113672</v>
      </c>
      <c r="EJ5" s="30">
        <f>+Tarifas!EZ7</f>
        <v>1069.6633638113672</v>
      </c>
      <c r="EK5" s="30">
        <f>+Tarifas!FA7</f>
        <v>1069.6633638113672</v>
      </c>
      <c r="EL5" s="30">
        <f>+Tarifas!FB7</f>
        <v>1306.0246570285146</v>
      </c>
      <c r="EM5" s="30">
        <f>+Tarifas!FC7</f>
        <v>1305.9692876736858</v>
      </c>
      <c r="EN5" s="30">
        <f>+Tarifas!FD7</f>
        <v>1305.9692876736858</v>
      </c>
      <c r="EO5" s="30">
        <f>+Tarifas!FE7</f>
        <v>1298.6328481588462</v>
      </c>
      <c r="EP5" s="30">
        <f>+Tarifas!FF7</f>
        <v>1226.029781639349</v>
      </c>
      <c r="EQ5" s="30">
        <f>+Tarifas!FG7</f>
        <v>1226.015939300642</v>
      </c>
      <c r="ER5" s="30">
        <f>+Tarifas!FH7</f>
        <v>1100.4659272259346</v>
      </c>
      <c r="ES5" s="30">
        <f>+Tarifas!FI7</f>
        <v>1100.4659272259346</v>
      </c>
      <c r="ET5" s="30">
        <f>+Tarifas!FJ7</f>
        <v>1101.7532647257083</v>
      </c>
      <c r="EU5" s="30">
        <f>+Tarifas!FK7</f>
        <v>1101.7532647257083</v>
      </c>
      <c r="EV5" s="30">
        <f>+Tarifas!FL7</f>
        <v>1101.7532647257083</v>
      </c>
      <c r="EW5" s="30">
        <f>+Tarifas!FM7</f>
        <v>1101.7532647257083</v>
      </c>
      <c r="EX5" s="30">
        <f>+Tarifas!FN7</f>
        <v>1345.2053967393701</v>
      </c>
      <c r="EY5" s="30">
        <f>+Tarifas!FO7</f>
        <v>1345.1483663038964</v>
      </c>
      <c r="EZ5" s="30">
        <f>+Tarifas!FP7</f>
        <v>1345.1483663038964</v>
      </c>
      <c r="FA5" s="30">
        <f>+Tarifas!FQ7</f>
        <v>1337.5918336036116</v>
      </c>
      <c r="FB5" s="30">
        <f>+Tarifas!FR7</f>
        <v>1262.8106750885295</v>
      </c>
      <c r="FC5" s="30">
        <f>+Tarifas!FS7</f>
        <v>1262.7964174796614</v>
      </c>
      <c r="FD5" s="30">
        <f>+Tarifas!FT7</f>
        <v>1133.4799050427127</v>
      </c>
      <c r="FE5" s="30">
        <f>+Tarifas!FU7</f>
        <v>1133.4799050427127</v>
      </c>
      <c r="FF5" s="30">
        <f>+Tarifas!FV7</f>
        <v>1134.8058626674795</v>
      </c>
      <c r="FG5" s="30">
        <f>+Tarifas!FW7</f>
        <v>1134.8058626674795</v>
      </c>
      <c r="FH5" s="30">
        <f>+Tarifas!FX7</f>
        <v>1134.8058626674795</v>
      </c>
      <c r="FI5" s="30">
        <f>+Tarifas!FY7</f>
        <v>1134.8058626674795</v>
      </c>
      <c r="FJ5" s="30">
        <f>+Tarifas!FZ7</f>
        <v>1385.5615586415513</v>
      </c>
      <c r="FK5" s="30">
        <f>+Tarifas!GA7</f>
        <v>1385.5028172930133</v>
      </c>
      <c r="FL5" s="30">
        <f>+Tarifas!GB7</f>
        <v>1385.5028172930133</v>
      </c>
      <c r="FM5" s="30">
        <f>+Tarifas!GC7</f>
        <v>1377.7195886117199</v>
      </c>
      <c r="FN5" s="30">
        <f>+Tarifas!GD7</f>
        <v>1300.6949953411854</v>
      </c>
      <c r="FO5" s="30">
        <f>+Tarifas!GE7</f>
        <v>1300.6803100040513</v>
      </c>
      <c r="FP5" s="30">
        <f>+Tarifas!GF7</f>
        <v>1167.4843021939942</v>
      </c>
      <c r="FQ5" s="30">
        <f>+Tarifas!GG7</f>
        <v>1167.4843021939942</v>
      </c>
      <c r="FR5" s="30">
        <f>+Tarifas!GH7</f>
        <v>1168.8500385475038</v>
      </c>
      <c r="FS5" s="30">
        <f>+Tarifas!GI7</f>
        <v>1168.8500385475038</v>
      </c>
      <c r="FT5" s="30">
        <f>+Tarifas!GJ7</f>
        <v>1168.8500385475038</v>
      </c>
      <c r="FU5" s="30">
        <f>+Tarifas!GK7</f>
        <v>1168.8500385475038</v>
      </c>
      <c r="FV5" s="30">
        <f>+Tarifas!GL7</f>
        <v>1427.1284054007979</v>
      </c>
      <c r="FW5" s="30">
        <f>+Tarifas!GM7</f>
        <v>1427.0679018118037</v>
      </c>
      <c r="FX5" s="30">
        <f>+Tarifas!GN7</f>
        <v>1427.0679018118037</v>
      </c>
      <c r="FY5" s="30">
        <f>+Tarifas!GO7</f>
        <v>1419.0511762700717</v>
      </c>
      <c r="FZ5" s="30">
        <f>+Tarifas!GP7</f>
        <v>1339.715845201421</v>
      </c>
      <c r="GA5" s="30">
        <f>+Tarifas!GQ7</f>
        <v>1339.7007193041729</v>
      </c>
      <c r="GB5" s="30">
        <f>+Tarifas!GR7</f>
        <v>1202.5088312598141</v>
      </c>
      <c r="GC5" s="30">
        <f>+Tarifas!GS7</f>
        <v>1202.5088312598141</v>
      </c>
      <c r="GD5" s="30">
        <f>+Tarifas!GT7</f>
        <v>1203.915539703929</v>
      </c>
      <c r="GE5" s="30">
        <f>+Tarifas!GU7</f>
        <v>1203.915539703929</v>
      </c>
      <c r="GF5" s="30">
        <f>+Tarifas!GV7</f>
        <v>1203.915539703929</v>
      </c>
      <c r="GG5" s="30">
        <f>+Tarifas!GW7</f>
        <v>1203.915539703929</v>
      </c>
      <c r="GH5" s="30">
        <f>+Tarifas!GX7</f>
        <v>1469.9422575628219</v>
      </c>
      <c r="GI5" s="30">
        <f>+Tarifas!GY7</f>
        <v>1469.8799388661578</v>
      </c>
      <c r="GJ5" s="30">
        <f>+Tarifas!GZ7</f>
        <v>1469.8799388661578</v>
      </c>
      <c r="GK5" s="30">
        <f>+Tarifas!HA7</f>
        <v>1461.6227115581739</v>
      </c>
      <c r="GL5" s="30">
        <f>+Tarifas!HB7</f>
        <v>1379.9073205574637</v>
      </c>
      <c r="GM5" s="30">
        <f>+Tarifas!HC7</f>
        <v>1379.8917408832981</v>
      </c>
      <c r="GN5" s="30">
        <f>+Tarifas!HD7</f>
        <v>1238.5840961976085</v>
      </c>
      <c r="GO5" s="30">
        <f>+Tarifas!HE7</f>
        <v>1238.5840961976085</v>
      </c>
      <c r="GP5" s="30">
        <f>+Tarifas!HF7</f>
        <v>1240.0330058950469</v>
      </c>
      <c r="GQ5" s="30">
        <f>+Tarifas!HG7</f>
        <v>1240.0330058950469</v>
      </c>
      <c r="GR5" s="30">
        <f>+Tarifas!HH7</f>
        <v>1240.0330058950469</v>
      </c>
      <c r="GS5" s="30">
        <f>+Tarifas!HI7</f>
        <v>1240.0330058950469</v>
      </c>
      <c r="GT5" s="30">
        <f>+Tarifas!HJ7</f>
        <v>1514.0405252897065</v>
      </c>
      <c r="GU5" s="30">
        <f>+Tarifas!HK7</f>
        <v>1513.9763370321425</v>
      </c>
      <c r="GV5" s="30">
        <f>+Tarifas!HL7</f>
        <v>1513.9763370321425</v>
      </c>
      <c r="GW5" s="30">
        <f>+Tarifas!HM7</f>
        <v>1505.4713929049192</v>
      </c>
      <c r="GX5" s="30">
        <f>+Tarifas!HN7</f>
        <v>1421.3045401741877</v>
      </c>
      <c r="GY5" s="30">
        <f>+Tarifas!HO7</f>
        <v>1421.2884931097972</v>
      </c>
      <c r="GZ5" s="30">
        <f>+Tarifas!HP7</f>
        <v>1275.7416190835368</v>
      </c>
      <c r="HA5" s="30">
        <f>+Tarifas!HQ7</f>
        <v>1275.7416190835368</v>
      </c>
      <c r="HB5" s="30">
        <f>+Tarifas!HR7</f>
        <v>1277.2339960718984</v>
      </c>
      <c r="HC5" s="30">
        <f>+Tarifas!HS7</f>
        <v>1277.2339960718984</v>
      </c>
      <c r="HD5" s="30">
        <f>+Tarifas!HT7</f>
        <v>1277.2339960718984</v>
      </c>
      <c r="HE5" s="30">
        <f>+Tarifas!HU7</f>
        <v>1277.2339960718984</v>
      </c>
      <c r="HF5" s="30">
        <f>+Tarifas!HV7</f>
        <v>1559.4617410483977</v>
      </c>
      <c r="HG5" s="30">
        <f>+Tarifas!HW7</f>
        <v>1559.3956271431068</v>
      </c>
      <c r="HH5" s="30">
        <f>+Tarifas!HX7</f>
        <v>1559.3956271431068</v>
      </c>
      <c r="HI5" s="30">
        <f>+Tarifas!HY7</f>
        <v>1550.6355346920668</v>
      </c>
      <c r="HJ5" s="30">
        <f>+Tarifas!HZ7</f>
        <v>1463.9436763794133</v>
      </c>
      <c r="HK5" s="30">
        <f>+Tarifas!IA7</f>
        <v>1463.9271479030911</v>
      </c>
      <c r="HL5" s="30">
        <f>+Tarifas!IB7</f>
        <v>1314.013867656043</v>
      </c>
      <c r="HM5" s="30">
        <f>+Tarifas!IC7</f>
        <v>1314.013867656043</v>
      </c>
      <c r="HN5" s="30">
        <f>+Tarifas!ID7</f>
        <v>1315.5510159540554</v>
      </c>
      <c r="HO5" s="30">
        <f>+Tarifas!IE7</f>
        <v>1315.5510159540554</v>
      </c>
      <c r="HP5" s="30">
        <f>+Tarifas!IF7</f>
        <v>1315.5510159540554</v>
      </c>
      <c r="HQ5" s="30">
        <f>+Tarifas!IG7</f>
        <v>1315.5510159540554</v>
      </c>
      <c r="HR5" s="30">
        <f>+Tarifas!IH7</f>
        <v>1606.2455932798496</v>
      </c>
      <c r="HS5" s="30">
        <f>+Tarifas!II7</f>
        <v>1606.1774959574</v>
      </c>
      <c r="HT5" s="30">
        <f>+Tarifas!IJ7</f>
        <v>1606.1774959574</v>
      </c>
      <c r="HU5" s="30">
        <f>+Tarifas!IK7</f>
        <v>1597.1546007328288</v>
      </c>
      <c r="HV5" s="30">
        <f>+Tarifas!IL7</f>
        <v>1507.8619866707957</v>
      </c>
      <c r="HW5" s="30">
        <f>+Tarifas!IM7</f>
        <v>1507.8449623401839</v>
      </c>
      <c r="HX5" s="30">
        <f>+Tarifas!IN7</f>
        <v>1353.4342836857243</v>
      </c>
      <c r="HY5" s="30">
        <f>+Tarifas!IO7</f>
        <v>1353.4342836857243</v>
      </c>
      <c r="HZ5" s="30">
        <f>+Tarifas!IP7</f>
        <v>1355.0175464326771</v>
      </c>
      <c r="IA5" s="30">
        <f>+Tarifas!IQ7</f>
        <v>1355.0175464326771</v>
      </c>
      <c r="IB5" s="30">
        <f>+Tarifas!IR7</f>
        <v>1355.0175464326771</v>
      </c>
      <c r="IC5" s="30">
        <f>+Tarifas!IS7</f>
        <v>1355.0175464326771</v>
      </c>
      <c r="ID5" s="30">
        <f>+Tarifas!IT7</f>
        <v>1654.4329610782452</v>
      </c>
      <c r="IE5" s="30">
        <f>+Tarifas!IU7</f>
        <v>1654.362820836122</v>
      </c>
      <c r="IF5" s="30">
        <f>+Tarifas!IV7</f>
        <v>1654.362820836122</v>
      </c>
      <c r="IG5" s="30">
        <f>+Tarifas!IW7</f>
        <v>1645.0692387548138</v>
      </c>
      <c r="IH5" s="30">
        <f>+Tarifas!IX7</f>
        <v>1553.0978462709195</v>
      </c>
      <c r="II5" s="30">
        <f>+Tarifas!IY7</f>
        <v>1553.0803112103895</v>
      </c>
      <c r="IJ5" s="30">
        <f>+Tarifas!IZ7</f>
        <v>1394.0373121962959</v>
      </c>
      <c r="IK5" s="30">
        <f>+Tarifas!JA7</f>
        <v>1394.0373121962959</v>
      </c>
      <c r="IL5" s="30">
        <f>+Tarifas!JB7</f>
        <v>1395.6680728256574</v>
      </c>
      <c r="IM5" s="30">
        <f>+Tarifas!JC7</f>
        <v>1395.6680728256574</v>
      </c>
    </row>
    <row r="6" spans="1:247" x14ac:dyDescent="0.3">
      <c r="A6" t="s">
        <v>885</v>
      </c>
      <c r="C6" s="30">
        <f>+Tarifas!S8</f>
        <v>125.95</v>
      </c>
      <c r="D6" s="30">
        <f>+Tarifas!T8</f>
        <v>128.91999999999999</v>
      </c>
      <c r="E6" s="30">
        <f>+Tarifas!U8</f>
        <v>135.29</v>
      </c>
      <c r="F6" s="30">
        <f>+Tarifas!V8</f>
        <v>139</v>
      </c>
      <c r="G6" s="30">
        <f>+Tarifas!W8</f>
        <v>147.13</v>
      </c>
      <c r="H6" s="30">
        <f>+Tarifas!X8</f>
        <v>154.19999999999999</v>
      </c>
      <c r="I6" s="69">
        <f>+Tarifas!Y8</f>
        <v>159.19</v>
      </c>
      <c r="J6" s="30">
        <f>+Tarifas!Z8</f>
        <v>156.6</v>
      </c>
      <c r="K6" s="30">
        <f>+Tarifas!AA8</f>
        <v>160.06</v>
      </c>
      <c r="L6" s="30">
        <f>+Tarifas!AB8</f>
        <v>154.88999999999999</v>
      </c>
      <c r="M6" s="30">
        <f>+Tarifas!AC8</f>
        <v>153.61000000000001</v>
      </c>
      <c r="N6" s="30">
        <f>+Tarifas!AD8</f>
        <v>151.97</v>
      </c>
      <c r="O6" s="30">
        <f>+Tarifas!AE8</f>
        <v>132.69999999999999</v>
      </c>
      <c r="P6" s="30">
        <f>+Tarifas!AF8</f>
        <v>133.16</v>
      </c>
      <c r="Q6" s="30">
        <f>+Tarifas!AG8</f>
        <v>121.2</v>
      </c>
      <c r="R6" s="30">
        <f>+Tarifas!AH8</f>
        <v>119.83</v>
      </c>
      <c r="S6" s="30">
        <f>+Tarifas!AI8</f>
        <v>151.54390000000001</v>
      </c>
      <c r="T6" s="30">
        <f>+Tarifas!AJ8</f>
        <v>158.82599999999999</v>
      </c>
      <c r="U6" s="30">
        <f>+Tarifas!AK8</f>
        <v>163.9657</v>
      </c>
      <c r="V6" s="30">
        <f>+Tarifas!AL8</f>
        <v>161.298</v>
      </c>
      <c r="W6" s="30">
        <f>+Tarifas!AM8</f>
        <v>164.86180000000002</v>
      </c>
      <c r="X6" s="30">
        <f>+Tarifas!AN8</f>
        <v>159.5367</v>
      </c>
      <c r="Y6" s="30">
        <f>+Tarifas!AO8</f>
        <v>158.21830000000003</v>
      </c>
      <c r="Z6" s="30">
        <f>+Tarifas!AP8</f>
        <v>156.5291</v>
      </c>
      <c r="AA6" s="30">
        <f>+Tarifas!AQ8</f>
        <v>136.68099999999998</v>
      </c>
      <c r="AB6" s="30">
        <f>+Tarifas!AR8</f>
        <v>137.15479999999999</v>
      </c>
      <c r="AC6" s="30">
        <f>+Tarifas!AS8</f>
        <v>124.83600000000001</v>
      </c>
      <c r="AD6" s="30">
        <f>+Tarifas!AT8</f>
        <v>123.42490000000001</v>
      </c>
      <c r="AE6" s="30">
        <f>+Tarifas!AU8</f>
        <v>156.09021700000002</v>
      </c>
      <c r="AF6" s="30">
        <f>+Tarifas!AV8</f>
        <v>163.59078</v>
      </c>
      <c r="AG6" s="30">
        <f>+Tarifas!AW8</f>
        <v>168.884671</v>
      </c>
      <c r="AH6" s="30">
        <f>+Tarifas!AX8</f>
        <v>166.13694000000001</v>
      </c>
      <c r="AI6" s="30">
        <f>+Tarifas!AY8</f>
        <v>169.80765400000001</v>
      </c>
      <c r="AJ6" s="30">
        <f>+Tarifas!AZ8</f>
        <v>164.322801</v>
      </c>
      <c r="AK6" s="30">
        <f>+Tarifas!BA8</f>
        <v>162.96484900000004</v>
      </c>
      <c r="AL6" s="30">
        <f>+Tarifas!BB8</f>
        <v>161.22497300000001</v>
      </c>
      <c r="AM6" s="30">
        <f>+Tarifas!BC8</f>
        <v>140.78143</v>
      </c>
      <c r="AN6" s="30">
        <f>+Tarifas!BD8</f>
        <v>141.26944399999999</v>
      </c>
      <c r="AO6" s="30">
        <f>+Tarifas!BE8</f>
        <v>128.58108000000001</v>
      </c>
      <c r="AP6" s="30">
        <f>+Tarifas!BF8</f>
        <v>127.12764700000001</v>
      </c>
      <c r="AQ6" s="30">
        <f>+Tarifas!BG8</f>
        <v>160.77292351000003</v>
      </c>
      <c r="AR6" s="30">
        <f>+Tarifas!BH8</f>
        <v>168.4985034</v>
      </c>
      <c r="AS6" s="30">
        <f>+Tarifas!BI8</f>
        <v>173.95121112999999</v>
      </c>
      <c r="AT6" s="30">
        <f>+Tarifas!BJ8</f>
        <v>171.12104820000002</v>
      </c>
      <c r="AU6" s="30">
        <f>+Tarifas!BK8</f>
        <v>174.90188362000001</v>
      </c>
      <c r="AV6" s="30">
        <f>+Tarifas!BL8</f>
        <v>169.25248503</v>
      </c>
      <c r="AW6" s="30">
        <f>+Tarifas!BM8</f>
        <v>167.85379447000005</v>
      </c>
      <c r="AX6" s="30">
        <f>+Tarifas!BN8</f>
        <v>166.06172219000001</v>
      </c>
      <c r="AY6" s="30">
        <f>+Tarifas!BO8</f>
        <v>145.00487290000001</v>
      </c>
      <c r="AZ6" s="30">
        <f>+Tarifas!BP8</f>
        <v>145.50752732000001</v>
      </c>
      <c r="BA6" s="30">
        <f>+Tarifas!BQ8</f>
        <v>132.43851240000001</v>
      </c>
      <c r="BB6" s="30">
        <f>+Tarifas!BR8</f>
        <v>130.94147641000001</v>
      </c>
      <c r="BC6" s="30">
        <f>+Tarifas!BS8</f>
        <v>165.59611121530003</v>
      </c>
      <c r="BD6" s="30">
        <f>+Tarifas!BT8</f>
        <v>173.55345850200001</v>
      </c>
      <c r="BE6" s="30">
        <f>+Tarifas!BU8</f>
        <v>179.16974746389999</v>
      </c>
      <c r="BF6" s="30">
        <f>+Tarifas!BV8</f>
        <v>176.25467964600003</v>
      </c>
      <c r="BG6" s="30">
        <f>+Tarifas!BW8</f>
        <v>180.1489401286</v>
      </c>
      <c r="BH6" s="30">
        <f>+Tarifas!BX8</f>
        <v>174.33005958090001</v>
      </c>
      <c r="BI6" s="30">
        <f>+Tarifas!BY8</f>
        <v>172.88940830410007</v>
      </c>
      <c r="BJ6" s="30">
        <f>+Tarifas!BZ8</f>
        <v>171.0435738557</v>
      </c>
      <c r="BK6" s="30">
        <f>+Tarifas!CA8</f>
        <v>149.35501908700002</v>
      </c>
      <c r="BL6" s="30">
        <f>+Tarifas!CB8</f>
        <v>149.87275313960001</v>
      </c>
      <c r="BM6" s="30">
        <f>+Tarifas!CC8</f>
        <v>136.41166777200002</v>
      </c>
      <c r="BN6" s="30">
        <f>+Tarifas!CD8</f>
        <v>134.86972070230001</v>
      </c>
      <c r="BO6" s="30">
        <f>+Tarifas!CE8</f>
        <v>170.56399455175904</v>
      </c>
      <c r="BP6" s="30">
        <f>+Tarifas!CF8</f>
        <v>178.76006225706001</v>
      </c>
      <c r="BQ6" s="30">
        <f>+Tarifas!CG8</f>
        <v>184.54483988781701</v>
      </c>
      <c r="BR6" s="30">
        <f>+Tarifas!CH8</f>
        <v>181.54232003538004</v>
      </c>
      <c r="BS6" s="30">
        <f>+Tarifas!CI8</f>
        <v>185.55340833245802</v>
      </c>
      <c r="BT6" s="30">
        <f>+Tarifas!CJ8</f>
        <v>179.55996136832701</v>
      </c>
      <c r="BU6" s="30">
        <f>+Tarifas!CK8</f>
        <v>178.07609055322308</v>
      </c>
      <c r="BV6" s="30">
        <f>+Tarifas!CL8</f>
        <v>176.174881071371</v>
      </c>
      <c r="BW6" s="30">
        <f>+Tarifas!CM8</f>
        <v>153.83566965961003</v>
      </c>
      <c r="BX6" s="30">
        <f>+Tarifas!CN8</f>
        <v>154.36893573378802</v>
      </c>
      <c r="BY6" s="30">
        <f>+Tarifas!CO8</f>
        <v>140.50401780516003</v>
      </c>
      <c r="BZ6" s="30">
        <f>+Tarifas!CP8</f>
        <v>138.91581232336901</v>
      </c>
      <c r="CA6" s="30">
        <f>+Tarifas!CQ8</f>
        <v>175.68091438831181</v>
      </c>
      <c r="CB6" s="30">
        <f>+Tarifas!CR8</f>
        <v>184.12286412477181</v>
      </c>
      <c r="CC6" s="30">
        <f>+Tarifas!CS8</f>
        <v>190.08118508445153</v>
      </c>
      <c r="CD6" s="30">
        <f>+Tarifas!CT8</f>
        <v>186.98858963644145</v>
      </c>
      <c r="CE6" s="30">
        <f>+Tarifas!CU8</f>
        <v>191.12001058243177</v>
      </c>
      <c r="CF6" s="30">
        <f>+Tarifas!CV8</f>
        <v>184.94676020937683</v>
      </c>
      <c r="CG6" s="30">
        <f>+Tarifas!CW8</f>
        <v>183.41837326981977</v>
      </c>
      <c r="CH6" s="30">
        <f>+Tarifas!CX8</f>
        <v>181.46012750351213</v>
      </c>
      <c r="CI6" s="30">
        <f>+Tarifas!CY8</f>
        <v>158.45073974939834</v>
      </c>
      <c r="CJ6" s="30">
        <f>+Tarifas!CZ8</f>
        <v>159.00000380580167</v>
      </c>
      <c r="CK6" s="30">
        <f>+Tarifas!DA8</f>
        <v>144.71913833931484</v>
      </c>
      <c r="CL6" s="30">
        <f>+Tarifas!DB8</f>
        <v>143.08328669307008</v>
      </c>
      <c r="CM6" s="30">
        <f>+Tarifas!DC8</f>
        <v>180.95134181996116</v>
      </c>
      <c r="CN6" s="30">
        <f>+Tarifas!DD8</f>
        <v>189.64655004851497</v>
      </c>
      <c r="CO6" s="30">
        <f>+Tarifas!DE8</f>
        <v>195.78362063698509</v>
      </c>
      <c r="CP6" s="30">
        <f>+Tarifas!DF8</f>
        <v>192.59824732553469</v>
      </c>
      <c r="CQ6" s="30">
        <f>+Tarifas!DG8</f>
        <v>196.85361089990474</v>
      </c>
      <c r="CR6" s="30">
        <f>+Tarifas!DH8</f>
        <v>190.49516301565814</v>
      </c>
      <c r="CS6" s="30">
        <f>+Tarifas!DI8</f>
        <v>188.92092446791438</v>
      </c>
      <c r="CT6" s="30">
        <f>+Tarifas!DJ8</f>
        <v>186.90393132861749</v>
      </c>
      <c r="CU6" s="30">
        <f>+Tarifas!DK8</f>
        <v>163.2042619418803</v>
      </c>
      <c r="CV6" s="30">
        <f>+Tarifas!DL8</f>
        <v>163.77000391997572</v>
      </c>
      <c r="CW6" s="30">
        <f>+Tarifas!DM8</f>
        <v>149.06071248949428</v>
      </c>
      <c r="CX6" s="30">
        <f>+Tarifas!DN8</f>
        <v>147.37578529386218</v>
      </c>
      <c r="CY6" s="30">
        <f>+Tarifas!DO8</f>
        <v>186.37988207455999</v>
      </c>
      <c r="CZ6" s="30">
        <f>+Tarifas!DP8</f>
        <v>195.33594654997043</v>
      </c>
      <c r="DA6" s="30">
        <f>+Tarifas!DQ8</f>
        <v>201.65712925609466</v>
      </c>
      <c r="DB6" s="30">
        <f>+Tarifas!DR8</f>
        <v>198.37619474530072</v>
      </c>
      <c r="DC6" s="30">
        <f>+Tarifas!DS8</f>
        <v>202.75921922690188</v>
      </c>
      <c r="DD6" s="30">
        <f>+Tarifas!DT8</f>
        <v>196.21001790612789</v>
      </c>
      <c r="DE6" s="30">
        <f>+Tarifas!DU8</f>
        <v>194.58855220195181</v>
      </c>
      <c r="DF6" s="30">
        <f>+Tarifas!DV8</f>
        <v>192.51104926847603</v>
      </c>
      <c r="DG6" s="30">
        <f>+Tarifas!DW8</f>
        <v>168.10038980013672</v>
      </c>
      <c r="DH6" s="30">
        <f>+Tarifas!DX8</f>
        <v>168.68310403757499</v>
      </c>
      <c r="DI6" s="30">
        <f>+Tarifas!DY8</f>
        <v>153.5325338641791</v>
      </c>
      <c r="DJ6" s="30">
        <f>+Tarifas!DZ8</f>
        <v>151.79705885267805</v>
      </c>
      <c r="DK6" s="30">
        <f>+Tarifas!EA8</f>
        <v>191.9712785367968</v>
      </c>
      <c r="DL6" s="30">
        <f>+Tarifas!EB8</f>
        <v>201.19602494646955</v>
      </c>
      <c r="DM6" s="30">
        <f>+Tarifas!EC8</f>
        <v>207.70684313377751</v>
      </c>
      <c r="DN6" s="30">
        <f>+Tarifas!ED8</f>
        <v>204.32748058765975</v>
      </c>
      <c r="DO6" s="30">
        <f>+Tarifas!EE8</f>
        <v>208.84199580370893</v>
      </c>
      <c r="DP6" s="30">
        <f>+Tarifas!EF8</f>
        <v>202.09631844331173</v>
      </c>
      <c r="DQ6" s="30">
        <f>+Tarifas!EG8</f>
        <v>200.42620876801038</v>
      </c>
      <c r="DR6" s="30">
        <f>+Tarifas!EH8</f>
        <v>198.28638074653031</v>
      </c>
      <c r="DS6" s="30">
        <f>+Tarifas!EI8</f>
        <v>173.14340149414082</v>
      </c>
      <c r="DT6" s="30">
        <f>+Tarifas!EJ8</f>
        <v>173.74359715870224</v>
      </c>
      <c r="DU6" s="30">
        <f>+Tarifas!EK8</f>
        <v>158.13850988010446</v>
      </c>
      <c r="DV6" s="30">
        <f>+Tarifas!EL8</f>
        <v>156.3509706182584</v>
      </c>
      <c r="DW6" s="30">
        <f>+Tarifas!EM8</f>
        <v>197.73041689290071</v>
      </c>
      <c r="DX6" s="30">
        <f>+Tarifas!EN8</f>
        <v>207.23190569486363</v>
      </c>
      <c r="DY6" s="30">
        <f>+Tarifas!EO8</f>
        <v>213.93804842779085</v>
      </c>
      <c r="DZ6" s="30">
        <f>+Tarifas!EP8</f>
        <v>210.45730500528956</v>
      </c>
      <c r="EA6" s="30">
        <f>+Tarifas!EQ8</f>
        <v>215.10725567782021</v>
      </c>
      <c r="EB6" s="30">
        <f>+Tarifas!ER8</f>
        <v>208.15920799661109</v>
      </c>
      <c r="EC6" s="30">
        <f>+Tarifas!ES8</f>
        <v>206.43899503105069</v>
      </c>
      <c r="ED6" s="30">
        <f>+Tarifas!ET8</f>
        <v>204.23497216892622</v>
      </c>
      <c r="EE6" s="30">
        <f>+Tarifas!EU8</f>
        <v>178.33770353896506</v>
      </c>
      <c r="EF6" s="30">
        <f>+Tarifas!EV8</f>
        <v>178.95590507346333</v>
      </c>
      <c r="EG6" s="30">
        <f>+Tarifas!EW8</f>
        <v>162.8826651765076</v>
      </c>
      <c r="EH6" s="30">
        <f>+Tarifas!EX8</f>
        <v>161.04149973680614</v>
      </c>
      <c r="EI6" s="30">
        <f>+Tarifas!EY8</f>
        <v>203.66232939968774</v>
      </c>
      <c r="EJ6" s="30">
        <f>+Tarifas!EZ8</f>
        <v>213.44886286570954</v>
      </c>
      <c r="EK6" s="30">
        <f>+Tarifas!FA8</f>
        <v>220.35618988062458</v>
      </c>
      <c r="EL6" s="30">
        <f>+Tarifas!FB8</f>
        <v>216.77102415544826</v>
      </c>
      <c r="EM6" s="30">
        <f>+Tarifas!FC8</f>
        <v>221.56047334815483</v>
      </c>
      <c r="EN6" s="30">
        <f>+Tarifas!FD8</f>
        <v>214.40398423650942</v>
      </c>
      <c r="EO6" s="30">
        <f>+Tarifas!FE8</f>
        <v>212.63216488198222</v>
      </c>
      <c r="EP6" s="30">
        <f>+Tarifas!FF8</f>
        <v>210.36202133399402</v>
      </c>
      <c r="EQ6" s="30">
        <f>+Tarifas!FG8</f>
        <v>183.68783464513402</v>
      </c>
      <c r="ER6" s="30">
        <f>+Tarifas!FH8</f>
        <v>184.32458222566723</v>
      </c>
      <c r="ES6" s="30">
        <f>+Tarifas!FI8</f>
        <v>167.76914513180284</v>
      </c>
      <c r="ET6" s="30">
        <f>+Tarifas!FJ8</f>
        <v>165.87274472891033</v>
      </c>
      <c r="EU6" s="30">
        <f>+Tarifas!FK8</f>
        <v>209.77219928167838</v>
      </c>
      <c r="EV6" s="30">
        <f>+Tarifas!FL8</f>
        <v>219.85232875168083</v>
      </c>
      <c r="EW6" s="30">
        <f>+Tarifas!FM8</f>
        <v>226.96687557704334</v>
      </c>
      <c r="EX6" s="30">
        <f>+Tarifas!FN8</f>
        <v>223.27415488011172</v>
      </c>
      <c r="EY6" s="30">
        <f>+Tarifas!FO8</f>
        <v>228.20728754859948</v>
      </c>
      <c r="EZ6" s="30">
        <f>+Tarifas!FP8</f>
        <v>220.83610376360471</v>
      </c>
      <c r="FA6" s="30">
        <f>+Tarifas!FQ8</f>
        <v>219.01112982844168</v>
      </c>
      <c r="FB6" s="30">
        <f>+Tarifas!FR8</f>
        <v>216.67288197401385</v>
      </c>
      <c r="FC6" s="30">
        <f>+Tarifas!FS8</f>
        <v>189.19846968448803</v>
      </c>
      <c r="FD6" s="30">
        <f>+Tarifas!FT8</f>
        <v>189.85431969243726</v>
      </c>
      <c r="FE6" s="30">
        <f>+Tarifas!FU8</f>
        <v>172.80221948575692</v>
      </c>
      <c r="FF6" s="30">
        <f>+Tarifas!FV8</f>
        <v>170.84892707077765</v>
      </c>
      <c r="FG6" s="30">
        <f>+Tarifas!FW8</f>
        <v>216.06536526012874</v>
      </c>
      <c r="FH6" s="30">
        <f>+Tarifas!FX8</f>
        <v>226.44789861423126</v>
      </c>
      <c r="FI6" s="30">
        <f>+Tarifas!FY8</f>
        <v>233.77588184435464</v>
      </c>
      <c r="FJ6" s="30">
        <f>+Tarifas!FZ8</f>
        <v>229.97237952651508</v>
      </c>
      <c r="FK6" s="30">
        <f>+Tarifas!GA8</f>
        <v>235.05350617505746</v>
      </c>
      <c r="FL6" s="30">
        <f>+Tarifas!GB8</f>
        <v>227.46118687651287</v>
      </c>
      <c r="FM6" s="30">
        <f>+Tarifas!GC8</f>
        <v>225.58146372329495</v>
      </c>
      <c r="FN6" s="30">
        <f>+Tarifas!GD8</f>
        <v>223.17306843323428</v>
      </c>
      <c r="FO6" s="30">
        <f>+Tarifas!GE8</f>
        <v>194.87442377502268</v>
      </c>
      <c r="FP6" s="30">
        <f>+Tarifas!GF8</f>
        <v>195.54994928321037</v>
      </c>
      <c r="FQ6" s="30">
        <f>+Tarifas!GG8</f>
        <v>177.98628607032964</v>
      </c>
      <c r="FR6" s="30">
        <f>+Tarifas!GH8</f>
        <v>175.97439488290098</v>
      </c>
      <c r="FS6" s="30">
        <f>+Tarifas!GI8</f>
        <v>222.54732621793261</v>
      </c>
      <c r="FT6" s="30">
        <f>+Tarifas!GJ8</f>
        <v>233.24133557265822</v>
      </c>
      <c r="FU6" s="30">
        <f>+Tarifas!GK8</f>
        <v>240.78915829968528</v>
      </c>
      <c r="FV6" s="30">
        <f>+Tarifas!GL8</f>
        <v>236.87155091231054</v>
      </c>
      <c r="FW6" s="30">
        <f>+Tarifas!GM8</f>
        <v>242.10511136030919</v>
      </c>
      <c r="FX6" s="30">
        <f>+Tarifas!GN8</f>
        <v>234.28502248280827</v>
      </c>
      <c r="FY6" s="30">
        <f>+Tarifas!GO8</f>
        <v>232.34890763499379</v>
      </c>
      <c r="FZ6" s="30">
        <f>+Tarifas!GP8</f>
        <v>229.86826048623132</v>
      </c>
      <c r="GA6" s="30">
        <f>+Tarifas!GQ8</f>
        <v>200.72065648827336</v>
      </c>
      <c r="GB6" s="30">
        <f>+Tarifas!GR8</f>
        <v>201.41644776170668</v>
      </c>
      <c r="GC6" s="30">
        <f>+Tarifas!GS8</f>
        <v>183.32587465243952</v>
      </c>
      <c r="GD6" s="30">
        <f>+Tarifas!GT8</f>
        <v>181.253626729388</v>
      </c>
      <c r="GE6" s="30">
        <f>+Tarifas!GU8</f>
        <v>229.2237460044706</v>
      </c>
      <c r="GF6" s="30">
        <f>+Tarifas!GV8</f>
        <v>240.23857563983796</v>
      </c>
      <c r="GG6" s="30">
        <f>+Tarifas!GW8</f>
        <v>248.01283304867584</v>
      </c>
      <c r="GH6" s="30">
        <f>+Tarifas!GX8</f>
        <v>243.97769743967987</v>
      </c>
      <c r="GI6" s="30">
        <f>+Tarifas!GY8</f>
        <v>249.36826470111848</v>
      </c>
      <c r="GJ6" s="30">
        <f>+Tarifas!GZ8</f>
        <v>241.31357315729252</v>
      </c>
      <c r="GK6" s="30">
        <f>+Tarifas!HA8</f>
        <v>239.31937486404362</v>
      </c>
      <c r="GL6" s="30">
        <f>+Tarifas!HB8</f>
        <v>236.76430830081827</v>
      </c>
      <c r="GM6" s="30">
        <f>+Tarifas!HC8</f>
        <v>206.74227618292156</v>
      </c>
      <c r="GN6" s="30">
        <f>+Tarifas!HD8</f>
        <v>207.45894119455789</v>
      </c>
      <c r="GO6" s="30">
        <f>+Tarifas!HE8</f>
        <v>188.8256508920127</v>
      </c>
      <c r="GP6" s="30">
        <f>+Tarifas!HF8</f>
        <v>186.69123553126965</v>
      </c>
      <c r="GQ6" s="30">
        <f>+Tarifas!HG8</f>
        <v>236.10045838460474</v>
      </c>
      <c r="GR6" s="30">
        <f>+Tarifas!HH8</f>
        <v>247.4457329090331</v>
      </c>
      <c r="GS6" s="30">
        <f>+Tarifas!HI8</f>
        <v>255.45321804013614</v>
      </c>
      <c r="GT6" s="30">
        <f>+Tarifas!HJ8</f>
        <v>251.29702836287026</v>
      </c>
      <c r="GU6" s="30">
        <f>+Tarifas!HK8</f>
        <v>256.84931264215203</v>
      </c>
      <c r="GV6" s="30">
        <f>+Tarifas!HL8</f>
        <v>248.5529803520113</v>
      </c>
      <c r="GW6" s="30">
        <f>+Tarifas!HM8</f>
        <v>246.49895610996495</v>
      </c>
      <c r="GX6" s="30">
        <f>+Tarifas!HN8</f>
        <v>243.86723754984283</v>
      </c>
      <c r="GY6" s="30">
        <f>+Tarifas!HO8</f>
        <v>212.94454446840922</v>
      </c>
      <c r="GZ6" s="30">
        <f>+Tarifas!HP8</f>
        <v>213.68270943039462</v>
      </c>
      <c r="HA6" s="30">
        <f>+Tarifas!HQ8</f>
        <v>194.49042041877308</v>
      </c>
      <c r="HB6" s="30">
        <f>+Tarifas!HR8</f>
        <v>192.29197259720775</v>
      </c>
      <c r="HC6" s="30">
        <f>+Tarifas!HS8</f>
        <v>243.18347213614288</v>
      </c>
      <c r="HD6" s="30">
        <f>+Tarifas!HT8</f>
        <v>254.86910489630409</v>
      </c>
      <c r="HE6" s="30">
        <f>+Tarifas!HU8</f>
        <v>263.11681458134024</v>
      </c>
      <c r="HF6" s="30">
        <f>+Tarifas!HV8</f>
        <v>258.83593921375638</v>
      </c>
      <c r="HG6" s="30">
        <f>+Tarifas!HW8</f>
        <v>264.55479202141657</v>
      </c>
      <c r="HH6" s="30">
        <f>+Tarifas!HX8</f>
        <v>256.00956976257163</v>
      </c>
      <c r="HI6" s="30">
        <f>+Tarifas!HY8</f>
        <v>253.89392479326389</v>
      </c>
      <c r="HJ6" s="30">
        <f>+Tarifas!HZ8</f>
        <v>251.18325467633812</v>
      </c>
      <c r="HK6" s="30">
        <f>+Tarifas!IA8</f>
        <v>219.33288080246149</v>
      </c>
      <c r="HL6" s="30">
        <f>+Tarifas!IB8</f>
        <v>220.09319071330646</v>
      </c>
      <c r="HM6" s="30">
        <f>+Tarifas!IC8</f>
        <v>200.32513303133629</v>
      </c>
      <c r="HN6" s="30">
        <f>+Tarifas!ID8</f>
        <v>198.060731775124</v>
      </c>
      <c r="HO6" s="30">
        <f>+Tarifas!IE8</f>
        <v>250.47897630022717</v>
      </c>
      <c r="HP6" s="30">
        <f>+Tarifas!IF8</f>
        <v>262.5151780431932</v>
      </c>
      <c r="HQ6" s="30">
        <f>+Tarifas!IG8</f>
        <v>271.01031901878048</v>
      </c>
      <c r="HR6" s="30">
        <f>+Tarifas!IH8</f>
        <v>266.60101739016909</v>
      </c>
      <c r="HS6" s="30">
        <f>+Tarifas!II8</f>
        <v>272.49143578205906</v>
      </c>
      <c r="HT6" s="30">
        <f>+Tarifas!IJ8</f>
        <v>263.6898568554488</v>
      </c>
      <c r="HU6" s="30">
        <f>+Tarifas!IK8</f>
        <v>261.51074253706179</v>
      </c>
      <c r="HV6" s="30">
        <f>+Tarifas!IL8</f>
        <v>258.7187523166283</v>
      </c>
      <c r="HW6" s="30">
        <f>+Tarifas!IM8</f>
        <v>225.91286722653533</v>
      </c>
      <c r="HX6" s="30">
        <f>+Tarifas!IN8</f>
        <v>226.69598643470565</v>
      </c>
      <c r="HY6" s="30">
        <f>+Tarifas!IO8</f>
        <v>206.33488702227638</v>
      </c>
      <c r="HZ6" s="30">
        <f>+Tarifas!IP8</f>
        <v>204.00255372837773</v>
      </c>
      <c r="IA6" s="30">
        <f>+Tarifas!IQ8</f>
        <v>257.99334558923397</v>
      </c>
      <c r="IB6" s="30">
        <f>+Tarifas!IR8</f>
        <v>270.39063338448898</v>
      </c>
      <c r="IC6" s="30">
        <f>+Tarifas!IS8</f>
        <v>279.14062858934392</v>
      </c>
      <c r="ID6" s="30">
        <f>+Tarifas!IT8</f>
        <v>274.59904791187415</v>
      </c>
      <c r="IE6" s="30">
        <f>+Tarifas!IU8</f>
        <v>280.66617885552085</v>
      </c>
      <c r="IF6" s="30">
        <f>+Tarifas!IV8</f>
        <v>271.60055256111224</v>
      </c>
      <c r="IG6" s="30">
        <f>+Tarifas!IW8</f>
        <v>269.35606481317365</v>
      </c>
      <c r="IH6" s="30">
        <f>+Tarifas!IX8</f>
        <v>266.48031488612713</v>
      </c>
      <c r="II6" s="30">
        <f>+Tarifas!IY8</f>
        <v>232.6902532433314</v>
      </c>
      <c r="IJ6" s="30">
        <f>+Tarifas!IZ8</f>
        <v>233.49686602774682</v>
      </c>
      <c r="IK6" s="30">
        <f>+Tarifas!JA8</f>
        <v>212.52493363294468</v>
      </c>
      <c r="IL6" s="30">
        <f>+Tarifas!JB8</f>
        <v>210.12263034022908</v>
      </c>
      <c r="IM6" s="30">
        <f>+Tarifas!JC8</f>
        <v>265.73314595691102</v>
      </c>
    </row>
    <row r="7" spans="1:247" x14ac:dyDescent="0.3">
      <c r="A7" t="s">
        <v>907</v>
      </c>
      <c r="C7" s="30">
        <f>+Tarifas!U9</f>
        <v>0</v>
      </c>
      <c r="D7" s="30">
        <f>+Tarifas!V9</f>
        <v>0</v>
      </c>
      <c r="E7" s="30">
        <f>+Tarifas!W9</f>
        <v>0</v>
      </c>
      <c r="F7" s="30">
        <f>+Tarifas!X9</f>
        <v>0</v>
      </c>
      <c r="G7" s="30">
        <f>+Tarifas!Y9</f>
        <v>0</v>
      </c>
      <c r="H7" s="30">
        <f>+Tarifas!Z9</f>
        <v>0</v>
      </c>
      <c r="I7" s="69">
        <f ca="1">+Tarifas!AA9</f>
        <v>117.76437779643383</v>
      </c>
      <c r="J7" s="30">
        <f ca="1">+Tarifas!AB9</f>
        <v>117.76437779643383</v>
      </c>
      <c r="K7" s="30">
        <f ca="1">+Tarifas!AC9</f>
        <v>117.76437779643383</v>
      </c>
      <c r="L7" s="30">
        <f ca="1">+Tarifas!AD9</f>
        <v>117.76437779643383</v>
      </c>
      <c r="M7" s="30">
        <f ca="1">+Tarifas!AE9</f>
        <v>117.76437779643383</v>
      </c>
      <c r="N7" s="30">
        <f ca="1">+Tarifas!AF9</f>
        <v>117.76437779643383</v>
      </c>
      <c r="O7" s="30">
        <f ca="1">+Tarifas!AG9</f>
        <v>117.76437779643383</v>
      </c>
      <c r="P7" s="30">
        <f ca="1">+Tarifas!AH9</f>
        <v>117.76437779643383</v>
      </c>
      <c r="Q7" s="30">
        <f ca="1">+Tarifas!AI9</f>
        <v>117.76437779643383</v>
      </c>
      <c r="R7" s="30">
        <f ca="1">+Tarifas!AJ9</f>
        <v>117.76437779643383</v>
      </c>
      <c r="S7" s="30">
        <f ca="1">+Tarifas!AK9</f>
        <v>117.76437779643383</v>
      </c>
      <c r="T7" s="30">
        <f ca="1">+Tarifas!AL9</f>
        <v>121.29730913032685</v>
      </c>
      <c r="U7" s="30">
        <f ca="1">+Tarifas!AM9</f>
        <v>121.29730913032685</v>
      </c>
      <c r="V7" s="30">
        <f ca="1">+Tarifas!AN9</f>
        <v>121.29730913032685</v>
      </c>
      <c r="W7" s="30">
        <f ca="1">+Tarifas!AO9</f>
        <v>121.29730913032685</v>
      </c>
      <c r="X7" s="30">
        <f ca="1">+Tarifas!AP9</f>
        <v>121.29730913032685</v>
      </c>
      <c r="Y7" s="30">
        <f ca="1">+Tarifas!AQ9</f>
        <v>121.29730913032685</v>
      </c>
      <c r="Z7" s="30">
        <f ca="1">+Tarifas!AR9</f>
        <v>121.29730913032685</v>
      </c>
      <c r="AA7" s="30">
        <f ca="1">+Tarifas!AS9</f>
        <v>121.29730913032685</v>
      </c>
      <c r="AB7" s="30">
        <f ca="1">+Tarifas!AT9</f>
        <v>121.29730913032685</v>
      </c>
      <c r="AC7" s="30">
        <f ca="1">+Tarifas!AU9</f>
        <v>121.29730913032685</v>
      </c>
      <c r="AD7" s="30">
        <f ca="1">+Tarifas!AV9</f>
        <v>121.29730913032685</v>
      </c>
      <c r="AE7" s="30">
        <f ca="1">+Tarifas!AW9</f>
        <v>121.29730913032685</v>
      </c>
      <c r="AF7" s="30">
        <f ca="1">+Tarifas!AX9</f>
        <v>124.93622840423666</v>
      </c>
      <c r="AG7" s="30">
        <f ca="1">+Tarifas!AY9</f>
        <v>124.93622840423666</v>
      </c>
      <c r="AH7" s="30">
        <f ca="1">+Tarifas!AZ9</f>
        <v>124.93622840423666</v>
      </c>
      <c r="AI7" s="30">
        <f ca="1">+Tarifas!BA9</f>
        <v>124.93622840423666</v>
      </c>
      <c r="AJ7" s="30">
        <f ca="1">+Tarifas!BB9</f>
        <v>124.93622840423666</v>
      </c>
      <c r="AK7" s="30">
        <f ca="1">+Tarifas!BC9</f>
        <v>124.93622840423666</v>
      </c>
      <c r="AL7" s="30">
        <f ca="1">+Tarifas!BD9</f>
        <v>124.93622840423666</v>
      </c>
      <c r="AM7" s="30">
        <f ca="1">+Tarifas!BE9</f>
        <v>124.93622840423666</v>
      </c>
      <c r="AN7" s="30">
        <f ca="1">+Tarifas!BF9</f>
        <v>124.93622840423666</v>
      </c>
      <c r="AO7" s="30">
        <f ca="1">+Tarifas!BG9</f>
        <v>124.93622840423666</v>
      </c>
      <c r="AP7" s="30">
        <f ca="1">+Tarifas!BH9</f>
        <v>124.93622840423666</v>
      </c>
      <c r="AQ7" s="30">
        <f ca="1">+Tarifas!BI9</f>
        <v>124.93622840423666</v>
      </c>
      <c r="AR7" s="30">
        <f ca="1">+Tarifas!BJ9</f>
        <v>128.68431525636376</v>
      </c>
      <c r="AS7" s="30">
        <f ca="1">+Tarifas!BK9</f>
        <v>128.68431525636376</v>
      </c>
      <c r="AT7" s="30">
        <f ca="1">+Tarifas!BL9</f>
        <v>128.68431525636376</v>
      </c>
      <c r="AU7" s="30">
        <f ca="1">+Tarifas!BM9</f>
        <v>128.68431525636376</v>
      </c>
      <c r="AV7" s="30">
        <f ca="1">+Tarifas!BN9</f>
        <v>128.68431525636376</v>
      </c>
      <c r="AW7" s="30">
        <f ca="1">+Tarifas!BO9</f>
        <v>128.68431525636376</v>
      </c>
      <c r="AX7" s="30">
        <f ca="1">+Tarifas!BP9</f>
        <v>128.68431525636376</v>
      </c>
      <c r="AY7" s="30">
        <f ca="1">+Tarifas!BQ9</f>
        <v>128.68431525636376</v>
      </c>
      <c r="AZ7" s="30">
        <f ca="1">+Tarifas!BR9</f>
        <v>128.68431525636376</v>
      </c>
      <c r="BA7" s="30">
        <f ca="1">+Tarifas!BS9</f>
        <v>128.68431525636376</v>
      </c>
      <c r="BB7" s="30">
        <f ca="1">+Tarifas!BT9</f>
        <v>128.68431525636376</v>
      </c>
      <c r="BC7" s="30">
        <f ca="1">+Tarifas!BU9</f>
        <v>128.68431525636376</v>
      </c>
      <c r="BD7" s="30">
        <f ca="1">+Tarifas!BV9</f>
        <v>132.54484471405468</v>
      </c>
      <c r="BE7" s="30">
        <f ca="1">+Tarifas!BW9</f>
        <v>132.54484471405468</v>
      </c>
      <c r="BF7" s="30">
        <f ca="1">+Tarifas!BX9</f>
        <v>132.54484471405468</v>
      </c>
      <c r="BG7" s="30">
        <f ca="1">+Tarifas!BY9</f>
        <v>132.54484471405468</v>
      </c>
      <c r="BH7" s="30">
        <f ca="1">+Tarifas!BZ9</f>
        <v>132.54484471405468</v>
      </c>
      <c r="BI7" s="30">
        <f ca="1">+Tarifas!CA9</f>
        <v>132.54484471405468</v>
      </c>
      <c r="BJ7" s="30">
        <f ca="1">+Tarifas!CB9</f>
        <v>132.54484471405468</v>
      </c>
      <c r="BK7" s="30">
        <f ca="1">+Tarifas!CC9</f>
        <v>132.54484471405468</v>
      </c>
      <c r="BL7" s="30">
        <f ca="1">+Tarifas!CD9</f>
        <v>132.54484471405468</v>
      </c>
      <c r="BM7" s="30">
        <f ca="1">+Tarifas!CE9</f>
        <v>132.54484471405468</v>
      </c>
      <c r="BN7" s="30">
        <f ca="1">+Tarifas!CF9</f>
        <v>132.54484471405468</v>
      </c>
      <c r="BO7" s="30">
        <f ca="1">+Tarifas!CG9</f>
        <v>132.54484471405468</v>
      </c>
      <c r="BP7" s="30">
        <f ca="1">+Tarifas!CH9</f>
        <v>136.52119005547632</v>
      </c>
      <c r="BQ7" s="30">
        <f ca="1">+Tarifas!CI9</f>
        <v>136.52119005547632</v>
      </c>
      <c r="BR7" s="30">
        <f ca="1">+Tarifas!CJ9</f>
        <v>136.52119005547632</v>
      </c>
      <c r="BS7" s="30">
        <f ca="1">+Tarifas!CK9</f>
        <v>136.52119005547632</v>
      </c>
      <c r="BT7" s="30">
        <f ca="1">+Tarifas!CL9</f>
        <v>136.52119005547632</v>
      </c>
      <c r="BU7" s="30">
        <f ca="1">+Tarifas!CM9</f>
        <v>136.52119005547632</v>
      </c>
      <c r="BV7" s="30">
        <f ca="1">+Tarifas!CN9</f>
        <v>136.52119005547632</v>
      </c>
      <c r="BW7" s="30">
        <f ca="1">+Tarifas!CO9</f>
        <v>136.52119005547632</v>
      </c>
      <c r="BX7" s="30">
        <f ca="1">+Tarifas!CP9</f>
        <v>136.52119005547632</v>
      </c>
      <c r="BY7" s="30">
        <f ca="1">+Tarifas!CQ9</f>
        <v>136.52119005547632</v>
      </c>
      <c r="BZ7" s="30">
        <f ca="1">+Tarifas!CR9</f>
        <v>136.52119005547632</v>
      </c>
      <c r="CA7" s="30">
        <f ca="1">+Tarifas!CS9</f>
        <v>136.52119005547632</v>
      </c>
      <c r="CB7" s="30">
        <f ca="1">+Tarifas!CT9</f>
        <v>140.61682575714062</v>
      </c>
      <c r="CC7" s="30">
        <f ca="1">+Tarifas!CU9</f>
        <v>140.61682575714062</v>
      </c>
      <c r="CD7" s="30">
        <f ca="1">+Tarifas!CV9</f>
        <v>140.61682575714062</v>
      </c>
      <c r="CE7" s="30">
        <f ca="1">+Tarifas!CW9</f>
        <v>140.61682575714062</v>
      </c>
      <c r="CF7" s="30">
        <f ca="1">+Tarifas!CX9</f>
        <v>140.61682575714062</v>
      </c>
      <c r="CG7" s="30">
        <f ca="1">+Tarifas!CY9</f>
        <v>140.61682575714062</v>
      </c>
      <c r="CH7" s="30">
        <f ca="1">+Tarifas!CZ9</f>
        <v>140.61682575714062</v>
      </c>
      <c r="CI7" s="30">
        <f ca="1">+Tarifas!DA9</f>
        <v>140.61682575714062</v>
      </c>
      <c r="CJ7" s="30">
        <f ca="1">+Tarifas!DB9</f>
        <v>140.61682575714062</v>
      </c>
      <c r="CK7" s="30">
        <f ca="1">+Tarifas!DC9</f>
        <v>140.61682575714062</v>
      </c>
      <c r="CL7" s="30">
        <f ca="1">+Tarifas!DD9</f>
        <v>140.61682575714062</v>
      </c>
      <c r="CM7" s="30">
        <f ca="1">+Tarifas!DE9</f>
        <v>140.61682575714062</v>
      </c>
      <c r="CN7" s="30">
        <f ca="1">+Tarifas!DF9</f>
        <v>144.83533052985484</v>
      </c>
      <c r="CO7" s="30">
        <f ca="1">+Tarifas!DG9</f>
        <v>144.83533052985484</v>
      </c>
      <c r="CP7" s="30">
        <f ca="1">+Tarifas!DH9</f>
        <v>144.83533052985484</v>
      </c>
      <c r="CQ7" s="30">
        <f ca="1">+Tarifas!DI9</f>
        <v>144.83533052985484</v>
      </c>
      <c r="CR7" s="30">
        <f ca="1">+Tarifas!DJ9</f>
        <v>144.83533052985484</v>
      </c>
      <c r="CS7" s="30">
        <f ca="1">+Tarifas!DK9</f>
        <v>144.83533052985484</v>
      </c>
      <c r="CT7" s="30">
        <f ca="1">+Tarifas!DL9</f>
        <v>144.83533052985484</v>
      </c>
      <c r="CU7" s="30">
        <f ca="1">+Tarifas!DM9</f>
        <v>144.83533052985484</v>
      </c>
      <c r="CV7" s="30">
        <f ca="1">+Tarifas!DN9</f>
        <v>144.83533052985484</v>
      </c>
      <c r="CW7" s="30">
        <f ca="1">+Tarifas!DO9</f>
        <v>144.83533052985484</v>
      </c>
      <c r="CX7" s="30">
        <f ca="1">+Tarifas!DP9</f>
        <v>144.83533052985484</v>
      </c>
      <c r="CY7" s="30">
        <f ca="1">+Tarifas!DQ9</f>
        <v>144.83533052985484</v>
      </c>
      <c r="CZ7" s="30">
        <f ca="1">+Tarifas!DR9</f>
        <v>149.1803904457505</v>
      </c>
      <c r="DA7" s="30">
        <f ca="1">+Tarifas!DS9</f>
        <v>149.1803904457505</v>
      </c>
      <c r="DB7" s="30">
        <f ca="1">+Tarifas!DT9</f>
        <v>149.1803904457505</v>
      </c>
      <c r="DC7" s="30">
        <f ca="1">+Tarifas!DU9</f>
        <v>149.1803904457505</v>
      </c>
      <c r="DD7" s="30">
        <f ca="1">+Tarifas!DV9</f>
        <v>149.1803904457505</v>
      </c>
      <c r="DE7" s="30">
        <f ca="1">+Tarifas!DW9</f>
        <v>149.1803904457505</v>
      </c>
      <c r="DF7" s="30">
        <f ca="1">+Tarifas!DX9</f>
        <v>149.1803904457505</v>
      </c>
      <c r="DG7" s="30">
        <f ca="1">+Tarifas!DY9</f>
        <v>149.1803904457505</v>
      </c>
      <c r="DH7" s="30">
        <f ca="1">+Tarifas!DZ9</f>
        <v>149.1803904457505</v>
      </c>
      <c r="DI7" s="30">
        <f ca="1">+Tarifas!EA9</f>
        <v>149.1803904457505</v>
      </c>
      <c r="DJ7" s="30">
        <f ca="1">+Tarifas!EB9</f>
        <v>149.1803904457505</v>
      </c>
      <c r="DK7" s="30">
        <f ca="1">+Tarifas!EC9</f>
        <v>149.1803904457505</v>
      </c>
      <c r="DL7" s="30">
        <f ca="1">+Tarifas!ED9</f>
        <v>153.65580215912303</v>
      </c>
      <c r="DM7" s="30">
        <f ca="1">+Tarifas!EE9</f>
        <v>153.65580215912303</v>
      </c>
      <c r="DN7" s="30">
        <f ca="1">+Tarifas!EF9</f>
        <v>153.65580215912303</v>
      </c>
      <c r="DO7" s="30">
        <f ca="1">+Tarifas!EG9</f>
        <v>153.65580215912303</v>
      </c>
      <c r="DP7" s="30">
        <f ca="1">+Tarifas!EH9</f>
        <v>153.65580215912303</v>
      </c>
      <c r="DQ7" s="30">
        <f ca="1">+Tarifas!EI9</f>
        <v>153.65580215912303</v>
      </c>
      <c r="DR7" s="30">
        <f ca="1">+Tarifas!EJ9</f>
        <v>153.65580215912303</v>
      </c>
      <c r="DS7" s="30">
        <f ca="1">+Tarifas!EK9</f>
        <v>153.65580215912303</v>
      </c>
      <c r="DT7" s="30">
        <f ca="1">+Tarifas!EL9</f>
        <v>153.65580215912303</v>
      </c>
      <c r="DU7" s="30">
        <f ca="1">+Tarifas!EM9</f>
        <v>153.65580215912303</v>
      </c>
      <c r="DV7" s="30">
        <f ca="1">+Tarifas!EN9</f>
        <v>153.65580215912303</v>
      </c>
      <c r="DW7" s="30">
        <f ca="1">+Tarifas!EO9</f>
        <v>153.65580215912303</v>
      </c>
      <c r="DX7" s="30">
        <f ca="1">+Tarifas!EP9</f>
        <v>158.26547622389671</v>
      </c>
      <c r="DY7" s="30">
        <f ca="1">+Tarifas!EQ9</f>
        <v>158.26547622389671</v>
      </c>
      <c r="DZ7" s="30">
        <f ca="1">+Tarifas!ER9</f>
        <v>158.26547622389671</v>
      </c>
      <c r="EA7" s="30">
        <f ca="1">+Tarifas!ES9</f>
        <v>158.26547622389671</v>
      </c>
      <c r="EB7" s="30">
        <f ca="1">+Tarifas!ET9</f>
        <v>158.26547622389671</v>
      </c>
      <c r="EC7" s="30">
        <f ca="1">+Tarifas!EU9</f>
        <v>158.26547622389671</v>
      </c>
      <c r="ED7" s="30">
        <f ca="1">+Tarifas!EV9</f>
        <v>158.26547622389671</v>
      </c>
      <c r="EE7" s="30">
        <f ca="1">+Tarifas!EW9</f>
        <v>158.26547622389671</v>
      </c>
      <c r="EF7" s="30">
        <f ca="1">+Tarifas!EX9</f>
        <v>158.26547622389671</v>
      </c>
      <c r="EG7" s="30">
        <f ca="1">+Tarifas!EY9</f>
        <v>158.26547622389671</v>
      </c>
      <c r="EH7" s="30">
        <f ca="1">+Tarifas!EZ9</f>
        <v>158.26547622389671</v>
      </c>
      <c r="EI7" s="30">
        <f ca="1">+Tarifas!FA9</f>
        <v>158.26547622389671</v>
      </c>
      <c r="EJ7" s="30">
        <f ca="1">+Tarifas!FB9</f>
        <v>163.01344051061361</v>
      </c>
      <c r="EK7" s="30">
        <f ca="1">+Tarifas!FC9</f>
        <v>163.01344051061361</v>
      </c>
      <c r="EL7" s="30">
        <f ca="1">+Tarifas!FD9</f>
        <v>163.01344051061361</v>
      </c>
      <c r="EM7" s="30">
        <f ca="1">+Tarifas!FE9</f>
        <v>163.01344051061361</v>
      </c>
      <c r="EN7" s="30">
        <f ca="1">+Tarifas!FF9</f>
        <v>163.01344051061361</v>
      </c>
      <c r="EO7" s="30">
        <f ca="1">+Tarifas!FG9</f>
        <v>163.01344051061361</v>
      </c>
      <c r="EP7" s="30">
        <f ca="1">+Tarifas!FH9</f>
        <v>163.01344051061361</v>
      </c>
      <c r="EQ7" s="30">
        <f ca="1">+Tarifas!FI9</f>
        <v>163.01344051061361</v>
      </c>
      <c r="ER7" s="30">
        <f ca="1">+Tarifas!FJ9</f>
        <v>163.01344051061361</v>
      </c>
      <c r="ES7" s="30">
        <f ca="1">+Tarifas!FK9</f>
        <v>163.01344051061361</v>
      </c>
      <c r="ET7" s="30">
        <f ca="1">+Tarifas!FL9</f>
        <v>163.01344051061361</v>
      </c>
      <c r="EU7" s="30">
        <f ca="1">+Tarifas!FM9</f>
        <v>163.01344051061361</v>
      </c>
      <c r="EV7" s="30">
        <f ca="1">+Tarifas!FN9</f>
        <v>167.90384372593201</v>
      </c>
      <c r="EW7" s="30">
        <f ca="1">+Tarifas!FO9</f>
        <v>167.90384372593201</v>
      </c>
      <c r="EX7" s="30">
        <f ca="1">+Tarifas!FP9</f>
        <v>167.90384372593201</v>
      </c>
      <c r="EY7" s="30">
        <f ca="1">+Tarifas!FQ9</f>
        <v>167.90384372593201</v>
      </c>
      <c r="EZ7" s="30">
        <f ca="1">+Tarifas!FR9</f>
        <v>167.90384372593201</v>
      </c>
      <c r="FA7" s="30">
        <f ca="1">+Tarifas!FS9</f>
        <v>167.90384372593201</v>
      </c>
      <c r="FB7" s="30">
        <f ca="1">+Tarifas!FT9</f>
        <v>167.90384372593201</v>
      </c>
      <c r="FC7" s="30">
        <f ca="1">+Tarifas!FU9</f>
        <v>167.90384372593201</v>
      </c>
      <c r="FD7" s="30">
        <f ca="1">+Tarifas!FV9</f>
        <v>167.90384372593201</v>
      </c>
      <c r="FE7" s="30">
        <f ca="1">+Tarifas!FW9</f>
        <v>167.90384372593201</v>
      </c>
      <c r="FF7" s="30">
        <f ca="1">+Tarifas!FX9</f>
        <v>167.90384372593201</v>
      </c>
      <c r="FG7" s="30">
        <f ca="1">+Tarifas!FY9</f>
        <v>167.90384372593201</v>
      </c>
      <c r="FH7" s="30">
        <f ca="1">+Tarifas!FZ9</f>
        <v>172.94095903770997</v>
      </c>
      <c r="FI7" s="30">
        <f ca="1">+Tarifas!GA9</f>
        <v>172.94095903770997</v>
      </c>
      <c r="FJ7" s="30">
        <f ca="1">+Tarifas!GB9</f>
        <v>172.94095903770997</v>
      </c>
      <c r="FK7" s="30">
        <f ca="1">+Tarifas!GC9</f>
        <v>172.94095903770997</v>
      </c>
      <c r="FL7" s="30">
        <f ca="1">+Tarifas!GD9</f>
        <v>172.94095903770997</v>
      </c>
      <c r="FM7" s="30">
        <f ca="1">+Tarifas!GE9</f>
        <v>172.94095903770997</v>
      </c>
      <c r="FN7" s="30">
        <f ca="1">+Tarifas!GF9</f>
        <v>172.94095903770997</v>
      </c>
      <c r="FO7" s="30">
        <f ca="1">+Tarifas!GG9</f>
        <v>172.94095903770997</v>
      </c>
      <c r="FP7" s="30">
        <f ca="1">+Tarifas!GH9</f>
        <v>172.94095903770997</v>
      </c>
      <c r="FQ7" s="30">
        <f ca="1">+Tarifas!GI9</f>
        <v>172.94095903770997</v>
      </c>
      <c r="FR7" s="30">
        <f ca="1">+Tarifas!GJ9</f>
        <v>172.94095903770997</v>
      </c>
      <c r="FS7" s="30">
        <f ca="1">+Tarifas!GK9</f>
        <v>172.94095903770997</v>
      </c>
      <c r="FT7" s="30">
        <f ca="1">+Tarifas!GL9</f>
        <v>178.12918780884127</v>
      </c>
      <c r="FU7" s="30">
        <f ca="1">+Tarifas!GM9</f>
        <v>178.12918780884127</v>
      </c>
      <c r="FV7" s="30">
        <f ca="1">+Tarifas!GN9</f>
        <v>178.12918780884127</v>
      </c>
      <c r="FW7" s="30">
        <f ca="1">+Tarifas!GO9</f>
        <v>178.12918780884127</v>
      </c>
      <c r="FX7" s="30">
        <f ca="1">+Tarifas!GP9</f>
        <v>178.12918780884127</v>
      </c>
      <c r="FY7" s="30">
        <f ca="1">+Tarifas!GQ9</f>
        <v>178.12918780884127</v>
      </c>
      <c r="FZ7" s="30">
        <f ca="1">+Tarifas!GR9</f>
        <v>178.12918780884127</v>
      </c>
      <c r="GA7" s="30">
        <f ca="1">+Tarifas!GS9</f>
        <v>178.12918780884127</v>
      </c>
      <c r="GB7" s="30">
        <f ca="1">+Tarifas!GT9</f>
        <v>178.12918780884127</v>
      </c>
      <c r="GC7" s="30">
        <f ca="1">+Tarifas!GU9</f>
        <v>178.12918780884127</v>
      </c>
      <c r="GD7" s="30">
        <f ca="1">+Tarifas!GV9</f>
        <v>178.12918780884127</v>
      </c>
      <c r="GE7" s="30">
        <f ca="1">+Tarifas!GW9</f>
        <v>178.12918780884127</v>
      </c>
      <c r="GF7" s="30">
        <f ca="1">+Tarifas!GX9</f>
        <v>183.4730634431065</v>
      </c>
      <c r="GG7" s="30">
        <f ca="1">+Tarifas!GY9</f>
        <v>183.4730634431065</v>
      </c>
      <c r="GH7" s="30">
        <f ca="1">+Tarifas!GZ9</f>
        <v>183.4730634431065</v>
      </c>
      <c r="GI7" s="30">
        <f ca="1">+Tarifas!HA9</f>
        <v>183.4730634431065</v>
      </c>
      <c r="GJ7" s="30">
        <f ca="1">+Tarifas!HB9</f>
        <v>183.4730634431065</v>
      </c>
      <c r="GK7" s="30">
        <f ca="1">+Tarifas!HC9</f>
        <v>183.4730634431065</v>
      </c>
      <c r="GL7" s="30">
        <f ca="1">+Tarifas!HD9</f>
        <v>183.4730634431065</v>
      </c>
      <c r="GM7" s="30">
        <f ca="1">+Tarifas!HE9</f>
        <v>183.4730634431065</v>
      </c>
      <c r="GN7" s="30">
        <f ca="1">+Tarifas!HF9</f>
        <v>183.4730634431065</v>
      </c>
      <c r="GO7" s="30">
        <f ca="1">+Tarifas!HG9</f>
        <v>183.4730634431065</v>
      </c>
      <c r="GP7" s="30">
        <f ca="1">+Tarifas!HH9</f>
        <v>183.4730634431065</v>
      </c>
      <c r="GQ7" s="30">
        <f ca="1">+Tarifas!HI9</f>
        <v>183.4730634431065</v>
      </c>
      <c r="GR7" s="30">
        <f ca="1">+Tarifas!HJ9</f>
        <v>188.97725534639969</v>
      </c>
      <c r="GS7" s="30">
        <f ca="1">+Tarifas!HK9</f>
        <v>188.97725534639969</v>
      </c>
      <c r="GT7" s="30">
        <f ca="1">+Tarifas!HL9</f>
        <v>188.97725534639969</v>
      </c>
      <c r="GU7" s="30">
        <f ca="1">+Tarifas!HM9</f>
        <v>188.97725534639969</v>
      </c>
      <c r="GV7" s="30">
        <f ca="1">+Tarifas!HN9</f>
        <v>188.97725534639969</v>
      </c>
      <c r="GW7" s="30">
        <f ca="1">+Tarifas!HO9</f>
        <v>188.97725534639969</v>
      </c>
      <c r="GX7" s="30">
        <f ca="1">+Tarifas!HP9</f>
        <v>188.97725534639969</v>
      </c>
      <c r="GY7" s="30">
        <f ca="1">+Tarifas!HQ9</f>
        <v>188.97725534639969</v>
      </c>
      <c r="GZ7" s="30">
        <f ca="1">+Tarifas!HR9</f>
        <v>188.97725534639969</v>
      </c>
      <c r="HA7" s="30">
        <f ca="1">+Tarifas!HS9</f>
        <v>188.97725534639969</v>
      </c>
      <c r="HB7" s="30">
        <f ca="1">+Tarifas!HT9</f>
        <v>188.97725534639969</v>
      </c>
      <c r="HC7" s="30">
        <f ca="1">+Tarifas!HU9</f>
        <v>188.97725534639969</v>
      </c>
      <c r="HD7" s="30">
        <f ca="1">+Tarifas!HV9</f>
        <v>194.64657300679167</v>
      </c>
      <c r="HE7" s="30">
        <f ca="1">+Tarifas!HW9</f>
        <v>194.64657300679167</v>
      </c>
      <c r="HF7" s="30">
        <f ca="1">+Tarifas!HX9</f>
        <v>194.64657300679167</v>
      </c>
      <c r="HG7" s="30">
        <f ca="1">+Tarifas!HY9</f>
        <v>194.64657300679167</v>
      </c>
      <c r="HH7" s="30">
        <f ca="1">+Tarifas!HZ9</f>
        <v>194.64657300679167</v>
      </c>
      <c r="HI7" s="30">
        <f ca="1">+Tarifas!IA9</f>
        <v>194.64657300679167</v>
      </c>
      <c r="HJ7" s="30">
        <f ca="1">+Tarifas!IB9</f>
        <v>194.64657300679167</v>
      </c>
      <c r="HK7" s="30">
        <f ca="1">+Tarifas!IC9</f>
        <v>194.64657300679167</v>
      </c>
      <c r="HL7" s="30">
        <f ca="1">+Tarifas!ID9</f>
        <v>194.64657300679167</v>
      </c>
      <c r="HM7" s="30">
        <f ca="1">+Tarifas!IE9</f>
        <v>194.64657300679167</v>
      </c>
      <c r="HN7" s="30">
        <f ca="1">+Tarifas!IF9</f>
        <v>194.64657300679167</v>
      </c>
      <c r="HO7" s="30">
        <f ca="1">+Tarifas!IG9</f>
        <v>194.64657300679167</v>
      </c>
      <c r="HP7" s="30">
        <f ca="1">+Tarifas!IH9</f>
        <v>200.48597019699542</v>
      </c>
      <c r="HQ7" s="30">
        <f ca="1">+Tarifas!II9</f>
        <v>200.48597019699542</v>
      </c>
      <c r="HR7" s="30">
        <f ca="1">+Tarifas!IJ9</f>
        <v>200.48597019699542</v>
      </c>
      <c r="HS7" s="30">
        <f ca="1">+Tarifas!IK9</f>
        <v>200.48597019699542</v>
      </c>
      <c r="HT7" s="30">
        <f ca="1">+Tarifas!IL9</f>
        <v>200.48597019699542</v>
      </c>
      <c r="HU7" s="30">
        <f ca="1">+Tarifas!IM9</f>
        <v>200.48597019699542</v>
      </c>
      <c r="HV7" s="30">
        <f ca="1">+Tarifas!IN9</f>
        <v>200.48597019699542</v>
      </c>
      <c r="HW7" s="30">
        <f ca="1">+Tarifas!IO9</f>
        <v>200.48597019699542</v>
      </c>
      <c r="HX7" s="30">
        <f ca="1">+Tarifas!IP9</f>
        <v>200.48597019699542</v>
      </c>
      <c r="HY7" s="30">
        <f ca="1">+Tarifas!IQ9</f>
        <v>200.48597019699542</v>
      </c>
      <c r="HZ7" s="30">
        <f ca="1">+Tarifas!IR9</f>
        <v>200.48597019699542</v>
      </c>
      <c r="IA7" s="30">
        <f ca="1">+Tarifas!IS9</f>
        <v>200.48597019699542</v>
      </c>
      <c r="IB7" s="30">
        <f ca="1">+Tarifas!IT9</f>
        <v>206.50054930290528</v>
      </c>
      <c r="IC7" s="30">
        <f ca="1">+Tarifas!IU9</f>
        <v>206.50054930290528</v>
      </c>
      <c r="ID7" s="30">
        <f ca="1">+Tarifas!IV9</f>
        <v>206.50054930290528</v>
      </c>
      <c r="IE7" s="30">
        <f ca="1">+Tarifas!IW9</f>
        <v>206.50054930290528</v>
      </c>
      <c r="IF7" s="30">
        <f ca="1">+Tarifas!IX9</f>
        <v>206.50054930290528</v>
      </c>
      <c r="IG7" s="30">
        <f ca="1">+Tarifas!IY9</f>
        <v>206.50054930290528</v>
      </c>
      <c r="IH7" s="30">
        <f ca="1">+Tarifas!IZ9</f>
        <v>206.50054930290528</v>
      </c>
      <c r="II7" s="30">
        <f ca="1">+Tarifas!JA9</f>
        <v>206.50054930290528</v>
      </c>
      <c r="IJ7" s="30">
        <f ca="1">+Tarifas!JB9</f>
        <v>206.50054930290528</v>
      </c>
      <c r="IK7" s="30">
        <f ca="1">+Tarifas!JC9</f>
        <v>206.50054930290528</v>
      </c>
      <c r="IL7" s="30">
        <f ca="1">+Tarifas!JD9</f>
        <v>206.50054930290528</v>
      </c>
      <c r="IM7" s="30">
        <f ca="1">+Tarifas!JE9</f>
        <v>206.50054930290528</v>
      </c>
    </row>
    <row r="8" spans="1:247" x14ac:dyDescent="0.3">
      <c r="A8" t="s">
        <v>847</v>
      </c>
      <c r="C8" s="30">
        <f>+Tarifas!U11</f>
        <v>572.95334196097235</v>
      </c>
      <c r="D8" s="30">
        <f>+Tarifas!V11</f>
        <v>872.37307894909748</v>
      </c>
      <c r="E8" s="30">
        <f>+Tarifas!W11</f>
        <v>917.84675343819993</v>
      </c>
      <c r="F8" s="30">
        <f>+Tarifas!X11</f>
        <v>918.48700596730043</v>
      </c>
      <c r="G8" s="30">
        <f>+Tarifas!Y11</f>
        <v>759.5353879713183</v>
      </c>
      <c r="H8" s="30">
        <f>+Tarifas!Z11</f>
        <v>410.97074948300434</v>
      </c>
      <c r="I8" s="69">
        <f>+Tarifas!AA11</f>
        <v>502.7327297681133</v>
      </c>
      <c r="J8" s="30">
        <f>+Tarifas!AB11</f>
        <v>400</v>
      </c>
      <c r="K8" s="30">
        <f>+Tarifas!AC11</f>
        <v>400</v>
      </c>
      <c r="L8" s="30">
        <f>+Tarifas!AD11</f>
        <v>400</v>
      </c>
      <c r="M8" s="30">
        <f>+Tarifas!AE11</f>
        <v>400</v>
      </c>
      <c r="N8" s="30">
        <f>+Tarifas!AF11</f>
        <v>400</v>
      </c>
      <c r="O8" s="30">
        <f>+Tarifas!AG11</f>
        <v>422.83601609611441</v>
      </c>
      <c r="P8" s="30">
        <f>+Tarifas!AH11</f>
        <v>716.06872268758036</v>
      </c>
      <c r="Q8" s="30">
        <f>+Tarifas!AI11</f>
        <v>750.52801906913862</v>
      </c>
      <c r="R8" s="30">
        <f>+Tarifas!AJ11</f>
        <v>543.45884359233014</v>
      </c>
      <c r="S8" s="30">
        <f>+Tarifas!AK11</f>
        <v>589.60375384170311</v>
      </c>
      <c r="T8" s="30">
        <f>+Tarifas!AL11</f>
        <v>431.51928695715458</v>
      </c>
      <c r="U8" s="30">
        <f>+Tarifas!AM11</f>
        <v>527.86936625651902</v>
      </c>
      <c r="V8" s="30">
        <f>+Tarifas!AN11</f>
        <v>402.71224854145231</v>
      </c>
      <c r="W8" s="30">
        <f>+Tarifas!AO11</f>
        <v>398.00436171042924</v>
      </c>
      <c r="X8" s="30">
        <f>+Tarifas!AP11</f>
        <v>400</v>
      </c>
      <c r="Y8" s="30">
        <f>+Tarifas!AQ11</f>
        <v>400</v>
      </c>
      <c r="Z8" s="30">
        <f>+Tarifas!AR11</f>
        <v>400</v>
      </c>
      <c r="AA8" s="30">
        <f>+Tarifas!AS11</f>
        <v>443.97781690092012</v>
      </c>
      <c r="AB8" s="30">
        <f>+Tarifas!AT11</f>
        <v>751.87215882195937</v>
      </c>
      <c r="AC8" s="30">
        <f>+Tarifas!AU11</f>
        <v>788.05442002259554</v>
      </c>
      <c r="AD8" s="30">
        <f>+Tarifas!AV11</f>
        <v>570.63178577194662</v>
      </c>
      <c r="AE8" s="30">
        <f>+Tarifas!AW11</f>
        <v>619.08394153378833</v>
      </c>
      <c r="AF8" s="30">
        <f>+Tarifas!AX11</f>
        <v>453.09525130501231</v>
      </c>
      <c r="AG8" s="30">
        <f>+Tarifas!AY11</f>
        <v>554.26283456934505</v>
      </c>
      <c r="AH8" s="30">
        <f>+Tarifas!AZ11</f>
        <v>422.84786096852497</v>
      </c>
      <c r="AI8" s="30">
        <f>+Tarifas!BA11</f>
        <v>417.90457979595072</v>
      </c>
      <c r="AJ8" s="30">
        <f>+Tarifas!BB11</f>
        <v>400</v>
      </c>
      <c r="AK8" s="30">
        <f>+Tarifas!BC11</f>
        <v>400</v>
      </c>
      <c r="AL8" s="30">
        <f>+Tarifas!BD11</f>
        <v>400</v>
      </c>
      <c r="AM8" s="30">
        <f>+Tarifas!BE11</f>
        <v>466.17670774596616</v>
      </c>
      <c r="AN8" s="30">
        <f>+Tarifas!BF11</f>
        <v>789.46576676305733</v>
      </c>
      <c r="AO8" s="30">
        <f>+Tarifas!BG11</f>
        <v>827.4571410237254</v>
      </c>
      <c r="AP8" s="30">
        <f>+Tarifas!BH11</f>
        <v>599.16337506054401</v>
      </c>
      <c r="AQ8" s="30">
        <f>+Tarifas!BI11</f>
        <v>650.03813861047774</v>
      </c>
      <c r="AR8" s="30">
        <f>+Tarifas!BJ11</f>
        <v>475.75001387026293</v>
      </c>
      <c r="AS8" s="30">
        <f>+Tarifas!BK11</f>
        <v>581.97597629781228</v>
      </c>
      <c r="AT8" s="30">
        <f>+Tarifas!BL11</f>
        <v>443.99025401695121</v>
      </c>
      <c r="AU8" s="30">
        <f>+Tarifas!BM11</f>
        <v>438.79980878574827</v>
      </c>
      <c r="AV8" s="30">
        <f>+Tarifas!BN11</f>
        <v>400</v>
      </c>
      <c r="AW8" s="30">
        <f>+Tarifas!BO11</f>
        <v>400</v>
      </c>
      <c r="AX8" s="30">
        <f>+Tarifas!BP11</f>
        <v>400</v>
      </c>
      <c r="AY8" s="30">
        <f>+Tarifas!BQ11</f>
        <v>489.48554313326446</v>
      </c>
      <c r="AZ8" s="30">
        <f>+Tarifas!BR11</f>
        <v>828.93905510121022</v>
      </c>
      <c r="BA8" s="30">
        <f>+Tarifas!BS11</f>
        <v>868.82999807491171</v>
      </c>
      <c r="BB8" s="30">
        <f>+Tarifas!BT11</f>
        <v>629.12154381357129</v>
      </c>
      <c r="BC8" s="30">
        <f>+Tarifas!BU11</f>
        <v>682.54004554100163</v>
      </c>
      <c r="BD8" s="30">
        <f>+Tarifas!BV11</f>
        <v>499.53751456377609</v>
      </c>
      <c r="BE8" s="30">
        <f>+Tarifas!BW11</f>
        <v>611.07477511270292</v>
      </c>
      <c r="BF8" s="30">
        <f>+Tarifas!BX11</f>
        <v>466.18976671779882</v>
      </c>
      <c r="BG8" s="30">
        <f>+Tarifas!BY11</f>
        <v>460.73979922503571</v>
      </c>
      <c r="BH8" s="30">
        <f>+Tarifas!BZ11</f>
        <v>400</v>
      </c>
      <c r="BI8" s="30">
        <f>+Tarifas!CA11</f>
        <v>400</v>
      </c>
      <c r="BJ8" s="30">
        <f>+Tarifas!CB11</f>
        <v>400</v>
      </c>
      <c r="BK8" s="30">
        <f>+Tarifas!CC11</f>
        <v>513.95982028992773</v>
      </c>
      <c r="BL8" s="30">
        <f>+Tarifas!CD11</f>
        <v>870.38600785627079</v>
      </c>
      <c r="BM8" s="30">
        <f>+Tarifas!CE11</f>
        <v>912.27149797865729</v>
      </c>
      <c r="BN8" s="30">
        <f>+Tarifas!CF11</f>
        <v>660.57762100424986</v>
      </c>
      <c r="BO8" s="30">
        <f>+Tarifas!CG11</f>
        <v>716.66704781805174</v>
      </c>
      <c r="BP8" s="30">
        <f>+Tarifas!CH11</f>
        <v>524.5143902919649</v>
      </c>
      <c r="BQ8" s="30">
        <f>+Tarifas!CI11</f>
        <v>641.62851386833813</v>
      </c>
      <c r="BR8" s="30">
        <f>+Tarifas!CJ11</f>
        <v>489.49925505368878</v>
      </c>
      <c r="BS8" s="30">
        <f>+Tarifas!CK11</f>
        <v>483.77678918628754</v>
      </c>
      <c r="BT8" s="30">
        <f>+Tarifas!CL11</f>
        <v>416.72686986338789</v>
      </c>
      <c r="BU8" s="30">
        <f>+Tarifas!CM11</f>
        <v>400</v>
      </c>
      <c r="BV8" s="30">
        <f>+Tarifas!CN11</f>
        <v>400</v>
      </c>
      <c r="BW8" s="30">
        <f>+Tarifas!CO11</f>
        <v>539.65781130442417</v>
      </c>
      <c r="BX8" s="30">
        <f>+Tarifas!CP11</f>
        <v>913.90530824908433</v>
      </c>
      <c r="BY8" s="30">
        <f>+Tarifas!CQ11</f>
        <v>957.88507287759023</v>
      </c>
      <c r="BZ8" s="30">
        <f>+Tarifas!CR11</f>
        <v>693.60650205446234</v>
      </c>
      <c r="CA8" s="30">
        <f>+Tarifas!CS11</f>
        <v>752.50040020895437</v>
      </c>
      <c r="CB8" s="30">
        <f>+Tarifas!CT11</f>
        <v>550.74010980656317</v>
      </c>
      <c r="CC8" s="30">
        <f>+Tarifas!CU11</f>
        <v>673.70993956175505</v>
      </c>
      <c r="CD8" s="30">
        <f>+Tarifas!CV11</f>
        <v>513.97421780637319</v>
      </c>
      <c r="CE8" s="30">
        <f>+Tarifas!CW11</f>
        <v>507.96562864560195</v>
      </c>
      <c r="CF8" s="30">
        <f>+Tarifas!CX11</f>
        <v>437.5632133565573</v>
      </c>
      <c r="CG8" s="30">
        <f>+Tarifas!CY11</f>
        <v>400</v>
      </c>
      <c r="CH8" s="30">
        <f>+Tarifas!CZ11</f>
        <v>415.28082597768793</v>
      </c>
      <c r="CI8" s="30">
        <f>+Tarifas!DA11</f>
        <v>566.64070186964545</v>
      </c>
      <c r="CJ8" s="30">
        <f>+Tarifas!DB11</f>
        <v>500</v>
      </c>
      <c r="CK8" s="30">
        <f>+Tarifas!DC11</f>
        <v>500</v>
      </c>
      <c r="CL8" s="30">
        <f>+Tarifas!DD11</f>
        <v>728.28682715718548</v>
      </c>
      <c r="CM8" s="30">
        <f>+Tarifas!DE11</f>
        <v>790.12542021940214</v>
      </c>
      <c r="CN8" s="30">
        <f>+Tarifas!DF11</f>
        <v>578.27711529689134</v>
      </c>
      <c r="CO8" s="30">
        <f>+Tarifas!DG11</f>
        <v>707.39543653984288</v>
      </c>
      <c r="CP8" s="30">
        <f>+Tarifas!DH11</f>
        <v>539.67292869669188</v>
      </c>
      <c r="CQ8" s="30">
        <f>+Tarifas!DI11</f>
        <v>533.36391007788211</v>
      </c>
      <c r="CR8" s="30">
        <f>+Tarifas!DJ11</f>
        <v>459.4413740243852</v>
      </c>
      <c r="CS8" s="30">
        <f>+Tarifas!DK11</f>
        <v>404.50342374660408</v>
      </c>
      <c r="CT8" s="30">
        <f>+Tarifas!DL11</f>
        <v>436.04486727657235</v>
      </c>
      <c r="CU8" s="30">
        <f>+Tarifas!DM11</f>
        <v>594.97273696312777</v>
      </c>
      <c r="CV8" s="30">
        <f>+Tarifas!DN11</f>
        <v>500</v>
      </c>
      <c r="CW8" s="30">
        <f>+Tarifas!DO11</f>
        <v>500</v>
      </c>
      <c r="CX8" s="30">
        <f>+Tarifas!DP11</f>
        <v>764.70116851504474</v>
      </c>
      <c r="CY8" s="30">
        <f>+Tarifas!DQ11</f>
        <v>829.63169123037233</v>
      </c>
      <c r="CZ8" s="30">
        <f>+Tarifas!DR11</f>
        <v>607.19097106173592</v>
      </c>
      <c r="DA8" s="30">
        <f>+Tarifas!DS11</f>
        <v>742.76520836683505</v>
      </c>
      <c r="DB8" s="30">
        <f>+Tarifas!DT11</f>
        <v>566.65657513152655</v>
      </c>
      <c r="DC8" s="30">
        <f>+Tarifas!DU11</f>
        <v>560.03210558177625</v>
      </c>
      <c r="DD8" s="30">
        <f>+Tarifas!DV11</f>
        <v>482.41344272560445</v>
      </c>
      <c r="DE8" s="30">
        <f>+Tarifas!DW11</f>
        <v>424.72859493393429</v>
      </c>
      <c r="DF8" s="30">
        <f>+Tarifas!DX11</f>
        <v>457.84711064040096</v>
      </c>
      <c r="DG8" s="30">
        <f>+Tarifas!DY11</f>
        <v>624.72137381128414</v>
      </c>
      <c r="DH8" s="30">
        <f>+Tarifas!DZ11</f>
        <v>500</v>
      </c>
      <c r="DI8" s="30">
        <f>+Tarifas!EA11</f>
        <v>500</v>
      </c>
      <c r="DJ8" s="30">
        <f>+Tarifas!EB11</f>
        <v>802.93622694079704</v>
      </c>
      <c r="DK8" s="30">
        <f>+Tarifas!EC11</f>
        <v>871.11327579189094</v>
      </c>
      <c r="DL8" s="30">
        <f>+Tarifas!ED11</f>
        <v>637.55051961482275</v>
      </c>
      <c r="DM8" s="30">
        <f>+Tarifas!EE11</f>
        <v>779.90346878517687</v>
      </c>
      <c r="DN8" s="30">
        <f>+Tarifas!EF11</f>
        <v>594.98940388810286</v>
      </c>
      <c r="DO8" s="30">
        <f>+Tarifas!EG11</f>
        <v>588.03371086086509</v>
      </c>
      <c r="DP8" s="30">
        <f>+Tarifas!EH11</f>
        <v>506.53411486188469</v>
      </c>
      <c r="DQ8" s="30">
        <f>+Tarifas!EI11</f>
        <v>445.96502468063102</v>
      </c>
      <c r="DR8" s="30">
        <f>+Tarifas!EJ11</f>
        <v>480.73946617242103</v>
      </c>
      <c r="DS8" s="30">
        <f>+Tarifas!EK11</f>
        <v>655.95744250184839</v>
      </c>
      <c r="DT8" s="30">
        <f>+Tarifas!EL11</f>
        <v>500</v>
      </c>
      <c r="DU8" s="30">
        <f>+Tarifas!EM11</f>
        <v>500</v>
      </c>
      <c r="DV8" s="30">
        <f>+Tarifas!EN11</f>
        <v>843.08303828783698</v>
      </c>
      <c r="DW8" s="30">
        <f>+Tarifas!EO11</f>
        <v>914.66893958148557</v>
      </c>
      <c r="DX8" s="30">
        <f>+Tarifas!EP11</f>
        <v>669.42804559556396</v>
      </c>
      <c r="DY8" s="30">
        <f>+Tarifas!EQ11</f>
        <v>818.89864222443578</v>
      </c>
      <c r="DZ8" s="30">
        <f>+Tarifas!ER11</f>
        <v>624.738874082508</v>
      </c>
      <c r="EA8" s="30">
        <f>+Tarifas!ES11</f>
        <v>617.43539640390838</v>
      </c>
      <c r="EB8" s="30">
        <f>+Tarifas!ET11</f>
        <v>531.86082060497893</v>
      </c>
      <c r="EC8" s="30">
        <f>+Tarifas!EU11</f>
        <v>468.26327591466259</v>
      </c>
      <c r="ED8" s="30">
        <f>+Tarifas!EV11</f>
        <v>504.77643948104213</v>
      </c>
      <c r="EE8" s="30">
        <f>+Tarifas!EW11</f>
        <v>688.75531462694084</v>
      </c>
      <c r="EF8" s="30">
        <f>+Tarifas!EX11</f>
        <v>500</v>
      </c>
      <c r="EG8" s="30">
        <f>+Tarifas!EY11</f>
        <v>500</v>
      </c>
      <c r="EH8" s="30">
        <f>+Tarifas!EZ11</f>
        <v>885.23719020222882</v>
      </c>
      <c r="EI8" s="30">
        <f>+Tarifas!FA11</f>
        <v>500</v>
      </c>
      <c r="EJ8" s="30">
        <f>+Tarifas!FB11</f>
        <v>702.89944787534216</v>
      </c>
      <c r="EK8" s="30">
        <f>+Tarifas!FC11</f>
        <v>859.84357433565765</v>
      </c>
      <c r="EL8" s="30">
        <f>+Tarifas!FD11</f>
        <v>655.97581778663346</v>
      </c>
      <c r="EM8" s="30">
        <f>+Tarifas!FE11</f>
        <v>648.30716622410387</v>
      </c>
      <c r="EN8" s="30">
        <f>+Tarifas!FF11</f>
        <v>558.4538616352279</v>
      </c>
      <c r="EO8" s="30">
        <f>+Tarifas!FG11</f>
        <v>491.67643971039575</v>
      </c>
      <c r="EP8" s="30">
        <f>+Tarifas!FH11</f>
        <v>530.01526145509422</v>
      </c>
      <c r="EQ8" s="30">
        <f>+Tarifas!FI11</f>
        <v>723.19308035828794</v>
      </c>
      <c r="ER8" s="30">
        <f>+Tarifas!FJ11</f>
        <v>500</v>
      </c>
      <c r="ES8" s="30">
        <f>+Tarifas!FK11</f>
        <v>500</v>
      </c>
      <c r="ET8" s="30">
        <f>+Tarifas!FL11</f>
        <v>500</v>
      </c>
      <c r="EU8" s="30">
        <f>+Tarifas!FM11</f>
        <v>500</v>
      </c>
      <c r="EV8" s="30">
        <f>+Tarifas!FN11</f>
        <v>500</v>
      </c>
      <c r="EW8" s="30">
        <f>+Tarifas!FO11</f>
        <v>500</v>
      </c>
      <c r="EX8" s="30">
        <f>+Tarifas!FP11</f>
        <v>500</v>
      </c>
      <c r="EY8" s="30">
        <f>+Tarifas!FQ11</f>
        <v>500</v>
      </c>
      <c r="EZ8" s="30">
        <f>+Tarifas!FR11</f>
        <v>500</v>
      </c>
      <c r="FA8" s="30">
        <f>+Tarifas!FS11</f>
        <v>500</v>
      </c>
      <c r="FB8" s="30">
        <f>+Tarifas!FT11</f>
        <v>500</v>
      </c>
      <c r="FC8" s="30">
        <f>+Tarifas!FU11</f>
        <v>500</v>
      </c>
      <c r="FD8" s="30">
        <f>+Tarifas!FV11</f>
        <v>500</v>
      </c>
      <c r="FE8" s="30">
        <f>+Tarifas!FW11</f>
        <v>500</v>
      </c>
      <c r="FF8" s="30">
        <f>+Tarifas!FX11</f>
        <v>500</v>
      </c>
      <c r="FG8" s="30">
        <f>+Tarifas!FY11</f>
        <v>500</v>
      </c>
      <c r="FH8" s="30">
        <f>+Tarifas!FZ11</f>
        <v>500</v>
      </c>
      <c r="FI8" s="30">
        <f>+Tarifas!GA11</f>
        <v>500</v>
      </c>
      <c r="FJ8" s="30">
        <f>+Tarifas!GB11</f>
        <v>500</v>
      </c>
      <c r="FK8" s="30">
        <f>+Tarifas!GC11</f>
        <v>500</v>
      </c>
      <c r="FL8" s="30">
        <f>+Tarifas!GD11</f>
        <v>500</v>
      </c>
      <c r="FM8" s="30">
        <f>+Tarifas!GE11</f>
        <v>500</v>
      </c>
      <c r="FN8" s="30">
        <f>+Tarifas!GF11</f>
        <v>500</v>
      </c>
      <c r="FO8" s="30">
        <f>+Tarifas!GG11</f>
        <v>500</v>
      </c>
      <c r="FP8" s="30">
        <f>+Tarifas!GH11</f>
        <v>500</v>
      </c>
      <c r="FQ8" s="30">
        <f>+Tarifas!GI11</f>
        <v>500</v>
      </c>
      <c r="FR8" s="30">
        <f>+Tarifas!GJ11</f>
        <v>500</v>
      </c>
      <c r="FS8" s="30">
        <f>+Tarifas!GK11</f>
        <v>500</v>
      </c>
      <c r="FT8" s="30">
        <f>+Tarifas!GL11</f>
        <v>500</v>
      </c>
      <c r="FU8" s="30">
        <f>+Tarifas!GM11</f>
        <v>500</v>
      </c>
      <c r="FV8" s="30">
        <f>+Tarifas!GN11</f>
        <v>500</v>
      </c>
      <c r="FW8" s="30">
        <f>+Tarifas!GO11</f>
        <v>500</v>
      </c>
      <c r="FX8" s="30">
        <f>+Tarifas!GP11</f>
        <v>500</v>
      </c>
      <c r="FY8" s="30">
        <f>+Tarifas!GQ11</f>
        <v>500</v>
      </c>
      <c r="FZ8" s="30">
        <f>+Tarifas!GR11</f>
        <v>500</v>
      </c>
      <c r="GA8" s="30">
        <f>+Tarifas!GS11</f>
        <v>500</v>
      </c>
      <c r="GB8" s="30">
        <f>+Tarifas!GT11</f>
        <v>500</v>
      </c>
      <c r="GC8" s="30">
        <f>+Tarifas!GU11</f>
        <v>500</v>
      </c>
      <c r="GD8" s="30">
        <f>+Tarifas!GV11</f>
        <v>500</v>
      </c>
      <c r="GE8" s="30">
        <f>+Tarifas!GW11</f>
        <v>500</v>
      </c>
      <c r="GF8" s="30">
        <f>+Tarifas!GX11</f>
        <v>500</v>
      </c>
      <c r="GG8" s="30">
        <f>+Tarifas!GY11</f>
        <v>500</v>
      </c>
      <c r="GH8" s="30">
        <f>+Tarifas!GZ11</f>
        <v>500</v>
      </c>
      <c r="GI8" s="30">
        <f>+Tarifas!HA11</f>
        <v>500</v>
      </c>
      <c r="GJ8" s="30">
        <f>+Tarifas!HB11</f>
        <v>500</v>
      </c>
      <c r="GK8" s="30">
        <f>+Tarifas!HC11</f>
        <v>500</v>
      </c>
      <c r="GL8" s="30">
        <f>+Tarifas!HD11</f>
        <v>500</v>
      </c>
      <c r="GM8" s="30">
        <f>+Tarifas!HE11</f>
        <v>500</v>
      </c>
      <c r="GN8" s="30">
        <f>+Tarifas!HF11</f>
        <v>500</v>
      </c>
      <c r="GO8" s="30">
        <f>+Tarifas!HG11</f>
        <v>500</v>
      </c>
      <c r="GP8" s="30">
        <f>+Tarifas!HH11</f>
        <v>500</v>
      </c>
      <c r="GQ8" s="30">
        <f>+Tarifas!HI11</f>
        <v>500</v>
      </c>
      <c r="GR8" s="30">
        <f>+Tarifas!HJ11</f>
        <v>500</v>
      </c>
      <c r="GS8" s="30">
        <f>+Tarifas!HK11</f>
        <v>500</v>
      </c>
      <c r="GT8" s="30">
        <f>+Tarifas!HL11</f>
        <v>500</v>
      </c>
      <c r="GU8" s="30">
        <f>+Tarifas!HM11</f>
        <v>500</v>
      </c>
      <c r="GV8" s="30">
        <f>+Tarifas!HN11</f>
        <v>500</v>
      </c>
      <c r="GW8" s="30">
        <f>+Tarifas!HO11</f>
        <v>500</v>
      </c>
      <c r="GX8" s="30">
        <f>+Tarifas!HP11</f>
        <v>500</v>
      </c>
      <c r="GY8" s="30">
        <f>+Tarifas!HQ11</f>
        <v>500</v>
      </c>
      <c r="GZ8" s="30">
        <f>+Tarifas!HR11</f>
        <v>500</v>
      </c>
      <c r="HA8" s="30">
        <f>+Tarifas!HS11</f>
        <v>500</v>
      </c>
      <c r="HB8" s="30">
        <f>+Tarifas!HT11</f>
        <v>500</v>
      </c>
      <c r="HC8" s="30">
        <f>+Tarifas!HU11</f>
        <v>500</v>
      </c>
      <c r="HD8" s="30">
        <f>+Tarifas!HV11</f>
        <v>500</v>
      </c>
      <c r="HE8" s="30">
        <f>+Tarifas!HW11</f>
        <v>500</v>
      </c>
      <c r="HF8" s="30">
        <f>+Tarifas!HX11</f>
        <v>500</v>
      </c>
      <c r="HG8" s="30">
        <f>+Tarifas!HY11</f>
        <v>500</v>
      </c>
      <c r="HH8" s="30">
        <f>+Tarifas!HZ11</f>
        <v>500</v>
      </c>
      <c r="HI8" s="30">
        <f>+Tarifas!IA11</f>
        <v>500</v>
      </c>
      <c r="HJ8" s="30">
        <f>+Tarifas!IB11</f>
        <v>500</v>
      </c>
      <c r="HK8" s="30">
        <f>+Tarifas!IC11</f>
        <v>500</v>
      </c>
      <c r="HL8" s="30">
        <f>+Tarifas!ID11</f>
        <v>500</v>
      </c>
      <c r="HM8" s="30">
        <f>+Tarifas!IE11</f>
        <v>500</v>
      </c>
      <c r="HN8" s="30">
        <f>+Tarifas!IF11</f>
        <v>500</v>
      </c>
      <c r="HO8" s="30">
        <f>+Tarifas!IG11</f>
        <v>500</v>
      </c>
      <c r="HP8" s="30">
        <f>+Tarifas!IH11</f>
        <v>500</v>
      </c>
      <c r="HQ8" s="30">
        <f>+Tarifas!II11</f>
        <v>500</v>
      </c>
      <c r="HR8" s="30">
        <f>+Tarifas!IJ11</f>
        <v>500</v>
      </c>
      <c r="HS8" s="30">
        <f>+Tarifas!IK11</f>
        <v>500</v>
      </c>
      <c r="HT8" s="30">
        <f>+Tarifas!IL11</f>
        <v>500</v>
      </c>
      <c r="HU8" s="30">
        <f>+Tarifas!IM11</f>
        <v>500</v>
      </c>
      <c r="HV8" s="30">
        <f>+Tarifas!IN11</f>
        <v>500</v>
      </c>
      <c r="HW8" s="30">
        <f>+Tarifas!IO11</f>
        <v>500</v>
      </c>
      <c r="HX8" s="30">
        <f>+Tarifas!IP11</f>
        <v>500</v>
      </c>
      <c r="HY8" s="30">
        <f>+Tarifas!IQ11</f>
        <v>500</v>
      </c>
      <c r="HZ8" s="30">
        <f>+Tarifas!IR11</f>
        <v>500</v>
      </c>
      <c r="IA8" s="30">
        <f>+Tarifas!IS11</f>
        <v>500</v>
      </c>
      <c r="IB8" s="30">
        <f>+Tarifas!IT11</f>
        <v>500</v>
      </c>
      <c r="IC8" s="30">
        <f>+Tarifas!IU11</f>
        <v>500</v>
      </c>
      <c r="ID8" s="30">
        <f>+Tarifas!IV11</f>
        <v>500</v>
      </c>
      <c r="IE8" s="30">
        <f>+Tarifas!IW11</f>
        <v>500</v>
      </c>
      <c r="IF8" s="30">
        <f>+Tarifas!IX11</f>
        <v>500</v>
      </c>
      <c r="IG8" s="30">
        <f>+Tarifas!IY11</f>
        <v>500</v>
      </c>
      <c r="IH8" s="30">
        <f>+Tarifas!IZ11</f>
        <v>500</v>
      </c>
      <c r="II8" s="30">
        <f>+Tarifas!JA11</f>
        <v>500</v>
      </c>
      <c r="IJ8" s="30">
        <f>+Tarifas!JB11</f>
        <v>500</v>
      </c>
      <c r="IK8" s="30">
        <f>+Tarifas!JC11</f>
        <v>500</v>
      </c>
      <c r="IL8" s="30">
        <f>+Tarifas!JD11</f>
        <v>500</v>
      </c>
      <c r="IM8" s="30">
        <f>+Tarifas!JE11</f>
        <v>500</v>
      </c>
    </row>
    <row r="9" spans="1:247" x14ac:dyDescent="0.3">
      <c r="C9" s="30"/>
      <c r="D9" s="30"/>
      <c r="E9" s="30"/>
      <c r="F9" s="30"/>
      <c r="G9" s="30"/>
      <c r="H9" s="30"/>
      <c r="I9" s="6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</row>
    <row r="11" spans="1:247" x14ac:dyDescent="0.3">
      <c r="A11" t="s">
        <v>761</v>
      </c>
      <c r="B11">
        <f>+Producción!B1</f>
        <v>15950</v>
      </c>
      <c r="C11" t="s">
        <v>37</v>
      </c>
    </row>
    <row r="12" spans="1:247" x14ac:dyDescent="0.3">
      <c r="C12">
        <f>+YEAR(C13)</f>
        <v>2024</v>
      </c>
      <c r="D12">
        <f t="shared" ref="D12:BO12" si="0">+YEAR(D13)</f>
        <v>2024</v>
      </c>
      <c r="E12">
        <f t="shared" si="0"/>
        <v>2024</v>
      </c>
      <c r="F12">
        <f t="shared" si="0"/>
        <v>2024</v>
      </c>
      <c r="G12">
        <f t="shared" si="0"/>
        <v>2024</v>
      </c>
      <c r="H12">
        <f t="shared" si="0"/>
        <v>2025</v>
      </c>
      <c r="I12">
        <f t="shared" si="0"/>
        <v>2025</v>
      </c>
      <c r="J12">
        <f t="shared" si="0"/>
        <v>2025</v>
      </c>
      <c r="K12">
        <f t="shared" si="0"/>
        <v>2025</v>
      </c>
      <c r="L12">
        <f t="shared" si="0"/>
        <v>2025</v>
      </c>
      <c r="M12">
        <f t="shared" si="0"/>
        <v>2025</v>
      </c>
      <c r="N12">
        <f t="shared" si="0"/>
        <v>2025</v>
      </c>
      <c r="O12">
        <f t="shared" si="0"/>
        <v>2025</v>
      </c>
      <c r="P12">
        <f t="shared" si="0"/>
        <v>2025</v>
      </c>
      <c r="Q12">
        <f t="shared" si="0"/>
        <v>2025</v>
      </c>
      <c r="R12">
        <f t="shared" si="0"/>
        <v>2025</v>
      </c>
      <c r="S12">
        <f t="shared" si="0"/>
        <v>2025</v>
      </c>
      <c r="T12">
        <f t="shared" si="0"/>
        <v>2026</v>
      </c>
      <c r="U12">
        <f t="shared" si="0"/>
        <v>2026</v>
      </c>
      <c r="V12">
        <f t="shared" si="0"/>
        <v>2026</v>
      </c>
      <c r="W12">
        <f t="shared" si="0"/>
        <v>2026</v>
      </c>
      <c r="X12">
        <f t="shared" si="0"/>
        <v>2026</v>
      </c>
      <c r="Y12">
        <f t="shared" si="0"/>
        <v>2026</v>
      </c>
      <c r="Z12">
        <f t="shared" si="0"/>
        <v>2026</v>
      </c>
      <c r="AA12">
        <f t="shared" si="0"/>
        <v>2026</v>
      </c>
      <c r="AB12">
        <f t="shared" si="0"/>
        <v>2026</v>
      </c>
      <c r="AC12">
        <f t="shared" si="0"/>
        <v>2026</v>
      </c>
      <c r="AD12">
        <f t="shared" si="0"/>
        <v>2026</v>
      </c>
      <c r="AE12">
        <f t="shared" si="0"/>
        <v>2026</v>
      </c>
      <c r="AF12">
        <f t="shared" si="0"/>
        <v>2027</v>
      </c>
      <c r="AG12">
        <f t="shared" si="0"/>
        <v>2027</v>
      </c>
      <c r="AH12">
        <f t="shared" si="0"/>
        <v>2027</v>
      </c>
      <c r="AI12">
        <f t="shared" si="0"/>
        <v>2027</v>
      </c>
      <c r="AJ12">
        <f t="shared" si="0"/>
        <v>2027</v>
      </c>
      <c r="AK12">
        <f t="shared" si="0"/>
        <v>2027</v>
      </c>
      <c r="AL12">
        <f t="shared" si="0"/>
        <v>2027</v>
      </c>
      <c r="AM12">
        <f t="shared" si="0"/>
        <v>2027</v>
      </c>
      <c r="AN12">
        <f t="shared" si="0"/>
        <v>2027</v>
      </c>
      <c r="AO12">
        <f t="shared" si="0"/>
        <v>2027</v>
      </c>
      <c r="AP12">
        <f t="shared" si="0"/>
        <v>2027</v>
      </c>
      <c r="AQ12">
        <f t="shared" si="0"/>
        <v>2027</v>
      </c>
      <c r="AR12">
        <f t="shared" si="0"/>
        <v>2028</v>
      </c>
      <c r="AS12">
        <f t="shared" si="0"/>
        <v>2028</v>
      </c>
      <c r="AT12">
        <f t="shared" si="0"/>
        <v>2028</v>
      </c>
      <c r="AU12">
        <f t="shared" si="0"/>
        <v>2028</v>
      </c>
      <c r="AV12">
        <f t="shared" si="0"/>
        <v>2028</v>
      </c>
      <c r="AW12">
        <f t="shared" si="0"/>
        <v>2028</v>
      </c>
      <c r="AX12">
        <f t="shared" si="0"/>
        <v>2028</v>
      </c>
      <c r="AY12">
        <f t="shared" si="0"/>
        <v>2028</v>
      </c>
      <c r="AZ12">
        <f t="shared" si="0"/>
        <v>2028</v>
      </c>
      <c r="BA12">
        <f t="shared" si="0"/>
        <v>2028</v>
      </c>
      <c r="BB12">
        <f t="shared" si="0"/>
        <v>2028</v>
      </c>
      <c r="BC12">
        <f t="shared" si="0"/>
        <v>2028</v>
      </c>
      <c r="BD12">
        <f t="shared" si="0"/>
        <v>2029</v>
      </c>
      <c r="BE12">
        <f t="shared" si="0"/>
        <v>2029</v>
      </c>
      <c r="BF12">
        <f t="shared" si="0"/>
        <v>2029</v>
      </c>
      <c r="BG12">
        <f t="shared" si="0"/>
        <v>2029</v>
      </c>
      <c r="BH12">
        <f t="shared" si="0"/>
        <v>2029</v>
      </c>
      <c r="BI12">
        <f t="shared" si="0"/>
        <v>2029</v>
      </c>
      <c r="BJ12">
        <f t="shared" si="0"/>
        <v>2029</v>
      </c>
      <c r="BK12">
        <f t="shared" si="0"/>
        <v>2029</v>
      </c>
      <c r="BL12">
        <f t="shared" si="0"/>
        <v>2029</v>
      </c>
      <c r="BM12">
        <f t="shared" si="0"/>
        <v>2029</v>
      </c>
      <c r="BN12">
        <f t="shared" si="0"/>
        <v>2029</v>
      </c>
      <c r="BO12">
        <f t="shared" si="0"/>
        <v>2029</v>
      </c>
      <c r="BP12">
        <f t="shared" ref="BP12:EA12" si="1">+YEAR(BP13)</f>
        <v>2030</v>
      </c>
      <c r="BQ12">
        <f t="shared" si="1"/>
        <v>2030</v>
      </c>
      <c r="BR12">
        <f t="shared" si="1"/>
        <v>2030</v>
      </c>
      <c r="BS12">
        <f t="shared" si="1"/>
        <v>2030</v>
      </c>
      <c r="BT12">
        <f t="shared" si="1"/>
        <v>2030</v>
      </c>
      <c r="BU12">
        <f t="shared" si="1"/>
        <v>2030</v>
      </c>
      <c r="BV12">
        <f t="shared" si="1"/>
        <v>2030</v>
      </c>
      <c r="BW12">
        <f t="shared" si="1"/>
        <v>2030</v>
      </c>
      <c r="BX12">
        <f t="shared" si="1"/>
        <v>2030</v>
      </c>
      <c r="BY12">
        <f t="shared" si="1"/>
        <v>2030</v>
      </c>
      <c r="BZ12">
        <f t="shared" si="1"/>
        <v>2030</v>
      </c>
      <c r="CA12">
        <f t="shared" si="1"/>
        <v>2030</v>
      </c>
      <c r="CB12">
        <f t="shared" si="1"/>
        <v>2031</v>
      </c>
      <c r="CC12">
        <f t="shared" si="1"/>
        <v>2031</v>
      </c>
      <c r="CD12">
        <f t="shared" si="1"/>
        <v>2031</v>
      </c>
      <c r="CE12">
        <f t="shared" si="1"/>
        <v>2031</v>
      </c>
      <c r="CF12">
        <f t="shared" si="1"/>
        <v>2031</v>
      </c>
      <c r="CG12">
        <f t="shared" si="1"/>
        <v>2031</v>
      </c>
      <c r="CH12">
        <f t="shared" si="1"/>
        <v>2031</v>
      </c>
      <c r="CI12">
        <f t="shared" si="1"/>
        <v>2031</v>
      </c>
      <c r="CJ12">
        <f t="shared" si="1"/>
        <v>2031</v>
      </c>
      <c r="CK12">
        <f t="shared" si="1"/>
        <v>2031</v>
      </c>
      <c r="CL12">
        <f t="shared" si="1"/>
        <v>2031</v>
      </c>
      <c r="CM12">
        <f t="shared" si="1"/>
        <v>2031</v>
      </c>
      <c r="CN12">
        <f t="shared" si="1"/>
        <v>2032</v>
      </c>
      <c r="CO12">
        <f t="shared" si="1"/>
        <v>2032</v>
      </c>
      <c r="CP12">
        <f t="shared" si="1"/>
        <v>2032</v>
      </c>
      <c r="CQ12">
        <f t="shared" si="1"/>
        <v>2032</v>
      </c>
      <c r="CR12">
        <f t="shared" si="1"/>
        <v>2032</v>
      </c>
      <c r="CS12">
        <f t="shared" si="1"/>
        <v>2032</v>
      </c>
      <c r="CT12">
        <f t="shared" si="1"/>
        <v>2032</v>
      </c>
      <c r="CU12">
        <f t="shared" si="1"/>
        <v>2032</v>
      </c>
      <c r="CV12">
        <f t="shared" si="1"/>
        <v>2032</v>
      </c>
      <c r="CW12">
        <f t="shared" si="1"/>
        <v>2032</v>
      </c>
      <c r="CX12">
        <f t="shared" si="1"/>
        <v>2032</v>
      </c>
      <c r="CY12">
        <f t="shared" si="1"/>
        <v>2032</v>
      </c>
      <c r="CZ12">
        <f t="shared" si="1"/>
        <v>2033</v>
      </c>
      <c r="DA12">
        <f t="shared" si="1"/>
        <v>2033</v>
      </c>
      <c r="DB12">
        <f t="shared" si="1"/>
        <v>2033</v>
      </c>
      <c r="DC12">
        <f t="shared" si="1"/>
        <v>2033</v>
      </c>
      <c r="DD12">
        <f t="shared" si="1"/>
        <v>2033</v>
      </c>
      <c r="DE12">
        <f t="shared" si="1"/>
        <v>2033</v>
      </c>
      <c r="DF12">
        <f t="shared" si="1"/>
        <v>2033</v>
      </c>
      <c r="DG12">
        <f t="shared" si="1"/>
        <v>2033</v>
      </c>
      <c r="DH12">
        <f t="shared" si="1"/>
        <v>2033</v>
      </c>
      <c r="DI12">
        <f t="shared" si="1"/>
        <v>2033</v>
      </c>
      <c r="DJ12">
        <f t="shared" si="1"/>
        <v>2033</v>
      </c>
      <c r="DK12">
        <f t="shared" si="1"/>
        <v>2033</v>
      </c>
      <c r="DL12">
        <f t="shared" si="1"/>
        <v>2034</v>
      </c>
      <c r="DM12">
        <f t="shared" si="1"/>
        <v>2034</v>
      </c>
      <c r="DN12">
        <f t="shared" si="1"/>
        <v>2034</v>
      </c>
      <c r="DO12">
        <f t="shared" si="1"/>
        <v>2034</v>
      </c>
      <c r="DP12">
        <f t="shared" si="1"/>
        <v>2034</v>
      </c>
      <c r="DQ12">
        <f t="shared" si="1"/>
        <v>2034</v>
      </c>
      <c r="DR12">
        <f t="shared" si="1"/>
        <v>2034</v>
      </c>
      <c r="DS12">
        <f t="shared" si="1"/>
        <v>2034</v>
      </c>
      <c r="DT12">
        <f t="shared" si="1"/>
        <v>2034</v>
      </c>
      <c r="DU12">
        <f t="shared" si="1"/>
        <v>2034</v>
      </c>
      <c r="DV12">
        <f t="shared" si="1"/>
        <v>2034</v>
      </c>
      <c r="DW12">
        <f t="shared" si="1"/>
        <v>2034</v>
      </c>
      <c r="DX12">
        <f t="shared" si="1"/>
        <v>2035</v>
      </c>
      <c r="DY12">
        <f t="shared" si="1"/>
        <v>2035</v>
      </c>
      <c r="DZ12">
        <f t="shared" si="1"/>
        <v>2035</v>
      </c>
      <c r="EA12">
        <f t="shared" si="1"/>
        <v>2035</v>
      </c>
      <c r="EB12">
        <f t="shared" ref="EB12:GM12" si="2">+YEAR(EB13)</f>
        <v>2035</v>
      </c>
      <c r="EC12">
        <f t="shared" si="2"/>
        <v>2035</v>
      </c>
      <c r="ED12">
        <f t="shared" si="2"/>
        <v>2035</v>
      </c>
      <c r="EE12">
        <f t="shared" si="2"/>
        <v>2035</v>
      </c>
      <c r="EF12">
        <f t="shared" si="2"/>
        <v>2035</v>
      </c>
      <c r="EG12">
        <f t="shared" si="2"/>
        <v>2035</v>
      </c>
      <c r="EH12">
        <f t="shared" si="2"/>
        <v>2035</v>
      </c>
      <c r="EI12">
        <f t="shared" si="2"/>
        <v>2035</v>
      </c>
      <c r="EJ12">
        <f t="shared" si="2"/>
        <v>2036</v>
      </c>
      <c r="EK12">
        <f t="shared" si="2"/>
        <v>2036</v>
      </c>
      <c r="EL12">
        <f t="shared" si="2"/>
        <v>2036</v>
      </c>
      <c r="EM12">
        <f t="shared" si="2"/>
        <v>2036</v>
      </c>
      <c r="EN12">
        <f t="shared" si="2"/>
        <v>2036</v>
      </c>
      <c r="EO12">
        <f t="shared" si="2"/>
        <v>2036</v>
      </c>
      <c r="EP12">
        <f t="shared" si="2"/>
        <v>2036</v>
      </c>
      <c r="EQ12">
        <f t="shared" si="2"/>
        <v>2036</v>
      </c>
      <c r="ER12">
        <f t="shared" si="2"/>
        <v>2036</v>
      </c>
      <c r="ES12">
        <f t="shared" si="2"/>
        <v>2036</v>
      </c>
      <c r="ET12">
        <f t="shared" si="2"/>
        <v>2036</v>
      </c>
      <c r="EU12">
        <f t="shared" si="2"/>
        <v>2036</v>
      </c>
      <c r="EV12">
        <f t="shared" si="2"/>
        <v>2037</v>
      </c>
      <c r="EW12">
        <f t="shared" si="2"/>
        <v>2037</v>
      </c>
      <c r="EX12">
        <f t="shared" si="2"/>
        <v>2037</v>
      </c>
      <c r="EY12">
        <f t="shared" si="2"/>
        <v>2037</v>
      </c>
      <c r="EZ12">
        <f t="shared" si="2"/>
        <v>2037</v>
      </c>
      <c r="FA12">
        <f t="shared" si="2"/>
        <v>2037</v>
      </c>
      <c r="FB12">
        <f t="shared" si="2"/>
        <v>2037</v>
      </c>
      <c r="FC12">
        <f t="shared" si="2"/>
        <v>2037</v>
      </c>
      <c r="FD12">
        <f t="shared" si="2"/>
        <v>2037</v>
      </c>
      <c r="FE12">
        <f t="shared" si="2"/>
        <v>2037</v>
      </c>
      <c r="FF12">
        <f t="shared" si="2"/>
        <v>2037</v>
      </c>
      <c r="FG12">
        <f t="shared" si="2"/>
        <v>2037</v>
      </c>
      <c r="FH12">
        <f t="shared" si="2"/>
        <v>2038</v>
      </c>
      <c r="FI12">
        <f t="shared" si="2"/>
        <v>2038</v>
      </c>
      <c r="FJ12">
        <f t="shared" si="2"/>
        <v>2038</v>
      </c>
      <c r="FK12">
        <f t="shared" si="2"/>
        <v>2038</v>
      </c>
      <c r="FL12">
        <f t="shared" si="2"/>
        <v>2038</v>
      </c>
      <c r="FM12">
        <f t="shared" si="2"/>
        <v>2038</v>
      </c>
      <c r="FN12">
        <f t="shared" si="2"/>
        <v>2038</v>
      </c>
      <c r="FO12">
        <f t="shared" si="2"/>
        <v>2038</v>
      </c>
      <c r="FP12">
        <f t="shared" si="2"/>
        <v>2038</v>
      </c>
      <c r="FQ12">
        <f t="shared" si="2"/>
        <v>2038</v>
      </c>
      <c r="FR12">
        <f t="shared" si="2"/>
        <v>2038</v>
      </c>
      <c r="FS12">
        <f t="shared" si="2"/>
        <v>2038</v>
      </c>
      <c r="FT12">
        <f t="shared" si="2"/>
        <v>2039</v>
      </c>
      <c r="FU12">
        <f t="shared" si="2"/>
        <v>2039</v>
      </c>
      <c r="FV12">
        <f t="shared" si="2"/>
        <v>2039</v>
      </c>
      <c r="FW12">
        <f t="shared" si="2"/>
        <v>2039</v>
      </c>
      <c r="FX12">
        <f t="shared" si="2"/>
        <v>2039</v>
      </c>
      <c r="FY12">
        <f t="shared" si="2"/>
        <v>2039</v>
      </c>
      <c r="FZ12">
        <f t="shared" si="2"/>
        <v>2039</v>
      </c>
      <c r="GA12">
        <f t="shared" si="2"/>
        <v>2039</v>
      </c>
      <c r="GB12">
        <f t="shared" si="2"/>
        <v>2039</v>
      </c>
      <c r="GC12">
        <f t="shared" si="2"/>
        <v>2039</v>
      </c>
      <c r="GD12">
        <f t="shared" si="2"/>
        <v>2039</v>
      </c>
      <c r="GE12">
        <f t="shared" si="2"/>
        <v>2039</v>
      </c>
      <c r="GF12">
        <f t="shared" si="2"/>
        <v>2040</v>
      </c>
      <c r="GG12">
        <f t="shared" si="2"/>
        <v>2040</v>
      </c>
      <c r="GH12">
        <f t="shared" si="2"/>
        <v>2040</v>
      </c>
      <c r="GI12">
        <f t="shared" si="2"/>
        <v>2040</v>
      </c>
      <c r="GJ12">
        <f t="shared" si="2"/>
        <v>2040</v>
      </c>
      <c r="GK12">
        <f t="shared" si="2"/>
        <v>2040</v>
      </c>
      <c r="GL12">
        <f t="shared" si="2"/>
        <v>2040</v>
      </c>
      <c r="GM12">
        <f t="shared" si="2"/>
        <v>2040</v>
      </c>
      <c r="GN12">
        <f t="shared" ref="GN12:IH12" si="3">+YEAR(GN13)</f>
        <v>2040</v>
      </c>
      <c r="GO12">
        <f t="shared" si="3"/>
        <v>2040</v>
      </c>
      <c r="GP12">
        <f t="shared" si="3"/>
        <v>2040</v>
      </c>
      <c r="GQ12">
        <f t="shared" si="3"/>
        <v>2040</v>
      </c>
      <c r="GR12">
        <f t="shared" si="3"/>
        <v>2041</v>
      </c>
      <c r="GS12">
        <f t="shared" si="3"/>
        <v>2041</v>
      </c>
      <c r="GT12">
        <f t="shared" si="3"/>
        <v>2041</v>
      </c>
      <c r="GU12">
        <f t="shared" si="3"/>
        <v>2041</v>
      </c>
      <c r="GV12">
        <f t="shared" si="3"/>
        <v>2041</v>
      </c>
      <c r="GW12">
        <f t="shared" si="3"/>
        <v>2041</v>
      </c>
      <c r="GX12">
        <f t="shared" si="3"/>
        <v>2041</v>
      </c>
      <c r="GY12">
        <f t="shared" si="3"/>
        <v>2041</v>
      </c>
      <c r="GZ12">
        <f t="shared" si="3"/>
        <v>2041</v>
      </c>
      <c r="HA12">
        <f t="shared" si="3"/>
        <v>2041</v>
      </c>
      <c r="HB12">
        <f t="shared" si="3"/>
        <v>2041</v>
      </c>
      <c r="HC12">
        <f t="shared" si="3"/>
        <v>2041</v>
      </c>
      <c r="HD12">
        <f t="shared" si="3"/>
        <v>2042</v>
      </c>
      <c r="HE12">
        <f t="shared" si="3"/>
        <v>2042</v>
      </c>
      <c r="HF12">
        <f t="shared" si="3"/>
        <v>2042</v>
      </c>
      <c r="HG12">
        <f t="shared" si="3"/>
        <v>2042</v>
      </c>
      <c r="HH12">
        <f t="shared" si="3"/>
        <v>2042</v>
      </c>
      <c r="HI12">
        <f t="shared" si="3"/>
        <v>2042</v>
      </c>
      <c r="HJ12">
        <f t="shared" si="3"/>
        <v>2042</v>
      </c>
      <c r="HK12">
        <f t="shared" si="3"/>
        <v>2042</v>
      </c>
      <c r="HL12">
        <f t="shared" si="3"/>
        <v>2042</v>
      </c>
      <c r="HM12">
        <f t="shared" si="3"/>
        <v>2042</v>
      </c>
      <c r="HN12">
        <f t="shared" si="3"/>
        <v>2042</v>
      </c>
      <c r="HO12">
        <f t="shared" si="3"/>
        <v>2042</v>
      </c>
      <c r="HP12">
        <f t="shared" si="3"/>
        <v>2043</v>
      </c>
      <c r="HQ12">
        <f t="shared" si="3"/>
        <v>2043</v>
      </c>
      <c r="HR12">
        <f t="shared" si="3"/>
        <v>2043</v>
      </c>
      <c r="HS12">
        <f t="shared" si="3"/>
        <v>2043</v>
      </c>
      <c r="HT12">
        <f t="shared" si="3"/>
        <v>2043</v>
      </c>
      <c r="HU12">
        <f t="shared" si="3"/>
        <v>2043</v>
      </c>
      <c r="HV12">
        <f t="shared" si="3"/>
        <v>2043</v>
      </c>
      <c r="HW12">
        <f t="shared" si="3"/>
        <v>2043</v>
      </c>
      <c r="HX12">
        <f t="shared" si="3"/>
        <v>2043</v>
      </c>
      <c r="HY12">
        <f t="shared" si="3"/>
        <v>2043</v>
      </c>
      <c r="HZ12">
        <f t="shared" si="3"/>
        <v>2043</v>
      </c>
      <c r="IA12">
        <f t="shared" si="3"/>
        <v>2043</v>
      </c>
      <c r="IB12">
        <f t="shared" si="3"/>
        <v>2044</v>
      </c>
      <c r="IC12">
        <f t="shared" si="3"/>
        <v>2044</v>
      </c>
      <c r="ID12">
        <f t="shared" si="3"/>
        <v>2044</v>
      </c>
      <c r="IE12">
        <f t="shared" si="3"/>
        <v>2044</v>
      </c>
      <c r="IF12">
        <f t="shared" si="3"/>
        <v>2044</v>
      </c>
      <c r="IG12">
        <f t="shared" si="3"/>
        <v>2044</v>
      </c>
      <c r="IH12">
        <f t="shared" si="3"/>
        <v>2044</v>
      </c>
      <c r="II12">
        <f>+YEAR(II13)</f>
        <v>2044</v>
      </c>
      <c r="IJ12">
        <f>+YEAR(IJ13)</f>
        <v>2044</v>
      </c>
      <c r="IK12">
        <f>+YEAR(IK13)</f>
        <v>2044</v>
      </c>
      <c r="IL12">
        <f>+YEAR(IL13)</f>
        <v>2044</v>
      </c>
      <c r="IM12">
        <f>+YEAR(IM13)</f>
        <v>2044</v>
      </c>
    </row>
    <row r="13" spans="1:247" x14ac:dyDescent="0.3">
      <c r="A13" t="s">
        <v>762</v>
      </c>
      <c r="C13" s="14">
        <v>45505</v>
      </c>
      <c r="D13" s="14">
        <v>45536</v>
      </c>
      <c r="E13" s="14">
        <v>45566</v>
      </c>
      <c r="F13" s="14">
        <v>45597</v>
      </c>
      <c r="G13" s="14">
        <v>45627</v>
      </c>
      <c r="H13" s="14">
        <v>45658</v>
      </c>
      <c r="I13" s="14">
        <v>45689</v>
      </c>
      <c r="J13" s="14">
        <v>45717</v>
      </c>
      <c r="K13" s="14">
        <v>45748</v>
      </c>
      <c r="L13" s="14">
        <v>45778</v>
      </c>
      <c r="M13" s="14">
        <v>45809</v>
      </c>
      <c r="N13" s="14">
        <v>45839</v>
      </c>
      <c r="O13" s="14">
        <v>45870</v>
      </c>
      <c r="P13" s="14">
        <v>45901</v>
      </c>
      <c r="Q13" s="14">
        <v>45931</v>
      </c>
      <c r="R13" s="14">
        <v>45962</v>
      </c>
      <c r="S13" s="14">
        <v>45992</v>
      </c>
      <c r="T13" s="14">
        <v>46023</v>
      </c>
      <c r="U13" s="14">
        <v>46054</v>
      </c>
      <c r="V13" s="14">
        <v>46082</v>
      </c>
      <c r="W13" s="14">
        <v>46113</v>
      </c>
      <c r="X13" s="14">
        <v>46143</v>
      </c>
      <c r="Y13" s="14">
        <v>46174</v>
      </c>
      <c r="Z13" s="14">
        <v>46204</v>
      </c>
      <c r="AA13" s="14">
        <v>46235</v>
      </c>
      <c r="AB13" s="14">
        <v>46266</v>
      </c>
      <c r="AC13" s="14">
        <v>46296</v>
      </c>
      <c r="AD13" s="14">
        <v>46327</v>
      </c>
      <c r="AE13" s="14">
        <v>46357</v>
      </c>
      <c r="AF13" s="14">
        <v>46388</v>
      </c>
      <c r="AG13" s="14">
        <v>46419</v>
      </c>
      <c r="AH13" s="14">
        <v>46447</v>
      </c>
      <c r="AI13" s="14">
        <v>46478</v>
      </c>
      <c r="AJ13" s="14">
        <v>46508</v>
      </c>
      <c r="AK13" s="14">
        <v>46539</v>
      </c>
      <c r="AL13" s="14">
        <v>46569</v>
      </c>
      <c r="AM13" s="14">
        <v>46600</v>
      </c>
      <c r="AN13" s="14">
        <v>46631</v>
      </c>
      <c r="AO13" s="14">
        <v>46661</v>
      </c>
      <c r="AP13" s="14">
        <v>46692</v>
      </c>
      <c r="AQ13" s="14">
        <v>46722</v>
      </c>
      <c r="AR13" s="14">
        <v>46753</v>
      </c>
      <c r="AS13" s="14">
        <v>46784</v>
      </c>
      <c r="AT13" s="14">
        <v>46813</v>
      </c>
      <c r="AU13" s="14">
        <v>46844</v>
      </c>
      <c r="AV13" s="14">
        <v>46874</v>
      </c>
      <c r="AW13" s="14">
        <v>46905</v>
      </c>
      <c r="AX13" s="14">
        <v>46935</v>
      </c>
      <c r="AY13" s="14">
        <v>46966</v>
      </c>
      <c r="AZ13" s="14">
        <v>46997</v>
      </c>
      <c r="BA13" s="14">
        <v>47027</v>
      </c>
      <c r="BB13" s="14">
        <v>47058</v>
      </c>
      <c r="BC13" s="14">
        <v>47088</v>
      </c>
      <c r="BD13" s="14">
        <v>47119</v>
      </c>
      <c r="BE13" s="14">
        <v>47150</v>
      </c>
      <c r="BF13" s="14">
        <v>47178</v>
      </c>
      <c r="BG13" s="14">
        <v>47209</v>
      </c>
      <c r="BH13" s="14">
        <v>47239</v>
      </c>
      <c r="BI13" s="14">
        <v>47270</v>
      </c>
      <c r="BJ13" s="14">
        <v>47300</v>
      </c>
      <c r="BK13" s="14">
        <v>47331</v>
      </c>
      <c r="BL13" s="14">
        <v>47362</v>
      </c>
      <c r="BM13" s="14">
        <v>47392</v>
      </c>
      <c r="BN13" s="14">
        <v>47423</v>
      </c>
      <c r="BO13" s="14">
        <v>47453</v>
      </c>
      <c r="BP13" s="14">
        <v>47484</v>
      </c>
      <c r="BQ13" s="14">
        <v>47515</v>
      </c>
      <c r="BR13" s="14">
        <v>47543</v>
      </c>
      <c r="BS13" s="14">
        <v>47574</v>
      </c>
      <c r="BT13" s="14">
        <v>47604</v>
      </c>
      <c r="BU13" s="14">
        <v>47635</v>
      </c>
      <c r="BV13" s="14">
        <v>47665</v>
      </c>
      <c r="BW13" s="14">
        <v>47696</v>
      </c>
      <c r="BX13" s="14">
        <v>47727</v>
      </c>
      <c r="BY13" s="14">
        <v>47757</v>
      </c>
      <c r="BZ13" s="14">
        <v>47788</v>
      </c>
      <c r="CA13" s="14">
        <v>47818</v>
      </c>
      <c r="CB13" s="14">
        <v>47849</v>
      </c>
      <c r="CC13" s="14">
        <v>47880</v>
      </c>
      <c r="CD13" s="14">
        <v>47908</v>
      </c>
      <c r="CE13" s="14">
        <v>47939</v>
      </c>
      <c r="CF13" s="14">
        <v>47969</v>
      </c>
      <c r="CG13" s="14">
        <v>48000</v>
      </c>
      <c r="CH13" s="14">
        <v>48030</v>
      </c>
      <c r="CI13" s="14">
        <v>48061</v>
      </c>
      <c r="CJ13" s="14">
        <v>48092</v>
      </c>
      <c r="CK13" s="14">
        <v>48122</v>
      </c>
      <c r="CL13" s="14">
        <v>48153</v>
      </c>
      <c r="CM13" s="14">
        <v>48183</v>
      </c>
      <c r="CN13" s="14">
        <v>48214</v>
      </c>
      <c r="CO13" s="14">
        <v>48245</v>
      </c>
      <c r="CP13" s="14">
        <v>48274</v>
      </c>
      <c r="CQ13" s="14">
        <v>48305</v>
      </c>
      <c r="CR13" s="14">
        <v>48335</v>
      </c>
      <c r="CS13" s="14">
        <v>48366</v>
      </c>
      <c r="CT13" s="14">
        <v>48396</v>
      </c>
      <c r="CU13" s="14">
        <v>48427</v>
      </c>
      <c r="CV13" s="14">
        <v>48458</v>
      </c>
      <c r="CW13" s="14">
        <v>48488</v>
      </c>
      <c r="CX13" s="14">
        <v>48519</v>
      </c>
      <c r="CY13" s="14">
        <v>48549</v>
      </c>
      <c r="CZ13" s="14">
        <v>48580</v>
      </c>
      <c r="DA13" s="14">
        <v>48611</v>
      </c>
      <c r="DB13" s="14">
        <v>48639</v>
      </c>
      <c r="DC13" s="14">
        <v>48670</v>
      </c>
      <c r="DD13" s="14">
        <v>48700</v>
      </c>
      <c r="DE13" s="14">
        <v>48731</v>
      </c>
      <c r="DF13" s="14">
        <v>48761</v>
      </c>
      <c r="DG13" s="14">
        <v>48792</v>
      </c>
      <c r="DH13" s="14">
        <v>48823</v>
      </c>
      <c r="DI13" s="14">
        <v>48853</v>
      </c>
      <c r="DJ13" s="14">
        <v>48884</v>
      </c>
      <c r="DK13" s="14">
        <v>48914</v>
      </c>
      <c r="DL13" s="14">
        <v>48945</v>
      </c>
      <c r="DM13" s="14">
        <v>48976</v>
      </c>
      <c r="DN13" s="14">
        <v>49004</v>
      </c>
      <c r="DO13" s="14">
        <v>49035</v>
      </c>
      <c r="DP13" s="14">
        <v>49065</v>
      </c>
      <c r="DQ13" s="14">
        <v>49096</v>
      </c>
      <c r="DR13" s="14">
        <v>49126</v>
      </c>
      <c r="DS13" s="14">
        <v>49157</v>
      </c>
      <c r="DT13" s="14">
        <v>49188</v>
      </c>
      <c r="DU13" s="14">
        <v>49218</v>
      </c>
      <c r="DV13" s="14">
        <v>49249</v>
      </c>
      <c r="DW13" s="14">
        <v>49279</v>
      </c>
      <c r="DX13" s="14">
        <v>49310</v>
      </c>
      <c r="DY13" s="14">
        <v>49341</v>
      </c>
      <c r="DZ13" s="14">
        <v>49369</v>
      </c>
      <c r="EA13" s="14">
        <v>49400</v>
      </c>
      <c r="EB13" s="14">
        <v>49430</v>
      </c>
      <c r="EC13" s="14">
        <v>49461</v>
      </c>
      <c r="ED13" s="14">
        <v>49491</v>
      </c>
      <c r="EE13" s="14">
        <v>49522</v>
      </c>
      <c r="EF13" s="14">
        <v>49553</v>
      </c>
      <c r="EG13" s="14">
        <v>49583</v>
      </c>
      <c r="EH13" s="14">
        <v>49614</v>
      </c>
      <c r="EI13" s="14">
        <v>49644</v>
      </c>
      <c r="EJ13" s="14">
        <v>49675</v>
      </c>
      <c r="EK13" s="14">
        <v>49706</v>
      </c>
      <c r="EL13" s="14">
        <v>49735</v>
      </c>
      <c r="EM13" s="14">
        <v>49766</v>
      </c>
      <c r="EN13" s="14">
        <v>49796</v>
      </c>
      <c r="EO13" s="14">
        <v>49827</v>
      </c>
      <c r="EP13" s="14">
        <v>49857</v>
      </c>
      <c r="EQ13" s="14">
        <v>49888</v>
      </c>
      <c r="ER13" s="14">
        <v>49919</v>
      </c>
      <c r="ES13" s="14">
        <v>49949</v>
      </c>
      <c r="ET13" s="14">
        <v>49980</v>
      </c>
      <c r="EU13" s="14">
        <v>50010</v>
      </c>
      <c r="EV13" s="14">
        <v>50041</v>
      </c>
      <c r="EW13" s="14">
        <v>50072</v>
      </c>
      <c r="EX13" s="14">
        <v>50100</v>
      </c>
      <c r="EY13" s="14">
        <v>50131</v>
      </c>
      <c r="EZ13" s="14">
        <v>50161</v>
      </c>
      <c r="FA13" s="14">
        <v>50192</v>
      </c>
      <c r="FB13" s="14">
        <v>50222</v>
      </c>
      <c r="FC13" s="14">
        <v>50253</v>
      </c>
      <c r="FD13" s="14">
        <v>50284</v>
      </c>
      <c r="FE13" s="14">
        <v>50314</v>
      </c>
      <c r="FF13" s="14">
        <v>50345</v>
      </c>
      <c r="FG13" s="14">
        <v>50375</v>
      </c>
      <c r="FH13" s="14">
        <v>50406</v>
      </c>
      <c r="FI13" s="14">
        <v>50437</v>
      </c>
      <c r="FJ13" s="14">
        <v>50465</v>
      </c>
      <c r="FK13" s="14">
        <v>50496</v>
      </c>
      <c r="FL13" s="14">
        <v>50526</v>
      </c>
      <c r="FM13" s="14">
        <v>50557</v>
      </c>
      <c r="FN13" s="14">
        <v>50587</v>
      </c>
      <c r="FO13" s="14">
        <v>50618</v>
      </c>
      <c r="FP13" s="14">
        <v>50649</v>
      </c>
      <c r="FQ13" s="14">
        <v>50679</v>
      </c>
      <c r="FR13" s="14">
        <v>50710</v>
      </c>
      <c r="FS13" s="14">
        <v>50740</v>
      </c>
      <c r="FT13" s="14">
        <v>50771</v>
      </c>
      <c r="FU13" s="14">
        <v>50802</v>
      </c>
      <c r="FV13" s="14">
        <v>50830</v>
      </c>
      <c r="FW13" s="14">
        <v>50861</v>
      </c>
      <c r="FX13" s="14">
        <v>50891</v>
      </c>
      <c r="FY13" s="14">
        <v>50922</v>
      </c>
      <c r="FZ13" s="14">
        <v>50952</v>
      </c>
      <c r="GA13" s="14">
        <v>50983</v>
      </c>
      <c r="GB13" s="14">
        <v>51014</v>
      </c>
      <c r="GC13" s="14">
        <v>51044</v>
      </c>
      <c r="GD13" s="14">
        <v>51075</v>
      </c>
      <c r="GE13" s="14">
        <v>51105</v>
      </c>
      <c r="GF13" s="14">
        <v>51136</v>
      </c>
      <c r="GG13" s="14">
        <v>51167</v>
      </c>
      <c r="GH13" s="14">
        <v>51196</v>
      </c>
      <c r="GI13" s="14">
        <v>51227</v>
      </c>
      <c r="GJ13" s="14">
        <v>51257</v>
      </c>
      <c r="GK13" s="14">
        <v>51288</v>
      </c>
      <c r="GL13" s="14">
        <v>51318</v>
      </c>
      <c r="GM13" s="14">
        <v>51349</v>
      </c>
      <c r="GN13" s="14">
        <v>51380</v>
      </c>
      <c r="GO13" s="14">
        <v>51410</v>
      </c>
      <c r="GP13" s="14">
        <v>51441</v>
      </c>
      <c r="GQ13" s="14">
        <v>51471</v>
      </c>
      <c r="GR13" s="14">
        <v>51502</v>
      </c>
      <c r="GS13" s="14">
        <v>51533</v>
      </c>
      <c r="GT13" s="14">
        <v>51561</v>
      </c>
      <c r="GU13" s="14">
        <v>51592</v>
      </c>
      <c r="GV13" s="14">
        <v>51622</v>
      </c>
      <c r="GW13" s="14">
        <v>51653</v>
      </c>
      <c r="GX13" s="14">
        <v>51683</v>
      </c>
      <c r="GY13" s="14">
        <v>51714</v>
      </c>
      <c r="GZ13" s="14">
        <v>51745</v>
      </c>
      <c r="HA13" s="14">
        <v>51775</v>
      </c>
      <c r="HB13" s="14">
        <v>51806</v>
      </c>
      <c r="HC13" s="14">
        <v>51836</v>
      </c>
      <c r="HD13" s="14">
        <v>51867</v>
      </c>
      <c r="HE13" s="14">
        <v>51898</v>
      </c>
      <c r="HF13" s="14">
        <v>51926</v>
      </c>
      <c r="HG13" s="14">
        <v>51957</v>
      </c>
      <c r="HH13" s="14">
        <v>51987</v>
      </c>
      <c r="HI13" s="14">
        <v>52018</v>
      </c>
      <c r="HJ13" s="14">
        <v>52048</v>
      </c>
      <c r="HK13" s="14">
        <v>52079</v>
      </c>
      <c r="HL13" s="14">
        <v>52110</v>
      </c>
      <c r="HM13" s="14">
        <v>52140</v>
      </c>
      <c r="HN13" s="14">
        <v>52171</v>
      </c>
      <c r="HO13" s="14">
        <v>52201</v>
      </c>
      <c r="HP13" s="14">
        <v>52232</v>
      </c>
      <c r="HQ13" s="14">
        <v>52263</v>
      </c>
      <c r="HR13" s="14">
        <v>52291</v>
      </c>
      <c r="HS13" s="14">
        <v>52322</v>
      </c>
      <c r="HT13" s="14">
        <v>52352</v>
      </c>
      <c r="HU13" s="14">
        <v>52383</v>
      </c>
      <c r="HV13" s="14">
        <v>52413</v>
      </c>
      <c r="HW13" s="14">
        <v>52444</v>
      </c>
      <c r="HX13" s="14">
        <v>52475</v>
      </c>
      <c r="HY13" s="14">
        <v>52505</v>
      </c>
      <c r="HZ13" s="14">
        <v>52536</v>
      </c>
      <c r="IA13" s="14">
        <v>52566</v>
      </c>
      <c r="IB13" s="14">
        <v>52597</v>
      </c>
      <c r="IC13" s="14">
        <v>52628</v>
      </c>
      <c r="ID13" s="14">
        <v>52657</v>
      </c>
      <c r="IE13" s="14">
        <v>52688</v>
      </c>
      <c r="IF13" s="14">
        <v>52718</v>
      </c>
      <c r="IG13" s="14">
        <v>52749</v>
      </c>
      <c r="IH13" s="14">
        <v>52779</v>
      </c>
      <c r="II13" s="14">
        <v>52810</v>
      </c>
      <c r="IJ13" s="14">
        <v>52841</v>
      </c>
      <c r="IK13" s="14">
        <v>52871</v>
      </c>
      <c r="IL13" s="14">
        <v>52902</v>
      </c>
      <c r="IM13" s="14">
        <v>52932</v>
      </c>
    </row>
    <row r="14" spans="1:247" x14ac:dyDescent="0.3">
      <c r="A14" s="6" t="s">
        <v>908</v>
      </c>
      <c r="B14" t="s">
        <v>33</v>
      </c>
      <c r="C14" s="10"/>
      <c r="D14" s="10"/>
      <c r="E14" s="10"/>
      <c r="F14" s="10"/>
      <c r="G14" s="10"/>
      <c r="H14" s="10"/>
      <c r="I14" s="70"/>
      <c r="J14" s="10"/>
      <c r="K14" s="10"/>
      <c r="L14" s="10"/>
      <c r="M14" s="10"/>
      <c r="N14" s="10"/>
      <c r="O14" s="10"/>
      <c r="P14" s="10"/>
      <c r="Q14" s="10"/>
      <c r="R14" s="10"/>
      <c r="S14" s="10">
        <f>+Producción!U8</f>
        <v>1867.9423078799998</v>
      </c>
      <c r="T14" s="10">
        <f>+Producción!V8</f>
        <v>2146.1896942200001</v>
      </c>
      <c r="U14" s="10">
        <f>+Producción!W8</f>
        <v>1978.5898440000001</v>
      </c>
      <c r="V14" s="10">
        <f>+Producción!X8</f>
        <v>2356.01162841</v>
      </c>
      <c r="W14" s="10">
        <f>+Producción!Y8</f>
        <v>2140.1809208999998</v>
      </c>
      <c r="X14" s="10">
        <f>+Producción!Z8</f>
        <v>2075.0562383099996</v>
      </c>
      <c r="Y14" s="10">
        <f>+Producción!AA8</f>
        <v>2085.8024583000001</v>
      </c>
      <c r="Z14" s="10">
        <f>+Producción!AB8</f>
        <v>2219.5475817899996</v>
      </c>
      <c r="AA14" s="10">
        <f>+Producción!AC8</f>
        <v>2189.2112942699996</v>
      </c>
      <c r="AB14" s="10">
        <f>+Producción!AD8</f>
        <v>2048.7478967999996</v>
      </c>
      <c r="AC14" s="10">
        <f>+Producción!AE8</f>
        <v>1847.09570254</v>
      </c>
      <c r="AD14" s="10">
        <f>+Producción!AF8</f>
        <v>1765.2592320000001</v>
      </c>
      <c r="AE14" s="10">
        <f>+Producción!AG8</f>
        <v>1866.0323464199996</v>
      </c>
      <c r="AF14" s="10">
        <f>+Producción!AH8</f>
        <v>2143.9952262300003</v>
      </c>
      <c r="AG14" s="10">
        <f>+Producción!AI8</f>
        <v>1976.5667460000002</v>
      </c>
      <c r="AH14" s="10">
        <f>+Producción!AJ8</f>
        <v>2353.6026185649998</v>
      </c>
      <c r="AI14" s="10">
        <f>+Producción!AK8</f>
        <v>2137.9925968499997</v>
      </c>
      <c r="AJ14" s="10">
        <f>+Producción!AL8</f>
        <v>2072.9345039149998</v>
      </c>
      <c r="AK14" s="10">
        <f>+Producción!AM8</f>
        <v>2083.6697359499999</v>
      </c>
      <c r="AL14" s="10">
        <f>+Producción!AN8</f>
        <v>2217.2781057349998</v>
      </c>
      <c r="AM14" s="10">
        <f>+Producción!AO8</f>
        <v>2186.9705457599998</v>
      </c>
      <c r="AN14" s="10">
        <f>+Producción!AP8</f>
        <v>2046.6509183999999</v>
      </c>
      <c r="AO14" s="10">
        <f>+Producción!AQ8</f>
        <v>1845.2051235200001</v>
      </c>
      <c r="AP14" s="10">
        <f>+Producción!AR8</f>
        <v>1763.4524160000003</v>
      </c>
      <c r="AQ14" s="10">
        <f>+Producción!AS8</f>
        <v>1864.1223849599999</v>
      </c>
      <c r="AR14" s="10">
        <f>+Producción!AT8</f>
        <v>2141.8007582400005</v>
      </c>
      <c r="AS14" s="10">
        <f>+Producción!AU8</f>
        <v>2045.0630639999997</v>
      </c>
      <c r="AT14" s="10">
        <f>+Producción!AV8</f>
        <v>2351.1936087199997</v>
      </c>
      <c r="AU14" s="10">
        <f>+Producción!AW8</f>
        <v>2135.8042727999996</v>
      </c>
      <c r="AV14" s="10">
        <f>+Producción!AX8</f>
        <v>2070.8127695200001</v>
      </c>
      <c r="AW14" s="10">
        <f>+Producción!AY8</f>
        <v>2081.5370136000001</v>
      </c>
      <c r="AX14" s="10">
        <f>+Producción!AZ8</f>
        <v>2215.0086296800005</v>
      </c>
      <c r="AY14" s="10">
        <f>+Producción!BA8</f>
        <v>2184.72979725</v>
      </c>
      <c r="AZ14" s="10">
        <f>+Producción!BB8</f>
        <v>2044.55394</v>
      </c>
      <c r="BA14" s="10">
        <f>+Producción!BC8</f>
        <v>1843.3145444999998</v>
      </c>
      <c r="BB14" s="10">
        <f>+Producción!BD8</f>
        <v>1761.6456000000001</v>
      </c>
      <c r="BC14" s="10">
        <f>+Producción!BE8</f>
        <v>1862.2124234999999</v>
      </c>
      <c r="BD14" s="10">
        <f>+Producción!BF8</f>
        <v>2139.6062902500003</v>
      </c>
      <c r="BE14" s="10">
        <f>+Producción!BG8</f>
        <v>1972.5205499999997</v>
      </c>
      <c r="BF14" s="10">
        <f>+Producción!BH8</f>
        <v>2348.7845988749996</v>
      </c>
      <c r="BG14" s="10">
        <f>+Producción!BI8</f>
        <v>2133.6159487499999</v>
      </c>
      <c r="BH14" s="10">
        <f>+Producción!BJ8</f>
        <v>2068.6910351249999</v>
      </c>
      <c r="BI14" s="10">
        <f>+Producción!BK8</f>
        <v>2079.4042912499999</v>
      </c>
      <c r="BJ14" s="10">
        <f>+Producción!BL8</f>
        <v>2212.7391536249997</v>
      </c>
      <c r="BK14" s="10">
        <f>+Producción!BM8</f>
        <v>2173.5260546999998</v>
      </c>
      <c r="BL14" s="10">
        <f>+Producción!BN8</f>
        <v>2034.0690479999998</v>
      </c>
      <c r="BM14" s="10">
        <f>+Producción!BO8</f>
        <v>1833.8616494</v>
      </c>
      <c r="BN14" s="10">
        <f>+Producción!BP8</f>
        <v>1752.6115199999999</v>
      </c>
      <c r="BO14" s="10">
        <f>+Producción!BQ8</f>
        <v>1852.6626161999998</v>
      </c>
      <c r="BP14" s="10">
        <f>+Producción!BR8</f>
        <v>2128.6339502999999</v>
      </c>
      <c r="BQ14" s="10">
        <f>+Producción!BS8</f>
        <v>1962.40506</v>
      </c>
      <c r="BR14" s="10">
        <f>+Producción!BT8</f>
        <v>2336.7395496499998</v>
      </c>
      <c r="BS14" s="10">
        <f>+Producción!BU8</f>
        <v>2122.6743284999998</v>
      </c>
      <c r="BT14" s="10">
        <f>+Producción!BV8</f>
        <v>2058.0823631500002</v>
      </c>
      <c r="BU14" s="10">
        <f>+Producción!BW8</f>
        <v>2068.7406794999997</v>
      </c>
      <c r="BV14" s="10">
        <f>+Producción!BX8</f>
        <v>2201.3917733499998</v>
      </c>
      <c r="BW14" s="10">
        <f>+Producción!BY8</f>
        <v>2162.3223121499996</v>
      </c>
      <c r="BX14" s="10">
        <f>+Producción!BZ8</f>
        <v>2023.5841559999999</v>
      </c>
      <c r="BY14" s="10">
        <f>+Producción!CA8</f>
        <v>1824.4087542999998</v>
      </c>
      <c r="BZ14" s="10">
        <f>+Producción!CB8</f>
        <v>1743.57744</v>
      </c>
      <c r="CA14" s="10">
        <f>+Producción!CC8</f>
        <v>1843.1128088999999</v>
      </c>
      <c r="CB14" s="10">
        <f>+Producción!CD8</f>
        <v>2117.66161035</v>
      </c>
      <c r="CC14" s="10">
        <f>+Producción!CE8</f>
        <v>1952.2895700000004</v>
      </c>
      <c r="CD14" s="10">
        <f>+Producción!CF8</f>
        <v>2324.6945004249997</v>
      </c>
      <c r="CE14" s="10">
        <f>+Producción!CG8</f>
        <v>2111.7327082499996</v>
      </c>
      <c r="CF14" s="10">
        <f>+Producción!CH8</f>
        <v>2047.4736911749999</v>
      </c>
      <c r="CG14" s="10">
        <f>+Producción!CI8</f>
        <v>2058.07706775</v>
      </c>
      <c r="CH14" s="10">
        <f>+Producción!CJ8</f>
        <v>2190.0443930750002</v>
      </c>
      <c r="CI14" s="10">
        <f>+Producción!CK8</f>
        <v>2151.1185696000002</v>
      </c>
      <c r="CJ14" s="10">
        <f>+Producción!CL8</f>
        <v>2013.0992640000002</v>
      </c>
      <c r="CK14" s="10">
        <f>+Producción!CM8</f>
        <v>1814.9558592000001</v>
      </c>
      <c r="CL14" s="10">
        <f>+Producción!CN8</f>
        <v>1734.5433599999999</v>
      </c>
      <c r="CM14" s="10">
        <f>+Producción!CO8</f>
        <v>1833.5630015999998</v>
      </c>
      <c r="CN14" s="10">
        <f>+Producción!CP8</f>
        <v>2106.6892704000002</v>
      </c>
      <c r="CO14" s="10">
        <f>+Producción!CQ8</f>
        <v>2011.5374399999998</v>
      </c>
      <c r="CP14" s="10">
        <f>+Producción!CR8</f>
        <v>2312.6494511999999</v>
      </c>
      <c r="CQ14" s="10">
        <f>+Producción!CS8</f>
        <v>2100.7910879999999</v>
      </c>
      <c r="CR14" s="10">
        <f>+Producción!CT8</f>
        <v>2036.8650191999998</v>
      </c>
      <c r="CS14" s="10">
        <f>+Producción!CU8</f>
        <v>2047.413456</v>
      </c>
      <c r="CT14" s="10">
        <f>+Producción!CV8</f>
        <v>2178.6970128000003</v>
      </c>
      <c r="CU14" s="10">
        <f>+Producción!CW8</f>
        <v>2139.9148270499995</v>
      </c>
      <c r="CV14" s="10">
        <f>+Producción!CX8</f>
        <v>2002.6143719999998</v>
      </c>
      <c r="CW14" s="10">
        <f>+Producción!CY8</f>
        <v>1805.5029641000003</v>
      </c>
      <c r="CX14" s="10">
        <f>+Producción!CZ8</f>
        <v>1725.5092800000002</v>
      </c>
      <c r="CY14" s="10">
        <f>+Producción!DA8</f>
        <v>1824.0131942999999</v>
      </c>
      <c r="CZ14" s="10">
        <f>+Producción!DB8</f>
        <v>2095.7169304500003</v>
      </c>
      <c r="DA14" s="10">
        <f>+Producción!DC8</f>
        <v>1932.0585900000001</v>
      </c>
      <c r="DB14" s="10">
        <f>+Producción!DD8</f>
        <v>2300.6044019750002</v>
      </c>
      <c r="DC14" s="10">
        <f>+Producción!DE8</f>
        <v>2089.8494677499998</v>
      </c>
      <c r="DD14" s="10">
        <f>+Producción!DF8</f>
        <v>2026.2563472249999</v>
      </c>
      <c r="DE14" s="10">
        <f>+Producción!DG8</f>
        <v>2036.74984425</v>
      </c>
      <c r="DF14" s="10">
        <f>+Producción!DH8</f>
        <v>2167.3496325250003</v>
      </c>
      <c r="DG14" s="10">
        <f>+Producción!DI8</f>
        <v>2128.7110844999997</v>
      </c>
      <c r="DH14" s="10">
        <f>+Producción!DJ8</f>
        <v>1992.1294800000001</v>
      </c>
      <c r="DI14" s="10">
        <f>+Producción!DK8</f>
        <v>1796.0500690000001</v>
      </c>
      <c r="DJ14" s="10">
        <f>+Producción!DL8</f>
        <v>1716.4752000000001</v>
      </c>
      <c r="DK14" s="10">
        <f>+Producción!DM8</f>
        <v>1814.4633869999998</v>
      </c>
      <c r="DL14" s="10">
        <f>+Producción!DN8</f>
        <v>2084.7445905</v>
      </c>
      <c r="DM14" s="10">
        <f>+Producción!DO8</f>
        <v>1921.9431</v>
      </c>
      <c r="DN14" s="10">
        <f>+Producción!DP8</f>
        <v>2288.55935275</v>
      </c>
      <c r="DO14" s="10">
        <f>+Producción!DQ8</f>
        <v>2078.9078475000001</v>
      </c>
      <c r="DP14" s="10">
        <f>+Producción!DR8</f>
        <v>2015.6476752499998</v>
      </c>
      <c r="DQ14" s="10">
        <f>+Producción!DS8</f>
        <v>2026.0862324999998</v>
      </c>
      <c r="DR14" s="10">
        <f>+Producción!DT8</f>
        <v>2156.0022522499999</v>
      </c>
      <c r="DS14" s="10">
        <f>+Producción!DU8</f>
        <v>2106.3035994000002</v>
      </c>
      <c r="DT14" s="10">
        <f>+Producción!DV8</f>
        <v>2036.8650192</v>
      </c>
      <c r="DU14" s="10">
        <f>+Producción!DW8</f>
        <v>1777.1442787999999</v>
      </c>
      <c r="DV14" s="10">
        <f>+Producción!DX8</f>
        <v>1755.020608</v>
      </c>
      <c r="DW14" s="10">
        <f>+Producción!DY8</f>
        <v>1795.3637723999998</v>
      </c>
      <c r="DX14" s="10">
        <f>+Producción!DZ8</f>
        <v>2062.7999106000002</v>
      </c>
      <c r="DY14" s="10">
        <f>+Producción!EA8</f>
        <v>1901.7121200000001</v>
      </c>
      <c r="DZ14" s="10">
        <f>+Producción!EB8</f>
        <v>2264.4692542999996</v>
      </c>
      <c r="EA14" s="10">
        <f>+Producción!EC8</f>
        <v>2057.0246069999998</v>
      </c>
      <c r="EB14" s="10">
        <f>+Producción!ED8</f>
        <v>1994.4303312999998</v>
      </c>
      <c r="EC14" s="10">
        <f>+Producción!EE8</f>
        <v>2004.7590090000001</v>
      </c>
      <c r="ED14" s="10">
        <f>+Producción!EF8</f>
        <v>2133.3074917000004</v>
      </c>
      <c r="EE14" s="10">
        <f>+Producción!EG8</f>
        <v>2083.8961142999997</v>
      </c>
      <c r="EF14" s="10">
        <f>+Producción!EH8</f>
        <v>2015.1962424000001</v>
      </c>
      <c r="EG14" s="10">
        <f>+Producción!EI8</f>
        <v>1758.2384886</v>
      </c>
      <c r="EH14" s="10">
        <f>+Producción!EJ8</f>
        <v>1736.3501759999999</v>
      </c>
      <c r="EI14" s="10">
        <f>+Producción!EK8</f>
        <v>1776.2641577999998</v>
      </c>
      <c r="EJ14" s="10">
        <f>+Producción!EL8</f>
        <v>2040.8552307000004</v>
      </c>
      <c r="EK14" s="10">
        <f>+Producción!EM8</f>
        <v>1948.6768950000001</v>
      </c>
      <c r="EL14" s="10">
        <f>+Producción!EN8</f>
        <v>2240.3791558500002</v>
      </c>
      <c r="EM14" s="10">
        <f>+Producción!EO8</f>
        <v>2035.1413664999998</v>
      </c>
      <c r="EN14" s="10">
        <f>+Producción!EP8</f>
        <v>1973.2129873499998</v>
      </c>
      <c r="EO14" s="10">
        <f>+Producción!EQ8</f>
        <v>1983.4317854999999</v>
      </c>
      <c r="EP14" s="10">
        <f>+Producción!ER8</f>
        <v>2110.6127311499999</v>
      </c>
      <c r="EQ14" s="10">
        <f>+Producción!ES8</f>
        <v>2061.4886291999997</v>
      </c>
      <c r="ER14" s="10">
        <f>+Producción!ET8</f>
        <v>1993.5274656000001</v>
      </c>
      <c r="ES14" s="10">
        <f>+Producción!EU8</f>
        <v>1739.3326984</v>
      </c>
      <c r="ET14" s="10">
        <f>+Producción!EV8</f>
        <v>1717.679744</v>
      </c>
      <c r="EU14" s="10">
        <f>+Producción!EW8</f>
        <v>1757.1645431999998</v>
      </c>
      <c r="EV14" s="10">
        <f>+Producción!EX8</f>
        <v>2018.9105508000002</v>
      </c>
      <c r="EW14" s="10">
        <f>+Producción!EY8</f>
        <v>1861.2501599999998</v>
      </c>
      <c r="EX14" s="10">
        <f>+Producción!EZ8</f>
        <v>2216.2890574000003</v>
      </c>
      <c r="EY14" s="10">
        <f>+Producción!FA8</f>
        <v>2013.2581259999997</v>
      </c>
      <c r="EZ14" s="10">
        <f>+Producción!FB8</f>
        <v>1951.9956433999998</v>
      </c>
      <c r="FA14" s="10">
        <f>+Producción!FC8</f>
        <v>1962.104562</v>
      </c>
      <c r="FB14" s="10">
        <f>+Producción!FD8</f>
        <v>2087.9179706</v>
      </c>
      <c r="FC14" s="10">
        <f>+Producción!FE8</f>
        <v>2039.0811440999998</v>
      </c>
      <c r="FD14" s="10">
        <f>+Producción!FF8</f>
        <v>1971.8586888000002</v>
      </c>
      <c r="FE14" s="10">
        <f>+Producción!FG8</f>
        <v>1720.4269082000001</v>
      </c>
      <c r="FF14" s="10">
        <f>+Producción!FH8</f>
        <v>1699.0093119999999</v>
      </c>
      <c r="FG14" s="10">
        <f>+Producción!FI8</f>
        <v>1738.0649285999998</v>
      </c>
      <c r="FH14" s="10">
        <f>+Producción!FJ8</f>
        <v>1996.9658709000003</v>
      </c>
      <c r="FI14" s="10">
        <f>+Producción!FK8</f>
        <v>1841.0191800000002</v>
      </c>
      <c r="FJ14" s="10">
        <f>+Producción!FL8</f>
        <v>2192.1989589499999</v>
      </c>
      <c r="FK14" s="10">
        <f>+Producción!FM8</f>
        <v>1991.3748855000001</v>
      </c>
      <c r="FL14" s="10">
        <f>+Producción!FN8</f>
        <v>1930.7782994500001</v>
      </c>
      <c r="FM14" s="10">
        <f>+Producción!FO8</f>
        <v>1940.7773385</v>
      </c>
      <c r="FN14" s="10">
        <f>+Producción!FP8</f>
        <v>2065.22321005</v>
      </c>
      <c r="FO14" s="10">
        <f>+Producción!FQ8</f>
        <v>2016.6736589999998</v>
      </c>
      <c r="FP14" s="10">
        <f>+Producción!FR8</f>
        <v>1950.1899119999998</v>
      </c>
      <c r="FQ14" s="10">
        <f>+Producción!FS8</f>
        <v>1701.5211179999999</v>
      </c>
      <c r="FR14" s="10">
        <f>+Producción!FT8</f>
        <v>1680.33888</v>
      </c>
      <c r="FS14" s="10">
        <f>+Producción!FU8</f>
        <v>1718.965314</v>
      </c>
      <c r="FT14" s="10">
        <f>+Producción!FV8</f>
        <v>1975.021191</v>
      </c>
      <c r="FU14" s="10">
        <f>+Producción!FW8</f>
        <v>1820.7882000000002</v>
      </c>
      <c r="FV14" s="10">
        <f>+Producción!FX8</f>
        <v>2168.1088605</v>
      </c>
      <c r="FW14" s="10">
        <f>+Producción!FY8</f>
        <v>1969.4916450000001</v>
      </c>
      <c r="FX14" s="10">
        <f>+Producción!FZ8</f>
        <v>1909.5609554999999</v>
      </c>
      <c r="FY14" s="10">
        <f>+Producción!GA8</f>
        <v>1919.4501150000001</v>
      </c>
      <c r="FZ14" s="10">
        <f>+Producción!GB8</f>
        <v>2042.5284494999999</v>
      </c>
      <c r="GA14" s="10">
        <f>+Producción!GC8</f>
        <v>1994.2661739</v>
      </c>
      <c r="GB14" s="10">
        <f>+Producción!GD8</f>
        <v>1928.5211351999999</v>
      </c>
      <c r="GC14" s="10">
        <f>+Producción!GE8</f>
        <v>1682.6153277999999</v>
      </c>
      <c r="GD14" s="10">
        <f>+Producción!GF8</f>
        <v>1661.6684479999999</v>
      </c>
      <c r="GE14" s="10">
        <f>+Producción!GG8</f>
        <v>1699.8656994</v>
      </c>
      <c r="GF14" s="10">
        <f>+Producción!GH8</f>
        <v>1953.0765111000003</v>
      </c>
      <c r="GG14" s="10">
        <f>+Producción!GI8</f>
        <v>1864.8628349999999</v>
      </c>
      <c r="GH14" s="10">
        <f>+Producción!GJ8</f>
        <v>2144.0187620500001</v>
      </c>
      <c r="GI14" s="10">
        <f>+Producción!GK8</f>
        <v>1947.6084044999998</v>
      </c>
      <c r="GJ14" s="10">
        <f>+Producción!GL8</f>
        <v>1888.3436115500001</v>
      </c>
      <c r="GK14" s="10">
        <f>+Producción!GM8</f>
        <v>1898.1228914999997</v>
      </c>
      <c r="GL14" s="10">
        <f>+Producción!GN8</f>
        <v>2019.8336889499999</v>
      </c>
      <c r="GM14" s="10">
        <f>+Producción!GO8</f>
        <v>1971.8586888</v>
      </c>
      <c r="GN14" s="10">
        <f>+Producción!GP8</f>
        <v>1906.8523583999997</v>
      </c>
      <c r="GO14" s="10">
        <f>+Producción!GQ8</f>
        <v>1663.7095376</v>
      </c>
      <c r="GP14" s="10">
        <f>+Producción!GR8</f>
        <v>1642.9980159999998</v>
      </c>
      <c r="GQ14" s="10">
        <f>+Producción!GS8</f>
        <v>1680.7660848</v>
      </c>
      <c r="GR14" s="10">
        <f>+Producción!GT8</f>
        <v>1931.1318312000001</v>
      </c>
      <c r="GS14" s="10">
        <f>+Producción!GU8</f>
        <v>1780.3262399999999</v>
      </c>
      <c r="GT14" s="10">
        <f>+Producción!GV8</f>
        <v>2119.9286635999997</v>
      </c>
      <c r="GU14" s="10">
        <f>+Producción!GW8</f>
        <v>1925.7251639999997</v>
      </c>
      <c r="GV14" s="10">
        <f>+Producción!GX8</f>
        <v>1867.1262675999997</v>
      </c>
      <c r="GW14" s="10">
        <f>+Producción!GY8</f>
        <v>1876.795668</v>
      </c>
      <c r="GX14" s="10">
        <f>+Producción!GZ8</f>
        <v>1997.1389283999999</v>
      </c>
      <c r="GY14" s="10">
        <f>+Producción!HA8</f>
        <v>1949.4512037</v>
      </c>
      <c r="GZ14" s="10">
        <f>+Producción!HB8</f>
        <v>1885.1835816</v>
      </c>
      <c r="HA14" s="10">
        <f>+Producción!HC8</f>
        <v>1644.8037474</v>
      </c>
      <c r="HB14" s="10">
        <f>+Producción!HD8</f>
        <v>1624.3275840000001</v>
      </c>
      <c r="HC14" s="10">
        <f>+Producción!HE8</f>
        <v>1661.6664701999998</v>
      </c>
      <c r="HD14" s="10">
        <f>+Producción!HF8</f>
        <v>1909.1871513000001</v>
      </c>
      <c r="HE14" s="10">
        <f>+Producción!HG8</f>
        <v>1760.0952600000003</v>
      </c>
      <c r="HF14" s="10">
        <f>+Producción!HH8</f>
        <v>2095.8385651499998</v>
      </c>
      <c r="HG14" s="10">
        <f>+Producción!HI8</f>
        <v>1903.8419234999997</v>
      </c>
      <c r="HH14" s="10">
        <f>+Producción!HJ8</f>
        <v>1845.9089236499997</v>
      </c>
      <c r="HI14" s="10">
        <f>+Producción!HK8</f>
        <v>1855.4684444999998</v>
      </c>
      <c r="HJ14" s="10">
        <f>+Producción!HL8</f>
        <v>1974.4441678499998</v>
      </c>
      <c r="HK14" s="10">
        <f>+Producción!HM8</f>
        <v>1927.0437185999997</v>
      </c>
      <c r="HL14" s="10">
        <f>+Producción!HN8</f>
        <v>1863.5148048000001</v>
      </c>
      <c r="HM14" s="10">
        <f>+Producción!HO8</f>
        <v>1625.8979572000001</v>
      </c>
      <c r="HN14" s="10">
        <f>+Producción!HP8</f>
        <v>1605.657152</v>
      </c>
      <c r="HO14" s="10">
        <f>+Producción!HQ8</f>
        <v>1642.5668555999998</v>
      </c>
      <c r="HP14" s="10">
        <f>+Producción!HR8</f>
        <v>1887.2424714000003</v>
      </c>
      <c r="HQ14" s="10">
        <f>+Producción!HS8</f>
        <v>1739.86428</v>
      </c>
      <c r="HR14" s="10">
        <f>+Producción!HT8</f>
        <v>2071.7484666999999</v>
      </c>
      <c r="HS14" s="10">
        <f>+Producción!HU8</f>
        <v>1881.9586830000001</v>
      </c>
      <c r="HT14" s="10">
        <f>+Producción!HV8</f>
        <v>1824.6915796999999</v>
      </c>
      <c r="HU14" s="10">
        <f>+Producción!HW8</f>
        <v>1834.1412210000001</v>
      </c>
      <c r="HV14" s="10">
        <f>+Producción!HX8</f>
        <v>1951.7494072999998</v>
      </c>
      <c r="HW14" s="10">
        <f>+Producción!HY8</f>
        <v>1904.6362335000001</v>
      </c>
      <c r="HX14" s="10">
        <f>+Producción!HZ8</f>
        <v>1841.8460279999999</v>
      </c>
      <c r="HY14" s="10">
        <f>+Producción!IA8</f>
        <v>1606.9921670000001</v>
      </c>
      <c r="HZ14" s="10">
        <f>+Producción!IB8</f>
        <v>1586.9867199999999</v>
      </c>
      <c r="IA14" s="10">
        <f>+Producción!IC8</f>
        <v>1623.4672409999998</v>
      </c>
      <c r="IB14" s="10">
        <f>+Producción!ID8</f>
        <v>1865.2977915000004</v>
      </c>
      <c r="IC14" s="10">
        <f>+Producción!IE8</f>
        <v>1781.0487750000002</v>
      </c>
      <c r="ID14" s="10">
        <f>+Producción!IF8</f>
        <v>2047.6583682499997</v>
      </c>
      <c r="IE14" s="10">
        <f>+Producción!IG8</f>
        <v>1860.0754424999998</v>
      </c>
      <c r="IF14" s="10">
        <f>+Producción!IH8</f>
        <v>1803.4742357499997</v>
      </c>
      <c r="IG14" s="10">
        <f>+Producción!II8</f>
        <v>1812.8139974999999</v>
      </c>
      <c r="IH14" s="10">
        <f>+Producción!IJ8</f>
        <v>1929.0546467500001</v>
      </c>
      <c r="II14" s="10">
        <f>+Producción!IK8</f>
        <v>1887.0819824999992</v>
      </c>
      <c r="IJ14" s="10">
        <f>+Producción!IL8</f>
        <v>1829.1143734285722</v>
      </c>
      <c r="IK14" s="10">
        <f>+Producción!IM8</f>
        <v>1599.5866731428541</v>
      </c>
      <c r="IL14" s="10">
        <f>+Producción!IN8</f>
        <v>1583.3300685714269</v>
      </c>
      <c r="IM14" s="10">
        <f>+Producción!IO8</f>
        <v>1623.4672409999998</v>
      </c>
    </row>
    <row r="16" spans="1:247" x14ac:dyDescent="0.3">
      <c r="A16" s="6" t="s">
        <v>909</v>
      </c>
      <c r="B16" t="s">
        <v>939</v>
      </c>
      <c r="C16" s="10"/>
      <c r="D16" s="10"/>
      <c r="E16" s="10"/>
      <c r="F16" s="10"/>
      <c r="G16" s="10"/>
      <c r="H16" s="10"/>
      <c r="I16" s="7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f>+Producción!AF9</f>
        <v>2143</v>
      </c>
      <c r="AE16" s="10">
        <f>+Producción!AG9</f>
        <v>2131</v>
      </c>
      <c r="AF16" s="10">
        <f>+Producción!AH9</f>
        <v>2409</v>
      </c>
      <c r="AG16" s="10">
        <f>+Producción!AI9</f>
        <v>2063</v>
      </c>
      <c r="AH16" s="10">
        <f>+Producción!AJ9</f>
        <v>1931</v>
      </c>
      <c r="AI16" s="10">
        <f>+Producción!AK9</f>
        <v>1439</v>
      </c>
      <c r="AJ16" s="10">
        <f>+Producción!AL9</f>
        <v>1428</v>
      </c>
      <c r="AK16" s="10">
        <f>+Producción!AM9</f>
        <v>1562</v>
      </c>
      <c r="AL16" s="10">
        <f>+Producción!AN9</f>
        <v>1231</v>
      </c>
      <c r="AM16" s="10">
        <f>+Producción!AO9</f>
        <v>1361</v>
      </c>
      <c r="AN16" s="10">
        <f>+Producción!AP9</f>
        <v>1712</v>
      </c>
      <c r="AO16" s="10">
        <f>+Producción!AQ9</f>
        <v>1565</v>
      </c>
      <c r="AP16" s="10">
        <f>+Producción!AR9</f>
        <v>2143</v>
      </c>
      <c r="AQ16" s="10">
        <f>+Producción!AS9</f>
        <v>2131</v>
      </c>
      <c r="AR16" s="10">
        <f>+Producción!AT9</f>
        <v>2409</v>
      </c>
      <c r="AS16" s="10">
        <f>+Producción!AU9</f>
        <v>2063</v>
      </c>
      <c r="AT16" s="10">
        <f>+Producción!AV9</f>
        <v>1931</v>
      </c>
      <c r="AU16" s="10">
        <f>+Producción!AW9</f>
        <v>1439</v>
      </c>
      <c r="AV16" s="10">
        <f>+Producción!AX9</f>
        <v>1428</v>
      </c>
      <c r="AW16" s="10">
        <f>+Producción!AY9</f>
        <v>1562</v>
      </c>
      <c r="AX16" s="10">
        <f>+Producción!AZ9</f>
        <v>1231</v>
      </c>
      <c r="AY16" s="10">
        <f>+Producción!BA9</f>
        <v>1361</v>
      </c>
      <c r="AZ16" s="10">
        <f>+Producción!BB9</f>
        <v>1712</v>
      </c>
      <c r="BA16" s="10">
        <f>+Producción!BC9</f>
        <v>1565</v>
      </c>
      <c r="BB16" s="10">
        <f>+Producción!BD9</f>
        <v>2143</v>
      </c>
      <c r="BC16" s="10">
        <f>+Producción!BE9</f>
        <v>2131</v>
      </c>
      <c r="BD16" s="10">
        <f>+Producción!BF9</f>
        <v>2409</v>
      </c>
      <c r="BE16" s="10">
        <f>+Producción!BG9</f>
        <v>2063</v>
      </c>
      <c r="BF16" s="10">
        <f>+Producción!BH9</f>
        <v>1931</v>
      </c>
      <c r="BG16" s="10">
        <f>+Producción!BI9</f>
        <v>1439</v>
      </c>
      <c r="BH16" s="10">
        <f>+Producción!BJ9</f>
        <v>1428</v>
      </c>
      <c r="BI16" s="10">
        <f>+Producción!BK9</f>
        <v>1562</v>
      </c>
      <c r="BJ16" s="10">
        <f>+Producción!BL9</f>
        <v>1231</v>
      </c>
      <c r="BK16" s="10">
        <f>+Producción!BM9</f>
        <v>1361</v>
      </c>
      <c r="BL16" s="10">
        <f>+Producción!BN9</f>
        <v>1712</v>
      </c>
      <c r="BM16" s="10">
        <f>+Producción!BO9</f>
        <v>1565</v>
      </c>
      <c r="BN16" s="10">
        <f>+Producción!BP9</f>
        <v>2143</v>
      </c>
      <c r="BO16" s="10">
        <f>+Producción!BQ9</f>
        <v>2131</v>
      </c>
      <c r="BP16" s="10">
        <f>+Producción!BR9</f>
        <v>2409</v>
      </c>
      <c r="BQ16" s="10">
        <f>+Producción!BS9</f>
        <v>2063</v>
      </c>
      <c r="BR16" s="10">
        <f>+Producción!BT9</f>
        <v>1931</v>
      </c>
      <c r="BS16" s="10">
        <f>+Producción!BU9</f>
        <v>1439</v>
      </c>
      <c r="BT16" s="10">
        <f>+Producción!BV9</f>
        <v>1428</v>
      </c>
      <c r="BU16" s="10">
        <f>+Producción!BW9</f>
        <v>1562</v>
      </c>
      <c r="BV16" s="10">
        <f>+Producción!BX9</f>
        <v>1231</v>
      </c>
      <c r="BW16" s="10">
        <f>+Producción!BY9</f>
        <v>1361</v>
      </c>
      <c r="BX16" s="10">
        <f>+Producción!BZ9</f>
        <v>1712</v>
      </c>
      <c r="BY16" s="10">
        <f>+Producción!CA9</f>
        <v>1565</v>
      </c>
      <c r="BZ16" s="10">
        <f>+Producción!CB9</f>
        <v>2143</v>
      </c>
      <c r="CA16" s="10">
        <f>+Producción!CC9</f>
        <v>2131</v>
      </c>
      <c r="CB16" s="10">
        <f>+Producción!CD9</f>
        <v>2409</v>
      </c>
      <c r="CC16" s="10">
        <f>+Producción!CE9</f>
        <v>2063</v>
      </c>
      <c r="CD16" s="10">
        <f>+Producción!CF9</f>
        <v>1931</v>
      </c>
      <c r="CE16" s="10">
        <f>+Producción!CG9</f>
        <v>1439</v>
      </c>
      <c r="CF16" s="10">
        <f>+Producción!CH9</f>
        <v>1428</v>
      </c>
      <c r="CG16" s="10">
        <f>+Producción!CI9</f>
        <v>1562</v>
      </c>
      <c r="CH16" s="10">
        <f>+Producción!CJ9</f>
        <v>1231</v>
      </c>
      <c r="CI16" s="10">
        <f>+Producción!CK9</f>
        <v>1361</v>
      </c>
      <c r="CJ16" s="10">
        <f>+Producción!CL9</f>
        <v>1712</v>
      </c>
      <c r="CK16" s="10">
        <f>+Producción!CM9</f>
        <v>1565</v>
      </c>
      <c r="CL16" s="10">
        <f>+Producción!CN9</f>
        <v>2143</v>
      </c>
      <c r="CM16" s="10">
        <f>+Producción!CO9</f>
        <v>2131</v>
      </c>
      <c r="CN16" s="10">
        <f>+Producción!CP9</f>
        <v>2409</v>
      </c>
      <c r="CO16" s="10">
        <f>+Producción!CQ9</f>
        <v>2063</v>
      </c>
      <c r="CP16" s="10">
        <f>+Producción!CR9</f>
        <v>1931</v>
      </c>
      <c r="CQ16" s="10">
        <f>+Producción!CS9</f>
        <v>1439</v>
      </c>
      <c r="CR16" s="10">
        <f>+Producción!CT9</f>
        <v>1428</v>
      </c>
      <c r="CS16" s="10">
        <f>+Producción!CU9</f>
        <v>1562</v>
      </c>
      <c r="CT16" s="10">
        <f>+Producción!CV9</f>
        <v>1231</v>
      </c>
      <c r="CU16" s="10">
        <f>+Producción!CW9</f>
        <v>1361</v>
      </c>
      <c r="CV16" s="10">
        <f>+Producción!CX9</f>
        <v>1712</v>
      </c>
      <c r="CW16" s="10">
        <f>+Producción!CY9</f>
        <v>1565</v>
      </c>
      <c r="CX16" s="10">
        <f>+Producción!CZ9</f>
        <v>2143</v>
      </c>
      <c r="CY16" s="10">
        <f>+Producción!DA9</f>
        <v>2131</v>
      </c>
      <c r="CZ16" s="10">
        <f>+Producción!DB9</f>
        <v>2409</v>
      </c>
      <c r="DA16" s="10">
        <f>+Producción!DC9</f>
        <v>2063</v>
      </c>
      <c r="DB16" s="10">
        <f>+Producción!DD9</f>
        <v>1931</v>
      </c>
      <c r="DC16" s="10">
        <f>+Producción!DE9</f>
        <v>1439</v>
      </c>
      <c r="DD16" s="10">
        <f>+Producción!DF9</f>
        <v>1428</v>
      </c>
      <c r="DE16" s="10">
        <f>+Producción!DG9</f>
        <v>1562</v>
      </c>
      <c r="DF16" s="10">
        <f>+Producción!DH9</f>
        <v>1231</v>
      </c>
      <c r="DG16" s="10">
        <f>+Producción!DI9</f>
        <v>1361</v>
      </c>
      <c r="DH16" s="10">
        <f>+Producción!DJ9</f>
        <v>1712</v>
      </c>
      <c r="DI16" s="10">
        <f>+Producción!DK9</f>
        <v>1565</v>
      </c>
      <c r="DJ16" s="10">
        <f>+Producción!DL9</f>
        <v>2143</v>
      </c>
      <c r="DK16" s="10">
        <f>+Producción!DM9</f>
        <v>2131</v>
      </c>
      <c r="DL16" s="10">
        <f>+Producción!DN9</f>
        <v>2409</v>
      </c>
      <c r="DM16" s="10">
        <f>+Producción!DO9</f>
        <v>2063</v>
      </c>
      <c r="DN16" s="10">
        <f>+Producción!DP9</f>
        <v>1931</v>
      </c>
      <c r="DO16" s="10">
        <f>+Producción!DQ9</f>
        <v>1439</v>
      </c>
      <c r="DP16" s="10">
        <f>+Producción!DR9</f>
        <v>1428</v>
      </c>
      <c r="DQ16" s="10">
        <f>+Producción!DS9</f>
        <v>1562</v>
      </c>
      <c r="DR16" s="10">
        <f>+Producción!DT9</f>
        <v>1231</v>
      </c>
      <c r="DS16" s="10">
        <f>+Producción!DU9</f>
        <v>1361</v>
      </c>
      <c r="DT16" s="10">
        <f>+Producción!DV9</f>
        <v>1712</v>
      </c>
      <c r="DU16" s="10">
        <f>+Producción!DW9</f>
        <v>1565</v>
      </c>
      <c r="DV16" s="10">
        <f>+Producción!DX9</f>
        <v>2143</v>
      </c>
      <c r="DW16" s="10">
        <f>+Producción!DY9</f>
        <v>2131</v>
      </c>
      <c r="DX16" s="10">
        <f>+Producción!DZ9</f>
        <v>2409</v>
      </c>
      <c r="DY16" s="10">
        <f>+Producción!EA9</f>
        <v>2063</v>
      </c>
      <c r="DZ16" s="10">
        <f>+Producción!EB9</f>
        <v>1931</v>
      </c>
      <c r="EA16" s="10">
        <f>+Producción!EC9</f>
        <v>1439</v>
      </c>
      <c r="EB16" s="10">
        <f>+Producción!ED9</f>
        <v>1428</v>
      </c>
      <c r="EC16" s="10">
        <f>+Producción!EE9</f>
        <v>1562</v>
      </c>
      <c r="ED16" s="10">
        <f>+Producción!EF9</f>
        <v>1231</v>
      </c>
      <c r="EE16" s="10">
        <f>+Producción!EG9</f>
        <v>1361</v>
      </c>
      <c r="EF16" s="10">
        <f>+Producción!EH9</f>
        <v>1712</v>
      </c>
      <c r="EG16" s="10">
        <f>+Producción!EI9</f>
        <v>1565</v>
      </c>
      <c r="EH16" s="10">
        <f>+Producción!EJ9</f>
        <v>2143</v>
      </c>
      <c r="EI16" s="10">
        <f>+Producción!EK9</f>
        <v>2131</v>
      </c>
      <c r="EJ16" s="10">
        <f>+Producción!EL9</f>
        <v>2409</v>
      </c>
      <c r="EK16" s="10">
        <f>+Producción!EM9</f>
        <v>2063</v>
      </c>
      <c r="EL16" s="10">
        <f>+Producción!EN9</f>
        <v>1931</v>
      </c>
      <c r="EM16" s="10">
        <f>+Producción!EO9</f>
        <v>1439</v>
      </c>
      <c r="EN16" s="10">
        <f>+Producción!EP9</f>
        <v>1428</v>
      </c>
      <c r="EO16" s="10">
        <f>+Producción!EQ9</f>
        <v>1562</v>
      </c>
      <c r="EP16" s="10">
        <f>+Producción!ER9</f>
        <v>1231</v>
      </c>
      <c r="EQ16" s="10">
        <f>+Producción!ES9</f>
        <v>1361</v>
      </c>
      <c r="ER16" s="10">
        <f>+Producción!ET9</f>
        <v>1712</v>
      </c>
      <c r="ES16" s="10">
        <f>+Producción!EU9</f>
        <v>1565</v>
      </c>
      <c r="ET16" s="10">
        <f>+Producción!EV9</f>
        <v>2143</v>
      </c>
      <c r="EU16" s="10">
        <f>+Producción!EW9</f>
        <v>2131</v>
      </c>
      <c r="EV16" s="10">
        <f>+Producción!EX9</f>
        <v>2409</v>
      </c>
      <c r="EW16" s="10">
        <f>+Producción!EY9</f>
        <v>2063</v>
      </c>
      <c r="EX16" s="10">
        <f>+Producción!EZ9</f>
        <v>1931</v>
      </c>
      <c r="EY16" s="10">
        <f>+Producción!FA9</f>
        <v>1439</v>
      </c>
      <c r="EZ16" s="10">
        <f>+Producción!FB9</f>
        <v>1428</v>
      </c>
      <c r="FA16" s="10">
        <f>+Producción!FC9</f>
        <v>1562</v>
      </c>
      <c r="FB16" s="10">
        <f>+Producción!FD9</f>
        <v>1231</v>
      </c>
      <c r="FC16" s="10">
        <f>+Producción!FE9</f>
        <v>1361</v>
      </c>
      <c r="FD16" s="10">
        <f>+Producción!FF9</f>
        <v>1712</v>
      </c>
      <c r="FE16" s="10">
        <f>+Producción!FG9</f>
        <v>1565</v>
      </c>
      <c r="FF16" s="10">
        <f>+Producción!FH9</f>
        <v>2143</v>
      </c>
      <c r="FG16" s="10">
        <f>+Producción!FI9</f>
        <v>2131</v>
      </c>
      <c r="FH16" s="10">
        <f>+Producción!FJ9</f>
        <v>2409</v>
      </c>
      <c r="FI16" s="10">
        <f>+Producción!FK9</f>
        <v>2063</v>
      </c>
      <c r="FJ16" s="10">
        <f>+Producción!FL9</f>
        <v>1931</v>
      </c>
      <c r="FK16" s="10">
        <f>+Producción!FM9</f>
        <v>1439</v>
      </c>
      <c r="FL16" s="10">
        <f>+Producción!FN9</f>
        <v>1428</v>
      </c>
      <c r="FM16" s="10">
        <f>+Producción!FO9</f>
        <v>1562</v>
      </c>
      <c r="FN16" s="10">
        <f>+Producción!FP9</f>
        <v>1231</v>
      </c>
      <c r="FO16" s="10">
        <f>+Producción!FQ9</f>
        <v>1361</v>
      </c>
      <c r="FP16" s="10">
        <f>+Producción!FR9</f>
        <v>1712</v>
      </c>
      <c r="FQ16" s="10">
        <f>+Producción!FS9</f>
        <v>1565</v>
      </c>
      <c r="FR16" s="10">
        <f>+Producción!FT9</f>
        <v>2143</v>
      </c>
      <c r="FS16" s="10">
        <f>+Producción!FU9</f>
        <v>2131</v>
      </c>
      <c r="FT16" s="10">
        <f>+Producción!FV9</f>
        <v>2409</v>
      </c>
      <c r="FU16" s="10">
        <f>+Producción!FW9</f>
        <v>2063</v>
      </c>
      <c r="FV16" s="10">
        <f>+Producción!FX9</f>
        <v>1931</v>
      </c>
      <c r="FW16" s="10">
        <f>+Producción!FY9</f>
        <v>1439</v>
      </c>
      <c r="FX16" s="10">
        <f>+Producción!FZ9</f>
        <v>1428</v>
      </c>
      <c r="FY16" s="10">
        <f>+Producción!GA9</f>
        <v>1562</v>
      </c>
      <c r="FZ16" s="10">
        <f>+Producción!GB9</f>
        <v>1231</v>
      </c>
      <c r="GA16" s="10">
        <f>+Producción!GC9</f>
        <v>1361</v>
      </c>
      <c r="GB16" s="10">
        <f>+Producción!GD9</f>
        <v>1712</v>
      </c>
      <c r="GC16" s="10">
        <f>+Producción!GE9</f>
        <v>1565</v>
      </c>
      <c r="GD16" s="10">
        <f>+Producción!GF9</f>
        <v>2143</v>
      </c>
      <c r="GE16" s="10">
        <f>+Producción!GG9</f>
        <v>2131</v>
      </c>
      <c r="GF16" s="10">
        <f>+Producción!GH9</f>
        <v>2409</v>
      </c>
      <c r="GG16" s="10">
        <f>+Producción!GI9</f>
        <v>2063</v>
      </c>
      <c r="GH16" s="10">
        <f>+Producción!GJ9</f>
        <v>1931</v>
      </c>
      <c r="GI16" s="10">
        <f>+Producción!GK9</f>
        <v>1439</v>
      </c>
      <c r="GJ16" s="10">
        <f>+Producción!GL9</f>
        <v>1428</v>
      </c>
      <c r="GK16" s="10">
        <f>+Producción!GM9</f>
        <v>1562</v>
      </c>
      <c r="GL16" s="10">
        <f>+Producción!GN9</f>
        <v>1231</v>
      </c>
      <c r="GM16" s="10">
        <f>+Producción!GO9</f>
        <v>1361</v>
      </c>
      <c r="GN16" s="10">
        <f>+Producción!GP9</f>
        <v>1712</v>
      </c>
      <c r="GO16" s="10">
        <f>+Producción!GQ9</f>
        <v>1565</v>
      </c>
      <c r="GP16" s="10">
        <f>+Producción!GR9</f>
        <v>2143</v>
      </c>
      <c r="GQ16" s="10">
        <f>+Producción!GS9</f>
        <v>2131</v>
      </c>
      <c r="GR16" s="10">
        <f>+Producción!GT9</f>
        <v>2409</v>
      </c>
      <c r="GS16" s="10">
        <f>+Producción!GU9</f>
        <v>2063</v>
      </c>
      <c r="GT16" s="10">
        <f>+Producción!GV9</f>
        <v>1931</v>
      </c>
      <c r="GU16" s="10">
        <f>+Producción!GW9</f>
        <v>1439</v>
      </c>
      <c r="GV16" s="10">
        <f>+Producción!GX9</f>
        <v>1428</v>
      </c>
      <c r="GW16" s="10">
        <f>+Producción!GY9</f>
        <v>1562</v>
      </c>
      <c r="GX16" s="10">
        <f>+Producción!GZ9</f>
        <v>1231</v>
      </c>
      <c r="GY16" s="10">
        <f>+Producción!HA9</f>
        <v>1361</v>
      </c>
      <c r="GZ16" s="10">
        <f>+Producción!HB9</f>
        <v>1712</v>
      </c>
      <c r="HA16" s="10">
        <f>+Producción!HC9</f>
        <v>1565</v>
      </c>
      <c r="HB16" s="10">
        <f>+Producción!HD9</f>
        <v>2143</v>
      </c>
      <c r="HC16" s="10">
        <f>+Producción!HE9</f>
        <v>2131</v>
      </c>
      <c r="HD16" s="10">
        <f>+Producción!HF9</f>
        <v>2409</v>
      </c>
      <c r="HE16" s="10">
        <f>+Producción!HG9</f>
        <v>2063</v>
      </c>
      <c r="HF16" s="10">
        <f>+Producción!HH9</f>
        <v>1931</v>
      </c>
      <c r="HG16" s="10">
        <f>+Producción!HI9</f>
        <v>1439</v>
      </c>
      <c r="HH16" s="10">
        <f>+Producción!HJ9</f>
        <v>1428</v>
      </c>
      <c r="HI16" s="10">
        <f>+Producción!HK9</f>
        <v>1562</v>
      </c>
      <c r="HJ16" s="10">
        <f>+Producción!HL9</f>
        <v>1231</v>
      </c>
      <c r="HK16" s="10">
        <f>+Producción!HM9</f>
        <v>1361</v>
      </c>
      <c r="HL16" s="10">
        <f>+Producción!HN9</f>
        <v>1712</v>
      </c>
      <c r="HM16" s="10">
        <f>+Producción!HO9</f>
        <v>1565</v>
      </c>
      <c r="HN16" s="10">
        <f>+Producción!HP9</f>
        <v>2143</v>
      </c>
      <c r="HO16" s="10">
        <f>+Producción!HQ9</f>
        <v>2131</v>
      </c>
      <c r="HP16" s="10">
        <f>+Producción!HR9</f>
        <v>2409</v>
      </c>
      <c r="HQ16" s="10">
        <f>+Producción!HS9</f>
        <v>2063</v>
      </c>
      <c r="HR16" s="10">
        <f>+Producción!HT9</f>
        <v>1931</v>
      </c>
      <c r="HS16" s="10">
        <f>+Producción!HU9</f>
        <v>1439</v>
      </c>
      <c r="HT16" s="10">
        <f>+Producción!HV9</f>
        <v>1428</v>
      </c>
      <c r="HU16" s="10">
        <f>+Producción!HW9</f>
        <v>1562</v>
      </c>
      <c r="HV16" s="10">
        <f>+Producción!HX9</f>
        <v>1231</v>
      </c>
      <c r="HW16" s="10">
        <f>+Producción!HY9</f>
        <v>1361</v>
      </c>
      <c r="HX16" s="10">
        <f>+Producción!HZ9</f>
        <v>1712</v>
      </c>
      <c r="HY16" s="10">
        <f>+Producción!IA9</f>
        <v>1565</v>
      </c>
      <c r="HZ16" s="10">
        <f>+Producción!IB9</f>
        <v>2143</v>
      </c>
      <c r="IA16" s="10">
        <f>+Producción!IC9</f>
        <v>2131</v>
      </c>
      <c r="IB16" s="10">
        <f>+Producción!ID9</f>
        <v>2409</v>
      </c>
      <c r="IC16" s="10">
        <f>+Producción!IE9</f>
        <v>2063</v>
      </c>
      <c r="ID16" s="10">
        <f>+Producción!IF9</f>
        <v>1931</v>
      </c>
      <c r="IE16" s="10">
        <f>+Producción!IG9</f>
        <v>1439</v>
      </c>
      <c r="IF16" s="10">
        <f>+Producción!IH9</f>
        <v>1428</v>
      </c>
      <c r="IG16" s="10">
        <f>+Producción!II9</f>
        <v>1562</v>
      </c>
      <c r="IH16" s="10">
        <f>+Producción!IJ9</f>
        <v>1231</v>
      </c>
      <c r="II16" s="10">
        <f>+Producción!IK9</f>
        <v>1361</v>
      </c>
      <c r="IJ16" s="10">
        <f>+Producción!IL9</f>
        <v>1712</v>
      </c>
      <c r="IK16" s="10">
        <f>+Producción!IM9</f>
        <v>1565</v>
      </c>
      <c r="IL16" s="10">
        <f>+Producción!IN9</f>
        <v>2143</v>
      </c>
      <c r="IM16" s="10">
        <f>+Producción!IO9</f>
        <v>2131</v>
      </c>
    </row>
    <row r="17" spans="1:247" x14ac:dyDescent="0.3">
      <c r="A17" t="s">
        <v>910</v>
      </c>
      <c r="B17" s="30"/>
      <c r="C17" s="10"/>
      <c r="D17" s="10">
        <f>+C16*C5</f>
        <v>0</v>
      </c>
      <c r="E17" s="10">
        <f t="shared" ref="E17:G17" si="4">+D16*D5</f>
        <v>0</v>
      </c>
      <c r="F17" s="10">
        <f t="shared" si="4"/>
        <v>0</v>
      </c>
      <c r="G17" s="10">
        <f t="shared" si="4"/>
        <v>0</v>
      </c>
      <c r="H17" s="10">
        <f>+G16*G5</f>
        <v>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f t="shared" ref="AD17:CA17" si="5">+AD16*AD5</f>
        <v>1756848.3297000001</v>
      </c>
      <c r="AE17" s="10">
        <f t="shared" si="5"/>
        <v>1747010.6348999999</v>
      </c>
      <c r="AF17" s="10">
        <f t="shared" si="5"/>
        <v>1974917.2311</v>
      </c>
      <c r="AG17" s="10">
        <f t="shared" si="5"/>
        <v>1691263.6977000001</v>
      </c>
      <c r="AH17" s="10">
        <f t="shared" si="5"/>
        <v>1932852.1186500003</v>
      </c>
      <c r="AI17" s="10">
        <f t="shared" si="5"/>
        <v>1440319.1514460002</v>
      </c>
      <c r="AJ17" s="10">
        <f t="shared" si="5"/>
        <v>1429309.0675920001</v>
      </c>
      <c r="AK17" s="10">
        <f t="shared" si="5"/>
        <v>1554649.140528</v>
      </c>
      <c r="AL17" s="10">
        <f t="shared" si="5"/>
        <v>1156708.8287090003</v>
      </c>
      <c r="AM17" s="10">
        <f t="shared" si="5"/>
        <v>1278848.8559300001</v>
      </c>
      <c r="AN17" s="10">
        <f t="shared" si="5"/>
        <v>1443927.3360000001</v>
      </c>
      <c r="AO17" s="10">
        <f t="shared" si="5"/>
        <v>1319945.2575000001</v>
      </c>
      <c r="AP17" s="10">
        <f t="shared" si="5"/>
        <v>1809553.7795910002</v>
      </c>
      <c r="AQ17" s="10">
        <f t="shared" si="5"/>
        <v>1799420.953947</v>
      </c>
      <c r="AR17" s="10">
        <f t="shared" si="5"/>
        <v>2034164.7480330002</v>
      </c>
      <c r="AS17" s="10">
        <f t="shared" si="5"/>
        <v>1742001.6086310002</v>
      </c>
      <c r="AT17" s="10">
        <f t="shared" si="5"/>
        <v>1990837.6822095003</v>
      </c>
      <c r="AU17" s="10">
        <f t="shared" si="5"/>
        <v>1483528.7259893802</v>
      </c>
      <c r="AV17" s="10">
        <f t="shared" si="5"/>
        <v>1472188.3396197602</v>
      </c>
      <c r="AW17" s="10">
        <f t="shared" si="5"/>
        <v>1601288.6147438399</v>
      </c>
      <c r="AX17" s="10">
        <f t="shared" si="5"/>
        <v>1191410.0935702701</v>
      </c>
      <c r="AY17" s="10">
        <f t="shared" si="5"/>
        <v>1317214.3216079003</v>
      </c>
      <c r="AZ17" s="10">
        <f t="shared" si="5"/>
        <v>1487245.1560800001</v>
      </c>
      <c r="BA17" s="10">
        <f t="shared" si="5"/>
        <v>1359543.6152250001</v>
      </c>
      <c r="BB17" s="10">
        <f t="shared" si="5"/>
        <v>1863840.3929787301</v>
      </c>
      <c r="BC17" s="10">
        <f t="shared" si="5"/>
        <v>1853403.5825654101</v>
      </c>
      <c r="BD17" s="10">
        <f t="shared" si="5"/>
        <v>2095189.6904739903</v>
      </c>
      <c r="BE17" s="10">
        <f t="shared" si="5"/>
        <v>1794261.6568899301</v>
      </c>
      <c r="BF17" s="10">
        <f t="shared" si="5"/>
        <v>2050562.8126757857</v>
      </c>
      <c r="BG17" s="10">
        <f t="shared" si="5"/>
        <v>1528034.5877690618</v>
      </c>
      <c r="BH17" s="10">
        <f t="shared" si="5"/>
        <v>1516353.9898083531</v>
      </c>
      <c r="BI17" s="10">
        <f t="shared" si="5"/>
        <v>1649327.2731861551</v>
      </c>
      <c r="BJ17" s="10">
        <f t="shared" si="5"/>
        <v>1227152.3963773784</v>
      </c>
      <c r="BK17" s="10">
        <f t="shared" si="5"/>
        <v>1356730.7512561372</v>
      </c>
      <c r="BL17" s="10">
        <f t="shared" si="5"/>
        <v>1531862.5107624</v>
      </c>
      <c r="BM17" s="10">
        <f t="shared" si="5"/>
        <v>1400329.92368175</v>
      </c>
      <c r="BN17" s="10">
        <f t="shared" si="5"/>
        <v>1919755.604768092</v>
      </c>
      <c r="BO17" s="10">
        <f t="shared" si="5"/>
        <v>1909005.6900423726</v>
      </c>
      <c r="BP17" s="10">
        <f t="shared" si="5"/>
        <v>2158045.3811882101</v>
      </c>
      <c r="BQ17" s="10">
        <f t="shared" si="5"/>
        <v>1848089.5065966281</v>
      </c>
      <c r="BR17" s="10">
        <f t="shared" si="5"/>
        <v>2112079.6970560593</v>
      </c>
      <c r="BS17" s="10">
        <f t="shared" si="5"/>
        <v>1573875.6254021334</v>
      </c>
      <c r="BT17" s="10">
        <f t="shared" si="5"/>
        <v>1561844.6095026035</v>
      </c>
      <c r="BU17" s="10">
        <f t="shared" si="5"/>
        <v>1698807.0913817396</v>
      </c>
      <c r="BV17" s="10">
        <f t="shared" si="5"/>
        <v>1263966.9682686997</v>
      </c>
      <c r="BW17" s="10">
        <f t="shared" si="5"/>
        <v>1397432.6737938214</v>
      </c>
      <c r="BX17" s="10">
        <f t="shared" si="5"/>
        <v>1577818.3860852721</v>
      </c>
      <c r="BY17" s="10">
        <f t="shared" si="5"/>
        <v>1442339.8213922025</v>
      </c>
      <c r="BZ17" s="10">
        <f t="shared" si="5"/>
        <v>1977348.2729111349</v>
      </c>
      <c r="CA17" s="10">
        <f t="shared" si="5"/>
        <v>1966275.8607436437</v>
      </c>
      <c r="CB17" s="10">
        <f t="shared" ref="CB17:EM17" si="6">+CB16*CB5</f>
        <v>2222786.7426238563</v>
      </c>
      <c r="CC17" s="10">
        <f t="shared" si="6"/>
        <v>1903532.191794527</v>
      </c>
      <c r="CD17" s="10">
        <f t="shared" si="6"/>
        <v>2175442.0879677408</v>
      </c>
      <c r="CE17" s="10">
        <f t="shared" si="6"/>
        <v>1621091.8941641976</v>
      </c>
      <c r="CF17" s="10">
        <f t="shared" si="6"/>
        <v>1608699.9477876818</v>
      </c>
      <c r="CG17" s="10">
        <f t="shared" si="6"/>
        <v>1749771.3041231921</v>
      </c>
      <c r="CH17" s="10">
        <f t="shared" si="6"/>
        <v>1301885.9773167607</v>
      </c>
      <c r="CI17" s="10">
        <f t="shared" si="6"/>
        <v>1439355.654007636</v>
      </c>
      <c r="CJ17" s="10">
        <f t="shared" si="6"/>
        <v>1625152.9376678304</v>
      </c>
      <c r="CK17" s="10">
        <f t="shared" si="6"/>
        <v>1485610.0160339689</v>
      </c>
      <c r="CL17" s="10">
        <f t="shared" si="6"/>
        <v>2036668.7210984691</v>
      </c>
      <c r="CM17" s="10">
        <f t="shared" si="6"/>
        <v>2025264.1365659533</v>
      </c>
      <c r="CN17" s="10">
        <f t="shared" si="6"/>
        <v>2289470.3449025722</v>
      </c>
      <c r="CO17" s="10">
        <f t="shared" si="6"/>
        <v>1960638.1575483629</v>
      </c>
      <c r="CP17" s="10">
        <f t="shared" si="6"/>
        <v>2240705.350606773</v>
      </c>
      <c r="CQ17" s="10">
        <f t="shared" si="6"/>
        <v>1669724.6509891236</v>
      </c>
      <c r="CR17" s="10">
        <f t="shared" si="6"/>
        <v>1656960.9462213123</v>
      </c>
      <c r="CS17" s="10">
        <f t="shared" si="6"/>
        <v>1802264.443246888</v>
      </c>
      <c r="CT17" s="10">
        <f t="shared" si="6"/>
        <v>1340942.5566362636</v>
      </c>
      <c r="CU17" s="10">
        <f t="shared" si="6"/>
        <v>1482536.3236278654</v>
      </c>
      <c r="CV17" s="10">
        <f t="shared" si="6"/>
        <v>1673907.5257978654</v>
      </c>
      <c r="CW17" s="10">
        <f t="shared" si="6"/>
        <v>1530178.316514988</v>
      </c>
      <c r="CX17" s="10">
        <f t="shared" si="6"/>
        <v>2097768.7827314232</v>
      </c>
      <c r="CY17" s="10">
        <f t="shared" si="6"/>
        <v>2086022.0606629318</v>
      </c>
      <c r="CZ17" s="10">
        <f t="shared" si="6"/>
        <v>2358154.4552496495</v>
      </c>
      <c r="DA17" s="10">
        <f t="shared" si="6"/>
        <v>2019457.3022748139</v>
      </c>
      <c r="DB17" s="10">
        <f t="shared" si="6"/>
        <v>2307926.511124976</v>
      </c>
      <c r="DC17" s="10">
        <f t="shared" si="6"/>
        <v>1719816.3905187973</v>
      </c>
      <c r="DD17" s="10">
        <f t="shared" si="6"/>
        <v>1706669.7746079518</v>
      </c>
      <c r="DE17" s="10">
        <f t="shared" si="6"/>
        <v>1856332.3765442946</v>
      </c>
      <c r="DF17" s="10">
        <f t="shared" si="6"/>
        <v>1381170.8333353517</v>
      </c>
      <c r="DG17" s="10">
        <f t="shared" si="6"/>
        <v>1527012.4133367015</v>
      </c>
      <c r="DH17" s="10">
        <f t="shared" si="6"/>
        <v>1724124.7515718015</v>
      </c>
      <c r="DI17" s="10">
        <f t="shared" si="6"/>
        <v>1576083.6660104375</v>
      </c>
      <c r="DJ17" s="10">
        <f t="shared" si="6"/>
        <v>2160701.8462133659</v>
      </c>
      <c r="DK17" s="10">
        <f t="shared" si="6"/>
        <v>2148602.72248282</v>
      </c>
      <c r="DL17" s="10">
        <f t="shared" si="6"/>
        <v>2428899.0889071389</v>
      </c>
      <c r="DM17" s="10">
        <f t="shared" si="6"/>
        <v>2080041.0213430584</v>
      </c>
      <c r="DN17" s="10">
        <f t="shared" si="6"/>
        <v>2377164.3064587256</v>
      </c>
      <c r="DO17" s="10">
        <f t="shared" si="6"/>
        <v>1771410.8822343613</v>
      </c>
      <c r="DP17" s="10">
        <f t="shared" si="6"/>
        <v>1757869.8678461905</v>
      </c>
      <c r="DQ17" s="10">
        <f t="shared" si="6"/>
        <v>1912022.3478406235</v>
      </c>
      <c r="DR17" s="10">
        <f t="shared" si="6"/>
        <v>1422605.9583354122</v>
      </c>
      <c r="DS17" s="10">
        <f t="shared" si="6"/>
        <v>1572822.7857368025</v>
      </c>
      <c r="DT17" s="10">
        <f t="shared" si="6"/>
        <v>1775848.4941189557</v>
      </c>
      <c r="DU17" s="10">
        <f t="shared" si="6"/>
        <v>1623366.175990751</v>
      </c>
      <c r="DV17" s="10">
        <f t="shared" si="6"/>
        <v>2225522.9015997667</v>
      </c>
      <c r="DW17" s="10">
        <f t="shared" si="6"/>
        <v>2213060.8041573041</v>
      </c>
      <c r="DX17" s="10">
        <f t="shared" si="6"/>
        <v>2501766.0615743529</v>
      </c>
      <c r="DY17" s="10">
        <f t="shared" si="6"/>
        <v>2142442.2519833501</v>
      </c>
      <c r="DZ17" s="10">
        <f t="shared" si="6"/>
        <v>2448479.2356524873</v>
      </c>
      <c r="EA17" s="10">
        <f t="shared" si="6"/>
        <v>1824553.2087013922</v>
      </c>
      <c r="EB17" s="10">
        <f t="shared" si="6"/>
        <v>1810605.9638815762</v>
      </c>
      <c r="EC17" s="10">
        <f t="shared" si="6"/>
        <v>1969383.0182758425</v>
      </c>
      <c r="ED17" s="10">
        <f t="shared" si="6"/>
        <v>1465284.1370854743</v>
      </c>
      <c r="EE17" s="10">
        <f t="shared" si="6"/>
        <v>1620007.4693089065</v>
      </c>
      <c r="EF17" s="10">
        <f t="shared" si="6"/>
        <v>1829123.9489425244</v>
      </c>
      <c r="EG17" s="10">
        <f t="shared" si="6"/>
        <v>1672067.1612704734</v>
      </c>
      <c r="EH17" s="10">
        <f t="shared" si="6"/>
        <v>2292288.58864776</v>
      </c>
      <c r="EI17" s="10">
        <f t="shared" si="6"/>
        <v>2279452.6282820236</v>
      </c>
      <c r="EJ17" s="10">
        <f t="shared" si="6"/>
        <v>2576819.0434215837</v>
      </c>
      <c r="EK17" s="10">
        <f t="shared" si="6"/>
        <v>2206715.5195428506</v>
      </c>
      <c r="EL17" s="10">
        <f t="shared" si="6"/>
        <v>2521933.6127220616</v>
      </c>
      <c r="EM17" s="10">
        <f t="shared" si="6"/>
        <v>1879289.8049624339</v>
      </c>
      <c r="EN17" s="10">
        <f t="shared" ref="EN17:GY17" si="7">+EN16*EN5</f>
        <v>1864924.1427980233</v>
      </c>
      <c r="EO17" s="10">
        <f t="shared" si="7"/>
        <v>2028464.5088241177</v>
      </c>
      <c r="EP17" s="10">
        <f t="shared" si="7"/>
        <v>1509242.6611980386</v>
      </c>
      <c r="EQ17" s="10">
        <f t="shared" si="7"/>
        <v>1668607.6933881738</v>
      </c>
      <c r="ER17" s="10">
        <f t="shared" si="7"/>
        <v>1883997.6674108</v>
      </c>
      <c r="ES17" s="10">
        <f t="shared" si="7"/>
        <v>1722229.1761085875</v>
      </c>
      <c r="ET17" s="10">
        <f t="shared" si="7"/>
        <v>2361057.2463071928</v>
      </c>
      <c r="EU17" s="10">
        <f t="shared" si="7"/>
        <v>2347836.2071304843</v>
      </c>
      <c r="EV17" s="10">
        <f t="shared" si="7"/>
        <v>2654123.6147242314</v>
      </c>
      <c r="EW17" s="10">
        <f t="shared" si="7"/>
        <v>2272916.9851291361</v>
      </c>
      <c r="EX17" s="10">
        <f t="shared" si="7"/>
        <v>2597591.6211037235</v>
      </c>
      <c r="EY17" s="10">
        <f t="shared" si="7"/>
        <v>1935668.4991113069</v>
      </c>
      <c r="EZ17" s="10">
        <f t="shared" si="7"/>
        <v>1920871.8670819642</v>
      </c>
      <c r="FA17" s="10">
        <f t="shared" si="7"/>
        <v>2089318.4440888413</v>
      </c>
      <c r="FB17" s="10">
        <f t="shared" si="7"/>
        <v>1554519.9410339799</v>
      </c>
      <c r="FC17" s="10">
        <f t="shared" si="7"/>
        <v>1718665.9241898193</v>
      </c>
      <c r="FD17" s="10">
        <f t="shared" si="7"/>
        <v>1940517.5974331242</v>
      </c>
      <c r="FE17" s="10">
        <f t="shared" si="7"/>
        <v>1773896.0513918453</v>
      </c>
      <c r="FF17" s="10">
        <f t="shared" si="7"/>
        <v>2431888.9636964086</v>
      </c>
      <c r="FG17" s="10">
        <f t="shared" si="7"/>
        <v>2418271.293344399</v>
      </c>
      <c r="FH17" s="10">
        <f t="shared" si="7"/>
        <v>2733747.3231659578</v>
      </c>
      <c r="FI17" s="10">
        <f t="shared" si="7"/>
        <v>2341104.49468301</v>
      </c>
      <c r="FJ17" s="10">
        <f t="shared" si="7"/>
        <v>2675519.3697368354</v>
      </c>
      <c r="FK17" s="10">
        <f t="shared" si="7"/>
        <v>1993738.5540846463</v>
      </c>
      <c r="FL17" s="10">
        <f t="shared" si="7"/>
        <v>1978498.0230944231</v>
      </c>
      <c r="FM17" s="10">
        <f t="shared" si="7"/>
        <v>2151997.9974115067</v>
      </c>
      <c r="FN17" s="10">
        <f t="shared" si="7"/>
        <v>1601155.5392649993</v>
      </c>
      <c r="FO17" s="10">
        <f t="shared" si="7"/>
        <v>1770225.9019155139</v>
      </c>
      <c r="FP17" s="10">
        <f t="shared" si="7"/>
        <v>1998733.125356118</v>
      </c>
      <c r="FQ17" s="10">
        <f t="shared" si="7"/>
        <v>1827112.9329336009</v>
      </c>
      <c r="FR17" s="10">
        <f t="shared" si="7"/>
        <v>2504845.6326073008</v>
      </c>
      <c r="FS17" s="10">
        <f t="shared" si="7"/>
        <v>2490819.4321447308</v>
      </c>
      <c r="FT17" s="10">
        <f t="shared" si="7"/>
        <v>2815759.7428609366</v>
      </c>
      <c r="FU17" s="10">
        <f t="shared" si="7"/>
        <v>2411337.6295235003</v>
      </c>
      <c r="FV17" s="10">
        <f t="shared" si="7"/>
        <v>2755784.9508289406</v>
      </c>
      <c r="FW17" s="10">
        <f t="shared" si="7"/>
        <v>2053550.7107071856</v>
      </c>
      <c r="FX17" s="10">
        <f t="shared" si="7"/>
        <v>2037852.9637872558</v>
      </c>
      <c r="FY17" s="10">
        <f t="shared" si="7"/>
        <v>2216557.9373338521</v>
      </c>
      <c r="FZ17" s="10">
        <f t="shared" si="7"/>
        <v>1649190.2054429492</v>
      </c>
      <c r="GA17" s="10">
        <f t="shared" si="7"/>
        <v>1823332.6789729793</v>
      </c>
      <c r="GB17" s="10">
        <f t="shared" si="7"/>
        <v>2058695.1191168018</v>
      </c>
      <c r="GC17" s="10">
        <f t="shared" si="7"/>
        <v>1881926.3209216089</v>
      </c>
      <c r="GD17" s="10">
        <f t="shared" si="7"/>
        <v>2579991.0015855199</v>
      </c>
      <c r="GE17" s="10">
        <f t="shared" si="7"/>
        <v>2565544.0151090724</v>
      </c>
      <c r="GF17" s="10">
        <f t="shared" si="7"/>
        <v>2900232.5351467649</v>
      </c>
      <c r="GG17" s="10">
        <f t="shared" si="7"/>
        <v>2483677.7584092054</v>
      </c>
      <c r="GH17" s="10">
        <f t="shared" si="7"/>
        <v>2838458.4993538088</v>
      </c>
      <c r="GI17" s="10">
        <f t="shared" si="7"/>
        <v>2115157.232028401</v>
      </c>
      <c r="GJ17" s="10">
        <f t="shared" si="7"/>
        <v>2098988.5527008735</v>
      </c>
      <c r="GK17" s="10">
        <f t="shared" si="7"/>
        <v>2283054.6754538678</v>
      </c>
      <c r="GL17" s="10">
        <f t="shared" si="7"/>
        <v>1698665.9116062378</v>
      </c>
      <c r="GM17" s="10">
        <f t="shared" si="7"/>
        <v>1878032.6593421686</v>
      </c>
      <c r="GN17" s="10">
        <f t="shared" si="7"/>
        <v>2120455.9726903057</v>
      </c>
      <c r="GO17" s="10">
        <f t="shared" si="7"/>
        <v>1938384.1105492571</v>
      </c>
      <c r="GP17" s="10">
        <f t="shared" si="7"/>
        <v>2657390.7316330858</v>
      </c>
      <c r="GQ17" s="10">
        <f t="shared" si="7"/>
        <v>2642510.3355623451</v>
      </c>
      <c r="GR17" s="10">
        <f t="shared" si="7"/>
        <v>2987239.5112011679</v>
      </c>
      <c r="GS17" s="10">
        <f t="shared" si="7"/>
        <v>2558188.091161482</v>
      </c>
      <c r="GT17" s="10">
        <f t="shared" si="7"/>
        <v>2923612.2543344232</v>
      </c>
      <c r="GU17" s="10">
        <f t="shared" si="7"/>
        <v>2178611.948989253</v>
      </c>
      <c r="GV17" s="10">
        <f t="shared" si="7"/>
        <v>2161958.2092818995</v>
      </c>
      <c r="GW17" s="10">
        <f t="shared" si="7"/>
        <v>2351546.3157174839</v>
      </c>
      <c r="GX17" s="10">
        <f t="shared" si="7"/>
        <v>1749625.888954425</v>
      </c>
      <c r="GY17" s="10">
        <f t="shared" si="7"/>
        <v>1934373.639122434</v>
      </c>
      <c r="GZ17" s="10">
        <f t="shared" ref="GZ17:IM17" si="8">+GZ16*GZ5</f>
        <v>2184069.6518710149</v>
      </c>
      <c r="HA17" s="10">
        <f t="shared" si="8"/>
        <v>1996535.633865735</v>
      </c>
      <c r="HB17" s="10">
        <f t="shared" si="8"/>
        <v>2737112.4535820782</v>
      </c>
      <c r="HC17" s="10">
        <f t="shared" si="8"/>
        <v>2721785.6456292155</v>
      </c>
      <c r="HD17" s="10">
        <f t="shared" si="8"/>
        <v>3076856.6965372032</v>
      </c>
      <c r="HE17" s="10">
        <f t="shared" si="8"/>
        <v>2634933.7338963263</v>
      </c>
      <c r="HF17" s="10">
        <f t="shared" si="8"/>
        <v>3011320.621964456</v>
      </c>
      <c r="HG17" s="10">
        <f t="shared" si="8"/>
        <v>2243970.3074589306</v>
      </c>
      <c r="HH17" s="10">
        <f t="shared" si="8"/>
        <v>2226816.9555603564</v>
      </c>
      <c r="HI17" s="10">
        <f t="shared" si="8"/>
        <v>2422092.7051890083</v>
      </c>
      <c r="HJ17" s="10">
        <f t="shared" si="8"/>
        <v>1802114.6656230579</v>
      </c>
      <c r="HK17" s="10">
        <f t="shared" si="8"/>
        <v>1992404.848296107</v>
      </c>
      <c r="HL17" s="10">
        <f t="shared" si="8"/>
        <v>2249591.7414271454</v>
      </c>
      <c r="HM17" s="10">
        <f t="shared" si="8"/>
        <v>2056431.7028817073</v>
      </c>
      <c r="HN17" s="10">
        <f t="shared" si="8"/>
        <v>2819225.827189541</v>
      </c>
      <c r="HO17" s="10">
        <f t="shared" si="8"/>
        <v>2803439.214998092</v>
      </c>
      <c r="HP17" s="10">
        <f t="shared" si="8"/>
        <v>3169162.3974333196</v>
      </c>
      <c r="HQ17" s="10">
        <f t="shared" si="8"/>
        <v>2713981.7459132164</v>
      </c>
      <c r="HR17" s="10">
        <f t="shared" si="8"/>
        <v>3101660.2406233894</v>
      </c>
      <c r="HS17" s="10">
        <f t="shared" si="8"/>
        <v>2311289.4166826988</v>
      </c>
      <c r="HT17" s="10">
        <f t="shared" si="8"/>
        <v>2293621.464227167</v>
      </c>
      <c r="HU17" s="10">
        <f t="shared" si="8"/>
        <v>2494755.4863446788</v>
      </c>
      <c r="HV17" s="10">
        <f t="shared" si="8"/>
        <v>1856178.1055917495</v>
      </c>
      <c r="HW17" s="10">
        <f t="shared" si="8"/>
        <v>2052176.9937449903</v>
      </c>
      <c r="HX17" s="10">
        <f t="shared" si="8"/>
        <v>2317079.4936699597</v>
      </c>
      <c r="HY17" s="10">
        <f t="shared" si="8"/>
        <v>2118124.6539681586</v>
      </c>
      <c r="HZ17" s="10">
        <f t="shared" si="8"/>
        <v>2903802.602005227</v>
      </c>
      <c r="IA17" s="10">
        <f t="shared" si="8"/>
        <v>2887542.3914480349</v>
      </c>
      <c r="IB17" s="10">
        <f t="shared" si="8"/>
        <v>3264237.2693563192</v>
      </c>
      <c r="IC17" s="10">
        <f t="shared" si="8"/>
        <v>2795401.198290613</v>
      </c>
      <c r="ID17" s="10">
        <f t="shared" si="8"/>
        <v>3194710.0478420914</v>
      </c>
      <c r="IE17" s="10">
        <f t="shared" si="8"/>
        <v>2380628.0991831794</v>
      </c>
      <c r="IF17" s="10">
        <f t="shared" si="8"/>
        <v>2362430.1081539821</v>
      </c>
      <c r="IG17" s="10">
        <f t="shared" si="8"/>
        <v>2569598.1509350194</v>
      </c>
      <c r="IH17" s="10">
        <f t="shared" si="8"/>
        <v>1911863.4487595018</v>
      </c>
      <c r="II17" s="10">
        <f t="shared" si="8"/>
        <v>2113742.3035573401</v>
      </c>
      <c r="IJ17" s="10">
        <f t="shared" si="8"/>
        <v>2386591.8784800586</v>
      </c>
      <c r="IK17" s="10">
        <f t="shared" si="8"/>
        <v>2181668.3935872032</v>
      </c>
      <c r="IL17" s="10">
        <f t="shared" si="8"/>
        <v>2990916.6800653837</v>
      </c>
      <c r="IM17" s="10">
        <f t="shared" si="8"/>
        <v>2974168.6631914759</v>
      </c>
    </row>
    <row r="18" spans="1:247" x14ac:dyDescent="0.3">
      <c r="A18" t="s">
        <v>911</v>
      </c>
      <c r="B18" s="30"/>
      <c r="C18" s="31"/>
      <c r="D18" s="31">
        <f>+C16*(C5*$B$1)</f>
        <v>0</v>
      </c>
      <c r="E18" s="31">
        <f t="shared" ref="E18:H18" si="9">+D16*(D5*$B$1)</f>
        <v>0</v>
      </c>
      <c r="F18" s="31">
        <f t="shared" si="9"/>
        <v>0</v>
      </c>
      <c r="G18" s="31">
        <f t="shared" si="9"/>
        <v>0</v>
      </c>
      <c r="H18" s="31">
        <f t="shared" si="9"/>
        <v>0</v>
      </c>
      <c r="I18" s="31">
        <f>+H16*(H5*$B$1)</f>
        <v>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>
        <f t="shared" ref="AD18:CA18" si="10">+AD16*(AD5*$B$1)</f>
        <v>351369.66594000004</v>
      </c>
      <c r="AE18" s="31">
        <f t="shared" si="10"/>
        <v>349402.12698000006</v>
      </c>
      <c r="AF18" s="31">
        <f t="shared" si="10"/>
        <v>394983.44622000004</v>
      </c>
      <c r="AG18" s="31">
        <f t="shared" si="10"/>
        <v>338252.73954000004</v>
      </c>
      <c r="AH18" s="31">
        <f t="shared" si="10"/>
        <v>386570.4237300001</v>
      </c>
      <c r="AI18" s="31">
        <f t="shared" si="10"/>
        <v>288063.83028920001</v>
      </c>
      <c r="AJ18" s="31">
        <f t="shared" si="10"/>
        <v>285861.81351840001</v>
      </c>
      <c r="AK18" s="31">
        <f t="shared" si="10"/>
        <v>310929.82810560003</v>
      </c>
      <c r="AL18" s="31">
        <f t="shared" si="10"/>
        <v>231341.76574180005</v>
      </c>
      <c r="AM18" s="31">
        <f t="shared" si="10"/>
        <v>255769.77118600006</v>
      </c>
      <c r="AN18" s="31">
        <f t="shared" si="10"/>
        <v>288785.46720000001</v>
      </c>
      <c r="AO18" s="31">
        <f t="shared" si="10"/>
        <v>263989.05150000006</v>
      </c>
      <c r="AP18" s="31">
        <f t="shared" si="10"/>
        <v>361910.75591820007</v>
      </c>
      <c r="AQ18" s="31">
        <f t="shared" si="10"/>
        <v>359884.19078940008</v>
      </c>
      <c r="AR18" s="31">
        <f t="shared" si="10"/>
        <v>406832.9496066001</v>
      </c>
      <c r="AS18" s="31">
        <f t="shared" si="10"/>
        <v>348400.32172620005</v>
      </c>
      <c r="AT18" s="31">
        <f t="shared" si="10"/>
        <v>398167.53644190007</v>
      </c>
      <c r="AU18" s="31">
        <f t="shared" si="10"/>
        <v>296705.74519787607</v>
      </c>
      <c r="AV18" s="31">
        <f t="shared" si="10"/>
        <v>294437.66792395205</v>
      </c>
      <c r="AW18" s="31">
        <f t="shared" si="10"/>
        <v>320257.722948768</v>
      </c>
      <c r="AX18" s="31">
        <f t="shared" si="10"/>
        <v>238282.01871405408</v>
      </c>
      <c r="AY18" s="31">
        <f t="shared" si="10"/>
        <v>263442.86432158004</v>
      </c>
      <c r="AZ18" s="31">
        <f t="shared" si="10"/>
        <v>297449.03121600003</v>
      </c>
      <c r="BA18" s="31">
        <f t="shared" si="10"/>
        <v>271908.72304500005</v>
      </c>
      <c r="BB18" s="31">
        <f t="shared" si="10"/>
        <v>372768.07859574602</v>
      </c>
      <c r="BC18" s="31">
        <f t="shared" si="10"/>
        <v>370680.71651308204</v>
      </c>
      <c r="BD18" s="31">
        <f t="shared" si="10"/>
        <v>419037.93809479807</v>
      </c>
      <c r="BE18" s="31">
        <f t="shared" si="10"/>
        <v>358852.33137798606</v>
      </c>
      <c r="BF18" s="31">
        <f t="shared" si="10"/>
        <v>410112.56253515714</v>
      </c>
      <c r="BG18" s="31">
        <f t="shared" si="10"/>
        <v>305606.91755381238</v>
      </c>
      <c r="BH18" s="31">
        <f t="shared" si="10"/>
        <v>303270.79796167061</v>
      </c>
      <c r="BI18" s="31">
        <f t="shared" si="10"/>
        <v>329865.45463723107</v>
      </c>
      <c r="BJ18" s="31">
        <f t="shared" si="10"/>
        <v>245430.47927547569</v>
      </c>
      <c r="BK18" s="31">
        <f t="shared" si="10"/>
        <v>271346.15025122743</v>
      </c>
      <c r="BL18" s="31">
        <f t="shared" si="10"/>
        <v>306372.50215248001</v>
      </c>
      <c r="BM18" s="31">
        <f t="shared" si="10"/>
        <v>280065.98473635002</v>
      </c>
      <c r="BN18" s="31">
        <f t="shared" si="10"/>
        <v>383951.12095361843</v>
      </c>
      <c r="BO18" s="31">
        <f t="shared" si="10"/>
        <v>381801.13800847455</v>
      </c>
      <c r="BP18" s="31">
        <f t="shared" si="10"/>
        <v>431609.07623764203</v>
      </c>
      <c r="BQ18" s="31">
        <f t="shared" si="10"/>
        <v>369617.90131932561</v>
      </c>
      <c r="BR18" s="31">
        <f t="shared" si="10"/>
        <v>422415.93941121188</v>
      </c>
      <c r="BS18" s="31">
        <f t="shared" si="10"/>
        <v>314775.12508042669</v>
      </c>
      <c r="BT18" s="31">
        <f t="shared" si="10"/>
        <v>312368.92190052074</v>
      </c>
      <c r="BU18" s="31">
        <f t="shared" si="10"/>
        <v>339761.41827634792</v>
      </c>
      <c r="BV18" s="31">
        <f t="shared" si="10"/>
        <v>252793.39365373994</v>
      </c>
      <c r="BW18" s="31">
        <f t="shared" si="10"/>
        <v>279486.53475876432</v>
      </c>
      <c r="BX18" s="31">
        <f t="shared" si="10"/>
        <v>315563.67721705441</v>
      </c>
      <c r="BY18" s="31">
        <f t="shared" si="10"/>
        <v>288467.96427844052</v>
      </c>
      <c r="BZ18" s="31">
        <f t="shared" si="10"/>
        <v>395469.65458222706</v>
      </c>
      <c r="CA18" s="31">
        <f t="shared" si="10"/>
        <v>393255.1721487288</v>
      </c>
      <c r="CB18" s="31">
        <f t="shared" ref="CB18:EM18" si="11">+CB16*(CB5*$B$1)</f>
        <v>444557.34852477128</v>
      </c>
      <c r="CC18" s="31">
        <f t="shared" si="11"/>
        <v>380706.43835890543</v>
      </c>
      <c r="CD18" s="31">
        <f t="shared" si="11"/>
        <v>435088.41759354819</v>
      </c>
      <c r="CE18" s="31">
        <f t="shared" si="11"/>
        <v>324218.37883283955</v>
      </c>
      <c r="CF18" s="31">
        <f t="shared" si="11"/>
        <v>321739.98955753638</v>
      </c>
      <c r="CG18" s="31">
        <f t="shared" si="11"/>
        <v>349954.26082463842</v>
      </c>
      <c r="CH18" s="31">
        <f t="shared" si="11"/>
        <v>260377.19546335217</v>
      </c>
      <c r="CI18" s="31">
        <f t="shared" si="11"/>
        <v>287871.13080152724</v>
      </c>
      <c r="CJ18" s="31">
        <f t="shared" si="11"/>
        <v>325030.58753356605</v>
      </c>
      <c r="CK18" s="31">
        <f t="shared" si="11"/>
        <v>297122.00320679374</v>
      </c>
      <c r="CL18" s="31">
        <f t="shared" si="11"/>
        <v>407333.74421969382</v>
      </c>
      <c r="CM18" s="31">
        <f t="shared" si="11"/>
        <v>405052.82731319062</v>
      </c>
      <c r="CN18" s="31">
        <f t="shared" si="11"/>
        <v>457894.06898051442</v>
      </c>
      <c r="CO18" s="31">
        <f t="shared" si="11"/>
        <v>392127.63150967256</v>
      </c>
      <c r="CP18" s="31">
        <f t="shared" si="11"/>
        <v>448141.0701213546</v>
      </c>
      <c r="CQ18" s="31">
        <f t="shared" si="11"/>
        <v>333944.93019782472</v>
      </c>
      <c r="CR18" s="31">
        <f t="shared" si="11"/>
        <v>331392.18924426247</v>
      </c>
      <c r="CS18" s="31">
        <f t="shared" si="11"/>
        <v>360452.88864937762</v>
      </c>
      <c r="CT18" s="31">
        <f t="shared" si="11"/>
        <v>268188.51132725272</v>
      </c>
      <c r="CU18" s="31">
        <f t="shared" si="11"/>
        <v>296507.26472557307</v>
      </c>
      <c r="CV18" s="31">
        <f t="shared" si="11"/>
        <v>334781.50515957311</v>
      </c>
      <c r="CW18" s="31">
        <f t="shared" si="11"/>
        <v>306035.66330299759</v>
      </c>
      <c r="CX18" s="31">
        <f t="shared" si="11"/>
        <v>419553.75654628465</v>
      </c>
      <c r="CY18" s="31">
        <f t="shared" si="11"/>
        <v>417204.41213258641</v>
      </c>
      <c r="CZ18" s="31">
        <f t="shared" si="11"/>
        <v>471630.89104992989</v>
      </c>
      <c r="DA18" s="31">
        <f t="shared" si="11"/>
        <v>403891.4604549628</v>
      </c>
      <c r="DB18" s="31">
        <f t="shared" si="11"/>
        <v>461585.30222499528</v>
      </c>
      <c r="DC18" s="31">
        <f t="shared" si="11"/>
        <v>343963.27810375951</v>
      </c>
      <c r="DD18" s="31">
        <f t="shared" si="11"/>
        <v>341333.9549215904</v>
      </c>
      <c r="DE18" s="31">
        <f t="shared" si="11"/>
        <v>371266.47530885896</v>
      </c>
      <c r="DF18" s="31">
        <f t="shared" si="11"/>
        <v>276234.16666707036</v>
      </c>
      <c r="DG18" s="31">
        <f t="shared" si="11"/>
        <v>305402.48266734026</v>
      </c>
      <c r="DH18" s="31">
        <f t="shared" si="11"/>
        <v>344824.95031436032</v>
      </c>
      <c r="DI18" s="31">
        <f t="shared" si="11"/>
        <v>315216.73320208752</v>
      </c>
      <c r="DJ18" s="31">
        <f t="shared" si="11"/>
        <v>432140.36924267322</v>
      </c>
      <c r="DK18" s="31">
        <f t="shared" si="11"/>
        <v>429720.54449656396</v>
      </c>
      <c r="DL18" s="31">
        <f t="shared" si="11"/>
        <v>485779.81778142782</v>
      </c>
      <c r="DM18" s="31">
        <f t="shared" si="11"/>
        <v>416008.20426861168</v>
      </c>
      <c r="DN18" s="31">
        <f t="shared" si="11"/>
        <v>475432.8612917451</v>
      </c>
      <c r="DO18" s="31">
        <f t="shared" si="11"/>
        <v>354282.1764468723</v>
      </c>
      <c r="DP18" s="31">
        <f t="shared" si="11"/>
        <v>351573.97356923809</v>
      </c>
      <c r="DQ18" s="31">
        <f t="shared" si="11"/>
        <v>382404.46956812474</v>
      </c>
      <c r="DR18" s="31">
        <f t="shared" si="11"/>
        <v>284521.19166708243</v>
      </c>
      <c r="DS18" s="31">
        <f t="shared" si="11"/>
        <v>314564.55714736052</v>
      </c>
      <c r="DT18" s="31">
        <f t="shared" si="11"/>
        <v>355169.69882379117</v>
      </c>
      <c r="DU18" s="31">
        <f t="shared" si="11"/>
        <v>324673.23519815021</v>
      </c>
      <c r="DV18" s="31">
        <f t="shared" si="11"/>
        <v>445104.58031995338</v>
      </c>
      <c r="DW18" s="31">
        <f t="shared" si="11"/>
        <v>442612.1608314609</v>
      </c>
      <c r="DX18" s="31">
        <f t="shared" si="11"/>
        <v>500353.21231487062</v>
      </c>
      <c r="DY18" s="31">
        <f t="shared" si="11"/>
        <v>428488.45039667003</v>
      </c>
      <c r="DZ18" s="31">
        <f t="shared" si="11"/>
        <v>489695.84713049745</v>
      </c>
      <c r="EA18" s="31">
        <f t="shared" si="11"/>
        <v>364910.64174027846</v>
      </c>
      <c r="EB18" s="31">
        <f t="shared" si="11"/>
        <v>362121.19277631521</v>
      </c>
      <c r="EC18" s="31">
        <f t="shared" si="11"/>
        <v>393876.6036551685</v>
      </c>
      <c r="ED18" s="31">
        <f t="shared" si="11"/>
        <v>293056.8274170949</v>
      </c>
      <c r="EE18" s="31">
        <f t="shared" si="11"/>
        <v>324001.49386178132</v>
      </c>
      <c r="EF18" s="31">
        <f t="shared" si="11"/>
        <v>365824.78978850483</v>
      </c>
      <c r="EG18" s="31">
        <f t="shared" si="11"/>
        <v>334413.43225409469</v>
      </c>
      <c r="EH18" s="31">
        <f t="shared" si="11"/>
        <v>458457.71772955201</v>
      </c>
      <c r="EI18" s="31">
        <f t="shared" si="11"/>
        <v>455890.52565640473</v>
      </c>
      <c r="EJ18" s="31">
        <f t="shared" si="11"/>
        <v>515363.80868431675</v>
      </c>
      <c r="EK18" s="31">
        <f t="shared" si="11"/>
        <v>441343.10390857013</v>
      </c>
      <c r="EL18" s="31">
        <f t="shared" si="11"/>
        <v>504386.72254441242</v>
      </c>
      <c r="EM18" s="31">
        <f t="shared" si="11"/>
        <v>375857.9609924868</v>
      </c>
      <c r="EN18" s="31">
        <f t="shared" ref="EN18:GY18" si="12">+EN16*(EN5*$B$1)</f>
        <v>372984.82855960465</v>
      </c>
      <c r="EO18" s="31">
        <f t="shared" si="12"/>
        <v>405692.90176482353</v>
      </c>
      <c r="EP18" s="31">
        <f t="shared" si="12"/>
        <v>301848.53223960777</v>
      </c>
      <c r="EQ18" s="31">
        <f t="shared" si="12"/>
        <v>333721.53867763479</v>
      </c>
      <c r="ER18" s="31">
        <f t="shared" si="12"/>
        <v>376799.53348216001</v>
      </c>
      <c r="ES18" s="31">
        <f t="shared" si="12"/>
        <v>344445.83522171754</v>
      </c>
      <c r="ET18" s="31">
        <f t="shared" si="12"/>
        <v>472211.44926143857</v>
      </c>
      <c r="EU18" s="31">
        <f t="shared" si="12"/>
        <v>469567.24142609688</v>
      </c>
      <c r="EV18" s="31">
        <f t="shared" si="12"/>
        <v>530824.72294484626</v>
      </c>
      <c r="EW18" s="31">
        <f t="shared" si="12"/>
        <v>454583.39702582726</v>
      </c>
      <c r="EX18" s="31">
        <f t="shared" si="12"/>
        <v>519518.32422074472</v>
      </c>
      <c r="EY18" s="31">
        <f t="shared" si="12"/>
        <v>387133.69982226141</v>
      </c>
      <c r="EZ18" s="31">
        <f t="shared" si="12"/>
        <v>384174.37341639283</v>
      </c>
      <c r="FA18" s="31">
        <f t="shared" si="12"/>
        <v>417863.6888177683</v>
      </c>
      <c r="FB18" s="31">
        <f t="shared" si="12"/>
        <v>310903.988206796</v>
      </c>
      <c r="FC18" s="31">
        <f t="shared" si="12"/>
        <v>343733.18483796384</v>
      </c>
      <c r="FD18" s="31">
        <f t="shared" si="12"/>
        <v>388103.51948662486</v>
      </c>
      <c r="FE18" s="31">
        <f t="shared" si="12"/>
        <v>354779.21027836908</v>
      </c>
      <c r="FF18" s="31">
        <f t="shared" si="12"/>
        <v>486377.79273928172</v>
      </c>
      <c r="FG18" s="31">
        <f t="shared" si="12"/>
        <v>483654.25866887975</v>
      </c>
      <c r="FH18" s="31">
        <f t="shared" si="12"/>
        <v>546749.46463319159</v>
      </c>
      <c r="FI18" s="31">
        <f t="shared" si="12"/>
        <v>468220.89893660205</v>
      </c>
      <c r="FJ18" s="31">
        <f t="shared" si="12"/>
        <v>535103.87394736707</v>
      </c>
      <c r="FK18" s="31">
        <f t="shared" si="12"/>
        <v>398747.71081692923</v>
      </c>
      <c r="FL18" s="31">
        <f t="shared" si="12"/>
        <v>395699.60461888462</v>
      </c>
      <c r="FM18" s="31">
        <f t="shared" si="12"/>
        <v>430399.59948230133</v>
      </c>
      <c r="FN18" s="31">
        <f t="shared" si="12"/>
        <v>320231.10785299982</v>
      </c>
      <c r="FO18" s="31">
        <f t="shared" si="12"/>
        <v>354045.18038310279</v>
      </c>
      <c r="FP18" s="31">
        <f t="shared" si="12"/>
        <v>399746.62507122365</v>
      </c>
      <c r="FQ18" s="31">
        <f t="shared" si="12"/>
        <v>365422.58658672019</v>
      </c>
      <c r="FR18" s="31">
        <f t="shared" si="12"/>
        <v>500969.12652146013</v>
      </c>
      <c r="FS18" s="31">
        <f t="shared" si="12"/>
        <v>498163.88642894611</v>
      </c>
      <c r="FT18" s="31">
        <f t="shared" si="12"/>
        <v>563151.94857218734</v>
      </c>
      <c r="FU18" s="31">
        <f t="shared" si="12"/>
        <v>482267.52590470004</v>
      </c>
      <c r="FV18" s="31">
        <f t="shared" si="12"/>
        <v>551156.9901657881</v>
      </c>
      <c r="FW18" s="31">
        <f t="shared" si="12"/>
        <v>410710.1421414371</v>
      </c>
      <c r="FX18" s="31">
        <f t="shared" si="12"/>
        <v>407570.59275745112</v>
      </c>
      <c r="FY18" s="31">
        <f t="shared" si="12"/>
        <v>443311.58746677043</v>
      </c>
      <c r="FZ18" s="31">
        <f t="shared" si="12"/>
        <v>329838.04108858987</v>
      </c>
      <c r="GA18" s="31">
        <f t="shared" si="12"/>
        <v>364666.5357945959</v>
      </c>
      <c r="GB18" s="31">
        <f t="shared" si="12"/>
        <v>411739.02382336039</v>
      </c>
      <c r="GC18" s="31">
        <f t="shared" si="12"/>
        <v>376385.26418432186</v>
      </c>
      <c r="GD18" s="31">
        <f t="shared" si="12"/>
        <v>515998.200317104</v>
      </c>
      <c r="GE18" s="31">
        <f t="shared" si="12"/>
        <v>513108.80302181456</v>
      </c>
      <c r="GF18" s="31">
        <f t="shared" si="12"/>
        <v>580046.50702935306</v>
      </c>
      <c r="GG18" s="31">
        <f t="shared" si="12"/>
        <v>496735.55168184114</v>
      </c>
      <c r="GH18" s="31">
        <f t="shared" si="12"/>
        <v>567691.69987076183</v>
      </c>
      <c r="GI18" s="31">
        <f t="shared" si="12"/>
        <v>423031.44640568021</v>
      </c>
      <c r="GJ18" s="31">
        <f t="shared" si="12"/>
        <v>419797.71054017468</v>
      </c>
      <c r="GK18" s="31">
        <f t="shared" si="12"/>
        <v>456610.93509077356</v>
      </c>
      <c r="GL18" s="31">
        <f t="shared" si="12"/>
        <v>339733.18232124759</v>
      </c>
      <c r="GM18" s="31">
        <f t="shared" si="12"/>
        <v>375606.53186843375</v>
      </c>
      <c r="GN18" s="31">
        <f t="shared" si="12"/>
        <v>424091.19453806116</v>
      </c>
      <c r="GO18" s="31">
        <f t="shared" si="12"/>
        <v>387676.82210985146</v>
      </c>
      <c r="GP18" s="31">
        <f t="shared" si="12"/>
        <v>531478.1463266171</v>
      </c>
      <c r="GQ18" s="31">
        <f t="shared" si="12"/>
        <v>528502.067112469</v>
      </c>
      <c r="GR18" s="31">
        <f t="shared" si="12"/>
        <v>597447.90224023361</v>
      </c>
      <c r="GS18" s="31">
        <f t="shared" si="12"/>
        <v>511637.61823229643</v>
      </c>
      <c r="GT18" s="31">
        <f t="shared" si="12"/>
        <v>584722.45086688467</v>
      </c>
      <c r="GU18" s="31">
        <f t="shared" si="12"/>
        <v>435722.38979785069</v>
      </c>
      <c r="GV18" s="31">
        <f t="shared" si="12"/>
        <v>432391.64185637992</v>
      </c>
      <c r="GW18" s="31">
        <f t="shared" si="12"/>
        <v>470309.26314349676</v>
      </c>
      <c r="GX18" s="31">
        <f t="shared" si="12"/>
        <v>349925.17779088503</v>
      </c>
      <c r="GY18" s="31">
        <f t="shared" si="12"/>
        <v>386874.72782448679</v>
      </c>
      <c r="GZ18" s="31">
        <f t="shared" ref="GZ18:IM18" si="13">+GZ16*(GZ5*$B$1)</f>
        <v>436813.93037420302</v>
      </c>
      <c r="HA18" s="31">
        <f t="shared" si="13"/>
        <v>399307.12677314703</v>
      </c>
      <c r="HB18" s="31">
        <f t="shared" si="13"/>
        <v>547422.49071641569</v>
      </c>
      <c r="HC18" s="31">
        <f t="shared" si="13"/>
        <v>544357.12912584317</v>
      </c>
      <c r="HD18" s="31">
        <f t="shared" si="13"/>
        <v>615371.33930744068</v>
      </c>
      <c r="HE18" s="31">
        <f t="shared" si="13"/>
        <v>526986.74677926535</v>
      </c>
      <c r="HF18" s="31">
        <f t="shared" si="13"/>
        <v>602264.12439289119</v>
      </c>
      <c r="HG18" s="31">
        <f t="shared" si="13"/>
        <v>448794.06149178615</v>
      </c>
      <c r="HH18" s="31">
        <f t="shared" si="13"/>
        <v>445363.39111207129</v>
      </c>
      <c r="HI18" s="31">
        <f t="shared" si="13"/>
        <v>484418.54103780165</v>
      </c>
      <c r="HJ18" s="31">
        <f t="shared" si="13"/>
        <v>360422.93312461156</v>
      </c>
      <c r="HK18" s="31">
        <f t="shared" si="13"/>
        <v>398480.96965922136</v>
      </c>
      <c r="HL18" s="31">
        <f t="shared" si="13"/>
        <v>449918.34828542918</v>
      </c>
      <c r="HM18" s="31">
        <f t="shared" si="13"/>
        <v>411286.34057634149</v>
      </c>
      <c r="HN18" s="31">
        <f t="shared" si="13"/>
        <v>563845.16543790814</v>
      </c>
      <c r="HO18" s="31">
        <f t="shared" si="13"/>
        <v>560687.84299961838</v>
      </c>
      <c r="HP18" s="31">
        <f t="shared" si="13"/>
        <v>633832.47948666394</v>
      </c>
      <c r="HQ18" s="31">
        <f t="shared" si="13"/>
        <v>542796.34918264323</v>
      </c>
      <c r="HR18" s="31">
        <f t="shared" si="13"/>
        <v>620332.04812467797</v>
      </c>
      <c r="HS18" s="31">
        <f t="shared" si="13"/>
        <v>462257.88333653973</v>
      </c>
      <c r="HT18" s="31">
        <f t="shared" si="13"/>
        <v>458724.29284543346</v>
      </c>
      <c r="HU18" s="31">
        <f t="shared" si="13"/>
        <v>498951.09726893576</v>
      </c>
      <c r="HV18" s="31">
        <f t="shared" si="13"/>
        <v>371235.6211183499</v>
      </c>
      <c r="HW18" s="31">
        <f t="shared" si="13"/>
        <v>410435.39874899812</v>
      </c>
      <c r="HX18" s="31">
        <f t="shared" si="13"/>
        <v>463415.89873399201</v>
      </c>
      <c r="HY18" s="31">
        <f t="shared" si="13"/>
        <v>423624.93079363171</v>
      </c>
      <c r="HZ18" s="31">
        <f t="shared" si="13"/>
        <v>580760.52040104545</v>
      </c>
      <c r="IA18" s="31">
        <f t="shared" si="13"/>
        <v>577508.4782896071</v>
      </c>
      <c r="IB18" s="31">
        <f t="shared" si="13"/>
        <v>652847.45387126389</v>
      </c>
      <c r="IC18" s="31">
        <f t="shared" si="13"/>
        <v>559080.23965812265</v>
      </c>
      <c r="ID18" s="31">
        <f t="shared" si="13"/>
        <v>638942.00956841826</v>
      </c>
      <c r="IE18" s="31">
        <f t="shared" si="13"/>
        <v>476125.61983663595</v>
      </c>
      <c r="IF18" s="31">
        <f t="shared" si="13"/>
        <v>472486.02163079649</v>
      </c>
      <c r="IG18" s="31">
        <f t="shared" si="13"/>
        <v>513919.63018700387</v>
      </c>
      <c r="IH18" s="31">
        <f t="shared" si="13"/>
        <v>382372.68975190044</v>
      </c>
      <c r="II18" s="31">
        <f t="shared" si="13"/>
        <v>422748.46071146807</v>
      </c>
      <c r="IJ18" s="31">
        <f t="shared" si="13"/>
        <v>477318.37569601176</v>
      </c>
      <c r="IK18" s="31">
        <f t="shared" si="13"/>
        <v>436333.67871744069</v>
      </c>
      <c r="IL18" s="31">
        <f t="shared" si="13"/>
        <v>598183.33601307683</v>
      </c>
      <c r="IM18" s="31">
        <f t="shared" si="13"/>
        <v>594833.73263829516</v>
      </c>
    </row>
    <row r="19" spans="1:247" x14ac:dyDescent="0.3">
      <c r="A19" t="s">
        <v>912</v>
      </c>
      <c r="C19" s="31"/>
      <c r="D19" s="31">
        <f>+D17+D18</f>
        <v>0</v>
      </c>
      <c r="E19" s="31">
        <f t="shared" ref="E19:BP19" si="14">+E17+E18</f>
        <v>0</v>
      </c>
      <c r="F19" s="31">
        <f t="shared" si="14"/>
        <v>0</v>
      </c>
      <c r="G19" s="31">
        <f t="shared" si="14"/>
        <v>0</v>
      </c>
      <c r="H19" s="31">
        <f>+H17+H18</f>
        <v>0</v>
      </c>
      <c r="I19" s="31">
        <f>+I17+I18</f>
        <v>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>
        <f t="shared" si="14"/>
        <v>2108217.9956400003</v>
      </c>
      <c r="AE19" s="31">
        <f t="shared" si="14"/>
        <v>2096412.7618800001</v>
      </c>
      <c r="AF19" s="31">
        <f t="shared" si="14"/>
        <v>2369900.6773199998</v>
      </c>
      <c r="AG19" s="31">
        <f t="shared" si="14"/>
        <v>2029516.4372400001</v>
      </c>
      <c r="AH19" s="31">
        <f t="shared" si="14"/>
        <v>2319422.5423800005</v>
      </c>
      <c r="AI19" s="31">
        <f t="shared" si="14"/>
        <v>1728382.9817352002</v>
      </c>
      <c r="AJ19" s="31">
        <f t="shared" si="14"/>
        <v>1715170.8811104002</v>
      </c>
      <c r="AK19" s="31">
        <f t="shared" si="14"/>
        <v>1865578.9686336</v>
      </c>
      <c r="AL19" s="31">
        <f t="shared" si="14"/>
        <v>1388050.5944508002</v>
      </c>
      <c r="AM19" s="31">
        <f t="shared" si="14"/>
        <v>1534618.627116</v>
      </c>
      <c r="AN19" s="31">
        <f t="shared" si="14"/>
        <v>1732712.8032000002</v>
      </c>
      <c r="AO19" s="31">
        <f t="shared" si="14"/>
        <v>1583934.3090000001</v>
      </c>
      <c r="AP19" s="31">
        <f t="shared" si="14"/>
        <v>2171464.5355092003</v>
      </c>
      <c r="AQ19" s="31">
        <f t="shared" si="14"/>
        <v>2159305.1447363999</v>
      </c>
      <c r="AR19" s="31">
        <f t="shared" si="14"/>
        <v>2440997.6976396004</v>
      </c>
      <c r="AS19" s="31">
        <f t="shared" si="14"/>
        <v>2090401.9303572001</v>
      </c>
      <c r="AT19" s="31">
        <f t="shared" si="14"/>
        <v>2389005.2186514004</v>
      </c>
      <c r="AU19" s="31">
        <f t="shared" si="14"/>
        <v>1780234.4711872563</v>
      </c>
      <c r="AV19" s="31">
        <f t="shared" si="14"/>
        <v>1766626.0075437122</v>
      </c>
      <c r="AW19" s="31">
        <f t="shared" si="14"/>
        <v>1921546.3376926079</v>
      </c>
      <c r="AX19" s="31">
        <f t="shared" si="14"/>
        <v>1429692.1122843241</v>
      </c>
      <c r="AY19" s="31">
        <f t="shared" si="14"/>
        <v>1580657.1859294805</v>
      </c>
      <c r="AZ19" s="31">
        <f t="shared" si="14"/>
        <v>1784694.1872960001</v>
      </c>
      <c r="BA19" s="31">
        <f t="shared" si="14"/>
        <v>1631452.3382700002</v>
      </c>
      <c r="BB19" s="31">
        <f t="shared" si="14"/>
        <v>2236608.471574476</v>
      </c>
      <c r="BC19" s="31">
        <f t="shared" si="14"/>
        <v>2224084.299078492</v>
      </c>
      <c r="BD19" s="31">
        <f t="shared" si="14"/>
        <v>2514227.6285687885</v>
      </c>
      <c r="BE19" s="31">
        <f t="shared" si="14"/>
        <v>2153113.9882679163</v>
      </c>
      <c r="BF19" s="31">
        <f t="shared" si="14"/>
        <v>2460675.3752109427</v>
      </c>
      <c r="BG19" s="31">
        <f t="shared" si="14"/>
        <v>1833641.5053228741</v>
      </c>
      <c r="BH19" s="31">
        <f t="shared" si="14"/>
        <v>1819624.7877700238</v>
      </c>
      <c r="BI19" s="31">
        <f t="shared" si="14"/>
        <v>1979192.7278233862</v>
      </c>
      <c r="BJ19" s="31">
        <f t="shared" si="14"/>
        <v>1472582.8756528541</v>
      </c>
      <c r="BK19" s="31">
        <f t="shared" si="14"/>
        <v>1628076.9015073646</v>
      </c>
      <c r="BL19" s="31">
        <f t="shared" si="14"/>
        <v>1838235.0129148799</v>
      </c>
      <c r="BM19" s="31">
        <f t="shared" si="14"/>
        <v>1680395.9084180999</v>
      </c>
      <c r="BN19" s="31">
        <f t="shared" si="14"/>
        <v>2303706.7257217104</v>
      </c>
      <c r="BO19" s="31">
        <f t="shared" si="14"/>
        <v>2290806.8280508472</v>
      </c>
      <c r="BP19" s="31">
        <f t="shared" si="14"/>
        <v>2589654.4574258523</v>
      </c>
      <c r="BQ19" s="31">
        <f t="shared" ref="BQ19:EB19" si="15">+BQ17+BQ18</f>
        <v>2217707.4079159535</v>
      </c>
      <c r="BR19" s="31">
        <f t="shared" si="15"/>
        <v>2534495.636467271</v>
      </c>
      <c r="BS19" s="31">
        <f t="shared" si="15"/>
        <v>1888650.7504825601</v>
      </c>
      <c r="BT19" s="31">
        <f t="shared" si="15"/>
        <v>1874213.5314031243</v>
      </c>
      <c r="BU19" s="31">
        <f t="shared" si="15"/>
        <v>2038568.5096580875</v>
      </c>
      <c r="BV19" s="31">
        <f t="shared" si="15"/>
        <v>1516760.3619224397</v>
      </c>
      <c r="BW19" s="31">
        <f t="shared" si="15"/>
        <v>1676919.2085525857</v>
      </c>
      <c r="BX19" s="31">
        <f t="shared" si="15"/>
        <v>1893382.0633023265</v>
      </c>
      <c r="BY19" s="31">
        <f t="shared" si="15"/>
        <v>1730807.785670643</v>
      </c>
      <c r="BZ19" s="31">
        <f t="shared" si="15"/>
        <v>2372817.9274933618</v>
      </c>
      <c r="CA19" s="31">
        <f t="shared" si="15"/>
        <v>2359531.0328923725</v>
      </c>
      <c r="CB19" s="31">
        <f t="shared" si="15"/>
        <v>2667344.0911486275</v>
      </c>
      <c r="CC19" s="31">
        <f t="shared" si="15"/>
        <v>2284238.6301534325</v>
      </c>
      <c r="CD19" s="31">
        <f t="shared" si="15"/>
        <v>2610530.5055612889</v>
      </c>
      <c r="CE19" s="31">
        <f t="shared" si="15"/>
        <v>1945310.272997037</v>
      </c>
      <c r="CF19" s="31">
        <f t="shared" si="15"/>
        <v>1930439.9373452181</v>
      </c>
      <c r="CG19" s="31">
        <f t="shared" si="15"/>
        <v>2099725.5649478305</v>
      </c>
      <c r="CH19" s="31">
        <f t="shared" si="15"/>
        <v>1562263.1727801128</v>
      </c>
      <c r="CI19" s="31">
        <f t="shared" si="15"/>
        <v>1727226.7848091633</v>
      </c>
      <c r="CJ19" s="31">
        <f t="shared" si="15"/>
        <v>1950183.5252013966</v>
      </c>
      <c r="CK19" s="31">
        <f t="shared" si="15"/>
        <v>1782732.0192407626</v>
      </c>
      <c r="CL19" s="31">
        <f t="shared" si="15"/>
        <v>2444002.4653181629</v>
      </c>
      <c r="CM19" s="31">
        <f t="shared" si="15"/>
        <v>2430316.9638791438</v>
      </c>
      <c r="CN19" s="31">
        <f t="shared" si="15"/>
        <v>2747364.4138830868</v>
      </c>
      <c r="CO19" s="31">
        <f t="shared" si="15"/>
        <v>2352765.7890580352</v>
      </c>
      <c r="CP19" s="31">
        <f t="shared" si="15"/>
        <v>2688846.4207281275</v>
      </c>
      <c r="CQ19" s="31">
        <f t="shared" si="15"/>
        <v>2003669.5811869483</v>
      </c>
      <c r="CR19" s="31">
        <f t="shared" si="15"/>
        <v>1988353.1354655747</v>
      </c>
      <c r="CS19" s="31">
        <f t="shared" si="15"/>
        <v>2162717.3318962655</v>
      </c>
      <c r="CT19" s="31">
        <f t="shared" si="15"/>
        <v>1609131.0679635163</v>
      </c>
      <c r="CU19" s="31">
        <f t="shared" si="15"/>
        <v>1779043.5883534385</v>
      </c>
      <c r="CV19" s="31">
        <f t="shared" si="15"/>
        <v>2008689.0309574385</v>
      </c>
      <c r="CW19" s="31">
        <f t="shared" si="15"/>
        <v>1836213.9798179856</v>
      </c>
      <c r="CX19" s="31">
        <f t="shared" si="15"/>
        <v>2517322.5392777077</v>
      </c>
      <c r="CY19" s="31">
        <f t="shared" si="15"/>
        <v>2503226.4727955181</v>
      </c>
      <c r="CZ19" s="31">
        <f t="shared" si="15"/>
        <v>2829785.3462995794</v>
      </c>
      <c r="DA19" s="31">
        <f t="shared" si="15"/>
        <v>2423348.7627297766</v>
      </c>
      <c r="DB19" s="31">
        <f t="shared" si="15"/>
        <v>2769511.8133499711</v>
      </c>
      <c r="DC19" s="31">
        <f t="shared" si="15"/>
        <v>2063779.6686225568</v>
      </c>
      <c r="DD19" s="31">
        <f t="shared" si="15"/>
        <v>2048003.7295295421</v>
      </c>
      <c r="DE19" s="31">
        <f t="shared" si="15"/>
        <v>2227598.8518531537</v>
      </c>
      <c r="DF19" s="31">
        <f t="shared" si="15"/>
        <v>1657405.0000024219</v>
      </c>
      <c r="DG19" s="31">
        <f t="shared" si="15"/>
        <v>1832414.8960040417</v>
      </c>
      <c r="DH19" s="31">
        <f t="shared" si="15"/>
        <v>2068949.7018861617</v>
      </c>
      <c r="DI19" s="31">
        <f t="shared" si="15"/>
        <v>1891300.399212525</v>
      </c>
      <c r="DJ19" s="31">
        <f t="shared" si="15"/>
        <v>2592842.2154560392</v>
      </c>
      <c r="DK19" s="31">
        <f t="shared" si="15"/>
        <v>2578323.2669793842</v>
      </c>
      <c r="DL19" s="31">
        <f t="shared" si="15"/>
        <v>2914678.9066885668</v>
      </c>
      <c r="DM19" s="31">
        <f t="shared" si="15"/>
        <v>2496049.2256116699</v>
      </c>
      <c r="DN19" s="31">
        <f t="shared" si="15"/>
        <v>2852597.1677504708</v>
      </c>
      <c r="DO19" s="31">
        <f t="shared" si="15"/>
        <v>2125693.0586812338</v>
      </c>
      <c r="DP19" s="31">
        <f t="shared" si="15"/>
        <v>2109443.8414154286</v>
      </c>
      <c r="DQ19" s="31">
        <f t="shared" si="15"/>
        <v>2294426.817408748</v>
      </c>
      <c r="DR19" s="31">
        <f t="shared" si="15"/>
        <v>1707127.1500024947</v>
      </c>
      <c r="DS19" s="31">
        <f t="shared" si="15"/>
        <v>1887387.3428841629</v>
      </c>
      <c r="DT19" s="31">
        <f t="shared" si="15"/>
        <v>2131018.1929427469</v>
      </c>
      <c r="DU19" s="31">
        <f t="shared" si="15"/>
        <v>1948039.4111889012</v>
      </c>
      <c r="DV19" s="31">
        <f t="shared" si="15"/>
        <v>2670627.4819197198</v>
      </c>
      <c r="DW19" s="31">
        <f t="shared" si="15"/>
        <v>2655672.9649887648</v>
      </c>
      <c r="DX19" s="31">
        <f t="shared" si="15"/>
        <v>3002119.2738892236</v>
      </c>
      <c r="DY19" s="31">
        <f t="shared" si="15"/>
        <v>2570930.7023800202</v>
      </c>
      <c r="DZ19" s="31">
        <f t="shared" si="15"/>
        <v>2938175.0827829847</v>
      </c>
      <c r="EA19" s="31">
        <f t="shared" si="15"/>
        <v>2189463.8504416705</v>
      </c>
      <c r="EB19" s="31">
        <f t="shared" si="15"/>
        <v>2172727.1566578913</v>
      </c>
      <c r="EC19" s="31">
        <f t="shared" ref="EC19:GN19" si="16">+EC17+EC18</f>
        <v>2363259.6219310109</v>
      </c>
      <c r="ED19" s="31">
        <f t="shared" si="16"/>
        <v>1758340.9645025693</v>
      </c>
      <c r="EE19" s="31">
        <f t="shared" si="16"/>
        <v>1944008.9631706877</v>
      </c>
      <c r="EF19" s="31">
        <f t="shared" si="16"/>
        <v>2194948.7387310294</v>
      </c>
      <c r="EG19" s="31">
        <f t="shared" si="16"/>
        <v>2006480.593524568</v>
      </c>
      <c r="EH19" s="31">
        <f t="shared" si="16"/>
        <v>2750746.3063773122</v>
      </c>
      <c r="EI19" s="31">
        <f t="shared" si="16"/>
        <v>2735343.1539384285</v>
      </c>
      <c r="EJ19" s="31">
        <f t="shared" si="16"/>
        <v>3092182.8521059006</v>
      </c>
      <c r="EK19" s="31">
        <f t="shared" si="16"/>
        <v>2648058.6234514206</v>
      </c>
      <c r="EL19" s="31">
        <f t="shared" si="16"/>
        <v>3026320.3352664742</v>
      </c>
      <c r="EM19" s="31">
        <f t="shared" si="16"/>
        <v>2255147.7659549206</v>
      </c>
      <c r="EN19" s="31">
        <f t="shared" si="16"/>
        <v>2237908.9713576278</v>
      </c>
      <c r="EO19" s="31">
        <f t="shared" si="16"/>
        <v>2434157.4105889411</v>
      </c>
      <c r="EP19" s="31">
        <f t="shared" si="16"/>
        <v>1811091.1934376464</v>
      </c>
      <c r="EQ19" s="31">
        <f t="shared" si="16"/>
        <v>2002329.2320658085</v>
      </c>
      <c r="ER19" s="31">
        <f t="shared" si="16"/>
        <v>2260797.2008929602</v>
      </c>
      <c r="ES19" s="31">
        <f t="shared" si="16"/>
        <v>2066675.0113303051</v>
      </c>
      <c r="ET19" s="31">
        <f t="shared" si="16"/>
        <v>2833268.6955686314</v>
      </c>
      <c r="EU19" s="31">
        <f t="shared" si="16"/>
        <v>2817403.448556581</v>
      </c>
      <c r="EV19" s="31">
        <f t="shared" si="16"/>
        <v>3184948.3376690778</v>
      </c>
      <c r="EW19" s="31">
        <f t="shared" si="16"/>
        <v>2727500.3821549634</v>
      </c>
      <c r="EX19" s="31">
        <f t="shared" si="16"/>
        <v>3117109.9453244684</v>
      </c>
      <c r="EY19" s="31">
        <f t="shared" si="16"/>
        <v>2322802.1989335683</v>
      </c>
      <c r="EZ19" s="31">
        <f t="shared" si="16"/>
        <v>2305046.240498357</v>
      </c>
      <c r="FA19" s="31">
        <f t="shared" si="16"/>
        <v>2507182.1329066097</v>
      </c>
      <c r="FB19" s="31">
        <f t="shared" si="16"/>
        <v>1865423.9292407758</v>
      </c>
      <c r="FC19" s="31">
        <f t="shared" si="16"/>
        <v>2062399.1090277832</v>
      </c>
      <c r="FD19" s="31">
        <f t="shared" si="16"/>
        <v>2328621.116919749</v>
      </c>
      <c r="FE19" s="31">
        <f t="shared" si="16"/>
        <v>2128675.2616702146</v>
      </c>
      <c r="FF19" s="31">
        <f t="shared" si="16"/>
        <v>2918266.7564356904</v>
      </c>
      <c r="FG19" s="31">
        <f t="shared" si="16"/>
        <v>2901925.5520132789</v>
      </c>
      <c r="FH19" s="31">
        <f t="shared" si="16"/>
        <v>3280496.7877991493</v>
      </c>
      <c r="FI19" s="31">
        <f t="shared" si="16"/>
        <v>2809325.3936196119</v>
      </c>
      <c r="FJ19" s="31">
        <f t="shared" si="16"/>
        <v>3210623.2436842024</v>
      </c>
      <c r="FK19" s="31">
        <f t="shared" si="16"/>
        <v>2392486.2649015756</v>
      </c>
      <c r="FL19" s="31">
        <f t="shared" si="16"/>
        <v>2374197.6277133077</v>
      </c>
      <c r="FM19" s="31">
        <f t="shared" si="16"/>
        <v>2582397.5968938079</v>
      </c>
      <c r="FN19" s="31">
        <f t="shared" si="16"/>
        <v>1921386.6471179991</v>
      </c>
      <c r="FO19" s="31">
        <f t="shared" si="16"/>
        <v>2124271.0822986169</v>
      </c>
      <c r="FP19" s="31">
        <f t="shared" si="16"/>
        <v>2398479.7504273416</v>
      </c>
      <c r="FQ19" s="31">
        <f t="shared" si="16"/>
        <v>2192535.5195203209</v>
      </c>
      <c r="FR19" s="31">
        <f t="shared" si="16"/>
        <v>3005814.759128761</v>
      </c>
      <c r="FS19" s="31">
        <f t="shared" si="16"/>
        <v>2988983.318573677</v>
      </c>
      <c r="FT19" s="31">
        <f t="shared" si="16"/>
        <v>3378911.6914331238</v>
      </c>
      <c r="FU19" s="31">
        <f t="shared" si="16"/>
        <v>2893605.1554282005</v>
      </c>
      <c r="FV19" s="31">
        <f t="shared" si="16"/>
        <v>3306941.9409947288</v>
      </c>
      <c r="FW19" s="31">
        <f t="shared" si="16"/>
        <v>2464260.8528486225</v>
      </c>
      <c r="FX19" s="31">
        <f t="shared" si="16"/>
        <v>2445423.5565447072</v>
      </c>
      <c r="FY19" s="31">
        <f t="shared" si="16"/>
        <v>2659869.5248006224</v>
      </c>
      <c r="FZ19" s="31">
        <f t="shared" si="16"/>
        <v>1979028.2465315391</v>
      </c>
      <c r="GA19" s="31">
        <f t="shared" si="16"/>
        <v>2187999.2147675753</v>
      </c>
      <c r="GB19" s="31">
        <f t="shared" si="16"/>
        <v>2470434.1429401622</v>
      </c>
      <c r="GC19" s="31">
        <f t="shared" si="16"/>
        <v>2258311.5851059309</v>
      </c>
      <c r="GD19" s="31">
        <f t="shared" si="16"/>
        <v>3095989.2019026238</v>
      </c>
      <c r="GE19" s="31">
        <f t="shared" si="16"/>
        <v>3078652.8181308871</v>
      </c>
      <c r="GF19" s="31">
        <f t="shared" si="16"/>
        <v>3480279.0421761181</v>
      </c>
      <c r="GG19" s="31">
        <f t="shared" si="16"/>
        <v>2980413.3100910466</v>
      </c>
      <c r="GH19" s="31">
        <f t="shared" si="16"/>
        <v>3406150.1992245708</v>
      </c>
      <c r="GI19" s="31">
        <f t="shared" si="16"/>
        <v>2538188.6784340814</v>
      </c>
      <c r="GJ19" s="31">
        <f t="shared" si="16"/>
        <v>2518786.263241048</v>
      </c>
      <c r="GK19" s="31">
        <f t="shared" si="16"/>
        <v>2739665.6105446415</v>
      </c>
      <c r="GL19" s="31">
        <f t="shared" si="16"/>
        <v>2038399.0939274854</v>
      </c>
      <c r="GM19" s="31">
        <f t="shared" si="16"/>
        <v>2253639.1912106024</v>
      </c>
      <c r="GN19" s="31">
        <f t="shared" si="16"/>
        <v>2544547.1672283667</v>
      </c>
      <c r="GO19" s="31">
        <f t="shared" ref="GO19:IG19" si="17">+GO17+GO18</f>
        <v>2326060.9326591087</v>
      </c>
      <c r="GP19" s="31">
        <f t="shared" si="17"/>
        <v>3188868.8779597031</v>
      </c>
      <c r="GQ19" s="31">
        <f t="shared" si="17"/>
        <v>3171012.4026748142</v>
      </c>
      <c r="GR19" s="31">
        <f t="shared" si="17"/>
        <v>3584687.4134414014</v>
      </c>
      <c r="GS19" s="31">
        <f t="shared" si="17"/>
        <v>3069825.7093937784</v>
      </c>
      <c r="GT19" s="31">
        <f t="shared" si="17"/>
        <v>3508334.7052013078</v>
      </c>
      <c r="GU19" s="31">
        <f t="shared" si="17"/>
        <v>2614334.3387871035</v>
      </c>
      <c r="GV19" s="31">
        <f t="shared" si="17"/>
        <v>2594349.8511382793</v>
      </c>
      <c r="GW19" s="31">
        <f t="shared" si="17"/>
        <v>2821855.5788609805</v>
      </c>
      <c r="GX19" s="31">
        <f t="shared" si="17"/>
        <v>2099551.0667453101</v>
      </c>
      <c r="GY19" s="31">
        <f t="shared" si="17"/>
        <v>2321248.3669469208</v>
      </c>
      <c r="GZ19" s="31">
        <f t="shared" si="17"/>
        <v>2620883.5822452176</v>
      </c>
      <c r="HA19" s="31">
        <f t="shared" si="17"/>
        <v>2395842.7606388819</v>
      </c>
      <c r="HB19" s="31">
        <f t="shared" si="17"/>
        <v>3284534.9442984937</v>
      </c>
      <c r="HC19" s="31">
        <f t="shared" si="17"/>
        <v>3266142.7747550588</v>
      </c>
      <c r="HD19" s="31">
        <f t="shared" si="17"/>
        <v>3692228.0358446436</v>
      </c>
      <c r="HE19" s="31">
        <f t="shared" si="17"/>
        <v>3161920.4806755916</v>
      </c>
      <c r="HF19" s="31">
        <f t="shared" si="17"/>
        <v>3613584.7463573474</v>
      </c>
      <c r="HG19" s="31">
        <f t="shared" si="17"/>
        <v>2692764.3689507167</v>
      </c>
      <c r="HH19" s="31">
        <f t="shared" si="17"/>
        <v>2672180.3466724278</v>
      </c>
      <c r="HI19" s="31">
        <f t="shared" si="17"/>
        <v>2906511.2462268099</v>
      </c>
      <c r="HJ19" s="31">
        <f t="shared" si="17"/>
        <v>2162537.5987476693</v>
      </c>
      <c r="HK19" s="31">
        <f t="shared" si="17"/>
        <v>2390885.8179553282</v>
      </c>
      <c r="HL19" s="31">
        <f t="shared" si="17"/>
        <v>2699510.0897125746</v>
      </c>
      <c r="HM19" s="31">
        <f t="shared" si="17"/>
        <v>2467718.0434580487</v>
      </c>
      <c r="HN19" s="31">
        <f t="shared" si="17"/>
        <v>3383070.9926274493</v>
      </c>
      <c r="HO19" s="31">
        <f t="shared" si="17"/>
        <v>3364127.0579977105</v>
      </c>
      <c r="HP19" s="31">
        <f t="shared" si="17"/>
        <v>3802994.8769199834</v>
      </c>
      <c r="HQ19" s="31">
        <f t="shared" si="17"/>
        <v>3256778.0950958598</v>
      </c>
      <c r="HR19" s="31">
        <f t="shared" si="17"/>
        <v>3721992.2887480673</v>
      </c>
      <c r="HS19" s="31">
        <f t="shared" si="17"/>
        <v>2773547.3000192386</v>
      </c>
      <c r="HT19" s="31">
        <f t="shared" si="17"/>
        <v>2752345.7570726005</v>
      </c>
      <c r="HU19" s="31">
        <f t="shared" si="17"/>
        <v>2993706.5836136146</v>
      </c>
      <c r="HV19" s="31">
        <f t="shared" si="17"/>
        <v>2227413.7267100993</v>
      </c>
      <c r="HW19" s="31">
        <f t="shared" si="17"/>
        <v>2462612.3924939884</v>
      </c>
      <c r="HX19" s="31">
        <f t="shared" si="17"/>
        <v>2780495.3924039518</v>
      </c>
      <c r="HY19" s="31">
        <f t="shared" si="17"/>
        <v>2541749.5847617905</v>
      </c>
      <c r="HZ19" s="31">
        <f t="shared" si="17"/>
        <v>3484563.1224062722</v>
      </c>
      <c r="IA19" s="31">
        <f t="shared" si="17"/>
        <v>3465050.8697376419</v>
      </c>
      <c r="IB19" s="31">
        <f t="shared" si="17"/>
        <v>3917084.7232275829</v>
      </c>
      <c r="IC19" s="31">
        <f t="shared" si="17"/>
        <v>3354481.4379487354</v>
      </c>
      <c r="ID19" s="31">
        <f t="shared" si="17"/>
        <v>3833652.0574105098</v>
      </c>
      <c r="IE19" s="31">
        <f t="shared" si="17"/>
        <v>2856753.7190198153</v>
      </c>
      <c r="IF19" s="31">
        <f t="shared" si="17"/>
        <v>2834916.1297847787</v>
      </c>
      <c r="IG19" s="31">
        <f t="shared" si="17"/>
        <v>3083517.7811220232</v>
      </c>
      <c r="IH19" s="31">
        <f t="shared" ref="IH19:IM19" si="18">+IH17+IH18</f>
        <v>2294236.1385114021</v>
      </c>
      <c r="II19" s="31">
        <f t="shared" si="18"/>
        <v>2536490.7642688081</v>
      </c>
      <c r="IJ19" s="31">
        <f t="shared" si="18"/>
        <v>2863910.2541760704</v>
      </c>
      <c r="IK19" s="31">
        <f t="shared" si="18"/>
        <v>2618002.0723046437</v>
      </c>
      <c r="IL19" s="31">
        <f t="shared" si="18"/>
        <v>3589100.0160784605</v>
      </c>
      <c r="IM19" s="31">
        <f t="shared" si="18"/>
        <v>3569002.3958297712</v>
      </c>
    </row>
    <row r="20" spans="1:247" x14ac:dyDescent="0.3"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</row>
    <row r="21" spans="1:247" x14ac:dyDescent="0.3">
      <c r="C21">
        <v>2024</v>
      </c>
      <c r="D21">
        <v>2025</v>
      </c>
      <c r="E21">
        <v>2026</v>
      </c>
      <c r="F21">
        <v>2027</v>
      </c>
      <c r="G21">
        <v>2028</v>
      </c>
      <c r="H21">
        <v>2029</v>
      </c>
      <c r="I21">
        <v>2030</v>
      </c>
      <c r="J21">
        <v>2031</v>
      </c>
      <c r="K21">
        <v>2032</v>
      </c>
      <c r="L21">
        <v>2033</v>
      </c>
      <c r="M21">
        <v>2034</v>
      </c>
      <c r="N21">
        <v>2035</v>
      </c>
      <c r="O21">
        <v>2036</v>
      </c>
      <c r="P21">
        <v>2037</v>
      </c>
      <c r="Q21">
        <v>2038</v>
      </c>
      <c r="R21">
        <v>2039</v>
      </c>
      <c r="S21">
        <v>2040</v>
      </c>
      <c r="T21">
        <v>2041</v>
      </c>
      <c r="U21">
        <v>2042</v>
      </c>
      <c r="V21">
        <v>2043</v>
      </c>
      <c r="W21">
        <v>2044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</row>
    <row r="22" spans="1:247" x14ac:dyDescent="0.3">
      <c r="A22" s="6" t="s">
        <v>913</v>
      </c>
      <c r="C22" s="31">
        <f>+SUMIFS(19:19,12:12,C21)</f>
        <v>0</v>
      </c>
      <c r="D22" s="31">
        <f>+SUMIFS(19:19,12:12,D21)</f>
        <v>0</v>
      </c>
      <c r="E22" s="31">
        <f>+SUMIFS(19:19,12:12,E21)</f>
        <v>4204630.7575200005</v>
      </c>
      <c r="F22" s="31">
        <f t="shared" ref="F22:L22" si="19">+SUMIFS(19:19,12:12,F21)</f>
        <v>22598058.502431601</v>
      </c>
      <c r="G22" s="31">
        <f t="shared" si="19"/>
        <v>23276000.257504549</v>
      </c>
      <c r="H22" s="31">
        <f t="shared" si="19"/>
        <v>23974280.265229687</v>
      </c>
      <c r="I22" s="31">
        <f t="shared" si="19"/>
        <v>24693508.673186574</v>
      </c>
      <c r="J22" s="31">
        <f t="shared" si="19"/>
        <v>25434313.933382176</v>
      </c>
      <c r="K22" s="31">
        <f t="shared" si="19"/>
        <v>26197343.351383641</v>
      </c>
      <c r="L22" s="31">
        <f t="shared" si="19"/>
        <v>26983263.651925158</v>
      </c>
      <c r="M22" s="31">
        <f>+SUMIFS(19:19,12:12,M21)</f>
        <v>27792761.561482906</v>
      </c>
      <c r="N22" s="31">
        <f t="shared" ref="N22:V22" si="20">+SUMIFS(19:19,12:12,N21)</f>
        <v>28626544.408327401</v>
      </c>
      <c r="O22" s="31">
        <f t="shared" si="20"/>
        <v>29485340.740577217</v>
      </c>
      <c r="P22" s="31">
        <f t="shared" si="20"/>
        <v>30369900.962794535</v>
      </c>
      <c r="Q22" s="31">
        <f t="shared" si="20"/>
        <v>31280997.991678372</v>
      </c>
      <c r="R22" s="31">
        <f t="shared" si="20"/>
        <v>32219427.931428723</v>
      </c>
      <c r="S22" s="31">
        <f t="shared" si="20"/>
        <v>33186010.76937158</v>
      </c>
      <c r="T22" s="31">
        <f t="shared" si="20"/>
        <v>34181591.092452735</v>
      </c>
      <c r="U22" s="31">
        <f t="shared" si="20"/>
        <v>35207038.825226314</v>
      </c>
      <c r="V22" s="31">
        <f t="shared" si="20"/>
        <v>36263249.989983112</v>
      </c>
      <c r="W22" s="31">
        <f>+SUMIFS(19:19,12:12,W21)</f>
        <v>37351147.4896826</v>
      </c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</row>
    <row r="24" spans="1:247" x14ac:dyDescent="0.3">
      <c r="A24" s="6" t="s">
        <v>914</v>
      </c>
      <c r="C24" s="14">
        <v>45505</v>
      </c>
      <c r="D24" s="14">
        <v>45536</v>
      </c>
      <c r="E24" s="14">
        <v>45566</v>
      </c>
      <c r="F24" s="14">
        <v>45597</v>
      </c>
      <c r="G24" s="14">
        <v>45627</v>
      </c>
      <c r="H24" s="14">
        <v>45658</v>
      </c>
      <c r="I24" s="14">
        <v>45689</v>
      </c>
      <c r="J24" s="14">
        <v>45717</v>
      </c>
      <c r="K24" s="14">
        <v>45748</v>
      </c>
      <c r="L24" s="14">
        <v>45778</v>
      </c>
      <c r="M24" s="14">
        <v>45809</v>
      </c>
      <c r="N24" s="14">
        <v>45839</v>
      </c>
      <c r="O24" s="14">
        <v>45870</v>
      </c>
      <c r="P24" s="14">
        <v>45901</v>
      </c>
      <c r="Q24" s="14">
        <v>45931</v>
      </c>
      <c r="R24" s="14">
        <v>45962</v>
      </c>
      <c r="S24" s="14">
        <v>45992</v>
      </c>
      <c r="T24" s="14">
        <v>46023</v>
      </c>
      <c r="U24" s="14">
        <v>46054</v>
      </c>
      <c r="V24" s="14">
        <v>46082</v>
      </c>
      <c r="W24" s="14">
        <v>46113</v>
      </c>
      <c r="X24" s="14">
        <v>46143</v>
      </c>
      <c r="Y24" s="14">
        <v>46174</v>
      </c>
      <c r="Z24" s="14">
        <v>46204</v>
      </c>
      <c r="AA24" s="14">
        <v>46235</v>
      </c>
      <c r="AB24" s="14">
        <v>46266</v>
      </c>
      <c r="AC24" s="14">
        <v>46296</v>
      </c>
      <c r="AD24" s="14">
        <v>46327</v>
      </c>
      <c r="AE24" s="14">
        <v>46357</v>
      </c>
      <c r="AF24" s="14">
        <v>46388</v>
      </c>
      <c r="AG24" s="14">
        <v>46419</v>
      </c>
      <c r="AH24" s="14">
        <v>46447</v>
      </c>
      <c r="AI24" s="14">
        <v>46478</v>
      </c>
      <c r="AJ24" s="14">
        <v>46508</v>
      </c>
      <c r="AK24" s="14">
        <v>46539</v>
      </c>
      <c r="AL24" s="14">
        <v>46569</v>
      </c>
      <c r="AM24" s="14">
        <v>46600</v>
      </c>
      <c r="AN24" s="14">
        <v>46631</v>
      </c>
      <c r="AO24" s="14">
        <v>46661</v>
      </c>
      <c r="AP24" s="14">
        <v>46692</v>
      </c>
      <c r="AQ24" s="14">
        <v>46722</v>
      </c>
      <c r="AR24" s="14">
        <v>46753</v>
      </c>
      <c r="AS24" s="14">
        <v>46784</v>
      </c>
      <c r="AT24" s="14">
        <v>46813</v>
      </c>
      <c r="AU24" s="14">
        <v>46844</v>
      </c>
      <c r="AV24" s="14">
        <v>46874</v>
      </c>
      <c r="AW24" s="14">
        <v>46905</v>
      </c>
      <c r="AX24" s="14">
        <v>46935</v>
      </c>
      <c r="AY24" s="14">
        <v>46966</v>
      </c>
      <c r="AZ24" s="14">
        <v>46997</v>
      </c>
      <c r="BA24" s="14">
        <v>47027</v>
      </c>
      <c r="BB24" s="14">
        <v>47058</v>
      </c>
      <c r="BC24" s="14">
        <v>47088</v>
      </c>
      <c r="BD24" s="14">
        <v>47119</v>
      </c>
      <c r="BE24" s="14">
        <v>47150</v>
      </c>
      <c r="BF24" s="14">
        <v>47178</v>
      </c>
      <c r="BG24" s="14">
        <v>47209</v>
      </c>
      <c r="BH24" s="14">
        <v>47239</v>
      </c>
      <c r="BI24" s="14">
        <v>47270</v>
      </c>
      <c r="BJ24" s="14">
        <v>47300</v>
      </c>
      <c r="BK24" s="14">
        <v>47331</v>
      </c>
      <c r="BL24" s="14">
        <v>47362</v>
      </c>
      <c r="BM24" s="14">
        <v>47392</v>
      </c>
      <c r="BN24" s="14">
        <v>47423</v>
      </c>
      <c r="BO24" s="14">
        <v>47453</v>
      </c>
      <c r="BP24" s="14">
        <v>47484</v>
      </c>
      <c r="BQ24" s="14">
        <v>47515</v>
      </c>
      <c r="BR24" s="14">
        <v>47543</v>
      </c>
      <c r="BS24" s="14">
        <v>47574</v>
      </c>
      <c r="BT24" s="14">
        <v>47604</v>
      </c>
      <c r="BU24" s="14">
        <v>47635</v>
      </c>
      <c r="BV24" s="14">
        <v>47665</v>
      </c>
      <c r="BW24" s="14">
        <v>47696</v>
      </c>
      <c r="BX24" s="14">
        <v>47727</v>
      </c>
      <c r="BY24" s="14">
        <v>47757</v>
      </c>
      <c r="BZ24" s="14">
        <v>47788</v>
      </c>
      <c r="CA24" s="14">
        <v>47818</v>
      </c>
      <c r="CB24" s="14">
        <v>47849</v>
      </c>
      <c r="CC24" s="14">
        <v>47880</v>
      </c>
      <c r="CD24" s="14">
        <v>47908</v>
      </c>
      <c r="CE24" s="14">
        <v>47939</v>
      </c>
      <c r="CF24" s="14">
        <v>47969</v>
      </c>
      <c r="CG24" s="14">
        <v>48000</v>
      </c>
      <c r="CH24" s="14">
        <v>48030</v>
      </c>
      <c r="CI24" s="14">
        <v>48061</v>
      </c>
      <c r="CJ24" s="14">
        <v>48092</v>
      </c>
      <c r="CK24" s="14">
        <v>48122</v>
      </c>
      <c r="CL24" s="14">
        <v>48153</v>
      </c>
      <c r="CM24" s="14">
        <v>48183</v>
      </c>
      <c r="CN24" s="14">
        <v>48214</v>
      </c>
      <c r="CO24" s="14">
        <v>48245</v>
      </c>
      <c r="CP24" s="14">
        <v>48274</v>
      </c>
      <c r="CQ24" s="14">
        <v>48305</v>
      </c>
      <c r="CR24" s="14">
        <v>48335</v>
      </c>
      <c r="CS24" s="14">
        <v>48366</v>
      </c>
      <c r="CT24" s="14">
        <v>48396</v>
      </c>
      <c r="CU24" s="14">
        <v>48427</v>
      </c>
      <c r="CV24" s="14">
        <v>48458</v>
      </c>
      <c r="CW24" s="14">
        <v>48488</v>
      </c>
      <c r="CX24" s="14">
        <v>48519</v>
      </c>
      <c r="CY24" s="14">
        <v>48549</v>
      </c>
      <c r="CZ24" s="14">
        <v>48580</v>
      </c>
      <c r="DA24" s="14">
        <v>48611</v>
      </c>
      <c r="DB24" s="14">
        <v>48639</v>
      </c>
      <c r="DC24" s="14">
        <v>48670</v>
      </c>
      <c r="DD24" s="14">
        <v>48700</v>
      </c>
      <c r="DE24" s="14">
        <v>48731</v>
      </c>
      <c r="DF24" s="14">
        <v>48761</v>
      </c>
      <c r="DG24" s="14">
        <v>48792</v>
      </c>
      <c r="DH24" s="14">
        <v>48823</v>
      </c>
      <c r="DI24" s="14">
        <v>48853</v>
      </c>
      <c r="DJ24" s="14">
        <v>48884</v>
      </c>
      <c r="DK24" s="14">
        <v>48914</v>
      </c>
      <c r="DL24" s="14">
        <v>48945</v>
      </c>
      <c r="DM24" s="14">
        <v>48976</v>
      </c>
      <c r="DN24" s="14">
        <v>49004</v>
      </c>
      <c r="DO24" s="14">
        <v>49035</v>
      </c>
      <c r="DP24" s="14">
        <v>49065</v>
      </c>
      <c r="DQ24" s="14">
        <v>49096</v>
      </c>
      <c r="DR24" s="14">
        <v>49126</v>
      </c>
      <c r="DS24" s="14">
        <v>49157</v>
      </c>
      <c r="DT24" s="14">
        <v>49188</v>
      </c>
      <c r="DU24" s="14">
        <v>49218</v>
      </c>
      <c r="DV24" s="14">
        <v>49249</v>
      </c>
      <c r="DW24" s="14">
        <v>49279</v>
      </c>
      <c r="DX24" s="14">
        <v>49310</v>
      </c>
      <c r="DY24" s="14">
        <v>49341</v>
      </c>
      <c r="DZ24" s="14">
        <v>49369</v>
      </c>
      <c r="EA24" s="14">
        <v>49400</v>
      </c>
      <c r="EB24" s="14">
        <v>49430</v>
      </c>
      <c r="EC24" s="14">
        <v>49461</v>
      </c>
      <c r="ED24" s="14">
        <v>49491</v>
      </c>
      <c r="EE24" s="14">
        <v>49522</v>
      </c>
      <c r="EF24" s="14">
        <v>49553</v>
      </c>
      <c r="EG24" s="14">
        <v>49583</v>
      </c>
      <c r="EH24" s="14">
        <v>49614</v>
      </c>
      <c r="EI24" s="14">
        <v>49644</v>
      </c>
      <c r="EJ24" s="14">
        <v>49675</v>
      </c>
      <c r="EK24" s="14">
        <v>49706</v>
      </c>
      <c r="EL24" s="14">
        <v>49735</v>
      </c>
      <c r="EM24" s="14">
        <v>49766</v>
      </c>
      <c r="EN24" s="14">
        <v>49796</v>
      </c>
      <c r="EO24" s="14">
        <v>49827</v>
      </c>
      <c r="EP24" s="14">
        <v>49857</v>
      </c>
      <c r="EQ24" s="14">
        <v>49888</v>
      </c>
      <c r="ER24" s="14">
        <v>49919</v>
      </c>
      <c r="ES24" s="14">
        <v>49949</v>
      </c>
      <c r="ET24" s="14">
        <v>49980</v>
      </c>
      <c r="EU24" s="14">
        <v>50010</v>
      </c>
      <c r="EV24" s="14">
        <v>50041</v>
      </c>
      <c r="EW24" s="14">
        <v>50072</v>
      </c>
      <c r="EX24" s="14">
        <v>50100</v>
      </c>
      <c r="EY24" s="14">
        <v>50131</v>
      </c>
      <c r="EZ24" s="14">
        <v>50161</v>
      </c>
      <c r="FA24" s="14">
        <v>50192</v>
      </c>
      <c r="FB24" s="14">
        <v>50222</v>
      </c>
      <c r="FC24" s="14">
        <v>50253</v>
      </c>
      <c r="FD24" s="14">
        <v>50284</v>
      </c>
      <c r="FE24" s="14">
        <v>50314</v>
      </c>
      <c r="FF24" s="14">
        <v>50345</v>
      </c>
      <c r="FG24" s="14">
        <v>50375</v>
      </c>
      <c r="FH24" s="14">
        <v>50406</v>
      </c>
      <c r="FI24" s="14">
        <v>50437</v>
      </c>
      <c r="FJ24" s="14">
        <v>50465</v>
      </c>
      <c r="FK24" s="14">
        <v>50496</v>
      </c>
      <c r="FL24" s="14">
        <v>50526</v>
      </c>
      <c r="FM24" s="14">
        <v>50557</v>
      </c>
      <c r="FN24" s="14">
        <v>50587</v>
      </c>
      <c r="FO24" s="14">
        <v>50618</v>
      </c>
      <c r="FP24" s="14">
        <v>50649</v>
      </c>
      <c r="FQ24" s="14">
        <v>50679</v>
      </c>
      <c r="FR24" s="14">
        <v>50710</v>
      </c>
      <c r="FS24" s="14">
        <v>50740</v>
      </c>
      <c r="FT24" s="14">
        <v>50771</v>
      </c>
      <c r="FU24" s="14">
        <v>50802</v>
      </c>
      <c r="FV24" s="14">
        <v>50830</v>
      </c>
      <c r="FW24" s="14">
        <v>50861</v>
      </c>
      <c r="FX24" s="14">
        <v>50891</v>
      </c>
      <c r="FY24" s="14">
        <v>50922</v>
      </c>
      <c r="FZ24" s="14">
        <v>50952</v>
      </c>
      <c r="GA24" s="14">
        <v>50983</v>
      </c>
      <c r="GB24" s="14">
        <v>51014</v>
      </c>
      <c r="GC24" s="14">
        <v>51044</v>
      </c>
      <c r="GD24" s="14">
        <v>51075</v>
      </c>
      <c r="GE24" s="14">
        <v>51105</v>
      </c>
      <c r="GF24" s="14">
        <v>51136</v>
      </c>
      <c r="GG24" s="14">
        <v>51167</v>
      </c>
      <c r="GH24" s="14">
        <v>51196</v>
      </c>
      <c r="GI24" s="14">
        <v>51227</v>
      </c>
      <c r="GJ24" s="14">
        <v>51257</v>
      </c>
      <c r="GK24" s="14">
        <v>51288</v>
      </c>
      <c r="GL24" s="14">
        <v>51318</v>
      </c>
      <c r="GM24" s="14">
        <v>51349</v>
      </c>
      <c r="GN24" s="14">
        <v>51380</v>
      </c>
      <c r="GO24" s="14">
        <v>51410</v>
      </c>
      <c r="GP24" s="14">
        <v>51441</v>
      </c>
      <c r="GQ24" s="14">
        <v>51471</v>
      </c>
      <c r="GR24" s="14">
        <v>51502</v>
      </c>
      <c r="GS24" s="14">
        <v>51533</v>
      </c>
      <c r="GT24" s="14">
        <v>51561</v>
      </c>
      <c r="GU24" s="14">
        <v>51592</v>
      </c>
      <c r="GV24" s="14">
        <v>51622</v>
      </c>
      <c r="GW24" s="14">
        <v>51653</v>
      </c>
      <c r="GX24" s="14">
        <v>51683</v>
      </c>
      <c r="GY24" s="14">
        <v>51714</v>
      </c>
      <c r="GZ24" s="14">
        <v>51745</v>
      </c>
      <c r="HA24" s="14">
        <v>51775</v>
      </c>
      <c r="HB24" s="14">
        <v>51806</v>
      </c>
      <c r="HC24" s="14">
        <v>51836</v>
      </c>
      <c r="HD24" s="14">
        <v>51867</v>
      </c>
      <c r="HE24" s="14">
        <v>51898</v>
      </c>
      <c r="HF24" s="14">
        <v>51926</v>
      </c>
      <c r="HG24" s="14">
        <v>51957</v>
      </c>
      <c r="HH24" s="14">
        <v>51987</v>
      </c>
      <c r="HI24" s="14">
        <v>52018</v>
      </c>
      <c r="HJ24" s="14">
        <v>52048</v>
      </c>
      <c r="HK24" s="14">
        <v>52079</v>
      </c>
      <c r="HL24" s="14">
        <v>52110</v>
      </c>
      <c r="HM24" s="14">
        <v>52140</v>
      </c>
      <c r="HN24" s="14">
        <v>52171</v>
      </c>
      <c r="HO24" s="14">
        <v>52201</v>
      </c>
      <c r="HP24" s="14">
        <v>52232</v>
      </c>
      <c r="HQ24" s="14">
        <v>52263</v>
      </c>
      <c r="HR24" s="14">
        <v>52291</v>
      </c>
      <c r="HS24" s="14">
        <v>52322</v>
      </c>
      <c r="HT24" s="14">
        <v>52352</v>
      </c>
      <c r="HU24" s="14">
        <v>52383</v>
      </c>
      <c r="HV24" s="14">
        <v>52413</v>
      </c>
      <c r="HW24" s="14">
        <v>52444</v>
      </c>
      <c r="HX24" s="14">
        <v>52475</v>
      </c>
      <c r="HY24" s="14">
        <v>52505</v>
      </c>
      <c r="HZ24" s="14">
        <v>52536</v>
      </c>
      <c r="IA24" s="14">
        <v>52566</v>
      </c>
      <c r="IB24" s="14">
        <v>52597</v>
      </c>
      <c r="IC24" s="14">
        <v>52628</v>
      </c>
      <c r="ID24" s="14">
        <v>52657</v>
      </c>
      <c r="IE24" s="14">
        <v>52688</v>
      </c>
      <c r="IF24" s="14">
        <v>52718</v>
      </c>
      <c r="IG24" s="14">
        <v>52749</v>
      </c>
      <c r="IH24" s="14">
        <v>52779</v>
      </c>
      <c r="II24" s="14">
        <v>52810</v>
      </c>
      <c r="IJ24" s="14">
        <v>52841</v>
      </c>
      <c r="IK24" s="14">
        <v>52871</v>
      </c>
      <c r="IL24" s="14">
        <v>52902</v>
      </c>
      <c r="IM24" s="14">
        <v>52932</v>
      </c>
    </row>
    <row r="25" spans="1:247" x14ac:dyDescent="0.3">
      <c r="A25" t="s">
        <v>915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>
        <f>+Producción!AF13*'Análisis cliente financiamiento'!AD6</f>
        <v>73353.812531326999</v>
      </c>
      <c r="AE25" s="30">
        <f>+Producción!AG13*'Análisis cliente financiamiento'!AE6</f>
        <v>107980.0632909238</v>
      </c>
      <c r="AF25" s="30">
        <f>+Producción!AH13*'Análisis cliente financiamiento'!AF6</f>
        <v>133077.12918661747</v>
      </c>
      <c r="AG25" s="30">
        <f>+Producción!AI13*'Análisis cliente financiamiento'!AG6</f>
        <v>139264.87269862788</v>
      </c>
      <c r="AH25" s="30">
        <f>+Producción!AJ13*'Análisis cliente financiamiento'!AH6</f>
        <v>133138.39134570176</v>
      </c>
      <c r="AI25" s="30">
        <f>+Producción!AK13*'Análisis cliente financiamiento'!AI6</f>
        <v>97061.39746922128</v>
      </c>
      <c r="AJ25" s="30">
        <f>+Producción!AL13*'Análisis cliente financiamiento'!AJ6</f>
        <v>93741.820390895329</v>
      </c>
      <c r="AK25" s="30">
        <f>+Producción!AM13*'Análisis cliente financiamiento'!AK6</f>
        <v>104111.87906910428</v>
      </c>
      <c r="AL25" s="30">
        <f>+Producción!AN13*'Análisis cliente financiamiento'!AL6</f>
        <v>74662.166337170376</v>
      </c>
      <c r="AM25" s="30">
        <f>+Producción!AO13*'Análisis cliente financiamiento'!AM6</f>
        <v>74540.301594974066</v>
      </c>
      <c r="AN25" s="30">
        <f>+Producción!AP13*'Análisis cliente financiamiento'!AN6</f>
        <v>100770.25862166229</v>
      </c>
      <c r="AO25" s="30">
        <f>+Producción!AQ13*'Análisis cliente financiamiento'!AO6</f>
        <v>84149.282516921987</v>
      </c>
      <c r="AP25" s="30">
        <f>+Producción!AR13*'Análisis cliente financiamiento'!AP6</f>
        <v>75554.42690726681</v>
      </c>
      <c r="AQ25" s="30">
        <f>+Producción!AS13*'Análisis cliente financiamiento'!AQ6</f>
        <v>111219.46518965153</v>
      </c>
      <c r="AR25" s="30">
        <f>+Producción!AT13*'Análisis cliente financiamiento'!AR6</f>
        <v>137069.44306221599</v>
      </c>
      <c r="AS25" s="30">
        <f>+Producción!AU13*'Análisis cliente financiamiento'!AS6</f>
        <v>143442.8188795867</v>
      </c>
      <c r="AT25" s="30">
        <f>+Producción!AV13*'Análisis cliente financiamiento'!AT6</f>
        <v>137132.54308607284</v>
      </c>
      <c r="AU25" s="30">
        <f>+Producción!AW13*'Análisis cliente financiamiento'!AU6</f>
        <v>99973.239393297918</v>
      </c>
      <c r="AV25" s="30">
        <f>+Producción!AX13*'Análisis cliente financiamiento'!AV6</f>
        <v>96554.075002622194</v>
      </c>
      <c r="AW25" s="30">
        <f>+Producción!AY13*'Análisis cliente financiamiento'!AW6</f>
        <v>107235.23544117741</v>
      </c>
      <c r="AX25" s="30">
        <f>+Producción!AZ13*'Análisis cliente financiamiento'!AX6</f>
        <v>76902.031327285484</v>
      </c>
      <c r="AY25" s="30">
        <f>+Producción!BA13*'Análisis cliente financiamiento'!AY6</f>
        <v>76776.510642823298</v>
      </c>
      <c r="AZ25" s="30">
        <f>+Producción!BB13*'Análisis cliente financiamiento'!AZ6</f>
        <v>103793.36638031216</v>
      </c>
      <c r="BA25" s="30">
        <f>+Producción!BC13*'Análisis cliente financiamiento'!BA6</f>
        <v>86673.760992429641</v>
      </c>
      <c r="BB25" s="30">
        <f>+Producción!BD13*'Análisis cliente financiamiento'!BB6</f>
        <v>77821.059714484814</v>
      </c>
      <c r="BC25" s="30">
        <f>+Producción!BE13*'Análisis cliente financiamiento'!BC6</f>
        <v>114556.04914534107</v>
      </c>
      <c r="BD25" s="30">
        <f>+Producción!BF13*'Análisis cliente financiamiento'!BD6</f>
        <v>141181.52635408248</v>
      </c>
      <c r="BE25" s="30">
        <f>+Producción!BG13*'Análisis cliente financiamiento'!BE6</f>
        <v>147746.1034459743</v>
      </c>
      <c r="BF25" s="30">
        <f>+Producción!BH13*'Análisis cliente financiamiento'!BF6</f>
        <v>141246.51937865501</v>
      </c>
      <c r="BG25" s="30">
        <f>+Producción!BI13*'Análisis cliente financiamiento'!BG6</f>
        <v>102972.43657509686</v>
      </c>
      <c r="BH25" s="30">
        <f>+Producción!BJ13*'Análisis cliente financiamiento'!BH6</f>
        <v>99450.697252700862</v>
      </c>
      <c r="BI25" s="30">
        <f>+Producción!BK13*'Análisis cliente financiamiento'!BI6</f>
        <v>110452.29250441275</v>
      </c>
      <c r="BJ25" s="30">
        <f>+Producción!BL13*'Análisis cliente financiamiento'!BJ6</f>
        <v>79209.092267104046</v>
      </c>
      <c r="BK25" s="30">
        <f>+Producción!BM13*'Análisis cliente financiamiento'!BK6</f>
        <v>79079.805962107988</v>
      </c>
      <c r="BL25" s="30">
        <f>+Producción!BN13*'Análisis cliente financiamiento'!BL6</f>
        <v>106907.16737172153</v>
      </c>
      <c r="BM25" s="30">
        <f>+Producción!BO13*'Análisis cliente financiamiento'!BM6</f>
        <v>89273.973822202533</v>
      </c>
      <c r="BN25" s="30">
        <f>+Producción!BP13*'Análisis cliente financiamiento'!BN6</f>
        <v>80155.691505919371</v>
      </c>
      <c r="BO25" s="30">
        <f>+Producción!BQ13*'Análisis cliente financiamiento'!BO6</f>
        <v>117992.73061970131</v>
      </c>
      <c r="BP25" s="30">
        <f>+Producción!BR13*'Análisis cliente financiamiento'!BP6</f>
        <v>145416.97214470495</v>
      </c>
      <c r="BQ25" s="30">
        <f>+Producción!BS13*'Análisis cliente financiamiento'!BQ6</f>
        <v>152178.48654935355</v>
      </c>
      <c r="BR25" s="30">
        <f>+Producción!BT13*'Análisis cliente financiamiento'!BR6</f>
        <v>145483.91496001469</v>
      </c>
      <c r="BS25" s="30">
        <f>+Producción!BU13*'Análisis cliente financiamiento'!BS6</f>
        <v>106061.60967234976</v>
      </c>
      <c r="BT25" s="30">
        <f>+Producción!BV13*'Análisis cliente financiamiento'!BT6</f>
        <v>102434.21817028189</v>
      </c>
      <c r="BU25" s="30">
        <f>+Producción!BW13*'Análisis cliente financiamiento'!BU6</f>
        <v>113765.86127954515</v>
      </c>
      <c r="BV25" s="30">
        <f>+Producción!BX13*'Análisis cliente financiamiento'!BV6</f>
        <v>81585.365035117167</v>
      </c>
      <c r="BW25" s="30">
        <f>+Producción!BY13*'Análisis cliente financiamiento'!BW6</f>
        <v>81452.200140971239</v>
      </c>
      <c r="BX25" s="30">
        <f>+Producción!BZ13*'Análisis cliente financiamiento'!BX6</f>
        <v>110114.38239287319</v>
      </c>
      <c r="BY25" s="30">
        <f>+Producción!CA13*'Análisis cliente financiamiento'!BY6</f>
        <v>91952.19303686863</v>
      </c>
      <c r="BZ25" s="30">
        <f>+Producción!CB13*'Análisis cliente financiamiento'!BZ6</f>
        <v>82560.362251096944</v>
      </c>
      <c r="CA25" s="30">
        <f>+Producción!CC13*'Análisis cliente financiamiento'!CA6</f>
        <v>121532.51253829234</v>
      </c>
      <c r="CB25" s="30">
        <f>+Producción!CD13*'Análisis cliente financiamiento'!CB6</f>
        <v>149779.4813090461</v>
      </c>
      <c r="CC25" s="30">
        <f>+Producción!CE13*'Análisis cliente financiamiento'!CC6</f>
        <v>156743.84114583416</v>
      </c>
      <c r="CD25" s="30">
        <f>+Producción!CF13*'Análisis cliente financiamiento'!CD6</f>
        <v>149848.43240881513</v>
      </c>
      <c r="CE25" s="30">
        <f>+Producción!CG13*'Análisis cliente financiamiento'!CE6</f>
        <v>109243.45796252028</v>
      </c>
      <c r="CF25" s="30">
        <f>+Producción!CH13*'Análisis cliente financiamiento'!CF6</f>
        <v>105507.24471539035</v>
      </c>
      <c r="CG25" s="30">
        <f>+Producción!CI13*'Análisis cliente financiamiento'!CG6</f>
        <v>117178.83711793149</v>
      </c>
      <c r="CH25" s="30">
        <f>+Producción!CJ13*'Análisis cliente financiamiento'!CH6</f>
        <v>84032.925986170681</v>
      </c>
      <c r="CI25" s="30">
        <f>+Producción!CK13*'Análisis cliente financiamiento'!CI6</f>
        <v>83895.766145200381</v>
      </c>
      <c r="CJ25" s="30">
        <f>+Producción!CL13*'Análisis cliente financiamiento'!CJ6</f>
        <v>113417.81386465939</v>
      </c>
      <c r="CK25" s="30">
        <f>+Producción!CM13*'Análisis cliente financiamiento'!CK6</f>
        <v>94710.758827974685</v>
      </c>
      <c r="CL25" s="30">
        <f>+Producción!CN13*'Análisis cliente financiamiento'!CL6</f>
        <v>85037.173118629857</v>
      </c>
      <c r="CM25" s="30">
        <f>+Producción!CO13*'Análisis cliente financiamiento'!CM6</f>
        <v>125178.48791444111</v>
      </c>
      <c r="CN25" s="30">
        <f>+Producción!CP13*'Análisis cliente financiamiento'!CN6</f>
        <v>154272.86574831748</v>
      </c>
      <c r="CO25" s="30">
        <f>+Producción!CQ13*'Análisis cliente financiamiento'!CO6</f>
        <v>161446.1563802092</v>
      </c>
      <c r="CP25" s="30">
        <f>+Producción!CR13*'Análisis cliente financiamiento'!CP6</f>
        <v>154343.88538107957</v>
      </c>
      <c r="CQ25" s="30">
        <f>+Producción!CS13*'Análisis cliente financiamiento'!CQ6</f>
        <v>112520.76170139588</v>
      </c>
      <c r="CR25" s="30">
        <f>+Producción!CT13*'Análisis cliente financiamiento'!CR6</f>
        <v>108672.46205685206</v>
      </c>
      <c r="CS25" s="30">
        <f>+Producción!CU13*'Análisis cliente financiamiento'!CS6</f>
        <v>120694.20223146945</v>
      </c>
      <c r="CT25" s="30">
        <f>+Producción!CV13*'Análisis cliente financiamiento'!CT6</f>
        <v>86553.913765755802</v>
      </c>
      <c r="CU25" s="30">
        <f>+Producción!CW13*'Análisis cliente financiamiento'!CU6</f>
        <v>86412.639129556395</v>
      </c>
      <c r="CV25" s="30">
        <f>+Producción!CX13*'Análisis cliente financiamiento'!CV6</f>
        <v>116820.34828059917</v>
      </c>
      <c r="CW25" s="30">
        <f>+Producción!CY13*'Análisis cliente financiamiento'!CW6</f>
        <v>97552.08159281392</v>
      </c>
      <c r="CX25" s="30">
        <f>+Producción!CZ13*'Análisis cliente financiamiento'!CX6</f>
        <v>87588.288312188743</v>
      </c>
      <c r="CY25" s="30">
        <f>+Producción!DA13*'Análisis cliente financiamiento'!CY6</f>
        <v>128933.84255187435</v>
      </c>
      <c r="CZ25" s="30">
        <f>+Producción!DB13*'Análisis cliente financiamiento'!CZ6</f>
        <v>158901.05172076702</v>
      </c>
      <c r="DA25" s="30">
        <f>+Producción!DC13*'Análisis cliente financiamiento'!DA6</f>
        <v>166289.5410716155</v>
      </c>
      <c r="DB25" s="30">
        <f>+Producción!DD13*'Análisis cliente financiamiento'!DB6</f>
        <v>158974.20194251195</v>
      </c>
      <c r="DC25" s="30">
        <f>+Producción!DE13*'Análisis cliente financiamiento'!DC6</f>
        <v>115896.38455243775</v>
      </c>
      <c r="DD25" s="30">
        <f>+Producción!DF13*'Análisis cliente financiamiento'!DD6</f>
        <v>111932.63591855763</v>
      </c>
      <c r="DE25" s="30">
        <f>+Producción!DG13*'Análisis cliente financiamiento'!DE6</f>
        <v>124315.02829841353</v>
      </c>
      <c r="DF25" s="30">
        <f>+Producción!DH13*'Análisis cliente financiamiento'!DF6</f>
        <v>89150.531178728474</v>
      </c>
      <c r="DG25" s="30">
        <f>+Producción!DI13*'Análisis cliente financiamiento'!DG6</f>
        <v>89005.018303443096</v>
      </c>
      <c r="DH25" s="30">
        <f>+Producción!DJ13*'Análisis cliente financiamiento'!DH6</f>
        <v>120324.95872901713</v>
      </c>
      <c r="DI25" s="30">
        <f>+Producción!DK13*'Análisis cliente financiamiento'!DI6</f>
        <v>100478.64404059833</v>
      </c>
      <c r="DJ25" s="30">
        <f>+Producción!DL13*'Análisis cliente financiamiento'!DJ6</f>
        <v>90215.936961554413</v>
      </c>
      <c r="DK25" s="30">
        <f>+Producción!DM13*'Análisis cliente financiamiento'!DK6</f>
        <v>132801.8578284306</v>
      </c>
      <c r="DL25" s="30">
        <f>+Producción!DN13*'Análisis cliente financiamiento'!DL6</f>
        <v>163668.08327239004</v>
      </c>
      <c r="DM25" s="30">
        <f>+Producción!DO13*'Análisis cliente financiamiento'!DM6</f>
        <v>171278.22730376397</v>
      </c>
      <c r="DN25" s="30">
        <f>+Producción!DP13*'Análisis cliente financiamiento'!DN6</f>
        <v>163743.42800078733</v>
      </c>
      <c r="DO25" s="30">
        <f>+Producción!DQ13*'Análisis cliente financiamiento'!DO6</f>
        <v>119373.27608901089</v>
      </c>
      <c r="DP25" s="30">
        <f>+Producción!DR13*'Análisis cliente financiamiento'!DP6</f>
        <v>115290.61499611435</v>
      </c>
      <c r="DQ25" s="30">
        <f>+Producción!DS13*'Análisis cliente financiamiento'!DQ6</f>
        <v>128044.47914736594</v>
      </c>
      <c r="DR25" s="30">
        <f>+Producción!DT13*'Análisis cliente financiamiento'!DR6</f>
        <v>91825.047114090339</v>
      </c>
      <c r="DS25" s="30">
        <f>+Producción!DU13*'Análisis cliente financiamiento'!DS6</f>
        <v>91675.168852546383</v>
      </c>
      <c r="DT25" s="30">
        <f>+Producción!DV13*'Análisis cliente financiamiento'!DT6</f>
        <v>123934.70749088765</v>
      </c>
      <c r="DU25" s="30">
        <f>+Producción!DW13*'Análisis cliente financiamiento'!DU6</f>
        <v>103493.00336181629</v>
      </c>
      <c r="DV25" s="30">
        <f>+Producción!DX13*'Análisis cliente financiamiento'!DV6</f>
        <v>92922.415070401054</v>
      </c>
      <c r="DW25" s="30">
        <f>+Producción!DY13*'Análisis cliente financiamiento'!DW6</f>
        <v>136785.91356328351</v>
      </c>
      <c r="DX25" s="30">
        <f>+Producción!DZ13*'Análisis cliente financiamiento'!DX6</f>
        <v>168578.12577056172</v>
      </c>
      <c r="DY25" s="30">
        <f>+Producción!EA13*'Análisis cliente financiamiento'!DY6</f>
        <v>176416.57412287689</v>
      </c>
      <c r="DZ25" s="30">
        <f>+Producción!EB13*'Análisis cliente financiamiento'!DZ6</f>
        <v>168655.73084081095</v>
      </c>
      <c r="EA25" s="30">
        <f>+Producción!EC13*'Análisis cliente financiamiento'!EA6</f>
        <v>122954.47437168122</v>
      </c>
      <c r="EB25" s="30">
        <f>+Producción!ED13*'Análisis cliente financiamiento'!EB6</f>
        <v>118749.33344599779</v>
      </c>
      <c r="EC25" s="30">
        <f>+Producción!EE13*'Análisis cliente financiamiento'!EC6</f>
        <v>131885.81352178691</v>
      </c>
      <c r="ED25" s="30">
        <f>+Producción!EF13*'Análisis cliente financiamiento'!ED6</f>
        <v>94579.798527513049</v>
      </c>
      <c r="EE25" s="30">
        <f>+Producción!EG13*'Análisis cliente financiamiento'!EE6</f>
        <v>94425.423918122789</v>
      </c>
      <c r="EF25" s="30">
        <f>+Producción!EH13*'Análisis cliente financiamiento'!EF6</f>
        <v>127652.7487156143</v>
      </c>
      <c r="EG25" s="30">
        <f>+Producción!EI13*'Análisis cliente financiamiento'!EG6</f>
        <v>106597.79346267077</v>
      </c>
      <c r="EH25" s="30">
        <f>+Producción!EJ13*'Análisis cliente financiamiento'!EH6</f>
        <v>95710.087522513073</v>
      </c>
      <c r="EI25" s="30">
        <f>+Producción!EK13*'Análisis cliente financiamiento'!EI6</f>
        <v>140889.490970182</v>
      </c>
      <c r="EJ25" s="30">
        <f>+Producción!EL13*'Análisis cliente financiamiento'!EJ6</f>
        <v>173635.4695436786</v>
      </c>
      <c r="EK25" s="30">
        <f>+Producción!EM13*'Análisis cliente financiamiento'!EK6</f>
        <v>181709.0713465632</v>
      </c>
      <c r="EL25" s="30">
        <f>+Producción!EN13*'Análisis cliente financiamiento'!EL6</f>
        <v>173715.40276603529</v>
      </c>
      <c r="EM25" s="30">
        <f>+Producción!EO13*'Análisis cliente financiamiento'!EM6</f>
        <v>126643.10860283166</v>
      </c>
      <c r="EN25" s="30">
        <f>+Producción!EP13*'Análisis cliente financiamiento'!EN6</f>
        <v>122311.81344937772</v>
      </c>
      <c r="EO25" s="30">
        <f>+Producción!EQ13*'Análisis cliente financiamiento'!EO6</f>
        <v>135842.38792744055</v>
      </c>
      <c r="EP25" s="30">
        <f>+Producción!ER13*'Análisis cliente financiamiento'!EP6</f>
        <v>97417.19248333844</v>
      </c>
      <c r="EQ25" s="30">
        <f>+Producción!ES13*'Análisis cliente financiamiento'!EQ6</f>
        <v>97258.186635666469</v>
      </c>
      <c r="ER25" s="30">
        <f>+Producción!ET13*'Análisis cliente financiamiento'!ER6</f>
        <v>131482.33117708273</v>
      </c>
      <c r="ES25" s="30">
        <f>+Producción!EU13*'Análisis cliente financiamiento'!ES6</f>
        <v>109795.72726655091</v>
      </c>
      <c r="ET25" s="30">
        <f>+Producción!EV13*'Análisis cliente financiamiento'!ET6</f>
        <v>98581.390148188468</v>
      </c>
      <c r="EU25" s="30">
        <f>+Producción!EW13*'Análisis cliente financiamiento'!EU6</f>
        <v>145116.17569928747</v>
      </c>
      <c r="EV25" s="30">
        <f>+Producción!EX13*'Análisis cliente financiamiento'!EV6</f>
        <v>178844.53362998893</v>
      </c>
      <c r="EW25" s="30">
        <f>+Producción!EY13*'Análisis cliente financiamiento'!EW6</f>
        <v>187160.3434869601</v>
      </c>
      <c r="EX25" s="30">
        <f>+Producción!EZ13*'Análisis cliente financiamiento'!EX6</f>
        <v>178926.86484901636</v>
      </c>
      <c r="EY25" s="30">
        <f>+Producción!FA13*'Análisis cliente financiamiento'!EY6</f>
        <v>130442.40186091662</v>
      </c>
      <c r="EZ25" s="30">
        <f>+Producción!FB13*'Análisis cliente financiamiento'!EZ6</f>
        <v>125981.16785285907</v>
      </c>
      <c r="FA25" s="30">
        <f>+Producción!FC13*'Análisis cliente financiamiento'!FA6</f>
        <v>139917.65956526375</v>
      </c>
      <c r="FB25" s="30">
        <f>+Producción!FD13*'Análisis cliente financiamiento'!FB6</f>
        <v>100339.7082578386</v>
      </c>
      <c r="FC25" s="30">
        <f>+Producción!FE13*'Análisis cliente financiamiento'!FC6</f>
        <v>100175.93223473647</v>
      </c>
      <c r="FD25" s="30">
        <f>+Producción!FF13*'Análisis cliente financiamiento'!FD6</f>
        <v>135426.80111239522</v>
      </c>
      <c r="FE25" s="30">
        <f>+Producción!FG13*'Análisis cliente financiamiento'!FE6</f>
        <v>113089.59908454743</v>
      </c>
      <c r="FF25" s="30">
        <f>+Producción!FH13*'Análisis cliente financiamiento'!FF6</f>
        <v>101538.83185263413</v>
      </c>
      <c r="FG25" s="30">
        <f>+Producción!FI13*'Análisis cliente financiamiento'!FG6</f>
        <v>149469.66097026612</v>
      </c>
      <c r="FH25" s="30">
        <f>+Producción!FJ13*'Análisis cliente financiamiento'!FH6</f>
        <v>184209.86963888863</v>
      </c>
      <c r="FI25" s="30">
        <f>+Producción!FK13*'Análisis cliente financiamiento'!FI6</f>
        <v>192775.15379156891</v>
      </c>
      <c r="FJ25" s="30">
        <f>+Producción!FL13*'Análisis cliente financiamiento'!FJ6</f>
        <v>184294.67079448685</v>
      </c>
      <c r="FK25" s="30">
        <f>+Producción!FM13*'Análisis cliente financiamiento'!FK6</f>
        <v>134355.67391674413</v>
      </c>
      <c r="FL25" s="30">
        <f>+Producción!FN13*'Análisis cliente financiamiento'!FL6</f>
        <v>129760.60288844485</v>
      </c>
      <c r="FM25" s="30">
        <f>+Producción!FO13*'Análisis cliente financiamiento'!FM6</f>
        <v>144115.18935222167</v>
      </c>
      <c r="FN25" s="30">
        <f>+Producción!FP13*'Análisis cliente financiamiento'!FN6</f>
        <v>103349.89950557376</v>
      </c>
      <c r="FO25" s="30">
        <f>+Producción!FQ13*'Análisis cliente financiamiento'!FO6</f>
        <v>103181.21020177857</v>
      </c>
      <c r="FP25" s="30">
        <f>+Producción!FR13*'Análisis cliente financiamiento'!FP6</f>
        <v>139489.60514576707</v>
      </c>
      <c r="FQ25" s="30">
        <f>+Producción!FS13*'Análisis cliente financiamiento'!FQ6</f>
        <v>116482.28705708386</v>
      </c>
      <c r="FR25" s="30">
        <f>+Producción!FT13*'Análisis cliente financiamiento'!FR6</f>
        <v>104584.99680821315</v>
      </c>
      <c r="FS25" s="30">
        <f>+Producción!FU13*'Análisis cliente financiamiento'!FS6</f>
        <v>153953.7507993741</v>
      </c>
      <c r="FT25" s="30">
        <f>+Producción!FV13*'Análisis cliente financiamiento'!FT6</f>
        <v>189736.16572805529</v>
      </c>
      <c r="FU25" s="30">
        <f>+Producción!FW13*'Análisis cliente financiamiento'!FU6</f>
        <v>198558.408405316</v>
      </c>
      <c r="FV25" s="30">
        <f>+Producción!FX13*'Análisis cliente financiamiento'!FV6</f>
        <v>189823.51091832147</v>
      </c>
      <c r="FW25" s="30">
        <f>+Producción!FY13*'Análisis cliente financiamiento'!FW6</f>
        <v>138386.34413424644</v>
      </c>
      <c r="FX25" s="30">
        <f>+Producción!FZ13*'Análisis cliente financiamiento'!FX6</f>
        <v>133653.42097509821</v>
      </c>
      <c r="FY25" s="30">
        <f>+Producción!GA13*'Análisis cliente financiamiento'!FY6</f>
        <v>148438.64503278834</v>
      </c>
      <c r="FZ25" s="30">
        <f>+Producción!GB13*'Análisis cliente financiamiento'!FZ6</f>
        <v>106450.39649074098</v>
      </c>
      <c r="GA25" s="30">
        <f>+Producción!GC13*'Análisis cliente financiamiento'!GA6</f>
        <v>106276.64650783192</v>
      </c>
      <c r="GB25" s="30">
        <f>+Producción!GD13*'Análisis cliente financiamiento'!GB6</f>
        <v>143674.29330014007</v>
      </c>
      <c r="GC25" s="30">
        <f>+Producción!GE13*'Análisis cliente financiamiento'!GC6</f>
        <v>119976.75566879637</v>
      </c>
      <c r="GD25" s="30">
        <f>+Producción!GF13*'Análisis cliente financiamiento'!GD6</f>
        <v>107722.54671245955</v>
      </c>
      <c r="GE25" s="30">
        <f>+Producción!GG13*'Análisis cliente financiamiento'!GE6</f>
        <v>158572.36332335533</v>
      </c>
      <c r="GF25" s="30">
        <f>+Producción!GH13*'Análisis cliente financiamiento'!GF6</f>
        <v>195428.25069989695</v>
      </c>
      <c r="GG25" s="30">
        <f>+Producción!GI13*'Análisis cliente financiamiento'!GG6</f>
        <v>204515.16065747547</v>
      </c>
      <c r="GH25" s="30">
        <f>+Producción!GJ13*'Análisis cliente financiamiento'!GH6</f>
        <v>195518.21624587112</v>
      </c>
      <c r="GI25" s="30">
        <f>+Producción!GK13*'Análisis cliente financiamiento'!GI6</f>
        <v>142537.93445827384</v>
      </c>
      <c r="GJ25" s="30">
        <f>+Producción!GL13*'Análisis cliente financiamiento'!GJ6</f>
        <v>137663.02360435115</v>
      </c>
      <c r="GK25" s="30">
        <f>+Producción!GM13*'Análisis cliente financiamiento'!GK6</f>
        <v>152891.80438377199</v>
      </c>
      <c r="GL25" s="30">
        <f>+Producción!GN13*'Análisis cliente financiamiento'!GL6</f>
        <v>109643.90838546322</v>
      </c>
      <c r="GM25" s="30">
        <f>+Producción!GO13*'Análisis cliente financiamiento'!GM6</f>
        <v>109464.94590306688</v>
      </c>
      <c r="GN25" s="30">
        <f>+Producción!GP13*'Análisis cliente financiamiento'!GN6</f>
        <v>147984.52209914429</v>
      </c>
      <c r="GO25" s="30">
        <f>+Producción!GQ13*'Análisis cliente financiamiento'!GO6</f>
        <v>123576.05833886025</v>
      </c>
      <c r="GP25" s="30">
        <f>+Producción!GR13*'Análisis cliente financiamiento'!GP6</f>
        <v>110954.22311383333</v>
      </c>
      <c r="GQ25" s="30">
        <f>+Producción!GS13*'Análisis cliente financiamiento'!GQ6</f>
        <v>163329.53422305599</v>
      </c>
      <c r="GR25" s="30">
        <f>+Producción!GT13*'Análisis cliente financiamiento'!GR6</f>
        <v>201291.09822089385</v>
      </c>
      <c r="GS25" s="30">
        <f>+Producción!GU13*'Análisis cliente financiamiento'!GS6</f>
        <v>210650.61547719975</v>
      </c>
      <c r="GT25" s="30">
        <f>+Producción!GV13*'Análisis cliente financiamiento'!GT6</f>
        <v>201383.76273324725</v>
      </c>
      <c r="GU25" s="30">
        <f>+Producción!GW13*'Análisis cliente financiamiento'!GU6</f>
        <v>146814.07249202207</v>
      </c>
      <c r="GV25" s="30">
        <f>+Producción!GX13*'Análisis cliente financiamiento'!GV6</f>
        <v>141792.91431248168</v>
      </c>
      <c r="GW25" s="30">
        <f>+Producción!GY13*'Análisis cliente financiamiento'!GW6</f>
        <v>157478.55851528514</v>
      </c>
      <c r="GX25" s="30">
        <f>+Producción!GZ13*'Análisis cliente financiamiento'!GX6</f>
        <v>112933.22563702712</v>
      </c>
      <c r="GY25" s="30">
        <f>+Producción!HA13*'Análisis cliente financiamiento'!GY6</f>
        <v>112748.89428015889</v>
      </c>
      <c r="GZ25" s="30">
        <f>+Producción!HB13*'Análisis cliente financiamiento'!GZ6</f>
        <v>152424.05776211861</v>
      </c>
      <c r="HA25" s="30">
        <f>+Producción!HC13*'Análisis cliente financiamiento'!HA6</f>
        <v>127283.34008902607</v>
      </c>
      <c r="HB25" s="30">
        <f>+Producción!HD13*'Análisis cliente financiamiento'!HB6</f>
        <v>114282.84980724833</v>
      </c>
      <c r="HC25" s="30">
        <f>+Producción!HE13*'Análisis cliente financiamiento'!HC6</f>
        <v>168229.42024974769</v>
      </c>
      <c r="HD25" s="30">
        <f>+Producción!HF13*'Análisis cliente financiamiento'!HD6</f>
        <v>207329.83116752066</v>
      </c>
      <c r="HE25" s="30">
        <f>+Producción!HG13*'Análisis cliente financiamiento'!HE6</f>
        <v>216970.13394151576</v>
      </c>
      <c r="HF25" s="30">
        <f>+Producción!HH13*'Análisis cliente financiamiento'!HF6</f>
        <v>207425.27561524467</v>
      </c>
      <c r="HG25" s="30">
        <f>+Producción!HI13*'Análisis cliente financiamiento'!HG6</f>
        <v>151218.4946667827</v>
      </c>
      <c r="HH25" s="30">
        <f>+Producción!HJ13*'Análisis cliente financiamiento'!HH6</f>
        <v>146046.70174185612</v>
      </c>
      <c r="HI25" s="30">
        <f>+Producción!HK13*'Análisis cliente financiamiento'!HI6</f>
        <v>162202.91527074372</v>
      </c>
      <c r="HJ25" s="30">
        <f>+Producción!HL13*'Análisis cliente financiamiento'!HJ6</f>
        <v>116321.22240613794</v>
      </c>
      <c r="HK25" s="30">
        <f>+Producción!HM13*'Análisis cliente financiamiento'!HK6</f>
        <v>116131.36110856365</v>
      </c>
      <c r="HL25" s="30">
        <f>+Producción!HN13*'Análisis cliente financiamiento'!HL6</f>
        <v>156996.77949498218</v>
      </c>
      <c r="HM25" s="30">
        <f>+Producción!HO13*'Análisis cliente financiamiento'!HM6</f>
        <v>131101.84029169686</v>
      </c>
      <c r="HN25" s="30">
        <f>+Producción!HP13*'Análisis cliente financiamiento'!HN6</f>
        <v>117711.33530146579</v>
      </c>
      <c r="HO25" s="30">
        <f>+Producción!HQ13*'Análisis cliente financiamiento'!HO6</f>
        <v>173276.30285724011</v>
      </c>
      <c r="HP25" s="30">
        <f>+Producción!HR13*'Análisis cliente financiamiento'!HP6</f>
        <v>213549.72610254629</v>
      </c>
      <c r="HQ25" s="30">
        <f>+Producción!HS13*'Análisis cliente financiamiento'!HQ6</f>
        <v>223479.23795976126</v>
      </c>
      <c r="HR25" s="30">
        <f>+Producción!HT13*'Análisis cliente financiamiento'!HR6</f>
        <v>213648.03388370204</v>
      </c>
      <c r="HS25" s="30">
        <f>+Producción!HU13*'Análisis cliente financiamiento'!HS6</f>
        <v>155755.04950678619</v>
      </c>
      <c r="HT25" s="30">
        <f>+Producción!HV13*'Análisis cliente financiamiento'!HT6</f>
        <v>150428.10279411182</v>
      </c>
      <c r="HU25" s="30">
        <f>+Producción!HW13*'Análisis cliente financiamiento'!HU6</f>
        <v>167069.00272886601</v>
      </c>
      <c r="HV25" s="30">
        <f>+Producción!HX13*'Análisis cliente financiamiento'!HV6</f>
        <v>119810.85907832209</v>
      </c>
      <c r="HW25" s="30">
        <f>+Producción!HY13*'Análisis cliente financiamiento'!HW6</f>
        <v>119615.30194182057</v>
      </c>
      <c r="HX25" s="30">
        <f>+Producción!HZ13*'Análisis cliente financiamiento'!HX6</f>
        <v>161706.68287983164</v>
      </c>
      <c r="HY25" s="30">
        <f>+Producción!IA13*'Análisis cliente financiamiento'!HY6</f>
        <v>135034.89550044775</v>
      </c>
      <c r="HZ25" s="30">
        <f>+Producción!IB13*'Análisis cliente financiamiento'!HZ6</f>
        <v>121242.67536050978</v>
      </c>
      <c r="IA25" s="30">
        <f>+Producción!IC13*'Análisis cliente financiamiento'!IA6</f>
        <v>178474.59194295731</v>
      </c>
      <c r="IB25" s="30">
        <f>+Producción!ID13*'Análisis cliente financiamiento'!IB6</f>
        <v>219956.21788562267</v>
      </c>
      <c r="IC25" s="30">
        <f>+Producción!IE13*'Análisis cliente financiamiento'!IC6</f>
        <v>230183.61509855412</v>
      </c>
      <c r="ID25" s="30">
        <f>+Producción!IF13*'Análisis cliente financiamiento'!ID6</f>
        <v>220057.4749002131</v>
      </c>
      <c r="IE25" s="30">
        <f>+Producción!IG13*'Análisis cliente financiamiento'!IE6</f>
        <v>160427.70099198978</v>
      </c>
      <c r="IF25" s="30">
        <f>+Producción!IH13*'Análisis cliente financiamiento'!IF6</f>
        <v>154940.94587793516</v>
      </c>
      <c r="IG25" s="30">
        <f>+Producción!II13*'Análisis cliente financiamiento'!IG6</f>
        <v>172081.07281073197</v>
      </c>
      <c r="IH25" s="30">
        <f>+Producción!IJ13*'Análisis cliente financiamiento'!IH6</f>
        <v>123405.18485067174</v>
      </c>
      <c r="II25" s="30">
        <f>+Producción!IK13*'Análisis cliente financiamiento'!II6</f>
        <v>123203.76100007519</v>
      </c>
      <c r="IJ25" s="30">
        <f>+Producción!IL13*'Análisis cliente financiamiento'!IJ6</f>
        <v>166557.8833662266</v>
      </c>
      <c r="IK25" s="30">
        <f>+Producción!IM13*'Análisis cliente financiamiento'!IK6</f>
        <v>139085.9423654612</v>
      </c>
      <c r="IL25" s="30">
        <f>+Producción!IN13*'Análisis cliente financiamiento'!IL6</f>
        <v>124879.95562132508</v>
      </c>
      <c r="IM25" s="30">
        <f>+Producción!IO13*'Análisis cliente financiamiento'!IM6</f>
        <v>183828.82970124605</v>
      </c>
    </row>
    <row r="26" spans="1:247" x14ac:dyDescent="0.3">
      <c r="A26" t="s">
        <v>916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>
        <f t="shared" ref="AD26" si="21">+AD25*$B$1</f>
        <v>14670.762506265401</v>
      </c>
      <c r="AE26" s="30">
        <f t="shared" ref="AE26:CP26" si="22">+AE25*$B$1</f>
        <v>21596.012658184762</v>
      </c>
      <c r="AF26" s="30">
        <f t="shared" si="22"/>
        <v>26615.425837323495</v>
      </c>
      <c r="AG26" s="30">
        <f t="shared" si="22"/>
        <v>27852.974539725576</v>
      </c>
      <c r="AH26" s="30">
        <f t="shared" si="22"/>
        <v>26627.678269140353</v>
      </c>
      <c r="AI26" s="30">
        <f t="shared" si="22"/>
        <v>19412.279493844257</v>
      </c>
      <c r="AJ26" s="30">
        <f t="shared" si="22"/>
        <v>18748.364078179067</v>
      </c>
      <c r="AK26" s="30">
        <f t="shared" si="22"/>
        <v>20822.375813820858</v>
      </c>
      <c r="AL26" s="30">
        <f t="shared" si="22"/>
        <v>14932.433267434077</v>
      </c>
      <c r="AM26" s="30">
        <f t="shared" si="22"/>
        <v>14908.060318994814</v>
      </c>
      <c r="AN26" s="30">
        <f t="shared" si="22"/>
        <v>20154.051724332458</v>
      </c>
      <c r="AO26" s="30">
        <f t="shared" si="22"/>
        <v>16829.856503384399</v>
      </c>
      <c r="AP26" s="30">
        <f t="shared" si="22"/>
        <v>15110.885381453363</v>
      </c>
      <c r="AQ26" s="30">
        <f t="shared" si="22"/>
        <v>22243.893037930306</v>
      </c>
      <c r="AR26" s="30">
        <f t="shared" si="22"/>
        <v>27413.888612443199</v>
      </c>
      <c r="AS26" s="30">
        <f t="shared" si="22"/>
        <v>28688.563775917341</v>
      </c>
      <c r="AT26" s="30">
        <f t="shared" si="22"/>
        <v>27426.508617214567</v>
      </c>
      <c r="AU26" s="30">
        <f t="shared" si="22"/>
        <v>19994.647878659584</v>
      </c>
      <c r="AV26" s="30">
        <f t="shared" si="22"/>
        <v>19310.815000524439</v>
      </c>
      <c r="AW26" s="30">
        <f t="shared" si="22"/>
        <v>21447.047088235486</v>
      </c>
      <c r="AX26" s="30">
        <f t="shared" si="22"/>
        <v>15380.406265457097</v>
      </c>
      <c r="AY26" s="30">
        <f t="shared" si="22"/>
        <v>15355.302128564661</v>
      </c>
      <c r="AZ26" s="30">
        <f t="shared" si="22"/>
        <v>20758.673276062433</v>
      </c>
      <c r="BA26" s="30">
        <f t="shared" si="22"/>
        <v>17334.75219848593</v>
      </c>
      <c r="BB26" s="30">
        <f t="shared" si="22"/>
        <v>15564.211942896964</v>
      </c>
      <c r="BC26" s="30">
        <f t="shared" si="22"/>
        <v>22911.209829068215</v>
      </c>
      <c r="BD26" s="30">
        <f t="shared" si="22"/>
        <v>28236.305270816498</v>
      </c>
      <c r="BE26" s="30">
        <f t="shared" si="22"/>
        <v>29549.220689194859</v>
      </c>
      <c r="BF26" s="30">
        <f t="shared" si="22"/>
        <v>28249.303875731002</v>
      </c>
      <c r="BG26" s="30">
        <f t="shared" si="22"/>
        <v>20594.487315019374</v>
      </c>
      <c r="BH26" s="30">
        <f t="shared" si="22"/>
        <v>19890.139450540173</v>
      </c>
      <c r="BI26" s="30">
        <f t="shared" si="22"/>
        <v>22090.458500882552</v>
      </c>
      <c r="BJ26" s="30">
        <f t="shared" si="22"/>
        <v>15841.81845342081</v>
      </c>
      <c r="BK26" s="30">
        <f t="shared" si="22"/>
        <v>15815.961192421599</v>
      </c>
      <c r="BL26" s="30">
        <f t="shared" si="22"/>
        <v>21381.433474344307</v>
      </c>
      <c r="BM26" s="30">
        <f t="shared" si="22"/>
        <v>17854.794764440507</v>
      </c>
      <c r="BN26" s="30">
        <f t="shared" si="22"/>
        <v>16031.138301183875</v>
      </c>
      <c r="BO26" s="30">
        <f t="shared" si="22"/>
        <v>23598.546123940265</v>
      </c>
      <c r="BP26" s="30">
        <f t="shared" si="22"/>
        <v>29083.394428940992</v>
      </c>
      <c r="BQ26" s="30">
        <f t="shared" si="22"/>
        <v>30435.697309870709</v>
      </c>
      <c r="BR26" s="30">
        <f t="shared" si="22"/>
        <v>29096.78299200294</v>
      </c>
      <c r="BS26" s="30">
        <f t="shared" si="22"/>
        <v>21212.321934469954</v>
      </c>
      <c r="BT26" s="30">
        <f t="shared" si="22"/>
        <v>20486.843634056379</v>
      </c>
      <c r="BU26" s="30">
        <f t="shared" si="22"/>
        <v>22753.17225590903</v>
      </c>
      <c r="BV26" s="30">
        <f t="shared" si="22"/>
        <v>16317.073007023435</v>
      </c>
      <c r="BW26" s="30">
        <f t="shared" si="22"/>
        <v>16290.440028194249</v>
      </c>
      <c r="BX26" s="30">
        <f t="shared" si="22"/>
        <v>22022.876478574639</v>
      </c>
      <c r="BY26" s="30">
        <f t="shared" si="22"/>
        <v>18390.438607373726</v>
      </c>
      <c r="BZ26" s="30">
        <f t="shared" si="22"/>
        <v>16512.072450219388</v>
      </c>
      <c r="CA26" s="30">
        <f t="shared" si="22"/>
        <v>24306.502507658472</v>
      </c>
      <c r="CB26" s="30">
        <f t="shared" si="22"/>
        <v>29955.896261809219</v>
      </c>
      <c r="CC26" s="30">
        <f t="shared" si="22"/>
        <v>31348.768229166832</v>
      </c>
      <c r="CD26" s="30">
        <f t="shared" si="22"/>
        <v>29969.686481763027</v>
      </c>
      <c r="CE26" s="30">
        <f t="shared" si="22"/>
        <v>21848.691592504056</v>
      </c>
      <c r="CF26" s="30">
        <f t="shared" si="22"/>
        <v>21101.44894307807</v>
      </c>
      <c r="CG26" s="30">
        <f t="shared" si="22"/>
        <v>23435.767423586298</v>
      </c>
      <c r="CH26" s="30">
        <f t="shared" si="22"/>
        <v>16806.585197234137</v>
      </c>
      <c r="CI26" s="30">
        <f t="shared" si="22"/>
        <v>16779.153229040076</v>
      </c>
      <c r="CJ26" s="30">
        <f t="shared" si="22"/>
        <v>22683.56277293188</v>
      </c>
      <c r="CK26" s="30">
        <f t="shared" si="22"/>
        <v>18942.151765594939</v>
      </c>
      <c r="CL26" s="30">
        <f t="shared" si="22"/>
        <v>17007.434623725971</v>
      </c>
      <c r="CM26" s="30">
        <f t="shared" si="22"/>
        <v>25035.697582888224</v>
      </c>
      <c r="CN26" s="30">
        <f t="shared" si="22"/>
        <v>30854.573149663498</v>
      </c>
      <c r="CO26" s="30">
        <f t="shared" si="22"/>
        <v>32289.231276041843</v>
      </c>
      <c r="CP26" s="30">
        <f t="shared" si="22"/>
        <v>30868.777076215916</v>
      </c>
      <c r="CQ26" s="30">
        <f t="shared" ref="CQ26:FB26" si="23">+CQ25*$B$1</f>
        <v>22504.152340279179</v>
      </c>
      <c r="CR26" s="30">
        <f t="shared" si="23"/>
        <v>21734.492411370415</v>
      </c>
      <c r="CS26" s="30">
        <f t="shared" si="23"/>
        <v>24138.840446293892</v>
      </c>
      <c r="CT26" s="30">
        <f t="shared" si="23"/>
        <v>17310.782753151161</v>
      </c>
      <c r="CU26" s="30">
        <f t="shared" si="23"/>
        <v>17282.527825911278</v>
      </c>
      <c r="CV26" s="30">
        <f t="shared" si="23"/>
        <v>23364.069656119835</v>
      </c>
      <c r="CW26" s="30">
        <f t="shared" si="23"/>
        <v>19510.416318562784</v>
      </c>
      <c r="CX26" s="30">
        <f t="shared" si="23"/>
        <v>17517.657662437749</v>
      </c>
      <c r="CY26" s="30">
        <f t="shared" si="23"/>
        <v>25786.76851037487</v>
      </c>
      <c r="CZ26" s="30">
        <f t="shared" si="23"/>
        <v>31780.210344153405</v>
      </c>
      <c r="DA26" s="30">
        <f t="shared" si="23"/>
        <v>33257.908214323099</v>
      </c>
      <c r="DB26" s="30">
        <f t="shared" si="23"/>
        <v>31794.840388502391</v>
      </c>
      <c r="DC26" s="30">
        <f t="shared" si="23"/>
        <v>23179.276910487552</v>
      </c>
      <c r="DD26" s="30">
        <f t="shared" si="23"/>
        <v>22386.527183711529</v>
      </c>
      <c r="DE26" s="30">
        <f t="shared" si="23"/>
        <v>24863.005659682705</v>
      </c>
      <c r="DF26" s="30">
        <f t="shared" si="23"/>
        <v>17830.106235745694</v>
      </c>
      <c r="DG26" s="30">
        <f t="shared" si="23"/>
        <v>17801.003660688621</v>
      </c>
      <c r="DH26" s="30">
        <f t="shared" si="23"/>
        <v>24064.991745803429</v>
      </c>
      <c r="DI26" s="30">
        <f t="shared" si="23"/>
        <v>20095.728808119668</v>
      </c>
      <c r="DJ26" s="30">
        <f t="shared" si="23"/>
        <v>18043.187392310883</v>
      </c>
      <c r="DK26" s="30">
        <f t="shared" si="23"/>
        <v>26560.37156568612</v>
      </c>
      <c r="DL26" s="30">
        <f t="shared" si="23"/>
        <v>32733.61665447801</v>
      </c>
      <c r="DM26" s="30">
        <f t="shared" si="23"/>
        <v>34255.645460752792</v>
      </c>
      <c r="DN26" s="30">
        <f t="shared" si="23"/>
        <v>32748.685600157467</v>
      </c>
      <c r="DO26" s="30">
        <f t="shared" si="23"/>
        <v>23874.655217802181</v>
      </c>
      <c r="DP26" s="30">
        <f t="shared" si="23"/>
        <v>23058.122999222873</v>
      </c>
      <c r="DQ26" s="30">
        <f t="shared" si="23"/>
        <v>25608.895829473189</v>
      </c>
      <c r="DR26" s="30">
        <f t="shared" si="23"/>
        <v>18365.009422818068</v>
      </c>
      <c r="DS26" s="30">
        <f t="shared" si="23"/>
        <v>18335.033770509279</v>
      </c>
      <c r="DT26" s="30">
        <f t="shared" si="23"/>
        <v>24786.941498177534</v>
      </c>
      <c r="DU26" s="30">
        <f t="shared" si="23"/>
        <v>20698.60067236326</v>
      </c>
      <c r="DV26" s="30">
        <f t="shared" si="23"/>
        <v>18584.483014080211</v>
      </c>
      <c r="DW26" s="30">
        <f t="shared" si="23"/>
        <v>27357.182712656704</v>
      </c>
      <c r="DX26" s="30">
        <f t="shared" si="23"/>
        <v>33715.625154112342</v>
      </c>
      <c r="DY26" s="30">
        <f t="shared" si="23"/>
        <v>35283.314824575376</v>
      </c>
      <c r="DZ26" s="30">
        <f t="shared" si="23"/>
        <v>33731.146168162195</v>
      </c>
      <c r="EA26" s="30">
        <f t="shared" si="23"/>
        <v>24590.894874336245</v>
      </c>
      <c r="EB26" s="30">
        <f t="shared" si="23"/>
        <v>23749.86668919956</v>
      </c>
      <c r="EC26" s="30">
        <f t="shared" si="23"/>
        <v>26377.162704357383</v>
      </c>
      <c r="ED26" s="30">
        <f t="shared" si="23"/>
        <v>18915.95970550261</v>
      </c>
      <c r="EE26" s="30">
        <f t="shared" si="23"/>
        <v>18885.084783624559</v>
      </c>
      <c r="EF26" s="30">
        <f t="shared" si="23"/>
        <v>25530.549743122861</v>
      </c>
      <c r="EG26" s="30">
        <f t="shared" si="23"/>
        <v>21319.558692534156</v>
      </c>
      <c r="EH26" s="30">
        <f t="shared" si="23"/>
        <v>19142.017504502615</v>
      </c>
      <c r="EI26" s="30">
        <f t="shared" si="23"/>
        <v>28177.898194036403</v>
      </c>
      <c r="EJ26" s="30">
        <f t="shared" si="23"/>
        <v>34727.093908735718</v>
      </c>
      <c r="EK26" s="30">
        <f t="shared" si="23"/>
        <v>36341.814269312643</v>
      </c>
      <c r="EL26" s="30">
        <f t="shared" si="23"/>
        <v>34743.080553207059</v>
      </c>
      <c r="EM26" s="30">
        <f t="shared" si="23"/>
        <v>25328.621720566334</v>
      </c>
      <c r="EN26" s="30">
        <f t="shared" si="23"/>
        <v>24462.362689875546</v>
      </c>
      <c r="EO26" s="30">
        <f t="shared" si="23"/>
        <v>27168.477585488112</v>
      </c>
      <c r="EP26" s="30">
        <f t="shared" si="23"/>
        <v>19483.438496667688</v>
      </c>
      <c r="EQ26" s="30">
        <f t="shared" si="23"/>
        <v>19451.637327133296</v>
      </c>
      <c r="ER26" s="30">
        <f t="shared" si="23"/>
        <v>26296.466235416548</v>
      </c>
      <c r="ES26" s="30">
        <f t="shared" si="23"/>
        <v>21959.145453310182</v>
      </c>
      <c r="ET26" s="30">
        <f t="shared" si="23"/>
        <v>19716.278029637695</v>
      </c>
      <c r="EU26" s="30">
        <f t="shared" si="23"/>
        <v>29023.235139857497</v>
      </c>
      <c r="EV26" s="30">
        <f t="shared" si="23"/>
        <v>35768.906725997789</v>
      </c>
      <c r="EW26" s="30">
        <f t="shared" si="23"/>
        <v>37432.068697392024</v>
      </c>
      <c r="EX26" s="30">
        <f t="shared" si="23"/>
        <v>35785.372969803277</v>
      </c>
      <c r="EY26" s="30">
        <f t="shared" si="23"/>
        <v>26088.480372183327</v>
      </c>
      <c r="EZ26" s="30">
        <f t="shared" si="23"/>
        <v>25196.233570571814</v>
      </c>
      <c r="FA26" s="30">
        <f t="shared" si="23"/>
        <v>27983.53191305275</v>
      </c>
      <c r="FB26" s="30">
        <f t="shared" si="23"/>
        <v>20067.941651567722</v>
      </c>
      <c r="FC26" s="30">
        <f t="shared" ref="FC26:HN26" si="24">+FC25*$B$1</f>
        <v>20035.186446947293</v>
      </c>
      <c r="FD26" s="30">
        <f t="shared" si="24"/>
        <v>27085.360222479045</v>
      </c>
      <c r="FE26" s="30">
        <f t="shared" si="24"/>
        <v>22617.919816909489</v>
      </c>
      <c r="FF26" s="30">
        <f t="shared" si="24"/>
        <v>20307.766370526828</v>
      </c>
      <c r="FG26" s="30">
        <f t="shared" si="24"/>
        <v>29893.932194053225</v>
      </c>
      <c r="FH26" s="30">
        <f t="shared" si="24"/>
        <v>36841.973927777726</v>
      </c>
      <c r="FI26" s="30">
        <f t="shared" si="24"/>
        <v>38555.030758313784</v>
      </c>
      <c r="FJ26" s="30">
        <f t="shared" si="24"/>
        <v>36858.934158897369</v>
      </c>
      <c r="FK26" s="30">
        <f t="shared" si="24"/>
        <v>26871.134783348825</v>
      </c>
      <c r="FL26" s="30">
        <f t="shared" si="24"/>
        <v>25952.120577688969</v>
      </c>
      <c r="FM26" s="30">
        <f t="shared" si="24"/>
        <v>28823.037870444336</v>
      </c>
      <c r="FN26" s="30">
        <f t="shared" si="24"/>
        <v>20669.979901114755</v>
      </c>
      <c r="FO26" s="30">
        <f t="shared" si="24"/>
        <v>20636.242040355715</v>
      </c>
      <c r="FP26" s="30">
        <f t="shared" si="24"/>
        <v>27897.921029153415</v>
      </c>
      <c r="FQ26" s="30">
        <f t="shared" si="24"/>
        <v>23296.457411416774</v>
      </c>
      <c r="FR26" s="30">
        <f t="shared" si="24"/>
        <v>20916.999361642633</v>
      </c>
      <c r="FS26" s="30">
        <f t="shared" si="24"/>
        <v>30790.75015987482</v>
      </c>
      <c r="FT26" s="30">
        <f t="shared" si="24"/>
        <v>37947.233145611062</v>
      </c>
      <c r="FU26" s="30">
        <f t="shared" si="24"/>
        <v>39711.681681063201</v>
      </c>
      <c r="FV26" s="30">
        <f t="shared" si="24"/>
        <v>37964.702183664296</v>
      </c>
      <c r="FW26" s="30">
        <f t="shared" si="24"/>
        <v>27677.268826849289</v>
      </c>
      <c r="FX26" s="30">
        <f t="shared" si="24"/>
        <v>26730.684195019643</v>
      </c>
      <c r="FY26" s="30">
        <f t="shared" si="24"/>
        <v>29687.729006557667</v>
      </c>
      <c r="FZ26" s="30">
        <f t="shared" si="24"/>
        <v>21290.079298148197</v>
      </c>
      <c r="GA26" s="30">
        <f t="shared" si="24"/>
        <v>21255.329301566384</v>
      </c>
      <c r="GB26" s="30">
        <f t="shared" si="24"/>
        <v>28734.858660028014</v>
      </c>
      <c r="GC26" s="30">
        <f t="shared" si="24"/>
        <v>23995.351133759275</v>
      </c>
      <c r="GD26" s="30">
        <f t="shared" si="24"/>
        <v>21544.509342491911</v>
      </c>
      <c r="GE26" s="30">
        <f t="shared" si="24"/>
        <v>31714.472664671066</v>
      </c>
      <c r="GF26" s="30">
        <f t="shared" si="24"/>
        <v>39085.650139979392</v>
      </c>
      <c r="GG26" s="30">
        <f t="shared" si="24"/>
        <v>40903.0321314951</v>
      </c>
      <c r="GH26" s="30">
        <f t="shared" si="24"/>
        <v>39103.643249174223</v>
      </c>
      <c r="GI26" s="30">
        <f t="shared" si="24"/>
        <v>28507.58689165477</v>
      </c>
      <c r="GJ26" s="30">
        <f t="shared" si="24"/>
        <v>27532.604720870233</v>
      </c>
      <c r="GK26" s="30">
        <f t="shared" si="24"/>
        <v>30578.360876754399</v>
      </c>
      <c r="GL26" s="30">
        <f t="shared" si="24"/>
        <v>21928.781677092644</v>
      </c>
      <c r="GM26" s="30">
        <f t="shared" si="24"/>
        <v>21892.989180613378</v>
      </c>
      <c r="GN26" s="30">
        <f t="shared" si="24"/>
        <v>29596.904419828861</v>
      </c>
      <c r="GO26" s="30">
        <f t="shared" si="24"/>
        <v>24715.211667772051</v>
      </c>
      <c r="GP26" s="30">
        <f t="shared" si="24"/>
        <v>22190.844622766668</v>
      </c>
      <c r="GQ26" s="30">
        <f t="shared" si="24"/>
        <v>32665.9068446112</v>
      </c>
      <c r="GR26" s="30">
        <f t="shared" si="24"/>
        <v>40258.219644178775</v>
      </c>
      <c r="GS26" s="30">
        <f t="shared" si="24"/>
        <v>42130.123095439951</v>
      </c>
      <c r="GT26" s="30">
        <f t="shared" si="24"/>
        <v>40276.752546649455</v>
      </c>
      <c r="GU26" s="30">
        <f t="shared" si="24"/>
        <v>29362.814498404416</v>
      </c>
      <c r="GV26" s="30">
        <f t="shared" si="24"/>
        <v>28358.582862496336</v>
      </c>
      <c r="GW26" s="30">
        <f t="shared" si="24"/>
        <v>31495.71170305703</v>
      </c>
      <c r="GX26" s="30">
        <f t="shared" si="24"/>
        <v>22586.645127405427</v>
      </c>
      <c r="GY26" s="30">
        <f t="shared" si="24"/>
        <v>22549.778856031779</v>
      </c>
      <c r="GZ26" s="30">
        <f t="shared" si="24"/>
        <v>30484.811552423722</v>
      </c>
      <c r="HA26" s="30">
        <f t="shared" si="24"/>
        <v>25456.668017805216</v>
      </c>
      <c r="HB26" s="30">
        <f t="shared" si="24"/>
        <v>22856.56996144967</v>
      </c>
      <c r="HC26" s="30">
        <f t="shared" si="24"/>
        <v>33645.884049949542</v>
      </c>
      <c r="HD26" s="30">
        <f t="shared" si="24"/>
        <v>41465.966233504136</v>
      </c>
      <c r="HE26" s="30">
        <f t="shared" si="24"/>
        <v>43394.026788303156</v>
      </c>
      <c r="HF26" s="30">
        <f t="shared" si="24"/>
        <v>41485.055123048936</v>
      </c>
      <c r="HG26" s="30">
        <f t="shared" si="24"/>
        <v>30243.698933356543</v>
      </c>
      <c r="HH26" s="30">
        <f t="shared" si="24"/>
        <v>29209.340348371225</v>
      </c>
      <c r="HI26" s="30">
        <f t="shared" si="24"/>
        <v>32440.583054148745</v>
      </c>
      <c r="HJ26" s="30">
        <f t="shared" si="24"/>
        <v>23264.24448122759</v>
      </c>
      <c r="HK26" s="30">
        <f t="shared" si="24"/>
        <v>23226.27222171273</v>
      </c>
      <c r="HL26" s="30">
        <f t="shared" si="24"/>
        <v>31399.355898996437</v>
      </c>
      <c r="HM26" s="30">
        <f t="shared" si="24"/>
        <v>26220.368058339373</v>
      </c>
      <c r="HN26" s="30">
        <f t="shared" si="24"/>
        <v>23542.267060293161</v>
      </c>
      <c r="HO26" s="30">
        <f t="shared" ref="HO26:IM26" si="25">+HO25*$B$1</f>
        <v>34655.260571448023</v>
      </c>
      <c r="HP26" s="30">
        <f t="shared" si="25"/>
        <v>42709.94522050926</v>
      </c>
      <c r="HQ26" s="30">
        <f t="shared" si="25"/>
        <v>44695.847591952253</v>
      </c>
      <c r="HR26" s="30">
        <f t="shared" si="25"/>
        <v>42729.606776740409</v>
      </c>
      <c r="HS26" s="30">
        <f t="shared" si="25"/>
        <v>31151.00990135724</v>
      </c>
      <c r="HT26" s="30">
        <f t="shared" si="25"/>
        <v>30085.620558822367</v>
      </c>
      <c r="HU26" s="30">
        <f t="shared" si="25"/>
        <v>33413.8005457732</v>
      </c>
      <c r="HV26" s="30">
        <f t="shared" si="25"/>
        <v>23962.17181566442</v>
      </c>
      <c r="HW26" s="30">
        <f t="shared" si="25"/>
        <v>23923.060388364116</v>
      </c>
      <c r="HX26" s="30">
        <f t="shared" si="25"/>
        <v>32341.336575966328</v>
      </c>
      <c r="HY26" s="30">
        <f t="shared" si="25"/>
        <v>27006.979100089549</v>
      </c>
      <c r="HZ26" s="30">
        <f t="shared" si="25"/>
        <v>24248.535072101957</v>
      </c>
      <c r="IA26" s="30">
        <f t="shared" si="25"/>
        <v>35694.918388591461</v>
      </c>
      <c r="IB26" s="30">
        <f t="shared" si="25"/>
        <v>43991.243577124536</v>
      </c>
      <c r="IC26" s="30">
        <f t="shared" si="25"/>
        <v>46036.723019710829</v>
      </c>
      <c r="ID26" s="30">
        <f t="shared" si="25"/>
        <v>44011.494980042626</v>
      </c>
      <c r="IE26" s="30">
        <f t="shared" si="25"/>
        <v>32085.540198397957</v>
      </c>
      <c r="IF26" s="30">
        <f t="shared" si="25"/>
        <v>30988.189175587031</v>
      </c>
      <c r="IG26" s="30">
        <f t="shared" si="25"/>
        <v>34416.214562146393</v>
      </c>
      <c r="IH26" s="30">
        <f t="shared" si="25"/>
        <v>24681.036970134348</v>
      </c>
      <c r="II26" s="30">
        <f t="shared" si="25"/>
        <v>24640.752200015038</v>
      </c>
      <c r="IJ26" s="30">
        <f t="shared" si="25"/>
        <v>33311.576673245319</v>
      </c>
      <c r="IK26" s="30">
        <f t="shared" si="25"/>
        <v>27817.188473092243</v>
      </c>
      <c r="IL26" s="30">
        <f t="shared" si="25"/>
        <v>24975.991124265016</v>
      </c>
      <c r="IM26" s="30">
        <f t="shared" si="25"/>
        <v>36765.765940249214</v>
      </c>
    </row>
    <row r="27" spans="1:247" x14ac:dyDescent="0.3">
      <c r="A27" t="s">
        <v>771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>
        <f>+Producción!AF14*AD5</f>
        <v>305231.13966652774</v>
      </c>
      <c r="AE27" s="30">
        <f>+Producción!AG14*AE5</f>
        <v>212525.1711685365</v>
      </c>
      <c r="AF27" s="30">
        <f>+Producción!AH14*AF5</f>
        <v>211855.88049086093</v>
      </c>
      <c r="AG27" s="30">
        <f>+Producción!AI14*AG5</f>
        <v>65883.009283283638</v>
      </c>
      <c r="AH27" s="30">
        <f>+Producción!AJ14*AH5</f>
        <v>0</v>
      </c>
      <c r="AI27" s="30">
        <f>+Producción!AK14*AI5</f>
        <v>0</v>
      </c>
      <c r="AJ27" s="30">
        <f>+Producción!AL14*AJ5</f>
        <v>0</v>
      </c>
      <c r="AK27" s="30">
        <f>+Producción!AM14*AK5</f>
        <v>0</v>
      </c>
      <c r="AL27" s="30">
        <f>+Producción!AN14*AL5</f>
        <v>0</v>
      </c>
      <c r="AM27" s="30">
        <f>+Producción!AO14*AM5</f>
        <v>0</v>
      </c>
      <c r="AN27" s="30">
        <f>+Producción!AP14*AN5</f>
        <v>0</v>
      </c>
      <c r="AO27" s="30">
        <f>+Producción!AQ14*AO5</f>
        <v>0</v>
      </c>
      <c r="AP27" s="30">
        <f>+Producción!AR14*AP5</f>
        <v>314388.07385652361</v>
      </c>
      <c r="AQ27" s="30">
        <f>+Producción!AS14*AQ5</f>
        <v>218900.9263035926</v>
      </c>
      <c r="AR27" s="30">
        <f>+Producción!AT14*AR5</f>
        <v>218211.55690558677</v>
      </c>
      <c r="AS27" s="30">
        <f>+Producción!AU14*AS5</f>
        <v>67859.499561782155</v>
      </c>
      <c r="AT27" s="30">
        <f>+Producción!AV14*AT5</f>
        <v>0</v>
      </c>
      <c r="AU27" s="30">
        <f>+Producción!AW14*AU5</f>
        <v>0</v>
      </c>
      <c r="AV27" s="30">
        <f>+Producción!AX14*AV5</f>
        <v>0</v>
      </c>
      <c r="AW27" s="30">
        <f>+Producción!AY14*AW5</f>
        <v>0</v>
      </c>
      <c r="AX27" s="30">
        <f>+Producción!AZ14*AX5</f>
        <v>0</v>
      </c>
      <c r="AY27" s="30">
        <f>+Producción!BA14*AY5</f>
        <v>0</v>
      </c>
      <c r="AZ27" s="30">
        <f>+Producción!BB14*AZ5</f>
        <v>0</v>
      </c>
      <c r="BA27" s="30">
        <f>+Producción!BC14*BA5</f>
        <v>0</v>
      </c>
      <c r="BB27" s="30">
        <f>+Producción!BD14*BB5</f>
        <v>323819.71607221931</v>
      </c>
      <c r="BC27" s="30">
        <f>+Producción!BE14*BC5</f>
        <v>225467.95409270038</v>
      </c>
      <c r="BD27" s="30">
        <f>+Producción!BF14*BD5</f>
        <v>224757.90361275439</v>
      </c>
      <c r="BE27" s="30">
        <f>+Producción!BG14*BE5</f>
        <v>69895.284548635624</v>
      </c>
      <c r="BF27" s="30">
        <f>+Producción!BH14*BF5</f>
        <v>0</v>
      </c>
      <c r="BG27" s="30">
        <f>+Producción!BI14*BG5</f>
        <v>0</v>
      </c>
      <c r="BH27" s="30">
        <f>+Producción!BJ14*BH5</f>
        <v>0</v>
      </c>
      <c r="BI27" s="30">
        <f>+Producción!BK14*BI5</f>
        <v>0</v>
      </c>
      <c r="BJ27" s="30">
        <f>+Producción!BL14*BJ5</f>
        <v>0</v>
      </c>
      <c r="BK27" s="30">
        <f>+Producción!BM14*BK5</f>
        <v>0</v>
      </c>
      <c r="BL27" s="30">
        <f>+Producción!BN14*BL5</f>
        <v>0</v>
      </c>
      <c r="BM27" s="30">
        <f>+Producción!BO14*BM5</f>
        <v>0</v>
      </c>
      <c r="BN27" s="30">
        <f>+Producción!BP14*BN5</f>
        <v>333534.30755438592</v>
      </c>
      <c r="BO27" s="30">
        <f>+Producción!BQ14*BO5</f>
        <v>232231.99271548141</v>
      </c>
      <c r="BP27" s="30">
        <f>+Producción!BR14*BP5</f>
        <v>231500.64072113702</v>
      </c>
      <c r="BQ27" s="30">
        <f>+Producción!BS14*BQ5</f>
        <v>71992.143085094693</v>
      </c>
      <c r="BR27" s="30">
        <f>+Producción!BT14*BR5</f>
        <v>0</v>
      </c>
      <c r="BS27" s="30">
        <f>+Producción!BU14*BS5</f>
        <v>0</v>
      </c>
      <c r="BT27" s="30">
        <f>+Producción!BV14*BT5</f>
        <v>0</v>
      </c>
      <c r="BU27" s="30">
        <f>+Producción!BW14*BU5</f>
        <v>0</v>
      </c>
      <c r="BV27" s="30">
        <f>+Producción!BX14*BV5</f>
        <v>0</v>
      </c>
      <c r="BW27" s="30">
        <f>+Producción!BY14*BW5</f>
        <v>0</v>
      </c>
      <c r="BX27" s="30">
        <f>+Producción!BZ14*BX5</f>
        <v>0</v>
      </c>
      <c r="BY27" s="30">
        <f>+Producción!CA14*BY5</f>
        <v>0</v>
      </c>
      <c r="BZ27" s="30">
        <f>+Producción!CB14*BZ5</f>
        <v>343540.33678101748</v>
      </c>
      <c r="CA27" s="30">
        <f>+Producción!CC14*CA5</f>
        <v>239198.95249694586</v>
      </c>
      <c r="CB27" s="30">
        <f>+Producción!CD14*CB5</f>
        <v>238445.65994277113</v>
      </c>
      <c r="CC27" s="30">
        <f>+Producción!CE14*CC5</f>
        <v>74151.907377647542</v>
      </c>
      <c r="CD27" s="30">
        <f>+Producción!CF14*CD5</f>
        <v>0</v>
      </c>
      <c r="CE27" s="30">
        <f>+Producción!CG14*CE5</f>
        <v>0</v>
      </c>
      <c r="CF27" s="30">
        <f>+Producción!CH14*CF5</f>
        <v>0</v>
      </c>
      <c r="CG27" s="30">
        <f>+Producción!CI14*CG5</f>
        <v>0</v>
      </c>
      <c r="CH27" s="30">
        <f>+Producción!CJ14*CH5</f>
        <v>0</v>
      </c>
      <c r="CI27" s="30">
        <f>+Producción!CK14*CI5</f>
        <v>0</v>
      </c>
      <c r="CJ27" s="30">
        <f>+Producción!CL14*CJ5</f>
        <v>0</v>
      </c>
      <c r="CK27" s="30">
        <f>+Producción!CM14*CK5</f>
        <v>0</v>
      </c>
      <c r="CL27" s="30">
        <f>+Producción!CN14*CL5</f>
        <v>353846.54688444803</v>
      </c>
      <c r="CM27" s="30">
        <f>+Producción!CO14*CM5</f>
        <v>246374.92107185425</v>
      </c>
      <c r="CN27" s="30">
        <f>+Producción!CP14*CN5</f>
        <v>245599.02974105428</v>
      </c>
      <c r="CO27" s="30">
        <f>+Producción!CQ14*CO5</f>
        <v>76376.464598976963</v>
      </c>
      <c r="CP27" s="30">
        <f>+Producción!CR14*CP5</f>
        <v>0</v>
      </c>
      <c r="CQ27" s="30">
        <f>+Producción!CS14*CQ5</f>
        <v>0</v>
      </c>
      <c r="CR27" s="30">
        <f>+Producción!CT14*CR5</f>
        <v>0</v>
      </c>
      <c r="CS27" s="30">
        <f>+Producción!CU14*CS5</f>
        <v>0</v>
      </c>
      <c r="CT27" s="30">
        <f>+Producción!CV14*CT5</f>
        <v>0</v>
      </c>
      <c r="CU27" s="30">
        <f>+Producción!CW14*CU5</f>
        <v>0</v>
      </c>
      <c r="CV27" s="30">
        <f>+Producción!CX14*CV5</f>
        <v>0</v>
      </c>
      <c r="CW27" s="30">
        <f>+Producción!CY14*CW5</f>
        <v>0</v>
      </c>
      <c r="CX27" s="30">
        <f>+Producción!CZ14*CX5</f>
        <v>364461.94329098152</v>
      </c>
      <c r="CY27" s="30">
        <f>+Producción!DA14*CY5</f>
        <v>253766.16870400988</v>
      </c>
      <c r="CZ27" s="30">
        <f>+Producción!DB14*CZ5</f>
        <v>252967.00063328593</v>
      </c>
      <c r="DA27" s="30">
        <f>+Producción!DC14*DA5</f>
        <v>78667.758536946276</v>
      </c>
      <c r="DB27" s="30">
        <f>+Producción!DD14*DB5</f>
        <v>0</v>
      </c>
      <c r="DC27" s="30">
        <f>+Producción!DE14*DC5</f>
        <v>0</v>
      </c>
      <c r="DD27" s="30">
        <f>+Producción!DF14*DD5</f>
        <v>0</v>
      </c>
      <c r="DE27" s="30">
        <f>+Producción!DG14*DE5</f>
        <v>0</v>
      </c>
      <c r="DF27" s="30">
        <f>+Producción!DH14*DF5</f>
        <v>0</v>
      </c>
      <c r="DG27" s="30">
        <f>+Producción!DI14*DG5</f>
        <v>0</v>
      </c>
      <c r="DH27" s="30">
        <f>+Producción!DJ14*DH5</f>
        <v>0</v>
      </c>
      <c r="DI27" s="30">
        <f>+Producción!DK14*DI5</f>
        <v>0</v>
      </c>
      <c r="DJ27" s="30">
        <f>+Producción!DL14*DJ5</f>
        <v>375395.80158971093</v>
      </c>
      <c r="DK27" s="30">
        <f>+Producción!DM14*DK5</f>
        <v>261379.15376513018</v>
      </c>
      <c r="DL27" s="30">
        <f>+Producción!DN14*DL5</f>
        <v>260556.01065228452</v>
      </c>
      <c r="DM27" s="30">
        <f>+Producción!DO14*DM5</f>
        <v>81027.791293054674</v>
      </c>
      <c r="DN27" s="30">
        <f>+Producción!DP14*DN5</f>
        <v>0</v>
      </c>
      <c r="DO27" s="30">
        <f>+Producción!DQ14*DO5</f>
        <v>0</v>
      </c>
      <c r="DP27" s="30">
        <f>+Producción!DR14*DP5</f>
        <v>0</v>
      </c>
      <c r="DQ27" s="30">
        <f>+Producción!DS14*DQ5</f>
        <v>0</v>
      </c>
      <c r="DR27" s="30">
        <f>+Producción!DT14*DR5</f>
        <v>0</v>
      </c>
      <c r="DS27" s="30">
        <f>+Producción!DU14*DS5</f>
        <v>0</v>
      </c>
      <c r="DT27" s="30">
        <f>+Producción!DV14*DT5</f>
        <v>0</v>
      </c>
      <c r="DU27" s="30">
        <f>+Producción!DW14*DU5</f>
        <v>0</v>
      </c>
      <c r="DV27" s="30">
        <f>+Producción!DX14*DV5</f>
        <v>386657.67563740228</v>
      </c>
      <c r="DW27" s="30">
        <f>+Producción!DY14*DW5</f>
        <v>269220.52837808407</v>
      </c>
      <c r="DX27" s="30">
        <f>+Producción!DZ14*DX5</f>
        <v>268372.69097185304</v>
      </c>
      <c r="DY27" s="30">
        <f>+Producción!EA14*DY5</f>
        <v>83458.625031846299</v>
      </c>
      <c r="DZ27" s="30">
        <f>+Producción!EB14*DZ5</f>
        <v>0</v>
      </c>
      <c r="EA27" s="30">
        <f>+Producción!EC14*EA5</f>
        <v>0</v>
      </c>
      <c r="EB27" s="30">
        <f>+Producción!ED14*EB5</f>
        <v>0</v>
      </c>
      <c r="EC27" s="30">
        <f>+Producción!EE14*EC5</f>
        <v>0</v>
      </c>
      <c r="ED27" s="30">
        <f>+Producción!EF14*ED5</f>
        <v>0</v>
      </c>
      <c r="EE27" s="30">
        <f>+Producción!EG14*EE5</f>
        <v>0</v>
      </c>
      <c r="EF27" s="30">
        <f>+Producción!EH14*EF5</f>
        <v>0</v>
      </c>
      <c r="EG27" s="30">
        <f>+Producción!EI14*EG5</f>
        <v>0</v>
      </c>
      <c r="EH27" s="30">
        <f>+Producción!EJ14*EH5</f>
        <v>398257.40590652433</v>
      </c>
      <c r="EI27" s="30">
        <f>+Producción!EK14*EI5</f>
        <v>277297.14422942657</v>
      </c>
      <c r="EJ27" s="30">
        <f>+Producción!EL14*EJ5</f>
        <v>276423.87170100864</v>
      </c>
      <c r="EK27" s="30">
        <f>+Producción!EM14*EK5</f>
        <v>85962.383782801699</v>
      </c>
      <c r="EL27" s="30">
        <f>+Producción!EN14*EL5</f>
        <v>0</v>
      </c>
      <c r="EM27" s="30">
        <f>+Producción!EO14*EM5</f>
        <v>0</v>
      </c>
      <c r="EN27" s="30">
        <f>+Producción!EP14*EN5</f>
        <v>0</v>
      </c>
      <c r="EO27" s="30">
        <f>+Producción!EQ14*EO5</f>
        <v>0</v>
      </c>
      <c r="EP27" s="30">
        <f>+Producción!ER14*EP5</f>
        <v>0</v>
      </c>
      <c r="EQ27" s="30">
        <f>+Producción!ES14*EQ5</f>
        <v>0</v>
      </c>
      <c r="ER27" s="30">
        <f>+Producción!ET14*ER5</f>
        <v>0</v>
      </c>
      <c r="ES27" s="30">
        <f>+Producción!EU14*ES5</f>
        <v>0</v>
      </c>
      <c r="ET27" s="30">
        <f>+Producción!EV14*ET5</f>
        <v>410205.1280837201</v>
      </c>
      <c r="EU27" s="30">
        <f>+Producción!EW14*EU5</f>
        <v>285616.05855630944</v>
      </c>
      <c r="EV27" s="30">
        <f>+Producción!EX14*EV5</f>
        <v>284716.58785203891</v>
      </c>
      <c r="EW27" s="30">
        <f>+Producción!EY14*EW5</f>
        <v>88541.255296285759</v>
      </c>
      <c r="EX27" s="30">
        <f>+Producción!EZ14*EX5</f>
        <v>0</v>
      </c>
      <c r="EY27" s="30">
        <f>+Producción!FA14*EY5</f>
        <v>0</v>
      </c>
      <c r="EZ27" s="30">
        <f>+Producción!FB14*EZ5</f>
        <v>0</v>
      </c>
      <c r="FA27" s="30">
        <f>+Producción!FC14*FA5</f>
        <v>0</v>
      </c>
      <c r="FB27" s="30">
        <f>+Producción!FD14*FB5</f>
        <v>0</v>
      </c>
      <c r="FC27" s="30">
        <f>+Producción!FE14*FC5</f>
        <v>0</v>
      </c>
      <c r="FD27" s="30">
        <f>+Producción!FF14*FD5</f>
        <v>0</v>
      </c>
      <c r="FE27" s="30">
        <f>+Producción!FG14*FE5</f>
        <v>0</v>
      </c>
      <c r="FF27" s="30">
        <f>+Producción!FH14*FF5</f>
        <v>422511.28192623163</v>
      </c>
      <c r="FG27" s="30">
        <f>+Producción!FI14*FG5</f>
        <v>294184.5403129987</v>
      </c>
      <c r="FH27" s="30">
        <f>+Producción!FJ14*FH5</f>
        <v>293258.08548760007</v>
      </c>
      <c r="FI27" s="30">
        <f>+Producción!FK14*FI5</f>
        <v>91197.492955174326</v>
      </c>
      <c r="FJ27" s="30">
        <f>+Producción!FL14*FJ5</f>
        <v>0</v>
      </c>
      <c r="FK27" s="30">
        <f>+Producción!FM14*FK5</f>
        <v>0</v>
      </c>
      <c r="FL27" s="30">
        <f>+Producción!FN14*FL5</f>
        <v>0</v>
      </c>
      <c r="FM27" s="30">
        <f>+Producción!FO14*FM5</f>
        <v>0</v>
      </c>
      <c r="FN27" s="30">
        <f>+Producción!FP14*FN5</f>
        <v>0</v>
      </c>
      <c r="FO27" s="30">
        <f>+Producción!FQ14*FO5</f>
        <v>0</v>
      </c>
      <c r="FP27" s="30">
        <f>+Producción!FR14*FP5</f>
        <v>0</v>
      </c>
      <c r="FQ27" s="30">
        <f>+Producción!FS14*FQ5</f>
        <v>0</v>
      </c>
      <c r="FR27" s="30">
        <f>+Producción!FT14*FR5</f>
        <v>435186.62038401858</v>
      </c>
      <c r="FS27" s="30">
        <f>+Producción!FU14*FS5</f>
        <v>303010.07652238861</v>
      </c>
      <c r="FT27" s="30">
        <f>+Producción!FV14*FT5</f>
        <v>302055.82805222803</v>
      </c>
      <c r="FU27" s="30">
        <f>+Producción!FW14*FU5</f>
        <v>93933.417743829545</v>
      </c>
      <c r="FV27" s="30">
        <f>+Producción!FX14*FV5</f>
        <v>0</v>
      </c>
      <c r="FW27" s="30">
        <f>+Producción!FY14*FW5</f>
        <v>0</v>
      </c>
      <c r="FX27" s="30">
        <f>+Producción!FZ14*FX5</f>
        <v>0</v>
      </c>
      <c r="FY27" s="30">
        <f>+Producción!GA14*FY5</f>
        <v>0</v>
      </c>
      <c r="FZ27" s="30">
        <f>+Producción!GB14*FZ5</f>
        <v>0</v>
      </c>
      <c r="GA27" s="30">
        <f>+Producción!GC14*GA5</f>
        <v>0</v>
      </c>
      <c r="GB27" s="30">
        <f>+Producción!GD14*GB5</f>
        <v>0</v>
      </c>
      <c r="GC27" s="30">
        <f>+Producción!GE14*GC5</f>
        <v>0</v>
      </c>
      <c r="GD27" s="30">
        <f>+Producción!GF14*GD5</f>
        <v>448242.21899553918</v>
      </c>
      <c r="GE27" s="30">
        <f>+Producción!GG14*GE5</f>
        <v>312100.37881806033</v>
      </c>
      <c r="GF27" s="30">
        <f>+Producción!GH14*GF5</f>
        <v>311117.50289379491</v>
      </c>
      <c r="GG27" s="30">
        <f>+Producción!GI14*GG5</f>
        <v>96751.420276144432</v>
      </c>
      <c r="GH27" s="30">
        <f>+Producción!GJ14*GH5</f>
        <v>0</v>
      </c>
      <c r="GI27" s="30">
        <f>+Producción!GK14*GI5</f>
        <v>0</v>
      </c>
      <c r="GJ27" s="30">
        <f>+Producción!GL14*GJ5</f>
        <v>0</v>
      </c>
      <c r="GK27" s="30">
        <f>+Producción!GM14*GK5</f>
        <v>0</v>
      </c>
      <c r="GL27" s="30">
        <f>+Producción!GN14*GL5</f>
        <v>0</v>
      </c>
      <c r="GM27" s="30">
        <f>+Producción!GO14*GM5</f>
        <v>0</v>
      </c>
      <c r="GN27" s="30">
        <f>+Producción!GP14*GN5</f>
        <v>0</v>
      </c>
      <c r="GO27" s="30">
        <f>+Producción!GQ14*GO5</f>
        <v>0</v>
      </c>
      <c r="GP27" s="30">
        <f>+Producción!GR14*GP5</f>
        <v>461689.4855654054</v>
      </c>
      <c r="GQ27" s="30">
        <f>+Producción!GS14*GQ5</f>
        <v>321463.39018260216</v>
      </c>
      <c r="GR27" s="30">
        <f>+Producción!GT14*GR5</f>
        <v>320451.02798060875</v>
      </c>
      <c r="GS27" s="30">
        <f>+Producción!GU14*GS5</f>
        <v>99653.96288442878</v>
      </c>
      <c r="GT27" s="30">
        <f>+Producción!GV14*GT5</f>
        <v>0</v>
      </c>
      <c r="GU27" s="30">
        <f>+Producción!GW14*GU5</f>
        <v>0</v>
      </c>
      <c r="GV27" s="30">
        <f>+Producción!GX14*GV5</f>
        <v>0</v>
      </c>
      <c r="GW27" s="30">
        <f>+Producción!GY14*GW5</f>
        <v>0</v>
      </c>
      <c r="GX27" s="30">
        <f>+Producción!GZ14*GX5</f>
        <v>0</v>
      </c>
      <c r="GY27" s="30">
        <f>+Producción!HA14*GY5</f>
        <v>0</v>
      </c>
      <c r="GZ27" s="30">
        <f>+Producción!HB14*GZ5</f>
        <v>0</v>
      </c>
      <c r="HA27" s="30">
        <f>+Producción!HC14*HA5</f>
        <v>0</v>
      </c>
      <c r="HB27" s="30">
        <f>+Producción!HD14*HB5</f>
        <v>475540.17013236758</v>
      </c>
      <c r="HC27" s="30">
        <f>+Producción!HE14*HC5</f>
        <v>331107.29188808025</v>
      </c>
      <c r="HD27" s="30">
        <f>+Producción!HF14*HD5</f>
        <v>330064.55882002704</v>
      </c>
      <c r="HE27" s="30">
        <f>+Producción!HG14*HE5</f>
        <v>102643.58177096165</v>
      </c>
      <c r="HF27" s="30">
        <f>+Producción!HH14*HF5</f>
        <v>0</v>
      </c>
      <c r="HG27" s="30">
        <f>+Producción!HI14*HG5</f>
        <v>0</v>
      </c>
      <c r="HH27" s="30">
        <f>+Producción!HJ14*HH5</f>
        <v>0</v>
      </c>
      <c r="HI27" s="30">
        <f>+Producción!HK14*HI5</f>
        <v>0</v>
      </c>
      <c r="HJ27" s="30">
        <f>+Producción!HL14*HJ5</f>
        <v>0</v>
      </c>
      <c r="HK27" s="30">
        <f>+Producción!HM14*HK5</f>
        <v>0</v>
      </c>
      <c r="HL27" s="30">
        <f>+Producción!HN14*HL5</f>
        <v>0</v>
      </c>
      <c r="HM27" s="30">
        <f>+Producción!HO14*HM5</f>
        <v>0</v>
      </c>
      <c r="HN27" s="30">
        <f>+Producción!HP14*HN5</f>
        <v>489806.37523633859</v>
      </c>
      <c r="HO27" s="30">
        <f>+Producción!HQ14*HO5</f>
        <v>341040.51064472261</v>
      </c>
      <c r="HP27" s="30">
        <f>+Producción!HR14*HP5</f>
        <v>339966.4955846279</v>
      </c>
      <c r="HQ27" s="30">
        <f>+Producción!HS14*HQ5</f>
        <v>105722.8892240905</v>
      </c>
      <c r="HR27" s="30">
        <f>+Producción!HT14*HR5</f>
        <v>0</v>
      </c>
      <c r="HS27" s="30">
        <f>+Producción!HU14*HS5</f>
        <v>0</v>
      </c>
      <c r="HT27" s="30">
        <f>+Producción!HV14*HT5</f>
        <v>0</v>
      </c>
      <c r="HU27" s="30">
        <f>+Producción!HW14*HU5</f>
        <v>0</v>
      </c>
      <c r="HV27" s="30">
        <f>+Producción!HX14*HV5</f>
        <v>0</v>
      </c>
      <c r="HW27" s="30">
        <f>+Producción!HY14*HW5</f>
        <v>0</v>
      </c>
      <c r="HX27" s="30">
        <f>+Producción!HZ14*HX5</f>
        <v>0</v>
      </c>
      <c r="HY27" s="30">
        <f>+Producción!IA14*HY5</f>
        <v>0</v>
      </c>
      <c r="HZ27" s="30">
        <f>+Producción!IB14*HZ5</f>
        <v>504500.56649342878</v>
      </c>
      <c r="IA27" s="30">
        <f>+Producción!IC14*IA5</f>
        <v>351271.72596406436</v>
      </c>
      <c r="IB27" s="30">
        <f>+Producción!ID14*IB5</f>
        <v>350165.4904521667</v>
      </c>
      <c r="IC27" s="30">
        <f>+Producción!IE14*IC5</f>
        <v>108894.57590081322</v>
      </c>
      <c r="ID27" s="30">
        <f>+Producción!IF14*ID5</f>
        <v>0</v>
      </c>
      <c r="IE27" s="30">
        <f>+Producción!IG14*IE5</f>
        <v>0</v>
      </c>
      <c r="IF27" s="30">
        <f>+Producción!IH14*IF5</f>
        <v>0</v>
      </c>
      <c r="IG27" s="30">
        <f>+Producción!II14*IG5</f>
        <v>0</v>
      </c>
      <c r="IH27" s="30">
        <f>+Producción!IJ14*IH5</f>
        <v>0</v>
      </c>
      <c r="II27" s="30">
        <f>+Producción!IK14*II5</f>
        <v>0</v>
      </c>
      <c r="IJ27" s="30">
        <f>+Producción!IL14*IJ5</f>
        <v>0</v>
      </c>
      <c r="IK27" s="30">
        <f>+Producción!IM14*IK5</f>
        <v>0</v>
      </c>
      <c r="IL27" s="30">
        <f>+Producción!IN14*IL5</f>
        <v>519635.58348823164</v>
      </c>
      <c r="IM27" s="30">
        <f>+Producción!IO14*IM5</f>
        <v>361809.87774298625</v>
      </c>
    </row>
    <row r="28" spans="1:247" x14ac:dyDescent="0.3">
      <c r="A28" t="s">
        <v>917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>
        <f t="shared" ref="AD28" si="26">+AD27*$B$1</f>
        <v>61046.227933305549</v>
      </c>
      <c r="AE28" s="30">
        <f t="shared" ref="AE28:CP28" si="27">+AE27*$B$1</f>
        <v>42505.034233707302</v>
      </c>
      <c r="AF28" s="30">
        <f t="shared" si="27"/>
        <v>42371.176098172189</v>
      </c>
      <c r="AG28" s="30">
        <f t="shared" si="27"/>
        <v>13176.601856656729</v>
      </c>
      <c r="AH28" s="30">
        <f t="shared" si="27"/>
        <v>0</v>
      </c>
      <c r="AI28" s="30">
        <f t="shared" si="27"/>
        <v>0</v>
      </c>
      <c r="AJ28" s="30">
        <f t="shared" si="27"/>
        <v>0</v>
      </c>
      <c r="AK28" s="30">
        <f t="shared" si="27"/>
        <v>0</v>
      </c>
      <c r="AL28" s="30">
        <f t="shared" si="27"/>
        <v>0</v>
      </c>
      <c r="AM28" s="30">
        <f t="shared" si="27"/>
        <v>0</v>
      </c>
      <c r="AN28" s="30">
        <f t="shared" si="27"/>
        <v>0</v>
      </c>
      <c r="AO28" s="30">
        <f t="shared" si="27"/>
        <v>0</v>
      </c>
      <c r="AP28" s="30">
        <f t="shared" si="27"/>
        <v>62877.614771304725</v>
      </c>
      <c r="AQ28" s="30">
        <f t="shared" si="27"/>
        <v>43780.185260718521</v>
      </c>
      <c r="AR28" s="30">
        <f t="shared" si="27"/>
        <v>43642.311381117353</v>
      </c>
      <c r="AS28" s="30">
        <f t="shared" si="27"/>
        <v>13571.899912356432</v>
      </c>
      <c r="AT28" s="30">
        <f t="shared" si="27"/>
        <v>0</v>
      </c>
      <c r="AU28" s="30">
        <f t="shared" si="27"/>
        <v>0</v>
      </c>
      <c r="AV28" s="30">
        <f t="shared" si="27"/>
        <v>0</v>
      </c>
      <c r="AW28" s="30">
        <f t="shared" si="27"/>
        <v>0</v>
      </c>
      <c r="AX28" s="30">
        <f t="shared" si="27"/>
        <v>0</v>
      </c>
      <c r="AY28" s="30">
        <f t="shared" si="27"/>
        <v>0</v>
      </c>
      <c r="AZ28" s="30">
        <f t="shared" si="27"/>
        <v>0</v>
      </c>
      <c r="BA28" s="30">
        <f t="shared" si="27"/>
        <v>0</v>
      </c>
      <c r="BB28" s="30">
        <f t="shared" si="27"/>
        <v>64763.943214443862</v>
      </c>
      <c r="BC28" s="30">
        <f t="shared" si="27"/>
        <v>45093.590818540077</v>
      </c>
      <c r="BD28" s="30">
        <f t="shared" si="27"/>
        <v>44951.580722550883</v>
      </c>
      <c r="BE28" s="30">
        <f t="shared" si="27"/>
        <v>13979.056909727125</v>
      </c>
      <c r="BF28" s="30">
        <f t="shared" si="27"/>
        <v>0</v>
      </c>
      <c r="BG28" s="30">
        <f t="shared" si="27"/>
        <v>0</v>
      </c>
      <c r="BH28" s="30">
        <f t="shared" si="27"/>
        <v>0</v>
      </c>
      <c r="BI28" s="30">
        <f t="shared" si="27"/>
        <v>0</v>
      </c>
      <c r="BJ28" s="30">
        <f t="shared" si="27"/>
        <v>0</v>
      </c>
      <c r="BK28" s="30">
        <f t="shared" si="27"/>
        <v>0</v>
      </c>
      <c r="BL28" s="30">
        <f t="shared" si="27"/>
        <v>0</v>
      </c>
      <c r="BM28" s="30">
        <f t="shared" si="27"/>
        <v>0</v>
      </c>
      <c r="BN28" s="30">
        <f t="shared" si="27"/>
        <v>66706.861510877192</v>
      </c>
      <c r="BO28" s="30">
        <f t="shared" si="27"/>
        <v>46446.398543096286</v>
      </c>
      <c r="BP28" s="30">
        <f t="shared" si="27"/>
        <v>46300.128144227405</v>
      </c>
      <c r="BQ28" s="30">
        <f t="shared" si="27"/>
        <v>14398.428617018939</v>
      </c>
      <c r="BR28" s="30">
        <f t="shared" si="27"/>
        <v>0</v>
      </c>
      <c r="BS28" s="30">
        <f t="shared" si="27"/>
        <v>0</v>
      </c>
      <c r="BT28" s="30">
        <f t="shared" si="27"/>
        <v>0</v>
      </c>
      <c r="BU28" s="30">
        <f t="shared" si="27"/>
        <v>0</v>
      </c>
      <c r="BV28" s="30">
        <f t="shared" si="27"/>
        <v>0</v>
      </c>
      <c r="BW28" s="30">
        <f t="shared" si="27"/>
        <v>0</v>
      </c>
      <c r="BX28" s="30">
        <f t="shared" si="27"/>
        <v>0</v>
      </c>
      <c r="BY28" s="30">
        <f t="shared" si="27"/>
        <v>0</v>
      </c>
      <c r="BZ28" s="30">
        <f t="shared" si="27"/>
        <v>68708.067356203494</v>
      </c>
      <c r="CA28" s="30">
        <f t="shared" si="27"/>
        <v>47839.790499389172</v>
      </c>
      <c r="CB28" s="30">
        <f t="shared" si="27"/>
        <v>47689.131988554233</v>
      </c>
      <c r="CC28" s="30">
        <f t="shared" si="27"/>
        <v>14830.38147552951</v>
      </c>
      <c r="CD28" s="30">
        <f t="shared" si="27"/>
        <v>0</v>
      </c>
      <c r="CE28" s="30">
        <f t="shared" si="27"/>
        <v>0</v>
      </c>
      <c r="CF28" s="30">
        <f t="shared" si="27"/>
        <v>0</v>
      </c>
      <c r="CG28" s="30">
        <f t="shared" si="27"/>
        <v>0</v>
      </c>
      <c r="CH28" s="30">
        <f t="shared" si="27"/>
        <v>0</v>
      </c>
      <c r="CI28" s="30">
        <f t="shared" si="27"/>
        <v>0</v>
      </c>
      <c r="CJ28" s="30">
        <f t="shared" si="27"/>
        <v>0</v>
      </c>
      <c r="CK28" s="30">
        <f t="shared" si="27"/>
        <v>0</v>
      </c>
      <c r="CL28" s="30">
        <f t="shared" si="27"/>
        <v>70769.309376889607</v>
      </c>
      <c r="CM28" s="30">
        <f t="shared" si="27"/>
        <v>49274.984214370852</v>
      </c>
      <c r="CN28" s="30">
        <f t="shared" si="27"/>
        <v>49119.805948210858</v>
      </c>
      <c r="CO28" s="30">
        <f t="shared" si="27"/>
        <v>15275.292919795393</v>
      </c>
      <c r="CP28" s="30">
        <f t="shared" si="27"/>
        <v>0</v>
      </c>
      <c r="CQ28" s="30">
        <f t="shared" ref="CQ28:FB28" si="28">+CQ27*$B$1</f>
        <v>0</v>
      </c>
      <c r="CR28" s="30">
        <f t="shared" si="28"/>
        <v>0</v>
      </c>
      <c r="CS28" s="30">
        <f t="shared" si="28"/>
        <v>0</v>
      </c>
      <c r="CT28" s="30">
        <f t="shared" si="28"/>
        <v>0</v>
      </c>
      <c r="CU28" s="30">
        <f t="shared" si="28"/>
        <v>0</v>
      </c>
      <c r="CV28" s="30">
        <f t="shared" si="28"/>
        <v>0</v>
      </c>
      <c r="CW28" s="30">
        <f t="shared" si="28"/>
        <v>0</v>
      </c>
      <c r="CX28" s="30">
        <f t="shared" si="28"/>
        <v>72892.388658196302</v>
      </c>
      <c r="CY28" s="30">
        <f t="shared" si="28"/>
        <v>50753.233740801981</v>
      </c>
      <c r="CZ28" s="30">
        <f t="shared" si="28"/>
        <v>50593.400126657187</v>
      </c>
      <c r="DA28" s="30">
        <f t="shared" si="28"/>
        <v>15733.551707389255</v>
      </c>
      <c r="DB28" s="30">
        <f t="shared" si="28"/>
        <v>0</v>
      </c>
      <c r="DC28" s="30">
        <f t="shared" si="28"/>
        <v>0</v>
      </c>
      <c r="DD28" s="30">
        <f t="shared" si="28"/>
        <v>0</v>
      </c>
      <c r="DE28" s="30">
        <f t="shared" si="28"/>
        <v>0</v>
      </c>
      <c r="DF28" s="30">
        <f t="shared" si="28"/>
        <v>0</v>
      </c>
      <c r="DG28" s="30">
        <f t="shared" si="28"/>
        <v>0</v>
      </c>
      <c r="DH28" s="30">
        <f t="shared" si="28"/>
        <v>0</v>
      </c>
      <c r="DI28" s="30">
        <f t="shared" si="28"/>
        <v>0</v>
      </c>
      <c r="DJ28" s="30">
        <f t="shared" si="28"/>
        <v>75079.160317942195</v>
      </c>
      <c r="DK28" s="30">
        <f t="shared" si="28"/>
        <v>52275.830753026035</v>
      </c>
      <c r="DL28" s="30">
        <f t="shared" si="28"/>
        <v>52111.202130456906</v>
      </c>
      <c r="DM28" s="30">
        <f t="shared" si="28"/>
        <v>16205.558258610936</v>
      </c>
      <c r="DN28" s="30">
        <f t="shared" si="28"/>
        <v>0</v>
      </c>
      <c r="DO28" s="30">
        <f t="shared" si="28"/>
        <v>0</v>
      </c>
      <c r="DP28" s="30">
        <f t="shared" si="28"/>
        <v>0</v>
      </c>
      <c r="DQ28" s="30">
        <f t="shared" si="28"/>
        <v>0</v>
      </c>
      <c r="DR28" s="30">
        <f t="shared" si="28"/>
        <v>0</v>
      </c>
      <c r="DS28" s="30">
        <f t="shared" si="28"/>
        <v>0</v>
      </c>
      <c r="DT28" s="30">
        <f t="shared" si="28"/>
        <v>0</v>
      </c>
      <c r="DU28" s="30">
        <f t="shared" si="28"/>
        <v>0</v>
      </c>
      <c r="DV28" s="30">
        <f t="shared" si="28"/>
        <v>77331.535127480456</v>
      </c>
      <c r="DW28" s="30">
        <f t="shared" si="28"/>
        <v>53844.105675616818</v>
      </c>
      <c r="DX28" s="30">
        <f t="shared" si="28"/>
        <v>53674.538194370609</v>
      </c>
      <c r="DY28" s="30">
        <f t="shared" si="28"/>
        <v>16691.725006369259</v>
      </c>
      <c r="DZ28" s="30">
        <f t="shared" si="28"/>
        <v>0</v>
      </c>
      <c r="EA28" s="30">
        <f t="shared" si="28"/>
        <v>0</v>
      </c>
      <c r="EB28" s="30">
        <f t="shared" si="28"/>
        <v>0</v>
      </c>
      <c r="EC28" s="30">
        <f t="shared" si="28"/>
        <v>0</v>
      </c>
      <c r="ED28" s="30">
        <f t="shared" si="28"/>
        <v>0</v>
      </c>
      <c r="EE28" s="30">
        <f t="shared" si="28"/>
        <v>0</v>
      </c>
      <c r="EF28" s="30">
        <f t="shared" si="28"/>
        <v>0</v>
      </c>
      <c r="EG28" s="30">
        <f t="shared" si="28"/>
        <v>0</v>
      </c>
      <c r="EH28" s="30">
        <f t="shared" si="28"/>
        <v>79651.481181304873</v>
      </c>
      <c r="EI28" s="30">
        <f t="shared" si="28"/>
        <v>55459.428845885319</v>
      </c>
      <c r="EJ28" s="30">
        <f t="shared" si="28"/>
        <v>55284.77434020173</v>
      </c>
      <c r="EK28" s="30">
        <f t="shared" si="28"/>
        <v>17192.47675656034</v>
      </c>
      <c r="EL28" s="30">
        <f t="shared" si="28"/>
        <v>0</v>
      </c>
      <c r="EM28" s="30">
        <f t="shared" si="28"/>
        <v>0</v>
      </c>
      <c r="EN28" s="30">
        <f t="shared" si="28"/>
        <v>0</v>
      </c>
      <c r="EO28" s="30">
        <f t="shared" si="28"/>
        <v>0</v>
      </c>
      <c r="EP28" s="30">
        <f t="shared" si="28"/>
        <v>0</v>
      </c>
      <c r="EQ28" s="30">
        <f t="shared" si="28"/>
        <v>0</v>
      </c>
      <c r="ER28" s="30">
        <f t="shared" si="28"/>
        <v>0</v>
      </c>
      <c r="ES28" s="30">
        <f t="shared" si="28"/>
        <v>0</v>
      </c>
      <c r="ET28" s="30">
        <f t="shared" si="28"/>
        <v>82041.025616744024</v>
      </c>
      <c r="EU28" s="30">
        <f t="shared" si="28"/>
        <v>57123.211711261887</v>
      </c>
      <c r="EV28" s="30">
        <f t="shared" si="28"/>
        <v>56943.317570407788</v>
      </c>
      <c r="EW28" s="30">
        <f t="shared" si="28"/>
        <v>17708.251059257153</v>
      </c>
      <c r="EX28" s="30">
        <f t="shared" si="28"/>
        <v>0</v>
      </c>
      <c r="EY28" s="30">
        <f t="shared" si="28"/>
        <v>0</v>
      </c>
      <c r="EZ28" s="30">
        <f t="shared" si="28"/>
        <v>0</v>
      </c>
      <c r="FA28" s="30">
        <f t="shared" si="28"/>
        <v>0</v>
      </c>
      <c r="FB28" s="30">
        <f t="shared" si="28"/>
        <v>0</v>
      </c>
      <c r="FC28" s="30">
        <f t="shared" ref="FC28:HN28" si="29">+FC27*$B$1</f>
        <v>0</v>
      </c>
      <c r="FD28" s="30">
        <f t="shared" si="29"/>
        <v>0</v>
      </c>
      <c r="FE28" s="30">
        <f t="shared" si="29"/>
        <v>0</v>
      </c>
      <c r="FF28" s="30">
        <f t="shared" si="29"/>
        <v>84502.256385246335</v>
      </c>
      <c r="FG28" s="30">
        <f t="shared" si="29"/>
        <v>58836.908062599745</v>
      </c>
      <c r="FH28" s="30">
        <f t="shared" si="29"/>
        <v>58651.617097520015</v>
      </c>
      <c r="FI28" s="30">
        <f t="shared" si="29"/>
        <v>18239.498591034866</v>
      </c>
      <c r="FJ28" s="30">
        <f t="shared" si="29"/>
        <v>0</v>
      </c>
      <c r="FK28" s="30">
        <f t="shared" si="29"/>
        <v>0</v>
      </c>
      <c r="FL28" s="30">
        <f t="shared" si="29"/>
        <v>0</v>
      </c>
      <c r="FM28" s="30">
        <f t="shared" si="29"/>
        <v>0</v>
      </c>
      <c r="FN28" s="30">
        <f t="shared" si="29"/>
        <v>0</v>
      </c>
      <c r="FO28" s="30">
        <f t="shared" si="29"/>
        <v>0</v>
      </c>
      <c r="FP28" s="30">
        <f t="shared" si="29"/>
        <v>0</v>
      </c>
      <c r="FQ28" s="30">
        <f t="shared" si="29"/>
        <v>0</v>
      </c>
      <c r="FR28" s="30">
        <f t="shared" si="29"/>
        <v>87037.324076803721</v>
      </c>
      <c r="FS28" s="30">
        <f t="shared" si="29"/>
        <v>60602.015304477725</v>
      </c>
      <c r="FT28" s="30">
        <f t="shared" si="29"/>
        <v>60411.165610445605</v>
      </c>
      <c r="FU28" s="30">
        <f t="shared" si="29"/>
        <v>18786.683548765908</v>
      </c>
      <c r="FV28" s="30">
        <f t="shared" si="29"/>
        <v>0</v>
      </c>
      <c r="FW28" s="30">
        <f t="shared" si="29"/>
        <v>0</v>
      </c>
      <c r="FX28" s="30">
        <f t="shared" si="29"/>
        <v>0</v>
      </c>
      <c r="FY28" s="30">
        <f t="shared" si="29"/>
        <v>0</v>
      </c>
      <c r="FZ28" s="30">
        <f t="shared" si="29"/>
        <v>0</v>
      </c>
      <c r="GA28" s="30">
        <f t="shared" si="29"/>
        <v>0</v>
      </c>
      <c r="GB28" s="30">
        <f t="shared" si="29"/>
        <v>0</v>
      </c>
      <c r="GC28" s="30">
        <f t="shared" si="29"/>
        <v>0</v>
      </c>
      <c r="GD28" s="30">
        <f t="shared" si="29"/>
        <v>89648.443799107845</v>
      </c>
      <c r="GE28" s="30">
        <f t="shared" si="29"/>
        <v>62420.075763612069</v>
      </c>
      <c r="GF28" s="30">
        <f t="shared" si="29"/>
        <v>62223.500578758983</v>
      </c>
      <c r="GG28" s="30">
        <f t="shared" si="29"/>
        <v>19350.284055228887</v>
      </c>
      <c r="GH28" s="30">
        <f t="shared" si="29"/>
        <v>0</v>
      </c>
      <c r="GI28" s="30">
        <f t="shared" si="29"/>
        <v>0</v>
      </c>
      <c r="GJ28" s="30">
        <f t="shared" si="29"/>
        <v>0</v>
      </c>
      <c r="GK28" s="30">
        <f t="shared" si="29"/>
        <v>0</v>
      </c>
      <c r="GL28" s="30">
        <f t="shared" si="29"/>
        <v>0</v>
      </c>
      <c r="GM28" s="30">
        <f t="shared" si="29"/>
        <v>0</v>
      </c>
      <c r="GN28" s="30">
        <f t="shared" si="29"/>
        <v>0</v>
      </c>
      <c r="GO28" s="30">
        <f t="shared" si="29"/>
        <v>0</v>
      </c>
      <c r="GP28" s="30">
        <f t="shared" si="29"/>
        <v>92337.897113081082</v>
      </c>
      <c r="GQ28" s="30">
        <f t="shared" si="29"/>
        <v>64292.678036520432</v>
      </c>
      <c r="GR28" s="30">
        <f t="shared" si="29"/>
        <v>64090.205596121756</v>
      </c>
      <c r="GS28" s="30">
        <f t="shared" si="29"/>
        <v>19930.792576885757</v>
      </c>
      <c r="GT28" s="30">
        <f t="shared" si="29"/>
        <v>0</v>
      </c>
      <c r="GU28" s="30">
        <f t="shared" si="29"/>
        <v>0</v>
      </c>
      <c r="GV28" s="30">
        <f t="shared" si="29"/>
        <v>0</v>
      </c>
      <c r="GW28" s="30">
        <f t="shared" si="29"/>
        <v>0</v>
      </c>
      <c r="GX28" s="30">
        <f t="shared" si="29"/>
        <v>0</v>
      </c>
      <c r="GY28" s="30">
        <f t="shared" si="29"/>
        <v>0</v>
      </c>
      <c r="GZ28" s="30">
        <f t="shared" si="29"/>
        <v>0</v>
      </c>
      <c r="HA28" s="30">
        <f t="shared" si="29"/>
        <v>0</v>
      </c>
      <c r="HB28" s="30">
        <f t="shared" si="29"/>
        <v>95108.034026473528</v>
      </c>
      <c r="HC28" s="30">
        <f t="shared" si="29"/>
        <v>66221.458377616058</v>
      </c>
      <c r="HD28" s="30">
        <f t="shared" si="29"/>
        <v>66012.911764005417</v>
      </c>
      <c r="HE28" s="30">
        <f t="shared" si="29"/>
        <v>20528.716354192333</v>
      </c>
      <c r="HF28" s="30">
        <f t="shared" si="29"/>
        <v>0</v>
      </c>
      <c r="HG28" s="30">
        <f t="shared" si="29"/>
        <v>0</v>
      </c>
      <c r="HH28" s="30">
        <f t="shared" si="29"/>
        <v>0</v>
      </c>
      <c r="HI28" s="30">
        <f t="shared" si="29"/>
        <v>0</v>
      </c>
      <c r="HJ28" s="30">
        <f t="shared" si="29"/>
        <v>0</v>
      </c>
      <c r="HK28" s="30">
        <f t="shared" si="29"/>
        <v>0</v>
      </c>
      <c r="HL28" s="30">
        <f t="shared" si="29"/>
        <v>0</v>
      </c>
      <c r="HM28" s="30">
        <f t="shared" si="29"/>
        <v>0</v>
      </c>
      <c r="HN28" s="30">
        <f t="shared" si="29"/>
        <v>97961.275047267729</v>
      </c>
      <c r="HO28" s="30">
        <f t="shared" ref="HO28:IM28" si="30">+HO27*$B$1</f>
        <v>68208.10212894452</v>
      </c>
      <c r="HP28" s="30">
        <f t="shared" si="30"/>
        <v>67993.299116925584</v>
      </c>
      <c r="HQ28" s="30">
        <f t="shared" si="30"/>
        <v>21144.577844818101</v>
      </c>
      <c r="HR28" s="30">
        <f t="shared" si="30"/>
        <v>0</v>
      </c>
      <c r="HS28" s="30">
        <f t="shared" si="30"/>
        <v>0</v>
      </c>
      <c r="HT28" s="30">
        <f t="shared" si="30"/>
        <v>0</v>
      </c>
      <c r="HU28" s="30">
        <f t="shared" si="30"/>
        <v>0</v>
      </c>
      <c r="HV28" s="30">
        <f t="shared" si="30"/>
        <v>0</v>
      </c>
      <c r="HW28" s="30">
        <f t="shared" si="30"/>
        <v>0</v>
      </c>
      <c r="HX28" s="30">
        <f t="shared" si="30"/>
        <v>0</v>
      </c>
      <c r="HY28" s="30">
        <f t="shared" si="30"/>
        <v>0</v>
      </c>
      <c r="HZ28" s="30">
        <f t="shared" si="30"/>
        <v>100900.11329868576</v>
      </c>
      <c r="IA28" s="30">
        <f t="shared" si="30"/>
        <v>70254.345192812878</v>
      </c>
      <c r="IB28" s="30">
        <f t="shared" si="30"/>
        <v>70033.098090433341</v>
      </c>
      <c r="IC28" s="30">
        <f t="shared" si="30"/>
        <v>21778.915180162643</v>
      </c>
      <c r="ID28" s="30">
        <f t="shared" si="30"/>
        <v>0</v>
      </c>
      <c r="IE28" s="30">
        <f t="shared" si="30"/>
        <v>0</v>
      </c>
      <c r="IF28" s="30">
        <f t="shared" si="30"/>
        <v>0</v>
      </c>
      <c r="IG28" s="30">
        <f t="shared" si="30"/>
        <v>0</v>
      </c>
      <c r="IH28" s="30">
        <f t="shared" si="30"/>
        <v>0</v>
      </c>
      <c r="II28" s="30">
        <f t="shared" si="30"/>
        <v>0</v>
      </c>
      <c r="IJ28" s="30">
        <f t="shared" si="30"/>
        <v>0</v>
      </c>
      <c r="IK28" s="30">
        <f t="shared" si="30"/>
        <v>0</v>
      </c>
      <c r="IL28" s="30">
        <f t="shared" si="30"/>
        <v>103927.11669764633</v>
      </c>
      <c r="IM28" s="30">
        <f t="shared" si="30"/>
        <v>72361.975548597256</v>
      </c>
    </row>
    <row r="29" spans="1:247" x14ac:dyDescent="0.3">
      <c r="A29" t="s">
        <v>918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>
        <f>Producción!AF15*AD8</f>
        <v>0</v>
      </c>
      <c r="AE29" s="30">
        <f>Producción!AG15*AE8</f>
        <v>0</v>
      </c>
      <c r="AF29" s="30">
        <f>Producción!AH15*AF8</f>
        <v>0</v>
      </c>
      <c r="AG29" s="30">
        <f>Producción!AI15*AG8</f>
        <v>0</v>
      </c>
      <c r="AH29" s="30">
        <f>Producción!AJ15*AH8</f>
        <v>-181752.54727993876</v>
      </c>
      <c r="AI29" s="30">
        <f>Producción!AK15*AI8</f>
        <v>-294855.73939479742</v>
      </c>
      <c r="AJ29" s="30">
        <f>Producción!AL15*AJ8</f>
        <v>-260519.88284000003</v>
      </c>
      <c r="AK29" s="30">
        <f>Producción!AM15*AK8</f>
        <v>-195537.95008000016</v>
      </c>
      <c r="AL29" s="30">
        <f>Producción!AN15*AL8</f>
        <v>-397234.61356000014</v>
      </c>
      <c r="AM29" s="30">
        <f>Producción!AO15*AM8</f>
        <v>-389226.56877064961</v>
      </c>
      <c r="AN29" s="30">
        <f>Producción!AP15*AN8</f>
        <v>-270817.41453438357</v>
      </c>
      <c r="AO29" s="30">
        <f>Producción!AQ15*AO8</f>
        <v>-238115.22285113367</v>
      </c>
      <c r="AP29" s="30">
        <f>Producción!AR15*AP8</f>
        <v>0</v>
      </c>
      <c r="AQ29" s="30">
        <f>Producción!AS15*AQ8</f>
        <v>0</v>
      </c>
      <c r="AR29" s="30">
        <f>Producción!AT15*AR8</f>
        <v>0</v>
      </c>
      <c r="AS29" s="30">
        <f>Producción!AU15*AS8</f>
        <v>0</v>
      </c>
      <c r="AT29" s="30">
        <f>Producción!AV15*AT8</f>
        <v>-190840.17464393569</v>
      </c>
      <c r="AU29" s="30">
        <f>Producción!AW15*AU8</f>
        <v>-309598.52636453731</v>
      </c>
      <c r="AV29" s="30">
        <f>Producción!AX15*AV8</f>
        <v>-260519.88284000003</v>
      </c>
      <c r="AW29" s="30">
        <f>Producción!AY15*AW8</f>
        <v>-195537.95008000016</v>
      </c>
      <c r="AX29" s="30">
        <f>Producción!AZ15*AX8</f>
        <v>-397234.61356000014</v>
      </c>
      <c r="AY29" s="30">
        <f>Producción!BA15*AY8</f>
        <v>-408687.89720918209</v>
      </c>
      <c r="AZ29" s="30">
        <f>Producción!BB15*AZ8</f>
        <v>-284358.28526110278</v>
      </c>
      <c r="BA29" s="30">
        <f>Producción!BC15*BA8</f>
        <v>-250020.98399369037</v>
      </c>
      <c r="BB29" s="30">
        <f>Producción!BD15*BB8</f>
        <v>0</v>
      </c>
      <c r="BC29" s="30">
        <f>Producción!BE15*BC8</f>
        <v>0</v>
      </c>
      <c r="BD29" s="30">
        <f>Producción!BF15*BD8</f>
        <v>0</v>
      </c>
      <c r="BE29" s="30">
        <f>Producción!BG15*BE8</f>
        <v>0</v>
      </c>
      <c r="BF29" s="30">
        <f>Producción!BH15*BF8</f>
        <v>-200382.18337613251</v>
      </c>
      <c r="BG29" s="30">
        <f>Producción!BI15*BG8</f>
        <v>-325078.45268276421</v>
      </c>
      <c r="BH29" s="30">
        <f>Producción!BJ15*BH8</f>
        <v>-260519.88284000003</v>
      </c>
      <c r="BI29" s="30">
        <f>Producción!BK15*BI8</f>
        <v>-195537.95008000016</v>
      </c>
      <c r="BJ29" s="30">
        <f>Producción!BL15*BJ8</f>
        <v>-397234.61356000014</v>
      </c>
      <c r="BK29" s="30">
        <f>Producción!BM15*BK8</f>
        <v>-429122.29206964123</v>
      </c>
      <c r="BL29" s="30">
        <f>Producción!BN15*BL8</f>
        <v>-298576.19952415791</v>
      </c>
      <c r="BM29" s="30">
        <f>Producción!BO15*BM8</f>
        <v>-262522.03319337487</v>
      </c>
      <c r="BN29" s="30">
        <f>Producción!BP15*BN8</f>
        <v>0</v>
      </c>
      <c r="BO29" s="30">
        <f>Producción!BQ15*BO8</f>
        <v>0</v>
      </c>
      <c r="BP29" s="30">
        <f>Producción!BR15*BP8</f>
        <v>0</v>
      </c>
      <c r="BQ29" s="30">
        <f>Producción!BS15*BQ8</f>
        <v>0</v>
      </c>
      <c r="BR29" s="30">
        <f>Producción!BT15*BR8</f>
        <v>-210401.29254493915</v>
      </c>
      <c r="BS29" s="30">
        <f>Producción!BU15*BS8</f>
        <v>-341332.37531690247</v>
      </c>
      <c r="BT29" s="30">
        <f>Producción!BV15*BT8</f>
        <v>-271414.08828272438</v>
      </c>
      <c r="BU29" s="30">
        <f>Producción!BW15*BU8</f>
        <v>-195537.95008000016</v>
      </c>
      <c r="BV29" s="30">
        <f>Producción!BX15*BV8</f>
        <v>-397234.61356000014</v>
      </c>
      <c r="BW29" s="30">
        <f>Producción!BY15*BW8</f>
        <v>-450578.40667312336</v>
      </c>
      <c r="BX29" s="30">
        <f>Producción!BZ15*BX8</f>
        <v>-313505.00950036582</v>
      </c>
      <c r="BY29" s="30">
        <f>Producción!CA15*BY8</f>
        <v>-275648.13485304365</v>
      </c>
      <c r="BZ29" s="30">
        <f>Producción!CB15*BZ8</f>
        <v>0</v>
      </c>
      <c r="CA29" s="30">
        <f>Producción!CC15*CA8</f>
        <v>0</v>
      </c>
      <c r="CB29" s="30">
        <f>Producción!CD15*CB8</f>
        <v>0</v>
      </c>
      <c r="CC29" s="30">
        <f>Producción!CE15*CC8</f>
        <v>0</v>
      </c>
      <c r="CD29" s="30">
        <f>Producción!CF15*CD8</f>
        <v>-220921.35717218608</v>
      </c>
      <c r="CE29" s="30">
        <f>Producción!CG15*CE8</f>
        <v>-358398.99408274761</v>
      </c>
      <c r="CF29" s="30">
        <f>Producción!CH15*CF8</f>
        <v>-284984.79269686062</v>
      </c>
      <c r="CG29" s="30">
        <f>Producción!CI15*CG8</f>
        <v>-195537.95008000016</v>
      </c>
      <c r="CH29" s="30">
        <f>Producción!CJ15*CH8</f>
        <v>-412409.79606531136</v>
      </c>
      <c r="CI29" s="30">
        <f>Producción!CK15*CI8</f>
        <v>-473107.32700677961</v>
      </c>
      <c r="CJ29" s="30">
        <f>Producción!CL15*CJ8</f>
        <v>-171519.41599999997</v>
      </c>
      <c r="CK29" s="30">
        <f>Producción!CM15*CK8</f>
        <v>-143883.71980000005</v>
      </c>
      <c r="CL29" s="30">
        <f>Producción!CN15*CL8</f>
        <v>0</v>
      </c>
      <c r="CM29" s="30">
        <f>Producción!CO15*CM8</f>
        <v>0</v>
      </c>
      <c r="CN29" s="30">
        <f>Producción!CP15*CN8</f>
        <v>0</v>
      </c>
      <c r="CO29" s="30">
        <f>Producción!CQ15*CO8</f>
        <v>0</v>
      </c>
      <c r="CP29" s="30">
        <f>Producción!CR15*CP8</f>
        <v>-231967.42503079539</v>
      </c>
      <c r="CQ29" s="30">
        <f>Producción!CS15*CQ8</f>
        <v>-376318.94378688501</v>
      </c>
      <c r="CR29" s="30">
        <f>Producción!CT15*CR8</f>
        <v>-299234.0323317037</v>
      </c>
      <c r="CS29" s="30">
        <f>Producción!CU15*CS8</f>
        <v>-197739.42569938154</v>
      </c>
      <c r="CT29" s="30">
        <f>Producción!CV15*CT8</f>
        <v>-433030.28586857696</v>
      </c>
      <c r="CU29" s="30">
        <f>Producción!CW15*CU8</f>
        <v>-496762.69335711864</v>
      </c>
      <c r="CV29" s="30">
        <f>Producción!CX15*CV8</f>
        <v>-171519.41599999997</v>
      </c>
      <c r="CW29" s="30">
        <f>Producción!CY15*CW8</f>
        <v>-143883.71980000005</v>
      </c>
      <c r="CX29" s="30">
        <f>Producción!CZ15*CX8</f>
        <v>0</v>
      </c>
      <c r="CY29" s="30">
        <f>Producción!DA15*CY8</f>
        <v>0</v>
      </c>
      <c r="CZ29" s="30">
        <f>Producción!DB15*CZ8</f>
        <v>0</v>
      </c>
      <c r="DA29" s="30">
        <f>Producción!DC15*DA8</f>
        <v>0</v>
      </c>
      <c r="DB29" s="30">
        <f>Producción!DD15*DB8</f>
        <v>-243565.79628233518</v>
      </c>
      <c r="DC29" s="30">
        <f>Producción!DE15*DC8</f>
        <v>-395134.89097622928</v>
      </c>
      <c r="DD29" s="30">
        <f>Producción!DF15*DD8</f>
        <v>-314195.73394828883</v>
      </c>
      <c r="DE29" s="30">
        <f>Producción!DG15*DE8</f>
        <v>-207626.39698435063</v>
      </c>
      <c r="DF29" s="30">
        <f>Producción!DH15*DF8</f>
        <v>-454681.80016200576</v>
      </c>
      <c r="DG29" s="30">
        <f>Producción!DI15*DG8</f>
        <v>-521600.8280249745</v>
      </c>
      <c r="DH29" s="30">
        <f>Producción!DJ15*DH8</f>
        <v>-171519.41599999997</v>
      </c>
      <c r="DI29" s="30">
        <f>Producción!DK15*DI8</f>
        <v>-143883.71980000005</v>
      </c>
      <c r="DJ29" s="30">
        <f>Producción!DL15*DJ8</f>
        <v>0</v>
      </c>
      <c r="DK29" s="30">
        <f>Producción!DM15*DK8</f>
        <v>0</v>
      </c>
      <c r="DL29" s="30">
        <f>Producción!DN15*DL8</f>
        <v>0</v>
      </c>
      <c r="DM29" s="30">
        <f>Producción!DO15*DM8</f>
        <v>0</v>
      </c>
      <c r="DN29" s="30">
        <f>Producción!DP15*DN8</f>
        <v>-255744.08609645194</v>
      </c>
      <c r="DO29" s="30">
        <f>Producción!DQ15*DO8</f>
        <v>-414891.63552504079</v>
      </c>
      <c r="DP29" s="30">
        <f>Producción!DR15*DP8</f>
        <v>-329905.52064570331</v>
      </c>
      <c r="DQ29" s="30">
        <f>Producción!DS15*DQ8</f>
        <v>-218007.71683356815</v>
      </c>
      <c r="DR29" s="30">
        <f>Producción!DT15*DR8</f>
        <v>-477415.89017010608</v>
      </c>
      <c r="DS29" s="30">
        <f>Producción!DU15*DS8</f>
        <v>-547680.86942622333</v>
      </c>
      <c r="DT29" s="30">
        <f>Producción!DV15*DT8</f>
        <v>-171519.41599999997</v>
      </c>
      <c r="DU29" s="30">
        <f>Producción!DW15*DU8</f>
        <v>-143883.71980000005</v>
      </c>
      <c r="DV29" s="30">
        <f>Producción!DX15*DV8</f>
        <v>0</v>
      </c>
      <c r="DW29" s="30">
        <f>Producción!DY15*DW8</f>
        <v>0</v>
      </c>
      <c r="DX29" s="30">
        <f>Producción!DZ15*DX8</f>
        <v>0</v>
      </c>
      <c r="DY29" s="30">
        <f>Producción!EA15*DY8</f>
        <v>0</v>
      </c>
      <c r="DZ29" s="30">
        <f>Producción!EB15*DZ8</f>
        <v>-268531.29040127457</v>
      </c>
      <c r="EA29" s="30">
        <f>Producción!EC15*EA8</f>
        <v>-435636.21730129281</v>
      </c>
      <c r="EB29" s="30">
        <f>Producción!ED15*EB8</f>
        <v>-346400.79667798849</v>
      </c>
      <c r="EC29" s="30">
        <f>Producción!EE15*EC8</f>
        <v>-228908.10267524657</v>
      </c>
      <c r="ED29" s="30">
        <f>Producción!EF15*ED8</f>
        <v>-501286.68467861146</v>
      </c>
      <c r="EE29" s="30">
        <f>Producción!EG15*EE8</f>
        <v>-575064.91289753444</v>
      </c>
      <c r="EF29" s="30">
        <f>Producción!EH15*EF8</f>
        <v>-171519.41599999997</v>
      </c>
      <c r="EG29" s="30">
        <f>Producción!EI15*EG8</f>
        <v>-143883.71980000005</v>
      </c>
      <c r="EH29" s="30">
        <f>Producción!EJ15*EH8</f>
        <v>0</v>
      </c>
      <c r="EI29" s="30">
        <f>Producción!EK15*EI8</f>
        <v>0</v>
      </c>
      <c r="EJ29" s="30">
        <f>Producción!EL15*EJ8</f>
        <v>0</v>
      </c>
      <c r="EK29" s="30">
        <f>Producción!EM15*EK8</f>
        <v>0</v>
      </c>
      <c r="EL29" s="30">
        <f>Producción!EN15*EL8</f>
        <v>-281957.85492133832</v>
      </c>
      <c r="EM29" s="30">
        <f>Producción!EO15*EM8</f>
        <v>-457418.02816635754</v>
      </c>
      <c r="EN29" s="30">
        <f>Producción!EP15*EN8</f>
        <v>-363720.8365118879</v>
      </c>
      <c r="EO29" s="30">
        <f>Producción!EQ15*EO8</f>
        <v>-240353.50780900894</v>
      </c>
      <c r="EP29" s="30">
        <f>Producción!ER15*EP8</f>
        <v>-526351.01891254203</v>
      </c>
      <c r="EQ29" s="30">
        <f>Producción!ES15*EQ8</f>
        <v>-603818.15854241129</v>
      </c>
      <c r="ER29" s="30">
        <f>Producción!ET15*ER8</f>
        <v>-171519.41599999997</v>
      </c>
      <c r="ES29" s="30">
        <f>Producción!EU15*ES8</f>
        <v>-143883.71980000005</v>
      </c>
      <c r="ET29" s="30">
        <f>Producción!EV15*ET8</f>
        <v>0</v>
      </c>
      <c r="EU29" s="30">
        <f>Producción!EW15*EU8</f>
        <v>0</v>
      </c>
      <c r="EV29" s="30">
        <f>Producción!EX15*EV8</f>
        <v>0</v>
      </c>
      <c r="EW29" s="30">
        <f>Producción!EY15*EW8</f>
        <v>0</v>
      </c>
      <c r="EX29" s="30">
        <f>Producción!EZ15*EX8</f>
        <v>-214914.82404999994</v>
      </c>
      <c r="EY29" s="30">
        <f>Producción!FA15*EY8</f>
        <v>-352778.78449999989</v>
      </c>
      <c r="EZ29" s="30">
        <f>Producción!FB15*EZ8</f>
        <v>-325649.85355000006</v>
      </c>
      <c r="FA29" s="30">
        <f>Producción!FC15*FA8</f>
        <v>-244422.43760000018</v>
      </c>
      <c r="FB29" s="30">
        <f>Producción!FD15*FB8</f>
        <v>-496543.26695000019</v>
      </c>
      <c r="FC29" s="30">
        <f>Producción!FE15*FC8</f>
        <v>-417466.76990000001</v>
      </c>
      <c r="FD29" s="30">
        <f>Producción!FF15*FD8</f>
        <v>-171519.41599999997</v>
      </c>
      <c r="FE29" s="30">
        <f>Producción!FG15*FE8</f>
        <v>-143883.71980000005</v>
      </c>
      <c r="FF29" s="30">
        <f>Producción!FH15*FF8</f>
        <v>0</v>
      </c>
      <c r="FG29" s="30">
        <f>Producción!FI15*FG8</f>
        <v>0</v>
      </c>
      <c r="FH29" s="30">
        <f>Producción!FJ15*FH8</f>
        <v>0</v>
      </c>
      <c r="FI29" s="30">
        <f>Producción!FK15*FI8</f>
        <v>0</v>
      </c>
      <c r="FJ29" s="30">
        <f>Producción!FL15*FJ8</f>
        <v>-214914.82404999994</v>
      </c>
      <c r="FK29" s="30">
        <f>Producción!FM15*FK8</f>
        <v>-352778.78449999989</v>
      </c>
      <c r="FL29" s="30">
        <f>Producción!FN15*FL8</f>
        <v>-325649.85355000006</v>
      </c>
      <c r="FM29" s="30">
        <f>Producción!FO15*FM8</f>
        <v>-244422.43760000018</v>
      </c>
      <c r="FN29" s="30">
        <f>Producción!FP15*FN8</f>
        <v>-496543.26695000019</v>
      </c>
      <c r="FO29" s="30">
        <f>Producción!FQ15*FO8</f>
        <v>-417466.76990000001</v>
      </c>
      <c r="FP29" s="30">
        <f>Producción!FR15*FP8</f>
        <v>-171519.41599999997</v>
      </c>
      <c r="FQ29" s="30">
        <f>Producción!FS15*FQ8</f>
        <v>-143883.71980000005</v>
      </c>
      <c r="FR29" s="30">
        <f>Producción!FT15*FR8</f>
        <v>0</v>
      </c>
      <c r="FS29" s="30">
        <f>Producción!FU15*FS8</f>
        <v>0</v>
      </c>
      <c r="FT29" s="30">
        <f>Producción!FV15*FT8</f>
        <v>0</v>
      </c>
      <c r="FU29" s="30">
        <f>Producción!FW15*FU8</f>
        <v>0</v>
      </c>
      <c r="FV29" s="30">
        <f>Producción!FX15*FV8</f>
        <v>-214914.82404999994</v>
      </c>
      <c r="FW29" s="30">
        <f>Producción!FY15*FW8</f>
        <v>-352778.78449999989</v>
      </c>
      <c r="FX29" s="30">
        <f>Producción!FZ15*FX8</f>
        <v>-325649.85355000006</v>
      </c>
      <c r="FY29" s="30">
        <f>Producción!GA15*FY8</f>
        <v>-244422.43760000018</v>
      </c>
      <c r="FZ29" s="30">
        <f>Producción!GB15*FZ8</f>
        <v>-496543.26695000019</v>
      </c>
      <c r="GA29" s="30">
        <f>Producción!GC15*GA8</f>
        <v>-417466.76990000001</v>
      </c>
      <c r="GB29" s="30">
        <f>Producción!GD15*GB8</f>
        <v>-171519.41599999997</v>
      </c>
      <c r="GC29" s="30">
        <f>Producción!GE15*GC8</f>
        <v>-143883.71980000005</v>
      </c>
      <c r="GD29" s="30">
        <f>Producción!GF15*GD8</f>
        <v>0</v>
      </c>
      <c r="GE29" s="30">
        <f>Producción!GG15*GE8</f>
        <v>0</v>
      </c>
      <c r="GF29" s="30">
        <f>Producción!GH15*GF8</f>
        <v>0</v>
      </c>
      <c r="GG29" s="30">
        <f>Producción!GI15*GG8</f>
        <v>0</v>
      </c>
      <c r="GH29" s="30">
        <f>Producción!GJ15*GH8</f>
        <v>-214914.82404999994</v>
      </c>
      <c r="GI29" s="30">
        <f>Producción!GK15*GI8</f>
        <v>-352778.78449999989</v>
      </c>
      <c r="GJ29" s="30">
        <f>Producción!GL15*GJ8</f>
        <v>-325649.85355000006</v>
      </c>
      <c r="GK29" s="30">
        <f>Producción!GM15*GK8</f>
        <v>-244422.43760000018</v>
      </c>
      <c r="GL29" s="30">
        <f>Producción!GN15*GL8</f>
        <v>-496543.26695000019</v>
      </c>
      <c r="GM29" s="30">
        <f>Producción!GO15*GM8</f>
        <v>-417466.76990000001</v>
      </c>
      <c r="GN29" s="30">
        <f>Producción!GP15*GN8</f>
        <v>-171519.41599999997</v>
      </c>
      <c r="GO29" s="30">
        <f>Producción!GQ15*GO8</f>
        <v>-143883.71980000005</v>
      </c>
      <c r="GP29" s="30">
        <f>Producción!GR15*GP8</f>
        <v>0</v>
      </c>
      <c r="GQ29" s="30">
        <f>Producción!GS15*GQ8</f>
        <v>0</v>
      </c>
      <c r="GR29" s="30">
        <f>Producción!GT15*GR8</f>
        <v>0</v>
      </c>
      <c r="GS29" s="30">
        <f>Producción!GU15*GS8</f>
        <v>0</v>
      </c>
      <c r="GT29" s="30">
        <f>Producción!GV15*GT8</f>
        <v>-214914.82404999994</v>
      </c>
      <c r="GU29" s="30">
        <f>Producción!GW15*GU8</f>
        <v>-352778.78449999989</v>
      </c>
      <c r="GV29" s="30">
        <f>Producción!GX15*GV8</f>
        <v>-325649.85355000006</v>
      </c>
      <c r="GW29" s="30">
        <f>Producción!GY15*GW8</f>
        <v>-244422.43760000018</v>
      </c>
      <c r="GX29" s="30">
        <f>Producción!GZ15*GX8</f>
        <v>-496543.26695000019</v>
      </c>
      <c r="GY29" s="30">
        <f>Producción!HA15*GY8</f>
        <v>-417466.76990000001</v>
      </c>
      <c r="GZ29" s="30">
        <f>Producción!HB15*GZ8</f>
        <v>-171519.41599999997</v>
      </c>
      <c r="HA29" s="30">
        <f>Producción!HC15*HA8</f>
        <v>-143883.71980000005</v>
      </c>
      <c r="HB29" s="30">
        <f>Producción!HD15*HB8</f>
        <v>0</v>
      </c>
      <c r="HC29" s="30">
        <f>Producción!HE15*HC8</f>
        <v>0</v>
      </c>
      <c r="HD29" s="30">
        <f>Producción!HF15*HD8</f>
        <v>0</v>
      </c>
      <c r="HE29" s="30">
        <f>Producción!HG15*HE8</f>
        <v>0</v>
      </c>
      <c r="HF29" s="30">
        <f>Producción!HH15*HF8</f>
        <v>-214914.82404999994</v>
      </c>
      <c r="HG29" s="30">
        <f>Producción!HI15*HG8</f>
        <v>-352778.78449999989</v>
      </c>
      <c r="HH29" s="30">
        <f>Producción!HJ15*HH8</f>
        <v>-325649.85355000006</v>
      </c>
      <c r="HI29" s="30">
        <f>Producción!HK15*HI8</f>
        <v>-244422.43760000018</v>
      </c>
      <c r="HJ29" s="30">
        <f>Producción!HL15*HJ8</f>
        <v>-496543.26695000019</v>
      </c>
      <c r="HK29" s="30">
        <f>Producción!HM15*HK8</f>
        <v>-417466.76990000001</v>
      </c>
      <c r="HL29" s="30">
        <f>Producción!HN15*HL8</f>
        <v>-171519.41599999997</v>
      </c>
      <c r="HM29" s="30">
        <f>Producción!HO15*HM8</f>
        <v>-143883.71980000005</v>
      </c>
      <c r="HN29" s="30">
        <f>Producción!HP15*HN8</f>
        <v>0</v>
      </c>
      <c r="HO29" s="30">
        <f>Producción!HQ15*HO8</f>
        <v>0</v>
      </c>
      <c r="HP29" s="30">
        <f>Producción!HR15*HP8</f>
        <v>0</v>
      </c>
      <c r="HQ29" s="30">
        <f>Producción!HS15*HQ8</f>
        <v>0</v>
      </c>
      <c r="HR29" s="30">
        <f>Producción!HT15*HR8</f>
        <v>-214914.82404999994</v>
      </c>
      <c r="HS29" s="30">
        <f>Producción!HU15*HS8</f>
        <v>-352778.78449999989</v>
      </c>
      <c r="HT29" s="30">
        <f>Producción!HV15*HT8</f>
        <v>-325649.85355000006</v>
      </c>
      <c r="HU29" s="30">
        <f>Producción!HW15*HU8</f>
        <v>-244422.43760000018</v>
      </c>
      <c r="HV29" s="30">
        <f>Producción!HX15*HV8</f>
        <v>-496543.26695000019</v>
      </c>
      <c r="HW29" s="30">
        <f>Producción!HY15*HW8</f>
        <v>-417466.76990000001</v>
      </c>
      <c r="HX29" s="30">
        <f>Producción!HZ15*HX8</f>
        <v>-171519.41599999997</v>
      </c>
      <c r="HY29" s="30">
        <f>Producción!IA15*HY8</f>
        <v>-143883.71980000005</v>
      </c>
      <c r="HZ29" s="30">
        <f>Producción!IB15*HZ8</f>
        <v>0</v>
      </c>
      <c r="IA29" s="30">
        <f>Producción!IC15*IA8</f>
        <v>0</v>
      </c>
      <c r="IB29" s="30">
        <f>Producción!ID15*IB8</f>
        <v>0</v>
      </c>
      <c r="IC29" s="30">
        <f>Producción!IE15*IC8</f>
        <v>0</v>
      </c>
      <c r="ID29" s="30">
        <f>Producción!IF15*ID8</f>
        <v>-214914.82404999994</v>
      </c>
      <c r="IE29" s="30">
        <f>Producción!IG15*IE8</f>
        <v>-352778.78449999989</v>
      </c>
      <c r="IF29" s="30">
        <f>Producción!IH15*IF8</f>
        <v>-325649.85355000006</v>
      </c>
      <c r="IG29" s="30">
        <f>Producción!II15*IG8</f>
        <v>-244422.43760000018</v>
      </c>
      <c r="IH29" s="30">
        <f>Producción!IJ15*IH8</f>
        <v>-496543.26695000019</v>
      </c>
      <c r="II29" s="30">
        <f>Producción!IK15*II8</f>
        <v>-417466.76990000001</v>
      </c>
      <c r="IJ29" s="30">
        <f>Producción!IL15*IJ8</f>
        <v>-171519.41599999997</v>
      </c>
      <c r="IK29" s="30">
        <f>Producción!IM15*IK8</f>
        <v>-143883.71980000005</v>
      </c>
      <c r="IL29" s="30">
        <f>Producción!IN15*IL8</f>
        <v>0</v>
      </c>
      <c r="IM29" s="30">
        <f>Producción!IO15*IM8</f>
        <v>0</v>
      </c>
    </row>
    <row r="30" spans="1:247" x14ac:dyDescent="0.3">
      <c r="A30" t="s">
        <v>919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</row>
    <row r="31" spans="1:247" x14ac:dyDescent="0.3">
      <c r="A31" t="s">
        <v>943</v>
      </c>
      <c r="B31" s="11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>
        <f ca="1">+'Prestamo 5 años'!L7</f>
        <v>1507151.3897862288</v>
      </c>
      <c r="AE31" s="30">
        <f ca="1">+'Prestamo 5 años'!M7</f>
        <v>1506653.3935923402</v>
      </c>
      <c r="AF31" s="30">
        <f ca="1">+'Prestamo 5 años'!N7</f>
        <v>1506145.0224777448</v>
      </c>
      <c r="AG31" s="30">
        <f ca="1">+'Prestamo 5 años'!O7</f>
        <v>1505626.0602982626</v>
      </c>
      <c r="AH31" s="30">
        <f ca="1">+'Prestamo 5 años'!P7</f>
        <v>1505096.2864067077</v>
      </c>
      <c r="AI31" s="30">
        <f ca="1">+'Prestamo 5 años'!Q7</f>
        <v>1504555.4755590789</v>
      </c>
      <c r="AJ31" s="30">
        <f ca="1">+'Prestamo 5 años'!R7</f>
        <v>1504003.397818791</v>
      </c>
      <c r="AK31" s="30">
        <f ca="1">+'Prestamo 5 años'!S7</f>
        <v>1503439.8184589138</v>
      </c>
      <c r="AL31" s="30">
        <f ca="1">+'Prestamo 5 años'!T7</f>
        <v>1502864.4978623725</v>
      </c>
      <c r="AM31" s="30">
        <f ca="1">+'Prestamo 5 años'!U7</f>
        <v>1502277.1914200699</v>
      </c>
      <c r="AN31" s="30">
        <f ca="1">+'Prestamo 5 años'!V7</f>
        <v>1501677.6494268861</v>
      </c>
      <c r="AO31" s="30">
        <f ca="1">+'Prestamo 5 años'!W7</f>
        <v>1501065.6169755107</v>
      </c>
      <c r="AP31" s="30">
        <f ca="1">+'Prestamo 5 años'!X7</f>
        <v>1500440.8338480652</v>
      </c>
      <c r="AQ31" s="30">
        <f ca="1">+'Prestamo 5 años'!Y7</f>
        <v>1499803.0344054645</v>
      </c>
      <c r="AR31" s="30">
        <f ca="1">+'Prestamo 5 años'!Z7</f>
        <v>1499151.9474744764</v>
      </c>
      <c r="AS31" s="30">
        <f ca="1">+'Prestamo 5 años'!AA7</f>
        <v>1498487.2962324261</v>
      </c>
      <c r="AT31" s="30">
        <f ca="1">+'Prestamo 5 años'!AB7</f>
        <v>1497808.7980894996</v>
      </c>
      <c r="AU31" s="30">
        <f ca="1">+'Prestamo 5 años'!AC7</f>
        <v>1497116.1645685958</v>
      </c>
      <c r="AV31" s="30">
        <f ca="1">+'Prestamo 5 años'!AD7</f>
        <v>1496409.1011826727</v>
      </c>
      <c r="AW31" s="30">
        <f ca="1">+'Prestamo 5 años'!AE7</f>
        <v>1495687.3073095435</v>
      </c>
      <c r="AX31" s="30">
        <f ca="1">+'Prestamo 5 años'!AF7</f>
        <v>1494950.4760640564</v>
      </c>
      <c r="AY31" s="30">
        <f ca="1">+'Prestamo 5 años'!AG7</f>
        <v>1494198.2941676225</v>
      </c>
      <c r="AZ31" s="30">
        <f ca="1">+'Prestamo 5 años'!AH7</f>
        <v>1493430.4418150124</v>
      </c>
      <c r="BA31" s="30">
        <f ca="1">+'Prestamo 5 años'!AI7</f>
        <v>1492646.5925383898</v>
      </c>
      <c r="BB31" s="30">
        <f ca="1">+'Prestamo 5 años'!AJ7</f>
        <v>1491846.4130685043</v>
      </c>
      <c r="BC31" s="30">
        <f ca="1">+'Prestamo 5 años'!AK7</f>
        <v>1491029.563192996</v>
      </c>
      <c r="BD31" s="30">
        <f ca="1">+'Prestamo 5 años'!AL7</f>
        <v>1490195.6956117481</v>
      </c>
      <c r="BE31" s="30">
        <f ca="1">+'Prestamo 5 años'!AM7</f>
        <v>1489344.4557892242</v>
      </c>
      <c r="BF31" s="30">
        <f ca="1">+'Prestamo 5 años'!AN7</f>
        <v>1488475.4818037311</v>
      </c>
      <c r="BG31" s="30">
        <f ca="1">+'Prestamo 5 años'!AO7</f>
        <v>1487588.4041935401</v>
      </c>
      <c r="BH31" s="30">
        <f ca="1">+'Prestamo 5 años'!AP7</f>
        <v>1486682.8457998035</v>
      </c>
      <c r="BI31" s="30">
        <f ca="1">+'Prestamo 5 años'!AQ7</f>
        <v>1485758.4216061977</v>
      </c>
      <c r="BJ31" s="30">
        <f ca="1">+'Prestamo 5 años'!AR7</f>
        <v>1484814.7385752245</v>
      </c>
      <c r="BK31" s="30">
        <f ca="1">+'Prestamo 5 años'!AS7</f>
        <v>1483851.3954811066</v>
      </c>
      <c r="BL31" s="30">
        <f ca="1">+'Prestamo 5 años'!AT7</f>
        <v>1482867.9827391941</v>
      </c>
      <c r="BM31" s="30">
        <f ca="1">+'Prestamo 5 años'!AU7</f>
        <v>1481864.0822318252</v>
      </c>
      <c r="BN31" s="30">
        <f ca="1">+'Prestamo 5 años'!AV7</f>
        <v>1480839.267130553</v>
      </c>
      <c r="BO31" s="30">
        <f ca="1">+'Prestamo 5 años'!AW7</f>
        <v>1479793.1017146709</v>
      </c>
      <c r="BP31" s="30">
        <f ca="1">+'Prestamo 5 años'!AX7</f>
        <v>1478725.1411859579</v>
      </c>
      <c r="BQ31" s="30">
        <f ca="1">+'Prestamo 5 años'!AY7</f>
        <v>1477634.9314795632</v>
      </c>
      <c r="BR31" s="30">
        <f ca="1">+'Prestamo 5 años'!AZ7</f>
        <v>1476522.0090709524</v>
      </c>
      <c r="BS31" s="30">
        <f ca="1">+'Prestamo 5 años'!BA7</f>
        <v>1475385.9007788287</v>
      </c>
      <c r="BT31" s="30">
        <f ca="1">+'Prestamo 5 años'!BB7</f>
        <v>1474226.123563952</v>
      </c>
      <c r="BU31" s="30">
        <f ca="1">+'Prestamo 5 años'!BC7</f>
        <v>1473042.1843237656</v>
      </c>
      <c r="BV31" s="30">
        <f ca="1">+'Prestamo 5 años'!BD7</f>
        <v>1471833.579682742</v>
      </c>
      <c r="BW31" s="30">
        <f ca="1">+'Prestamo 5 años'!BE7</f>
        <v>1470599.7957783639</v>
      </c>
      <c r="BX31" s="30">
        <f ca="1">+'Prestamo 5 años'!BF7</f>
        <v>1469340.3080426445</v>
      </c>
      <c r="BY31" s="30">
        <f ca="1">+'Prestamo 5 años'!BG7</f>
        <v>1468054.5809790976</v>
      </c>
      <c r="BZ31" s="30">
        <f ca="1">+'Prestamo 5 años'!BH7</f>
        <v>1466742.0679350602</v>
      </c>
      <c r="CA31" s="30">
        <f ca="1">+'Prestamo 5 años'!BI7</f>
        <v>1465402.2108692718</v>
      </c>
      <c r="CB31" s="30">
        <f ca="1">+'Prestamo 5 años'!BJ7</f>
        <v>1464034.4401146132</v>
      </c>
      <c r="CC31" s="30">
        <f ca="1">+'Prestamo 5 años'!BK7</f>
        <v>1462638.1741358989</v>
      </c>
      <c r="CD31" s="30">
        <f ca="1">+'Prestamo 5 años'!BL7</f>
        <v>1461212.8192826281</v>
      </c>
      <c r="CE31" s="30">
        <f ca="1">+'Prestamo 5 años'!BM7</f>
        <v>1459757.7695365807</v>
      </c>
      <c r="CF31" s="30">
        <f ca="1">+'Prestamo 5 años'!BN7</f>
        <v>1458272.4062541574</v>
      </c>
      <c r="CG31" s="30">
        <f ca="1">+'Prestamo 5 años'!BO7</f>
        <v>1456756.0979033506</v>
      </c>
      <c r="CH31" s="30">
        <f ca="1">+'Prestamo 5 años'!BP7</f>
        <v>1455208.1997952352</v>
      </c>
      <c r="CI31" s="30">
        <f ca="1">+'Prestamo 5 años'!BQ7</f>
        <v>1453628.053809867</v>
      </c>
      <c r="CJ31" s="30">
        <f ca="1">+'Prestamo 5 años'!BR7</f>
        <v>1452014.9881164706</v>
      </c>
      <c r="CK31" s="30">
        <f ca="1">+'Prestamo 5 años'!BS7</f>
        <v>1450368.316887795</v>
      </c>
      <c r="CL31" s="30">
        <f>+'Prestamo 5 años'!BT7</f>
        <v>0</v>
      </c>
      <c r="CM31" s="30">
        <f>+'Prestamo 5 años'!BU7</f>
        <v>0</v>
      </c>
      <c r="CN31" s="30">
        <f>+'Prestamo 5 años'!BV7</f>
        <v>0</v>
      </c>
      <c r="CO31" s="30">
        <f>+'Prestamo 5 años'!BW7</f>
        <v>0</v>
      </c>
      <c r="CP31" s="30">
        <f>+'Prestamo 5 años'!BX7</f>
        <v>0</v>
      </c>
      <c r="CQ31" s="30">
        <f>+'Prestamo 5 años'!BY7</f>
        <v>0</v>
      </c>
      <c r="CR31" s="30">
        <f>+'Prestamo 5 años'!BZ7</f>
        <v>0</v>
      </c>
      <c r="CS31" s="30">
        <f>+'Prestamo 5 años'!CA7</f>
        <v>0</v>
      </c>
      <c r="CT31" s="30">
        <f>+'Prestamo 5 años'!CB7</f>
        <v>0</v>
      </c>
      <c r="CU31" s="30">
        <f>+'Prestamo 5 años'!CC7</f>
        <v>0</v>
      </c>
      <c r="CV31" s="30">
        <f>+'Prestamo 5 años'!CD7</f>
        <v>0</v>
      </c>
      <c r="CW31" s="30">
        <f>+'Prestamo 5 años'!CE7</f>
        <v>0</v>
      </c>
      <c r="CX31" s="30">
        <f>+'Prestamo 5 años'!CF7</f>
        <v>0</v>
      </c>
      <c r="CY31" s="30">
        <f>+'Prestamo 5 años'!CG7</f>
        <v>0</v>
      </c>
      <c r="CZ31" s="30">
        <f>+'Prestamo 5 años'!CH7</f>
        <v>0</v>
      </c>
      <c r="DA31" s="30">
        <f>+'Prestamo 5 años'!CI7</f>
        <v>0</v>
      </c>
      <c r="DB31" s="30">
        <f>+'Prestamo 5 años'!CJ7</f>
        <v>0</v>
      </c>
      <c r="DC31" s="30">
        <f>+'Prestamo 5 años'!CK7</f>
        <v>0</v>
      </c>
      <c r="DD31" s="30">
        <f>+'Prestamo 5 años'!CL7</f>
        <v>0</v>
      </c>
      <c r="DE31" s="30">
        <f>+'Prestamo 5 años'!CM7</f>
        <v>0</v>
      </c>
      <c r="DF31" s="30">
        <f>+'Prestamo 5 años'!CN7</f>
        <v>0</v>
      </c>
      <c r="DG31" s="30">
        <f>+'Prestamo 5 años'!CO7</f>
        <v>0</v>
      </c>
      <c r="DH31" s="30">
        <f>+'Prestamo 5 años'!CP7</f>
        <v>0</v>
      </c>
      <c r="DI31" s="30">
        <f>+'Prestamo 5 años'!CQ7</f>
        <v>0</v>
      </c>
      <c r="DJ31" s="30">
        <f>+'Prestamo 5 años'!CR7</f>
        <v>0</v>
      </c>
      <c r="DK31" s="30">
        <f>+'Prestamo 5 años'!CS7</f>
        <v>0</v>
      </c>
      <c r="DL31" s="30">
        <f>+'Prestamo 5 años'!CT7</f>
        <v>0</v>
      </c>
      <c r="DM31" s="30">
        <f>+'Prestamo 5 años'!CU7</f>
        <v>0</v>
      </c>
      <c r="DN31" s="30">
        <f>+'Prestamo 5 años'!CV7</f>
        <v>0</v>
      </c>
      <c r="DO31" s="30">
        <f>+'Prestamo 5 años'!CW7</f>
        <v>0</v>
      </c>
      <c r="DP31" s="30">
        <f>+'Prestamo 5 años'!CX7</f>
        <v>0</v>
      </c>
      <c r="DQ31" s="30">
        <f>+'Prestamo 5 años'!CY7</f>
        <v>0</v>
      </c>
      <c r="DR31" s="30">
        <f>+'Prestamo 5 años'!CZ7</f>
        <v>0</v>
      </c>
      <c r="DS31" s="30">
        <f>+'Prestamo 5 años'!DA7</f>
        <v>0</v>
      </c>
      <c r="DT31" s="30">
        <f>+'Prestamo 5 años'!DB7</f>
        <v>0</v>
      </c>
      <c r="DU31" s="30">
        <f>+'Prestamo 5 años'!DC7</f>
        <v>0</v>
      </c>
      <c r="DV31" s="30">
        <f>+'Prestamo 5 años'!DD7</f>
        <v>0</v>
      </c>
      <c r="DW31" s="30">
        <f>+'Prestamo 5 años'!DE7</f>
        <v>0</v>
      </c>
      <c r="DX31" s="30">
        <f>+'Prestamo 5 años'!DF7</f>
        <v>0</v>
      </c>
      <c r="DY31" s="30">
        <f>+'Prestamo 5 años'!DG7</f>
        <v>0</v>
      </c>
      <c r="DZ31" s="30">
        <f>+'Prestamo 5 años'!DH7</f>
        <v>0</v>
      </c>
      <c r="EA31" s="30">
        <f>+'Prestamo 5 años'!DI7</f>
        <v>0</v>
      </c>
      <c r="EB31" s="30">
        <f>+'Prestamo 5 años'!DJ7</f>
        <v>0</v>
      </c>
      <c r="EC31" s="30">
        <f>+'Prestamo 5 años'!DK7</f>
        <v>0</v>
      </c>
      <c r="ED31" s="30">
        <f>+'Prestamo 5 años'!DL7</f>
        <v>0</v>
      </c>
      <c r="EE31" s="30">
        <f>+'Prestamo 5 años'!DM7</f>
        <v>0</v>
      </c>
      <c r="EF31" s="30">
        <f>+'Prestamo 5 años'!DN7</f>
        <v>0</v>
      </c>
      <c r="EG31" s="30">
        <f>+'Prestamo 5 años'!DO7</f>
        <v>0</v>
      </c>
      <c r="EH31" s="30">
        <f>+'Prestamo 5 años'!DP7</f>
        <v>0</v>
      </c>
      <c r="EI31" s="30">
        <f>+'Prestamo 5 años'!DQ7</f>
        <v>0</v>
      </c>
      <c r="EJ31" s="30">
        <f>+'Prestamo 5 años'!DR7</f>
        <v>0</v>
      </c>
      <c r="EK31" s="30">
        <f>+'Prestamo 5 años'!DS7</f>
        <v>0</v>
      </c>
      <c r="EL31" s="30">
        <f>+'Prestamo 5 años'!DT7</f>
        <v>0</v>
      </c>
      <c r="EM31" s="30">
        <f>+'Prestamo 5 años'!DU7</f>
        <v>0</v>
      </c>
      <c r="EN31" s="30">
        <f>+'Prestamo 5 años'!DV7</f>
        <v>0</v>
      </c>
      <c r="EO31" s="30">
        <f>+'Prestamo 5 años'!DW7</f>
        <v>0</v>
      </c>
      <c r="EP31" s="30">
        <f>+'Prestamo 5 años'!DX7</f>
        <v>0</v>
      </c>
      <c r="EQ31" s="30">
        <f>+'Prestamo 5 años'!DY7</f>
        <v>0</v>
      </c>
      <c r="ER31" s="30">
        <f>+'Prestamo 5 años'!DZ7</f>
        <v>0</v>
      </c>
      <c r="ES31" s="30">
        <f>+'Prestamo 5 años'!EA7</f>
        <v>0</v>
      </c>
      <c r="ET31" s="30">
        <f>+'Prestamo 5 años'!EB7</f>
        <v>0</v>
      </c>
      <c r="EU31" s="30">
        <f>+'Prestamo 5 años'!EC7</f>
        <v>0</v>
      </c>
      <c r="EV31" s="30">
        <f>+'Prestamo 5 años'!ED7</f>
        <v>0</v>
      </c>
      <c r="EW31" s="30">
        <f>+'Prestamo 5 años'!EE7</f>
        <v>0</v>
      </c>
      <c r="EX31" s="30">
        <f>+'Prestamo 5 años'!EF7</f>
        <v>0</v>
      </c>
      <c r="EY31" s="30">
        <f>+'Prestamo 5 años'!EG7</f>
        <v>0</v>
      </c>
      <c r="EZ31" s="30">
        <f>+'Prestamo 5 años'!EH7</f>
        <v>0</v>
      </c>
      <c r="FA31" s="30">
        <f>+'Prestamo 5 años'!EI7</f>
        <v>0</v>
      </c>
      <c r="FB31" s="30">
        <f>+'Prestamo 5 años'!EJ7</f>
        <v>0</v>
      </c>
      <c r="FC31" s="30">
        <f>+'Prestamo 5 años'!EK7</f>
        <v>0</v>
      </c>
      <c r="FD31" s="30">
        <f>+'Prestamo 5 años'!EL7</f>
        <v>0</v>
      </c>
      <c r="FE31" s="30">
        <f>+'Prestamo 5 años'!EM7</f>
        <v>0</v>
      </c>
      <c r="FF31" s="30">
        <f>+'Prestamo 5 años'!EN7</f>
        <v>0</v>
      </c>
      <c r="FG31" s="30">
        <f>+'Prestamo 5 años'!EO7</f>
        <v>0</v>
      </c>
      <c r="FH31" s="30">
        <f>+'Prestamo 5 años'!EP7</f>
        <v>0</v>
      </c>
      <c r="FI31" s="30">
        <f>+'Prestamo 5 años'!EQ7</f>
        <v>0</v>
      </c>
      <c r="FJ31" s="30">
        <f>+'Prestamo 5 años'!ER7</f>
        <v>0</v>
      </c>
      <c r="FK31" s="30">
        <f>+'Prestamo 5 años'!ES7</f>
        <v>0</v>
      </c>
      <c r="FL31" s="30">
        <f>+'Prestamo 5 años'!ET7</f>
        <v>0</v>
      </c>
      <c r="FM31" s="30">
        <f>+'Prestamo 5 años'!EU7</f>
        <v>0</v>
      </c>
      <c r="FN31" s="30">
        <f>+'Prestamo 5 años'!EV7</f>
        <v>0</v>
      </c>
      <c r="FO31" s="30">
        <f>+'Prestamo 5 años'!EW7</f>
        <v>0</v>
      </c>
      <c r="FP31" s="30">
        <f>+'Prestamo 5 años'!EX7</f>
        <v>0</v>
      </c>
      <c r="FQ31" s="30">
        <f>+'Prestamo 5 años'!EY7</f>
        <v>0</v>
      </c>
      <c r="FR31" s="30">
        <f>+'Prestamo 5 años'!EZ7</f>
        <v>0</v>
      </c>
      <c r="FS31" s="30">
        <f>+'Prestamo 5 años'!FA7</f>
        <v>0</v>
      </c>
      <c r="FT31" s="30">
        <f>+'Prestamo 5 años'!FB7</f>
        <v>0</v>
      </c>
      <c r="FU31" s="30">
        <f>+'Prestamo 5 años'!FC7</f>
        <v>0</v>
      </c>
      <c r="FV31" s="30">
        <f>+'Prestamo 5 años'!FD7</f>
        <v>0</v>
      </c>
      <c r="FW31" s="30">
        <f>+'Prestamo 5 años'!FE7</f>
        <v>0</v>
      </c>
      <c r="FX31" s="30">
        <f>+'Prestamo 5 años'!FF7</f>
        <v>0</v>
      </c>
      <c r="FY31" s="30">
        <f>+'Prestamo 5 años'!FG7</f>
        <v>0</v>
      </c>
      <c r="FZ31" s="30">
        <f>+'Prestamo 5 años'!FH7</f>
        <v>0</v>
      </c>
      <c r="GA31" s="30">
        <f>+'Prestamo 5 años'!FI7</f>
        <v>0</v>
      </c>
      <c r="GB31" s="30">
        <f>+'Prestamo 5 años'!FJ7</f>
        <v>0</v>
      </c>
      <c r="GC31" s="30">
        <f>+'Prestamo 5 años'!FK7</f>
        <v>0</v>
      </c>
      <c r="GD31" s="30">
        <f>+'Prestamo 5 años'!FL7</f>
        <v>0</v>
      </c>
      <c r="GE31" s="30">
        <f>+'Prestamo 5 años'!FM7</f>
        <v>0</v>
      </c>
      <c r="GF31" s="30">
        <f>+'Prestamo 5 años'!FN7</f>
        <v>0</v>
      </c>
      <c r="GG31" s="30">
        <f>+'Prestamo 5 años'!FO7</f>
        <v>0</v>
      </c>
      <c r="GH31" s="30">
        <f>+'Prestamo 5 años'!FP7</f>
        <v>0</v>
      </c>
      <c r="GI31" s="30">
        <f>+'Prestamo 5 años'!FQ7</f>
        <v>0</v>
      </c>
      <c r="GJ31" s="30">
        <f>+'Prestamo 5 años'!FR7</f>
        <v>0</v>
      </c>
      <c r="GK31" s="30">
        <f>+'Prestamo 5 años'!FS7</f>
        <v>0</v>
      </c>
      <c r="GL31" s="30">
        <f>+'Prestamo 5 años'!FT7</f>
        <v>0</v>
      </c>
      <c r="GM31" s="30">
        <f>+'Prestamo 5 años'!FU7</f>
        <v>0</v>
      </c>
      <c r="GN31" s="30">
        <f>+'Prestamo 5 años'!FV7</f>
        <v>0</v>
      </c>
      <c r="GO31" s="30">
        <f>+'Prestamo 5 años'!FW7</f>
        <v>0</v>
      </c>
      <c r="GP31" s="30">
        <f>+'Prestamo 5 años'!FX7</f>
        <v>0</v>
      </c>
      <c r="GQ31" s="30">
        <f>+'Prestamo 5 años'!FY7</f>
        <v>0</v>
      </c>
      <c r="GR31" s="30">
        <f>+'Prestamo 5 años'!FZ7</f>
        <v>0</v>
      </c>
      <c r="GS31" s="30">
        <f>+'Prestamo 5 años'!GA7</f>
        <v>0</v>
      </c>
      <c r="GT31" s="30">
        <f>+'Prestamo 5 años'!GB7</f>
        <v>0</v>
      </c>
      <c r="GU31" s="30">
        <f>+'Prestamo 5 años'!GC7</f>
        <v>0</v>
      </c>
      <c r="GV31" s="30">
        <f>+'Prestamo 5 años'!GD7</f>
        <v>0</v>
      </c>
      <c r="GW31" s="30">
        <f>+'Prestamo 5 años'!GE7</f>
        <v>0</v>
      </c>
      <c r="GX31" s="30">
        <f>+'Prestamo 5 años'!GF7</f>
        <v>0</v>
      </c>
      <c r="GY31" s="30">
        <f>+'Prestamo 5 años'!GG7</f>
        <v>0</v>
      </c>
      <c r="GZ31" s="30">
        <f>+'Prestamo 5 años'!GH7</f>
        <v>0</v>
      </c>
      <c r="HA31" s="30">
        <f>+'Prestamo 5 años'!GI7</f>
        <v>0</v>
      </c>
      <c r="HB31" s="30">
        <f>+'Prestamo 5 años'!GJ7</f>
        <v>0</v>
      </c>
      <c r="HC31" s="30">
        <f>+'Prestamo 5 años'!GK7</f>
        <v>0</v>
      </c>
      <c r="HD31" s="30">
        <f>+'Prestamo 5 años'!GL7</f>
        <v>0</v>
      </c>
      <c r="HE31" s="30">
        <f>+'Prestamo 5 años'!GM7</f>
        <v>0</v>
      </c>
      <c r="HF31" s="30">
        <f>+'Prestamo 5 años'!GN7</f>
        <v>0</v>
      </c>
      <c r="HG31" s="30">
        <f>+'Prestamo 5 años'!GO7</f>
        <v>0</v>
      </c>
      <c r="HH31" s="30">
        <f>+'Prestamo 5 años'!GP7</f>
        <v>0</v>
      </c>
      <c r="HI31" s="30">
        <f>+'Prestamo 5 años'!GQ7</f>
        <v>0</v>
      </c>
      <c r="HJ31" s="30">
        <f>+'Prestamo 5 años'!GR7</f>
        <v>0</v>
      </c>
      <c r="HK31" s="30">
        <f>+'Prestamo 5 años'!GS7</f>
        <v>0</v>
      </c>
      <c r="HL31" s="30">
        <f>+'Prestamo 5 años'!GT7</f>
        <v>0</v>
      </c>
      <c r="HM31" s="30">
        <f>+'Prestamo 5 años'!GU7</f>
        <v>0</v>
      </c>
      <c r="HN31" s="30">
        <f>+'Prestamo 5 años'!GV7</f>
        <v>0</v>
      </c>
      <c r="HO31" s="30">
        <f>+'Prestamo 5 años'!GW7</f>
        <v>0</v>
      </c>
      <c r="HP31" s="30">
        <f>+'Prestamo 5 años'!GX7</f>
        <v>0</v>
      </c>
      <c r="HQ31" s="30">
        <f>+'Prestamo 5 años'!GY7</f>
        <v>0</v>
      </c>
      <c r="HR31" s="30">
        <f>+'Prestamo 5 años'!GZ7</f>
        <v>0</v>
      </c>
      <c r="HS31" s="30">
        <f>+'Prestamo 5 años'!HA7</f>
        <v>0</v>
      </c>
      <c r="HT31" s="30">
        <f>+'Prestamo 5 años'!HB7</f>
        <v>0</v>
      </c>
      <c r="HU31" s="30">
        <f>+'Prestamo 5 años'!HC7</f>
        <v>0</v>
      </c>
      <c r="HV31" s="30">
        <f>+'Prestamo 5 años'!HD7</f>
        <v>0</v>
      </c>
      <c r="HW31" s="30">
        <f>+'Prestamo 5 años'!HE7</f>
        <v>0</v>
      </c>
      <c r="HX31" s="30">
        <f>+'Prestamo 5 años'!HF7</f>
        <v>0</v>
      </c>
      <c r="HY31" s="30">
        <f>+'Prestamo 5 años'!HG7</f>
        <v>0</v>
      </c>
      <c r="HZ31" s="30">
        <f>+'Prestamo 5 años'!HH7</f>
        <v>0</v>
      </c>
      <c r="IA31" s="30">
        <f>+'Prestamo 5 años'!HI7</f>
        <v>0</v>
      </c>
      <c r="IB31" s="30">
        <f>+'Prestamo 5 años'!HJ7</f>
        <v>0</v>
      </c>
      <c r="IC31" s="30">
        <f>+'Prestamo 5 años'!HK7</f>
        <v>0</v>
      </c>
      <c r="ID31" s="30">
        <f>+'Prestamo 5 años'!HL7</f>
        <v>0</v>
      </c>
      <c r="IE31" s="30">
        <f>+'Prestamo 5 años'!HM7</f>
        <v>0</v>
      </c>
      <c r="IF31" s="30">
        <f>+'Prestamo 5 años'!HN7</f>
        <v>0</v>
      </c>
      <c r="IG31" s="30">
        <f>+'Prestamo 5 años'!HO7</f>
        <v>0</v>
      </c>
      <c r="IH31" s="30">
        <f>+'Prestamo 5 años'!HP7</f>
        <v>0</v>
      </c>
      <c r="II31" s="30">
        <f>+'Prestamo 5 años'!HQ7</f>
        <v>0</v>
      </c>
      <c r="IJ31" s="30">
        <f>+'Prestamo 5 años'!HR7</f>
        <v>0</v>
      </c>
      <c r="IK31" s="30">
        <f>+'Prestamo 5 años'!HS7</f>
        <v>0</v>
      </c>
      <c r="IL31" s="30">
        <f>+'Prestamo 5 años'!HT7</f>
        <v>0</v>
      </c>
      <c r="IM31" s="30">
        <f>+'Prestamo 5 años'!HU7</f>
        <v>0</v>
      </c>
    </row>
    <row r="32" spans="1:247" x14ac:dyDescent="0.3">
      <c r="A32" t="s">
        <v>944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>
        <f>+SUM(Producción!AF24:AF26)</f>
        <v>25000</v>
      </c>
      <c r="AE32" s="30">
        <f>+SUM(Producción!AG24:AG26)</f>
        <v>25000</v>
      </c>
      <c r="AF32" s="30">
        <f>+SUM(Producción!AH24:AH26)</f>
        <v>225750</v>
      </c>
      <c r="AG32" s="30">
        <f>+SUM(Producción!AI24:AI26)</f>
        <v>25750</v>
      </c>
      <c r="AH32" s="30">
        <f>+SUM(Producción!AJ24:AJ26)</f>
        <v>25750</v>
      </c>
      <c r="AI32" s="30">
        <f>+SUM(Producción!AK24:AK26)</f>
        <v>231750</v>
      </c>
      <c r="AJ32" s="30">
        <f>+SUM(Producción!AL24:AL26)</f>
        <v>25750</v>
      </c>
      <c r="AK32" s="30">
        <f>+SUM(Producción!AM24:AM26)</f>
        <v>25750</v>
      </c>
      <c r="AL32" s="30">
        <f>+SUM(Producción!AN24:AN26)</f>
        <v>231750</v>
      </c>
      <c r="AM32" s="30">
        <f>+SUM(Producción!AO24:AO26)</f>
        <v>25750</v>
      </c>
      <c r="AN32" s="30">
        <f>+SUM(Producción!AP24:AP26)</f>
        <v>25750</v>
      </c>
      <c r="AO32" s="30">
        <f>+SUM(Producción!AQ24:AQ26)</f>
        <v>231750</v>
      </c>
      <c r="AP32" s="30">
        <f>+SUM(Producción!AR24:AR26)</f>
        <v>25750</v>
      </c>
      <c r="AQ32" s="30">
        <f>+SUM(Producción!AS24:AS26)</f>
        <v>25750</v>
      </c>
      <c r="AR32" s="30">
        <f>+SUM(Producción!AT24:AT26)</f>
        <v>232522.5</v>
      </c>
      <c r="AS32" s="30">
        <f>+SUM(Producción!AU24:AU26)</f>
        <v>26522.5</v>
      </c>
      <c r="AT32" s="30">
        <f>+SUM(Producción!AV24:AV26)</f>
        <v>26522.5</v>
      </c>
      <c r="AU32" s="30">
        <f>+SUM(Producción!AW24:AW26)</f>
        <v>232522.5</v>
      </c>
      <c r="AV32" s="30">
        <f>+SUM(Producción!AX24:AX26)</f>
        <v>26522.5</v>
      </c>
      <c r="AW32" s="30">
        <f>+SUM(Producción!AY24:AY26)</f>
        <v>26522.5</v>
      </c>
      <c r="AX32" s="30">
        <f>+SUM(Producción!AZ24:AZ26)</f>
        <v>232522.5</v>
      </c>
      <c r="AY32" s="30">
        <f>+SUM(Producción!BA24:BA26)</f>
        <v>26522.5</v>
      </c>
      <c r="AZ32" s="30">
        <f>+SUM(Producción!BB24:BB26)</f>
        <v>26522.5</v>
      </c>
      <c r="BA32" s="30">
        <f>+SUM(Producción!BC24:BC26)</f>
        <v>232522.5</v>
      </c>
      <c r="BB32" s="30">
        <f>+SUM(Producción!BD24:BD26)</f>
        <v>26522.5</v>
      </c>
      <c r="BC32" s="30">
        <f>+SUM(Producción!BE24:BE26)</f>
        <v>26522.5</v>
      </c>
      <c r="BD32" s="30">
        <f>+SUM(Producción!BF24:BF26)</f>
        <v>233318.17499999999</v>
      </c>
      <c r="BE32" s="30">
        <f>+SUM(Producción!BG24:BG26)</f>
        <v>27318.174999999999</v>
      </c>
      <c r="BF32" s="30">
        <f>+SUM(Producción!BH24:BH26)</f>
        <v>27318.174999999999</v>
      </c>
      <c r="BG32" s="30">
        <f>+SUM(Producción!BI24:BI26)</f>
        <v>233318.17499999999</v>
      </c>
      <c r="BH32" s="30">
        <f>+SUM(Producción!BJ24:BJ26)</f>
        <v>27318.174999999999</v>
      </c>
      <c r="BI32" s="30">
        <f>+SUM(Producción!BK24:BK26)</f>
        <v>27318.174999999999</v>
      </c>
      <c r="BJ32" s="30">
        <f>+SUM(Producción!BL24:BL26)</f>
        <v>233318.17499999999</v>
      </c>
      <c r="BK32" s="30">
        <f>+SUM(Producción!BM24:BM26)</f>
        <v>27318.174999999999</v>
      </c>
      <c r="BL32" s="30">
        <f>+SUM(Producción!BN24:BN26)</f>
        <v>27318.174999999999</v>
      </c>
      <c r="BM32" s="30">
        <f>+SUM(Producción!BO24:BO26)</f>
        <v>233318.17499999999</v>
      </c>
      <c r="BN32" s="30">
        <f>+SUM(Producción!BP24:BP26)</f>
        <v>27318.174999999999</v>
      </c>
      <c r="BO32" s="30">
        <f>+SUM(Producción!BQ24:BQ26)</f>
        <v>27318.174999999999</v>
      </c>
      <c r="BP32" s="30">
        <f>+SUM(Producción!BR24:BR26)</f>
        <v>234137.72025000001</v>
      </c>
      <c r="BQ32" s="30">
        <f>+SUM(Producción!BS24:BS26)</f>
        <v>28137.720249999998</v>
      </c>
      <c r="BR32" s="30">
        <f>+SUM(Producción!BT24:BT26)</f>
        <v>28137.720249999998</v>
      </c>
      <c r="BS32" s="30">
        <f>+SUM(Producción!BU24:BU26)</f>
        <v>234137.72025000001</v>
      </c>
      <c r="BT32" s="30">
        <f>+SUM(Producción!BV24:BV26)</f>
        <v>28137.720249999998</v>
      </c>
      <c r="BU32" s="30">
        <f>+SUM(Producción!BW24:BW26)</f>
        <v>89905.306428486569</v>
      </c>
      <c r="BV32" s="30">
        <f>+SUM(Producción!BX24:BX26)</f>
        <v>295905.3064284866</v>
      </c>
      <c r="BW32" s="30">
        <f>+SUM(Producción!BY24:BY26)</f>
        <v>89905.306428486569</v>
      </c>
      <c r="BX32" s="30">
        <f>+SUM(Producción!BZ24:BZ26)</f>
        <v>89905.306428486569</v>
      </c>
      <c r="BY32" s="30">
        <f>+SUM(Producción!CA24:CA26)</f>
        <v>295905.3064284866</v>
      </c>
      <c r="BZ32" s="30">
        <f>+SUM(Producción!CB24:CB26)</f>
        <v>89905.306428486569</v>
      </c>
      <c r="CA32" s="30">
        <f>+SUM(Producción!CC24:CC26)</f>
        <v>89905.306428486569</v>
      </c>
      <c r="CB32" s="30">
        <f>+SUM(Producción!CD24:CD26)</f>
        <v>298602.46562134114</v>
      </c>
      <c r="CC32" s="30">
        <f>+SUM(Producción!CE24:CE26)</f>
        <v>92602.465621341165</v>
      </c>
      <c r="CD32" s="30">
        <f>+SUM(Producción!CF24:CF26)</f>
        <v>92602.465621341165</v>
      </c>
      <c r="CE32" s="30">
        <f>+SUM(Producción!CG24:CG26)</f>
        <v>298602.46562134114</v>
      </c>
      <c r="CF32" s="30">
        <f>+SUM(Producción!CH24:CH26)</f>
        <v>92602.465621341165</v>
      </c>
      <c r="CG32" s="30">
        <f>+SUM(Producción!CI24:CI26)</f>
        <v>92602.465621341165</v>
      </c>
      <c r="CH32" s="30">
        <f>+SUM(Producción!CJ24:CJ26)</f>
        <v>298602.46562134114</v>
      </c>
      <c r="CI32" s="30">
        <f>+SUM(Producción!CK24:CK26)</f>
        <v>92602.465621341165</v>
      </c>
      <c r="CJ32" s="30">
        <f>+SUM(Producción!CL24:CL26)</f>
        <v>92602.465621341165</v>
      </c>
      <c r="CK32" s="30">
        <f>+SUM(Producción!CM24:CM26)</f>
        <v>298602.46562134114</v>
      </c>
      <c r="CL32" s="30">
        <f>+SUM(Producción!CN24:CN26)</f>
        <v>92602.465621341165</v>
      </c>
      <c r="CM32" s="30">
        <f>+SUM(Producción!CO24:CO26)</f>
        <v>92602.465621341165</v>
      </c>
      <c r="CN32" s="30">
        <f>+SUM(Producción!CP24:CP26)</f>
        <v>301380.53958998137</v>
      </c>
      <c r="CO32" s="30">
        <f>+SUM(Producción!CQ24:CQ26)</f>
        <v>95380.539589981403</v>
      </c>
      <c r="CP32" s="30">
        <f>+SUM(Producción!CR24:CR26)</f>
        <v>95380.539589981403</v>
      </c>
      <c r="CQ32" s="30">
        <f>+SUM(Producción!CS24:CS26)</f>
        <v>301380.53958998137</v>
      </c>
      <c r="CR32" s="30">
        <f>+SUM(Producción!CT24:CT26)</f>
        <v>95380.539589981403</v>
      </c>
      <c r="CS32" s="30">
        <f>+SUM(Producción!CU24:CU26)</f>
        <v>95380.539589981403</v>
      </c>
      <c r="CT32" s="30">
        <f>+SUM(Producción!CV24:CV26)</f>
        <v>301380.53958998137</v>
      </c>
      <c r="CU32" s="30">
        <f>+SUM(Producción!CW24:CW26)</f>
        <v>95380.539589981403</v>
      </c>
      <c r="CV32" s="30">
        <f>+SUM(Producción!CX24:CX26)</f>
        <v>95380.539589981403</v>
      </c>
      <c r="CW32" s="30">
        <f>+SUM(Producción!CY24:CY26)</f>
        <v>301380.53958998137</v>
      </c>
      <c r="CX32" s="30">
        <f>+SUM(Producción!CZ24:CZ26)</f>
        <v>95380.539589981403</v>
      </c>
      <c r="CY32" s="30">
        <f>+SUM(Producción!DA24:DA26)</f>
        <v>95380.539589981403</v>
      </c>
      <c r="CZ32" s="30">
        <f>+SUM(Producción!DB24:DB26)</f>
        <v>304241.95577768085</v>
      </c>
      <c r="DA32" s="30">
        <f>+SUM(Producción!DC24:DC26)</f>
        <v>98241.955777680851</v>
      </c>
      <c r="DB32" s="30">
        <f>+SUM(Producción!DD24:DD26)</f>
        <v>98241.955777680851</v>
      </c>
      <c r="DC32" s="30">
        <f>+SUM(Producción!DE24:DE26)</f>
        <v>304241.95577768085</v>
      </c>
      <c r="DD32" s="30">
        <f>+SUM(Producción!DF24:DF26)</f>
        <v>98241.955777680851</v>
      </c>
      <c r="DE32" s="30">
        <f>+SUM(Producción!DG24:DG26)</f>
        <v>98241.955777680851</v>
      </c>
      <c r="DF32" s="30">
        <f>+SUM(Producción!DH24:DH26)</f>
        <v>304241.95577768085</v>
      </c>
      <c r="DG32" s="30">
        <f>+SUM(Producción!DI24:DI26)</f>
        <v>98241.955777680851</v>
      </c>
      <c r="DH32" s="30">
        <f>+SUM(Producción!DJ24:DJ26)</f>
        <v>98241.955777680851</v>
      </c>
      <c r="DI32" s="30">
        <f>+SUM(Producción!DK24:DK26)</f>
        <v>304241.95577768085</v>
      </c>
      <c r="DJ32" s="30">
        <f>+SUM(Producción!DL24:DL26)</f>
        <v>98241.955777680851</v>
      </c>
      <c r="DK32" s="30">
        <f>+SUM(Producción!DM24:DM26)</f>
        <v>98241.955777680851</v>
      </c>
      <c r="DL32" s="30">
        <f>+SUM(Producción!DN24:DN26)</f>
        <v>307189.21445101127</v>
      </c>
      <c r="DM32" s="30">
        <f>+SUM(Producción!DO24:DO26)</f>
        <v>101189.21445101127</v>
      </c>
      <c r="DN32" s="30">
        <f>+SUM(Producción!DP24:DP26)</f>
        <v>101189.21445101127</v>
      </c>
      <c r="DO32" s="30">
        <f>+SUM(Producción!DQ24:DQ26)</f>
        <v>307189.21445101127</v>
      </c>
      <c r="DP32" s="30">
        <f>+SUM(Producción!DR24:DR26)</f>
        <v>101189.21445101127</v>
      </c>
      <c r="DQ32" s="30">
        <f>+SUM(Producción!DS24:DS26)</f>
        <v>101189.21445101127</v>
      </c>
      <c r="DR32" s="30">
        <f>+SUM(Producción!DT24:DT26)</f>
        <v>307189.21445101127</v>
      </c>
      <c r="DS32" s="30">
        <f>+SUM(Producción!DU24:DU26)</f>
        <v>101189.21445101127</v>
      </c>
      <c r="DT32" s="30">
        <f>+SUM(Producción!DV24:DV26)</f>
        <v>101189.21445101127</v>
      </c>
      <c r="DU32" s="30">
        <f>+SUM(Producción!DW24:DW26)</f>
        <v>307189.21445101127</v>
      </c>
      <c r="DV32" s="30">
        <f>+SUM(Producción!DX24:DX26)</f>
        <v>101189.21445101127</v>
      </c>
      <c r="DW32" s="30">
        <f>+SUM(Producción!DY24:DY26)</f>
        <v>101189.21445101127</v>
      </c>
      <c r="DX32" s="30">
        <f>+SUM(Producción!DZ24:DZ26)</f>
        <v>310224.89088454162</v>
      </c>
      <c r="DY32" s="30">
        <f>+SUM(Producción!EA24:EA26)</f>
        <v>104224.89088454162</v>
      </c>
      <c r="DZ32" s="30">
        <f>+SUM(Producción!EB24:EB26)</f>
        <v>104224.89088454162</v>
      </c>
      <c r="EA32" s="30">
        <f>+SUM(Producción!EC24:EC26)</f>
        <v>310224.89088454162</v>
      </c>
      <c r="EB32" s="30">
        <f>+SUM(Producción!ED24:ED26)</f>
        <v>104224.89088454162</v>
      </c>
      <c r="EC32" s="30">
        <f>+SUM(Producción!EE24:EE26)</f>
        <v>104224.89088454162</v>
      </c>
      <c r="ED32" s="30">
        <f>+SUM(Producción!EF24:EF26)</f>
        <v>310224.89088454162</v>
      </c>
      <c r="EE32" s="30">
        <f>+SUM(Producción!EG24:EG26)</f>
        <v>104224.89088454162</v>
      </c>
      <c r="EF32" s="30">
        <f>+SUM(Producción!EH24:EH26)</f>
        <v>104224.89088454162</v>
      </c>
      <c r="EG32" s="30">
        <f>+SUM(Producción!EI24:EI26)</f>
        <v>310224.89088454162</v>
      </c>
      <c r="EH32" s="30">
        <f>+SUM(Producción!EJ24:EJ26)</f>
        <v>104224.89088454162</v>
      </c>
      <c r="EI32" s="30">
        <f>+SUM(Producción!EK24:EK26)</f>
        <v>104224.89088454162</v>
      </c>
      <c r="EJ32" s="30">
        <f>+SUM(Producción!EL24:EL26)</f>
        <v>313351.63761107781</v>
      </c>
      <c r="EK32" s="30">
        <f>+SUM(Producción!EM24:EM26)</f>
        <v>107351.63761107787</v>
      </c>
      <c r="EL32" s="30">
        <f>+SUM(Producción!EN24:EN26)</f>
        <v>107351.63761107787</v>
      </c>
      <c r="EM32" s="30">
        <f>+SUM(Producción!EO24:EO26)</f>
        <v>313351.63761107781</v>
      </c>
      <c r="EN32" s="30">
        <f>+SUM(Producción!EP24:EP26)</f>
        <v>107351.63761107787</v>
      </c>
      <c r="EO32" s="30">
        <f>+SUM(Producción!EQ24:EQ26)</f>
        <v>107351.63761107787</v>
      </c>
      <c r="EP32" s="30">
        <f>+SUM(Producción!ER24:ER26)</f>
        <v>313351.63761107781</v>
      </c>
      <c r="EQ32" s="30">
        <f>+SUM(Producción!ES24:ES26)</f>
        <v>107351.63761107787</v>
      </c>
      <c r="ER32" s="30">
        <f>+SUM(Producción!ET24:ET26)</f>
        <v>107351.63761107787</v>
      </c>
      <c r="ES32" s="30">
        <f>+SUM(Producción!EU24:EU26)</f>
        <v>313351.63761107781</v>
      </c>
      <c r="ET32" s="30">
        <f>+SUM(Producción!EV24:EV26)</f>
        <v>107351.63761107787</v>
      </c>
      <c r="EU32" s="30">
        <f>+SUM(Producción!EW24:EW26)</f>
        <v>107351.63761107787</v>
      </c>
      <c r="EV32" s="30">
        <f>+SUM(Producción!EX24:EX26)</f>
        <v>316572.18673941022</v>
      </c>
      <c r="EW32" s="30">
        <f>+SUM(Producción!EY24:EY26)</f>
        <v>110572.18673941019</v>
      </c>
      <c r="EX32" s="30">
        <f>+SUM(Producción!EZ24:EZ26)</f>
        <v>110572.18673941019</v>
      </c>
      <c r="EY32" s="30">
        <f>+SUM(Producción!FA24:FA26)</f>
        <v>316572.18673941022</v>
      </c>
      <c r="EZ32" s="30">
        <f>+SUM(Producción!FB24:FB26)</f>
        <v>110572.18673941019</v>
      </c>
      <c r="FA32" s="30">
        <f>+SUM(Producción!FC24:FC26)</f>
        <v>110572.18673941019</v>
      </c>
      <c r="FB32" s="30">
        <f>+SUM(Producción!FD24:FD26)</f>
        <v>316572.18673941022</v>
      </c>
      <c r="FC32" s="30">
        <f>+SUM(Producción!FE24:FE26)</f>
        <v>110572.18673941019</v>
      </c>
      <c r="FD32" s="30">
        <f>+SUM(Producción!FF24:FF26)</f>
        <v>110572.18673941019</v>
      </c>
      <c r="FE32" s="30">
        <f>+SUM(Producción!FG24:FG26)</f>
        <v>316572.18673941022</v>
      </c>
      <c r="FF32" s="30">
        <f>+SUM(Producción!FH24:FH26)</f>
        <v>110572.18673941019</v>
      </c>
      <c r="FG32" s="30">
        <f>+SUM(Producción!FI24:FI26)</f>
        <v>110572.18673941019</v>
      </c>
      <c r="FH32" s="30">
        <f>+SUM(Producción!FJ24:FJ26)</f>
        <v>319889.35234159254</v>
      </c>
      <c r="FI32" s="30">
        <f>+SUM(Producción!FK24:FK26)</f>
        <v>113889.35234159252</v>
      </c>
      <c r="FJ32" s="30">
        <f>+SUM(Producción!FL24:FL26)</f>
        <v>113889.35234159252</v>
      </c>
      <c r="FK32" s="30">
        <f>+SUM(Producción!FM24:FM26)</f>
        <v>319889.35234159254</v>
      </c>
      <c r="FL32" s="30">
        <f>+SUM(Producción!FN24:FN26)</f>
        <v>113889.35234159252</v>
      </c>
      <c r="FM32" s="30">
        <f>+SUM(Producción!FO24:FO26)</f>
        <v>113889.35234159252</v>
      </c>
      <c r="FN32" s="30">
        <f>+SUM(Producción!FP24:FP26)</f>
        <v>319889.35234159254</v>
      </c>
      <c r="FO32" s="30">
        <f>+SUM(Producción!FQ24:FQ26)</f>
        <v>113889.35234159252</v>
      </c>
      <c r="FP32" s="30">
        <f>+SUM(Producción!FR24:FR26)</f>
        <v>113889.35234159252</v>
      </c>
      <c r="FQ32" s="30">
        <f>+SUM(Producción!FS24:FS26)</f>
        <v>319889.35234159254</v>
      </c>
      <c r="FR32" s="30">
        <f>+SUM(Producción!FT24:FT26)</f>
        <v>113889.35234159252</v>
      </c>
      <c r="FS32" s="30">
        <f>+SUM(Producción!FU24:FU26)</f>
        <v>113889.35234159252</v>
      </c>
      <c r="FT32" s="30">
        <f>+SUM(Producción!FV24:FV26)</f>
        <v>323306.03291184024</v>
      </c>
      <c r="FU32" s="30">
        <f>+SUM(Producción!FW24:FW26)</f>
        <v>117306.03291184029</v>
      </c>
      <c r="FV32" s="30">
        <f>+SUM(Producción!FX24:FX26)</f>
        <v>117306.03291184029</v>
      </c>
      <c r="FW32" s="30">
        <f>+SUM(Producción!FY24:FY26)</f>
        <v>323306.03291184024</v>
      </c>
      <c r="FX32" s="30">
        <f>+SUM(Producción!FZ24:FZ26)</f>
        <v>117306.03291184029</v>
      </c>
      <c r="FY32" s="30">
        <f>+SUM(Producción!GA24:GA26)</f>
        <v>117306.03291184029</v>
      </c>
      <c r="FZ32" s="30">
        <f>+SUM(Producción!GB24:GB26)</f>
        <v>323306.03291184024</v>
      </c>
      <c r="GA32" s="30">
        <f>+SUM(Producción!GC24:GC26)</f>
        <v>117306.03291184029</v>
      </c>
      <c r="GB32" s="30">
        <f>+SUM(Producción!GD24:GD26)</f>
        <v>117306.03291184029</v>
      </c>
      <c r="GC32" s="30">
        <f>+SUM(Producción!GE24:GE26)</f>
        <v>323306.03291184024</v>
      </c>
      <c r="GD32" s="30">
        <f>+SUM(Producción!GF24:GF26)</f>
        <v>117306.03291184029</v>
      </c>
      <c r="GE32" s="30">
        <f>+SUM(Producción!GG24:GG26)</f>
        <v>117306.03291184029</v>
      </c>
      <c r="GF32" s="30">
        <f>+SUM(Producción!GH24:GH26)</f>
        <v>326825.21389919549</v>
      </c>
      <c r="GG32" s="30">
        <f>+SUM(Producción!GI24:GI26)</f>
        <v>120825.2138991955</v>
      </c>
      <c r="GH32" s="30">
        <f>+SUM(Producción!GJ24:GJ26)</f>
        <v>120825.2138991955</v>
      </c>
      <c r="GI32" s="30">
        <f>+SUM(Producción!GK24:GK26)</f>
        <v>326825.21389919549</v>
      </c>
      <c r="GJ32" s="30">
        <f>+SUM(Producción!GL24:GL26)</f>
        <v>120825.2138991955</v>
      </c>
      <c r="GK32" s="30">
        <f>+SUM(Producción!GM24:GM26)</f>
        <v>120825.2138991955</v>
      </c>
      <c r="GL32" s="30">
        <f>+SUM(Producción!GN24:GN26)</f>
        <v>326825.21389919549</v>
      </c>
      <c r="GM32" s="30">
        <f>+SUM(Producción!GO24:GO26)</f>
        <v>120825.2138991955</v>
      </c>
      <c r="GN32" s="30">
        <f>+SUM(Producción!GP24:GP26)</f>
        <v>120825.2138991955</v>
      </c>
      <c r="GO32" s="30">
        <f>+SUM(Producción!GQ24:GQ26)</f>
        <v>326825.21389919549</v>
      </c>
      <c r="GP32" s="30">
        <f>+SUM(Producción!GR24:GR26)</f>
        <v>120825.2138991955</v>
      </c>
      <c r="GQ32" s="30">
        <f>+SUM(Producción!GS24:GS26)</f>
        <v>120825.2138991955</v>
      </c>
      <c r="GR32" s="30">
        <f>+SUM(Producción!GT24:GT26)</f>
        <v>330449.97031617136</v>
      </c>
      <c r="GS32" s="30">
        <f>+SUM(Producción!GU24:GU26)</f>
        <v>124449.97031617137</v>
      </c>
      <c r="GT32" s="30">
        <f>+SUM(Producción!GV24:GV26)</f>
        <v>124449.97031617137</v>
      </c>
      <c r="GU32" s="30">
        <f>+SUM(Producción!GW24:GW26)</f>
        <v>330449.97031617136</v>
      </c>
      <c r="GV32" s="30">
        <f>+SUM(Producción!GX24:GX26)</f>
        <v>124449.97031617137</v>
      </c>
      <c r="GW32" s="30">
        <f>+SUM(Producción!GY24:GY26)</f>
        <v>124449.97031617137</v>
      </c>
      <c r="GX32" s="30">
        <f>+SUM(Producción!GZ24:GZ26)</f>
        <v>330449.97031617136</v>
      </c>
      <c r="GY32" s="30">
        <f>+SUM(Producción!HA24:HA26)</f>
        <v>124449.97031617137</v>
      </c>
      <c r="GZ32" s="30">
        <f>+SUM(Producción!HB24:HB26)</f>
        <v>124449.97031617137</v>
      </c>
      <c r="HA32" s="30">
        <f>+SUM(Producción!HC24:HC26)</f>
        <v>330449.97031617136</v>
      </c>
      <c r="HB32" s="30">
        <f>+SUM(Producción!HD24:HD26)</f>
        <v>124449.97031617137</v>
      </c>
      <c r="HC32" s="30">
        <f>+SUM(Producción!HE24:HE26)</f>
        <v>124449.97031617137</v>
      </c>
      <c r="HD32" s="30">
        <f>+SUM(Producción!HF24:HF26)</f>
        <v>334183.46942565654</v>
      </c>
      <c r="HE32" s="30">
        <f>+SUM(Producción!HG24:HG26)</f>
        <v>128183.46942565651</v>
      </c>
      <c r="HF32" s="30">
        <f>+SUM(Producción!HH24:HH26)</f>
        <v>128183.46942565651</v>
      </c>
      <c r="HG32" s="30">
        <f>+SUM(Producción!HI24:HI26)</f>
        <v>334183.46942565654</v>
      </c>
      <c r="HH32" s="30">
        <f>+SUM(Producción!HJ24:HJ26)</f>
        <v>128183.46942565651</v>
      </c>
      <c r="HI32" s="30">
        <f>+SUM(Producción!HK24:HK26)</f>
        <v>128183.46942565651</v>
      </c>
      <c r="HJ32" s="30">
        <f>+SUM(Producción!HL24:HL26)</f>
        <v>334183.46942565654</v>
      </c>
      <c r="HK32" s="30">
        <f>+SUM(Producción!HM24:HM26)</f>
        <v>128183.46942565651</v>
      </c>
      <c r="HL32" s="30">
        <f>+SUM(Producción!HN24:HN26)</f>
        <v>128183.46942565651</v>
      </c>
      <c r="HM32" s="30">
        <f>+SUM(Producción!HO24:HO26)</f>
        <v>334183.46942565654</v>
      </c>
      <c r="HN32" s="30">
        <f>+SUM(Producción!HP24:HP26)</f>
        <v>128183.46942565651</v>
      </c>
      <c r="HO32" s="30">
        <f>+SUM(Producción!HQ24:HQ26)</f>
        <v>128183.46942565651</v>
      </c>
      <c r="HP32" s="30">
        <f>+SUM(Producción!HR24:HR26)</f>
        <v>338028.97350842622</v>
      </c>
      <c r="HQ32" s="30">
        <f>+SUM(Producción!HS24:HS26)</f>
        <v>132028.97350842622</v>
      </c>
      <c r="HR32" s="30">
        <f>+SUM(Producción!HT24:HT26)</f>
        <v>132028.97350842622</v>
      </c>
      <c r="HS32" s="30">
        <f>+SUM(Producción!HU24:HU26)</f>
        <v>338028.97350842622</v>
      </c>
      <c r="HT32" s="30">
        <f>+SUM(Producción!HV24:HV26)</f>
        <v>132028.97350842622</v>
      </c>
      <c r="HU32" s="30">
        <f>+SUM(Producción!HW24:HW26)</f>
        <v>132028.97350842622</v>
      </c>
      <c r="HV32" s="30">
        <f>+SUM(Producción!HX24:HX26)</f>
        <v>338028.97350842622</v>
      </c>
      <c r="HW32" s="30">
        <f>+SUM(Producción!HY24:HY26)</f>
        <v>132028.97350842622</v>
      </c>
      <c r="HX32" s="30">
        <f>+SUM(Producción!HZ24:HZ26)</f>
        <v>132028.97350842622</v>
      </c>
      <c r="HY32" s="30">
        <f>+SUM(Producción!IA24:IA26)</f>
        <v>338028.97350842622</v>
      </c>
      <c r="HZ32" s="30">
        <f>+SUM(Producción!IB24:IB26)</f>
        <v>132028.97350842622</v>
      </c>
      <c r="IA32" s="30">
        <f>+SUM(Producción!IC24:IC26)</f>
        <v>132028.97350842622</v>
      </c>
      <c r="IB32" s="30">
        <f>+SUM(Producción!ID24:ID26)</f>
        <v>341989.84271367895</v>
      </c>
      <c r="IC32" s="30">
        <f>+SUM(Producción!IE24:IE26)</f>
        <v>135989.84271367898</v>
      </c>
      <c r="ID32" s="30">
        <f>+SUM(Producción!IF24:IF26)</f>
        <v>135989.84271367898</v>
      </c>
      <c r="IE32" s="30">
        <f>+SUM(Producción!IG24:IG26)</f>
        <v>341989.84271367895</v>
      </c>
      <c r="IF32" s="30">
        <f>+SUM(Producción!IH24:IH26)</f>
        <v>135989.84271367898</v>
      </c>
      <c r="IG32" s="30">
        <f>+SUM(Producción!II24:II26)</f>
        <v>135989.84271367898</v>
      </c>
      <c r="IH32" s="30">
        <f>+SUM(Producción!IJ24:IJ26)</f>
        <v>341989.84271367895</v>
      </c>
      <c r="II32" s="30">
        <f>+SUM(Producción!IK24:IK26)</f>
        <v>137266.6675096089</v>
      </c>
      <c r="IJ32" s="30">
        <f>+SUM(Producción!IL24:IL26)</f>
        <v>138581.79704941675</v>
      </c>
      <c r="IK32" s="30">
        <f>+SUM(Producción!IM24:IM26)</f>
        <v>344581.79704941675</v>
      </c>
      <c r="IL32" s="30">
        <f>+SUM(Producción!IN24:IN26)</f>
        <v>138581.79704941675</v>
      </c>
      <c r="IM32" s="30">
        <f>+SUM(Producción!IO24:IO26)</f>
        <v>138581.79704941675</v>
      </c>
    </row>
    <row r="33" spans="1:247" x14ac:dyDescent="0.3">
      <c r="A33" s="6" t="s">
        <v>920</v>
      </c>
      <c r="C33" s="31">
        <f t="shared" ref="C33:I33" si="31">+SUM(C25:C31)</f>
        <v>0</v>
      </c>
      <c r="D33" s="31">
        <f>+SUM(D25:D31)</f>
        <v>0</v>
      </c>
      <c r="E33" s="31">
        <f t="shared" si="31"/>
        <v>0</v>
      </c>
      <c r="F33" s="31">
        <f t="shared" si="31"/>
        <v>0</v>
      </c>
      <c r="G33" s="31">
        <f t="shared" si="31"/>
        <v>0</v>
      </c>
      <c r="H33" s="31">
        <f t="shared" si="31"/>
        <v>0</v>
      </c>
      <c r="I33" s="31">
        <f t="shared" si="31"/>
        <v>0</v>
      </c>
      <c r="J33" s="31">
        <f>+SUM(J25:J31)</f>
        <v>0</v>
      </c>
      <c r="K33" s="31">
        <f>+SUM(K25:K32)</f>
        <v>0</v>
      </c>
      <c r="L33" s="31">
        <f t="shared" ref="L33:BW33" si="32">+SUM(L25:L32)</f>
        <v>0</v>
      </c>
      <c r="M33" s="31">
        <f t="shared" si="32"/>
        <v>0</v>
      </c>
      <c r="N33" s="31"/>
      <c r="O33" s="31"/>
      <c r="P33" s="31"/>
      <c r="Q33" s="31"/>
      <c r="R33" s="31"/>
      <c r="S33" s="31"/>
      <c r="T33" s="31"/>
      <c r="U33" s="31"/>
      <c r="V33" s="31"/>
      <c r="W33" s="31">
        <f t="shared" si="32"/>
        <v>0</v>
      </c>
      <c r="X33" s="31">
        <f t="shared" si="32"/>
        <v>0</v>
      </c>
      <c r="Y33" s="31">
        <f t="shared" si="32"/>
        <v>0</v>
      </c>
      <c r="Z33" s="31">
        <f t="shared" si="32"/>
        <v>0</v>
      </c>
      <c r="AA33" s="31">
        <f t="shared" si="32"/>
        <v>0</v>
      </c>
      <c r="AB33" s="31">
        <f t="shared" si="32"/>
        <v>0</v>
      </c>
      <c r="AC33" s="31">
        <f t="shared" si="32"/>
        <v>0</v>
      </c>
      <c r="AD33" s="31">
        <f t="shared" ca="1" si="32"/>
        <v>1986453.3324236544</v>
      </c>
      <c r="AE33" s="31">
        <f t="shared" ca="1" si="32"/>
        <v>1916259.6749436925</v>
      </c>
      <c r="AF33" s="31">
        <f t="shared" ca="1" si="32"/>
        <v>2145814.6340907188</v>
      </c>
      <c r="AG33" s="31">
        <f t="shared" ca="1" si="32"/>
        <v>1777553.5186765564</v>
      </c>
      <c r="AH33" s="31">
        <f t="shared" ca="1" si="32"/>
        <v>1508859.808741611</v>
      </c>
      <c r="AI33" s="31">
        <f t="shared" ca="1" si="32"/>
        <v>1557923.4131273469</v>
      </c>
      <c r="AJ33" s="31">
        <f t="shared" ca="1" si="32"/>
        <v>1381723.6994478654</v>
      </c>
      <c r="AK33" s="31">
        <f t="shared" ca="1" si="32"/>
        <v>1458586.1232618387</v>
      </c>
      <c r="AL33" s="31">
        <f t="shared" ca="1" si="32"/>
        <v>1426974.4839069769</v>
      </c>
      <c r="AM33" s="31">
        <f t="shared" ca="1" si="32"/>
        <v>1228248.9845633891</v>
      </c>
      <c r="AN33" s="31">
        <f t="shared" ca="1" si="32"/>
        <v>1377534.5452384972</v>
      </c>
      <c r="AO33" s="31">
        <f t="shared" ca="1" si="32"/>
        <v>1595679.5331446833</v>
      </c>
      <c r="AP33" s="31">
        <f t="shared" ca="1" si="32"/>
        <v>1994121.8347646138</v>
      </c>
      <c r="AQ33" s="31">
        <f t="shared" ca="1" si="32"/>
        <v>1921697.5041973575</v>
      </c>
      <c r="AR33" s="31">
        <f t="shared" ca="1" si="32"/>
        <v>2158011.6474358398</v>
      </c>
      <c r="AS33" s="31">
        <f t="shared" ca="1" si="32"/>
        <v>1778572.5783620686</v>
      </c>
      <c r="AT33" s="31">
        <f t="shared" ca="1" si="32"/>
        <v>1498050.1751488512</v>
      </c>
      <c r="AU33" s="31">
        <f t="shared" ca="1" si="32"/>
        <v>1540008.0254760161</v>
      </c>
      <c r="AV33" s="31">
        <f t="shared" ca="1" si="32"/>
        <v>1378276.6083458192</v>
      </c>
      <c r="AW33" s="31">
        <f t="shared" ca="1" si="32"/>
        <v>1455354.1397589562</v>
      </c>
      <c r="AX33" s="31">
        <f t="shared" ca="1" si="32"/>
        <v>1422520.8000967987</v>
      </c>
      <c r="AY33" s="31">
        <f t="shared" ca="1" si="32"/>
        <v>1204164.7097298284</v>
      </c>
      <c r="AZ33" s="31">
        <f t="shared" ca="1" si="32"/>
        <v>1360146.6962102843</v>
      </c>
      <c r="BA33" s="31">
        <f t="shared" ca="1" si="32"/>
        <v>1579156.621735615</v>
      </c>
      <c r="BB33" s="31">
        <f t="shared" ca="1" si="32"/>
        <v>2000337.8440125491</v>
      </c>
      <c r="BC33" s="31">
        <f t="shared" ca="1" si="32"/>
        <v>1925580.8670786456</v>
      </c>
      <c r="BD33" s="31">
        <f t="shared" ca="1" si="32"/>
        <v>2162641.1865719524</v>
      </c>
      <c r="BE33" s="31">
        <f t="shared" ca="1" si="32"/>
        <v>1777832.2963827562</v>
      </c>
      <c r="BF33" s="31">
        <f t="shared" ca="1" si="32"/>
        <v>1484907.2966819846</v>
      </c>
      <c r="BG33" s="31">
        <f t="shared" ca="1" si="32"/>
        <v>1519395.050400892</v>
      </c>
      <c r="BH33" s="31">
        <f t="shared" ca="1" si="32"/>
        <v>1372821.9746630446</v>
      </c>
      <c r="BI33" s="31">
        <f t="shared" ca="1" si="32"/>
        <v>1450081.3975314929</v>
      </c>
      <c r="BJ33" s="31">
        <f t="shared" ca="1" si="32"/>
        <v>1415949.2107357492</v>
      </c>
      <c r="BK33" s="31">
        <f t="shared" ca="1" si="32"/>
        <v>1176943.0455659949</v>
      </c>
      <c r="BL33" s="31">
        <f t="shared" ca="1" si="32"/>
        <v>1339898.5590611021</v>
      </c>
      <c r="BM33" s="31">
        <f t="shared" ca="1" si="32"/>
        <v>1559788.9926250933</v>
      </c>
      <c r="BN33" s="31">
        <f t="shared" ca="1" si="32"/>
        <v>2004585.4410029196</v>
      </c>
      <c r="BO33" s="31">
        <f t="shared" ca="1" si="32"/>
        <v>1927380.9447168901</v>
      </c>
      <c r="BP33" s="31">
        <f t="shared" ca="1" si="32"/>
        <v>2165163.9968749685</v>
      </c>
      <c r="BQ33" s="31">
        <f t="shared" ca="1" si="32"/>
        <v>1774777.4072909011</v>
      </c>
      <c r="BR33" s="31">
        <f t="shared" ca="1" si="32"/>
        <v>1468839.134728031</v>
      </c>
      <c r="BS33" s="31">
        <f t="shared" ca="1" si="32"/>
        <v>1495465.177318746</v>
      </c>
      <c r="BT33" s="31">
        <f t="shared" ca="1" si="32"/>
        <v>1353870.817335566</v>
      </c>
      <c r="BU33" s="31">
        <f t="shared" ca="1" si="32"/>
        <v>1503928.5742077061</v>
      </c>
      <c r="BV33" s="31">
        <f t="shared" ca="1" si="32"/>
        <v>1468406.7105933689</v>
      </c>
      <c r="BW33" s="31">
        <f t="shared" ca="1" si="32"/>
        <v>1207669.3357028926</v>
      </c>
      <c r="BX33" s="31">
        <f t="shared" ref="BX33:EI33" ca="1" si="33">+SUM(BX25:BX32)</f>
        <v>1377877.8638422131</v>
      </c>
      <c r="BY33" s="31">
        <f t="shared" ca="1" si="33"/>
        <v>1598654.384198783</v>
      </c>
      <c r="BZ33" s="31">
        <f t="shared" ca="1" si="33"/>
        <v>2067968.2132020839</v>
      </c>
      <c r="CA33" s="31">
        <f t="shared" ca="1" si="33"/>
        <v>1988185.2753400442</v>
      </c>
      <c r="CB33" s="31">
        <f t="shared" ca="1" si="33"/>
        <v>2228507.0752381347</v>
      </c>
      <c r="CC33" s="31">
        <f t="shared" ca="1" si="33"/>
        <v>1832315.5379854182</v>
      </c>
      <c r="CD33" s="31">
        <f t="shared" ca="1" si="33"/>
        <v>1512712.0466223615</v>
      </c>
      <c r="CE33" s="31">
        <f t="shared" ca="1" si="33"/>
        <v>1531053.3906301986</v>
      </c>
      <c r="CF33" s="31">
        <f t="shared" ca="1" si="33"/>
        <v>1392498.7728371064</v>
      </c>
      <c r="CG33" s="31">
        <f t="shared" ca="1" si="33"/>
        <v>1494435.2179862096</v>
      </c>
      <c r="CH33" s="31">
        <f t="shared" ca="1" si="33"/>
        <v>1442240.3805346699</v>
      </c>
      <c r="CI33" s="31">
        <f t="shared" ca="1" si="33"/>
        <v>1173798.111798669</v>
      </c>
      <c r="CJ33" s="31">
        <f t="shared" ca="1" si="33"/>
        <v>1509199.4143754032</v>
      </c>
      <c r="CK33" s="31">
        <f t="shared" ca="1" si="33"/>
        <v>1718739.9733027057</v>
      </c>
      <c r="CL33" s="31">
        <f t="shared" si="33"/>
        <v>619262.92962503468</v>
      </c>
      <c r="CM33" s="31">
        <f t="shared" si="33"/>
        <v>538466.55640489561</v>
      </c>
      <c r="CN33" s="31">
        <f t="shared" si="33"/>
        <v>781226.81417722744</v>
      </c>
      <c r="CO33" s="31">
        <f t="shared" si="33"/>
        <v>380767.68476500479</v>
      </c>
      <c r="CP33" s="31">
        <f t="shared" si="33"/>
        <v>48625.777016481501</v>
      </c>
      <c r="CQ33" s="31">
        <f t="shared" si="33"/>
        <v>60086.509844771412</v>
      </c>
      <c r="CR33" s="31">
        <f t="shared" si="33"/>
        <v>-73446.538273499813</v>
      </c>
      <c r="CS33" s="31">
        <f t="shared" si="33"/>
        <v>42474.156568363192</v>
      </c>
      <c r="CT33" s="31">
        <f t="shared" si="33"/>
        <v>-27785.049759688613</v>
      </c>
      <c r="CU33" s="31">
        <f t="shared" si="33"/>
        <v>-297686.98681166954</v>
      </c>
      <c r="CV33" s="31">
        <f t="shared" si="33"/>
        <v>64045.541526700428</v>
      </c>
      <c r="CW33" s="31">
        <f t="shared" si="33"/>
        <v>274559.317701358</v>
      </c>
      <c r="CX33" s="31">
        <f t="shared" si="33"/>
        <v>637840.81751378579</v>
      </c>
      <c r="CY33" s="31">
        <f t="shared" si="33"/>
        <v>554620.55309704249</v>
      </c>
      <c r="CZ33" s="31">
        <f t="shared" si="33"/>
        <v>798483.61860254442</v>
      </c>
      <c r="DA33" s="31">
        <f t="shared" si="33"/>
        <v>392190.71530795499</v>
      </c>
      <c r="DB33" s="31">
        <f t="shared" si="33"/>
        <v>45445.201826360018</v>
      </c>
      <c r="DC33" s="31">
        <f t="shared" si="33"/>
        <v>48182.726264376892</v>
      </c>
      <c r="DD33" s="31">
        <f t="shared" si="33"/>
        <v>-81634.615068338811</v>
      </c>
      <c r="DE33" s="31">
        <f t="shared" si="33"/>
        <v>39793.592751426448</v>
      </c>
      <c r="DF33" s="31">
        <f t="shared" si="33"/>
        <v>-43459.206969850755</v>
      </c>
      <c r="DG33" s="31">
        <f t="shared" si="33"/>
        <v>-316552.85028316197</v>
      </c>
      <c r="DH33" s="31">
        <f t="shared" si="33"/>
        <v>71112.490252501448</v>
      </c>
      <c r="DI33" s="31">
        <f t="shared" si="33"/>
        <v>280932.60882639879</v>
      </c>
      <c r="DJ33" s="31">
        <f t="shared" si="33"/>
        <v>656976.04203919927</v>
      </c>
      <c r="DK33" s="31">
        <f t="shared" si="33"/>
        <v>571259.16968995379</v>
      </c>
      <c r="DL33" s="31">
        <f t="shared" si="33"/>
        <v>816258.12716062076</v>
      </c>
      <c r="DM33" s="31">
        <f t="shared" si="33"/>
        <v>403956.43676719366</v>
      </c>
      <c r="DN33" s="31">
        <f t="shared" si="33"/>
        <v>41937.241955504142</v>
      </c>
      <c r="DO33" s="31">
        <f t="shared" si="33"/>
        <v>35545.510232783563</v>
      </c>
      <c r="DP33" s="31">
        <f t="shared" si="33"/>
        <v>-90367.568199354806</v>
      </c>
      <c r="DQ33" s="31">
        <f t="shared" si="33"/>
        <v>36834.872594282264</v>
      </c>
      <c r="DR33" s="31">
        <f t="shared" si="33"/>
        <v>-60036.619182186434</v>
      </c>
      <c r="DS33" s="31">
        <f t="shared" si="33"/>
        <v>-336481.4523521564</v>
      </c>
      <c r="DT33" s="31">
        <f t="shared" si="33"/>
        <v>78391.447440076503</v>
      </c>
      <c r="DU33" s="31">
        <f t="shared" si="33"/>
        <v>287497.09868519078</v>
      </c>
      <c r="DV33" s="31">
        <f t="shared" si="33"/>
        <v>676685.32330037525</v>
      </c>
      <c r="DW33" s="31">
        <f t="shared" si="33"/>
        <v>588396.94478065241</v>
      </c>
      <c r="DX33" s="31">
        <f t="shared" si="33"/>
        <v>834565.8709754392</v>
      </c>
      <c r="DY33" s="31">
        <f t="shared" si="33"/>
        <v>416075.12987020944</v>
      </c>
      <c r="DZ33" s="31">
        <f t="shared" si="33"/>
        <v>38080.477492240199</v>
      </c>
      <c r="EA33" s="31">
        <f t="shared" si="33"/>
        <v>22134.042829266284</v>
      </c>
      <c r="EB33" s="31">
        <f t="shared" si="33"/>
        <v>-99676.705658249528</v>
      </c>
      <c r="EC33" s="31">
        <f t="shared" si="33"/>
        <v>33579.764435439341</v>
      </c>
      <c r="ED33" s="31">
        <f t="shared" si="33"/>
        <v>-77566.035561054188</v>
      </c>
      <c r="EE33" s="31">
        <f t="shared" si="33"/>
        <v>-357529.51331124548</v>
      </c>
      <c r="EF33" s="31">
        <f t="shared" si="33"/>
        <v>85888.773343278823</v>
      </c>
      <c r="EG33" s="31">
        <f t="shared" si="33"/>
        <v>294258.52323974646</v>
      </c>
      <c r="EH33" s="31">
        <f t="shared" si="33"/>
        <v>696985.88299938641</v>
      </c>
      <c r="EI33" s="31">
        <f t="shared" si="33"/>
        <v>606048.85312407184</v>
      </c>
      <c r="EJ33" s="31">
        <f t="shared" ref="EJ33:GU33" si="34">+SUM(EJ25:EJ32)</f>
        <v>853422.84710470261</v>
      </c>
      <c r="EK33" s="31">
        <f t="shared" si="34"/>
        <v>428557.3837663157</v>
      </c>
      <c r="EL33" s="31">
        <f t="shared" si="34"/>
        <v>33852.266008981882</v>
      </c>
      <c r="EM33" s="31">
        <f t="shared" si="34"/>
        <v>7905.3397681182832</v>
      </c>
      <c r="EN33" s="31">
        <f t="shared" si="34"/>
        <v>-109595.02276155679</v>
      </c>
      <c r="EO33" s="31">
        <f t="shared" si="34"/>
        <v>30008.995314997592</v>
      </c>
      <c r="EP33" s="31">
        <f t="shared" si="34"/>
        <v>-96098.750321458094</v>
      </c>
      <c r="EQ33" s="31">
        <f t="shared" si="34"/>
        <v>-379756.69696853368</v>
      </c>
      <c r="ER33" s="31">
        <f t="shared" si="34"/>
        <v>93611.019023577159</v>
      </c>
      <c r="ES33" s="31">
        <f t="shared" si="34"/>
        <v>301222.79053093889</v>
      </c>
      <c r="ET33" s="31">
        <f t="shared" si="34"/>
        <v>717895.45948936814</v>
      </c>
      <c r="EU33" s="31">
        <f t="shared" si="34"/>
        <v>624230.31871779414</v>
      </c>
      <c r="EV33" s="31">
        <f t="shared" si="34"/>
        <v>872845.53251784365</v>
      </c>
      <c r="EW33" s="31">
        <f t="shared" si="34"/>
        <v>441414.10527930525</v>
      </c>
      <c r="EX33" s="31">
        <f t="shared" si="34"/>
        <v>110369.60050822989</v>
      </c>
      <c r="EY33" s="31">
        <f t="shared" si="34"/>
        <v>120324.28447251028</v>
      </c>
      <c r="EZ33" s="31">
        <f t="shared" si="34"/>
        <v>-63900.265387158986</v>
      </c>
      <c r="FA33" s="31">
        <f t="shared" si="34"/>
        <v>34050.940617726505</v>
      </c>
      <c r="FB33" s="31">
        <f t="shared" si="34"/>
        <v>-59563.43030118366</v>
      </c>
      <c r="FC33" s="31">
        <f t="shared" si="34"/>
        <v>-186683.4644789061</v>
      </c>
      <c r="FD33" s="31">
        <f t="shared" si="34"/>
        <v>101564.93207428447</v>
      </c>
      <c r="FE33" s="31">
        <f t="shared" si="34"/>
        <v>308395.98584086704</v>
      </c>
      <c r="FF33" s="31">
        <f t="shared" si="34"/>
        <v>739432.32327404909</v>
      </c>
      <c r="FG33" s="31">
        <f t="shared" si="34"/>
        <v>642957.22827932797</v>
      </c>
      <c r="FH33" s="31">
        <f t="shared" si="34"/>
        <v>892850.89849337901</v>
      </c>
      <c r="FI33" s="31">
        <f t="shared" si="34"/>
        <v>454656.52843768441</v>
      </c>
      <c r="FJ33" s="31">
        <f t="shared" si="34"/>
        <v>120128.13324497681</v>
      </c>
      <c r="FK33" s="31">
        <f t="shared" si="34"/>
        <v>128337.3765416856</v>
      </c>
      <c r="FL33" s="31">
        <f t="shared" si="34"/>
        <v>-56047.777742273727</v>
      </c>
      <c r="FM33" s="31">
        <f t="shared" si="34"/>
        <v>42405.141964258335</v>
      </c>
      <c r="FN33" s="31">
        <f t="shared" si="34"/>
        <v>-52634.035201719147</v>
      </c>
      <c r="FO33" s="31">
        <f t="shared" si="34"/>
        <v>-179759.96531627318</v>
      </c>
      <c r="FP33" s="31">
        <f t="shared" si="34"/>
        <v>109757.46251651304</v>
      </c>
      <c r="FQ33" s="31">
        <f t="shared" si="34"/>
        <v>315784.37701009313</v>
      </c>
      <c r="FR33" s="31">
        <f t="shared" si="34"/>
        <v>761615.29297227063</v>
      </c>
      <c r="FS33" s="31">
        <f t="shared" si="34"/>
        <v>662245.94512770779</v>
      </c>
      <c r="FT33" s="31">
        <f t="shared" si="34"/>
        <v>913456.42544818029</v>
      </c>
      <c r="FU33" s="31">
        <f t="shared" si="34"/>
        <v>468296.22429081495</v>
      </c>
      <c r="FV33" s="31">
        <f t="shared" si="34"/>
        <v>130179.4219638261</v>
      </c>
      <c r="FW33" s="31">
        <f t="shared" si="34"/>
        <v>136590.86137293608</v>
      </c>
      <c r="FX33" s="31">
        <f t="shared" si="34"/>
        <v>-47959.715468041904</v>
      </c>
      <c r="FY33" s="31">
        <f t="shared" si="34"/>
        <v>51009.969351186111</v>
      </c>
      <c r="FZ33" s="31">
        <f t="shared" si="34"/>
        <v>-45496.758249270788</v>
      </c>
      <c r="GA33" s="31">
        <f t="shared" si="34"/>
        <v>-172628.76117876143</v>
      </c>
      <c r="GB33" s="31">
        <f t="shared" si="34"/>
        <v>118195.76887200841</v>
      </c>
      <c r="GC33" s="31">
        <f t="shared" si="34"/>
        <v>323394.41991439584</v>
      </c>
      <c r="GD33" s="31">
        <f t="shared" si="34"/>
        <v>784463.75176143867</v>
      </c>
      <c r="GE33" s="31">
        <f t="shared" si="34"/>
        <v>682113.32348153903</v>
      </c>
      <c r="GF33" s="31">
        <f t="shared" si="34"/>
        <v>934680.11821162561</v>
      </c>
      <c r="GG33" s="31">
        <f t="shared" si="34"/>
        <v>482345.11101953936</v>
      </c>
      <c r="GH33" s="31">
        <f t="shared" si="34"/>
        <v>140532.24934424093</v>
      </c>
      <c r="GI33" s="31">
        <f t="shared" si="34"/>
        <v>145091.9507491242</v>
      </c>
      <c r="GJ33" s="31">
        <f t="shared" si="34"/>
        <v>-39629.011325583167</v>
      </c>
      <c r="GK33" s="31">
        <f t="shared" si="34"/>
        <v>59872.941559721701</v>
      </c>
      <c r="GL33" s="31">
        <f t="shared" si="34"/>
        <v>-38145.362988248875</v>
      </c>
      <c r="GM33" s="31">
        <f t="shared" si="34"/>
        <v>-165283.62091712427</v>
      </c>
      <c r="GN33" s="31">
        <f t="shared" si="34"/>
        <v>126887.22441816867</v>
      </c>
      <c r="GO33" s="31">
        <f t="shared" si="34"/>
        <v>331232.76410582778</v>
      </c>
      <c r="GP33" s="31">
        <f t="shared" si="34"/>
        <v>807997.66431428201</v>
      </c>
      <c r="GQ33" s="31">
        <f t="shared" si="34"/>
        <v>702576.72318598523</v>
      </c>
      <c r="GR33" s="31">
        <f t="shared" si="34"/>
        <v>956540.52175797452</v>
      </c>
      <c r="GS33" s="31">
        <f t="shared" si="34"/>
        <v>496815.46435012564</v>
      </c>
      <c r="GT33" s="31">
        <f t="shared" si="34"/>
        <v>151195.66154606815</v>
      </c>
      <c r="GU33" s="31">
        <f t="shared" si="34"/>
        <v>153848.07280659795</v>
      </c>
      <c r="GV33" s="31">
        <f t="shared" ref="GV33:IH33" si="35">+SUM(GV25:GV32)</f>
        <v>-31048.386058850665</v>
      </c>
      <c r="GW33" s="31">
        <f t="shared" si="35"/>
        <v>69001.802934513355</v>
      </c>
      <c r="GX33" s="31">
        <f t="shared" si="35"/>
        <v>-30573.425869396306</v>
      </c>
      <c r="GY33" s="31">
        <f t="shared" si="35"/>
        <v>-157718.12644763797</v>
      </c>
      <c r="GZ33" s="31">
        <f t="shared" si="35"/>
        <v>135839.42363071372</v>
      </c>
      <c r="HA33" s="31">
        <f t="shared" si="35"/>
        <v>339306.25862300256</v>
      </c>
      <c r="HB33" s="31">
        <f t="shared" si="35"/>
        <v>832237.59424371051</v>
      </c>
      <c r="HC33" s="31">
        <f t="shared" si="35"/>
        <v>723654.0248815649</v>
      </c>
      <c r="HD33" s="31">
        <f t="shared" si="35"/>
        <v>979056.73741071392</v>
      </c>
      <c r="HE33" s="31">
        <f t="shared" si="35"/>
        <v>511719.92828062945</v>
      </c>
      <c r="HF33" s="31">
        <f t="shared" si="35"/>
        <v>162178.97611395016</v>
      </c>
      <c r="HG33" s="31">
        <f t="shared" si="35"/>
        <v>162866.87852579588</v>
      </c>
      <c r="HH33" s="31">
        <f t="shared" si="35"/>
        <v>-22210.342034116213</v>
      </c>
      <c r="HI33" s="31">
        <f t="shared" si="35"/>
        <v>78404.530150548788</v>
      </c>
      <c r="HJ33" s="31">
        <f t="shared" si="35"/>
        <v>-22774.330636978091</v>
      </c>
      <c r="HK33" s="31">
        <f t="shared" si="35"/>
        <v>-149925.66714406709</v>
      </c>
      <c r="HL33" s="31">
        <f t="shared" si="35"/>
        <v>145060.18881963516</v>
      </c>
      <c r="HM33" s="31">
        <f t="shared" si="35"/>
        <v>347621.9579756927</v>
      </c>
      <c r="HN33" s="31">
        <f t="shared" si="35"/>
        <v>857204.72207102168</v>
      </c>
      <c r="HO33" s="31">
        <f t="shared" si="35"/>
        <v>745363.64562801167</v>
      </c>
      <c r="HP33" s="31">
        <f t="shared" si="35"/>
        <v>1002248.4395330353</v>
      </c>
      <c r="HQ33" s="31">
        <f t="shared" si="35"/>
        <v>527071.52612904832</v>
      </c>
      <c r="HR33" s="31">
        <f t="shared" si="35"/>
        <v>173491.79011886872</v>
      </c>
      <c r="HS33" s="31">
        <f t="shared" si="35"/>
        <v>172156.24841656975</v>
      </c>
      <c r="HT33" s="31">
        <f t="shared" si="35"/>
        <v>-13107.156688639661</v>
      </c>
      <c r="HU33" s="31">
        <f t="shared" si="35"/>
        <v>88089.339183065254</v>
      </c>
      <c r="HV33" s="31">
        <f t="shared" si="35"/>
        <v>-14741.262547587452</v>
      </c>
      <c r="HW33" s="31">
        <f t="shared" si="35"/>
        <v>-141899.43406138913</v>
      </c>
      <c r="HX33" s="31">
        <f t="shared" si="35"/>
        <v>154557.57696422422</v>
      </c>
      <c r="HY33" s="31">
        <f t="shared" si="35"/>
        <v>356187.1283089635</v>
      </c>
      <c r="HZ33" s="31">
        <f t="shared" si="35"/>
        <v>882920.86373315251</v>
      </c>
      <c r="IA33" s="31">
        <f t="shared" si="35"/>
        <v>767724.55499685218</v>
      </c>
      <c r="IB33" s="31">
        <f t="shared" si="35"/>
        <v>1026135.8927190262</v>
      </c>
      <c r="IC33" s="31">
        <f t="shared" si="35"/>
        <v>542883.67191291973</v>
      </c>
      <c r="ID33" s="31">
        <f t="shared" si="35"/>
        <v>185143.9885439348</v>
      </c>
      <c r="IE33" s="31">
        <f t="shared" si="35"/>
        <v>181724.29940406681</v>
      </c>
      <c r="IF33" s="31">
        <f t="shared" si="35"/>
        <v>-3730.8757827988884</v>
      </c>
      <c r="IG33" s="31">
        <f t="shared" si="35"/>
        <v>98064.692486557178</v>
      </c>
      <c r="IH33" s="31">
        <f t="shared" si="35"/>
        <v>-6467.2024155151448</v>
      </c>
      <c r="II33" s="31">
        <f>+SUM(II25:II32)</f>
        <v>-132355.5891903009</v>
      </c>
      <c r="IJ33" s="31">
        <f>+SUM(IJ25:IJ32)</f>
        <v>166931.8410888887</v>
      </c>
      <c r="IK33" s="31">
        <f>+SUM(IK25:IK32)</f>
        <v>367601.20808797015</v>
      </c>
      <c r="IL33" s="31">
        <f>+SUM(IL25:IL32)</f>
        <v>912000.44398088474</v>
      </c>
      <c r="IM33" s="31">
        <f>+SUM(IM25:IM32)</f>
        <v>793348.2459824956</v>
      </c>
    </row>
    <row r="34" spans="1:247" x14ac:dyDescent="0.3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</row>
    <row r="35" spans="1:247" x14ac:dyDescent="0.3">
      <c r="C35">
        <v>2024</v>
      </c>
      <c r="D35">
        <v>2025</v>
      </c>
      <c r="E35">
        <v>2026</v>
      </c>
      <c r="F35">
        <v>2027</v>
      </c>
      <c r="G35">
        <v>2028</v>
      </c>
      <c r="H35">
        <v>2029</v>
      </c>
      <c r="I35">
        <v>2030</v>
      </c>
      <c r="J35">
        <v>2031</v>
      </c>
      <c r="K35">
        <v>2032</v>
      </c>
      <c r="L35">
        <v>2033</v>
      </c>
      <c r="M35">
        <v>2034</v>
      </c>
      <c r="N35">
        <v>2035</v>
      </c>
      <c r="O35">
        <v>2036</v>
      </c>
      <c r="P35">
        <v>2037</v>
      </c>
      <c r="Q35">
        <v>2038</v>
      </c>
      <c r="R35">
        <v>2039</v>
      </c>
      <c r="S35">
        <v>2040</v>
      </c>
      <c r="T35">
        <v>2041</v>
      </c>
      <c r="U35">
        <v>2042</v>
      </c>
      <c r="V35">
        <v>2043</v>
      </c>
      <c r="W35">
        <v>2044</v>
      </c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</row>
    <row r="36" spans="1:247" x14ac:dyDescent="0.3">
      <c r="A36" s="6" t="s">
        <v>921</v>
      </c>
      <c r="C36" s="31">
        <f>+SUMIFS(33:33,12:12,C35)</f>
        <v>0</v>
      </c>
      <c r="D36" s="31">
        <f>+SUMIFS(33:33,12:12,D35)</f>
        <v>0</v>
      </c>
      <c r="E36" s="31">
        <f ca="1">+SUMIFS(33:33,12:12,E35)</f>
        <v>3902713.0073673469</v>
      </c>
      <c r="F36" s="31">
        <f t="shared" ref="F36:W36" ca="1" si="36">+SUMIFS(33:33,12:12,F35)</f>
        <v>19374718.083161458</v>
      </c>
      <c r="G36" s="31">
        <f t="shared" ca="1" si="36"/>
        <v>19300180.713391274</v>
      </c>
      <c r="H36" s="31">
        <f t="shared" ca="1" si="36"/>
        <v>19192225.395939872</v>
      </c>
      <c r="I36" s="31">
        <f t="shared" ca="1" si="36"/>
        <v>19470806.890635304</v>
      </c>
      <c r="J36" s="31">
        <f t="shared" ca="1" si="36"/>
        <v>16993229.407340806</v>
      </c>
      <c r="K36" s="31">
        <f>+SUMIFS(33:33,12:12,K35)</f>
        <v>2445328.5973658767</v>
      </c>
      <c r="L36" s="31">
        <f t="shared" si="36"/>
        <v>2462729.4932393646</v>
      </c>
      <c r="M36" s="31">
        <f t="shared" si="36"/>
        <v>2478617.3631829815</v>
      </c>
      <c r="N36" s="31">
        <f t="shared" si="36"/>
        <v>2492845.0637785289</v>
      </c>
      <c r="O36" s="31">
        <f t="shared" si="36"/>
        <v>2505255.9496732457</v>
      </c>
      <c r="P36" s="31">
        <f t="shared" si="36"/>
        <v>3061207.7726968951</v>
      </c>
      <c r="Q36" s="31">
        <f t="shared" si="36"/>
        <v>3199339.3780483026</v>
      </c>
      <c r="R36" s="31">
        <f t="shared" si="36"/>
        <v>3341614.9315602519</v>
      </c>
      <c r="S36" s="31">
        <f t="shared" si="36"/>
        <v>3488158.7516775592</v>
      </c>
      <c r="T36" s="31">
        <f t="shared" si="36"/>
        <v>3639098.8863983867</v>
      </c>
      <c r="U36" s="31">
        <f t="shared" si="36"/>
        <v>3794567.2251608381</v>
      </c>
      <c r="V36" s="31">
        <f t="shared" si="36"/>
        <v>3954699.6140861632</v>
      </c>
      <c r="W36" s="31">
        <f t="shared" si="36"/>
        <v>4131280.6168181286</v>
      </c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</row>
    <row r="38" spans="1:247" x14ac:dyDescent="0.3">
      <c r="A38" t="s">
        <v>922</v>
      </c>
      <c r="C38" s="31">
        <f t="shared" ref="C38:J38" si="37">+C19-C33</f>
        <v>0</v>
      </c>
      <c r="D38" s="31">
        <f t="shared" si="37"/>
        <v>0</v>
      </c>
      <c r="E38" s="31">
        <f t="shared" si="37"/>
        <v>0</v>
      </c>
      <c r="F38" s="31">
        <f t="shared" si="37"/>
        <v>0</v>
      </c>
      <c r="G38" s="31">
        <f t="shared" si="37"/>
        <v>0</v>
      </c>
      <c r="H38" s="31">
        <f t="shared" si="37"/>
        <v>0</v>
      </c>
      <c r="I38" s="31">
        <f t="shared" si="37"/>
        <v>0</v>
      </c>
      <c r="J38" s="31">
        <f t="shared" si="37"/>
        <v>0</v>
      </c>
      <c r="K38" s="31">
        <f t="shared" ref="K38:U38" si="38">+K19-K33</f>
        <v>0</v>
      </c>
      <c r="L38" s="31">
        <f t="shared" si="38"/>
        <v>0</v>
      </c>
      <c r="M38" s="31">
        <f t="shared" si="38"/>
        <v>0</v>
      </c>
      <c r="N38" s="31">
        <f t="shared" si="38"/>
        <v>0</v>
      </c>
      <c r="O38" s="31">
        <f t="shared" si="38"/>
        <v>0</v>
      </c>
      <c r="P38" s="31">
        <f>+P19-P33</f>
        <v>0</v>
      </c>
      <c r="Q38" s="31">
        <f t="shared" si="38"/>
        <v>0</v>
      </c>
      <c r="R38" s="31">
        <f t="shared" si="38"/>
        <v>0</v>
      </c>
      <c r="S38" s="31">
        <f t="shared" si="38"/>
        <v>0</v>
      </c>
      <c r="T38" s="31">
        <f>+T19-T33</f>
        <v>0</v>
      </c>
      <c r="U38" s="31">
        <f t="shared" si="38"/>
        <v>0</v>
      </c>
      <c r="V38" s="31">
        <f t="shared" ref="V38:BW38" si="39">+V19-V33</f>
        <v>0</v>
      </c>
      <c r="W38" s="31">
        <f t="shared" si="39"/>
        <v>0</v>
      </c>
      <c r="X38" s="31">
        <f t="shared" si="39"/>
        <v>0</v>
      </c>
      <c r="Y38" s="31">
        <f t="shared" si="39"/>
        <v>0</v>
      </c>
      <c r="Z38" s="31">
        <f t="shared" si="39"/>
        <v>0</v>
      </c>
      <c r="AA38" s="31">
        <f t="shared" si="39"/>
        <v>0</v>
      </c>
      <c r="AB38" s="31">
        <f t="shared" si="39"/>
        <v>0</v>
      </c>
      <c r="AC38" s="31">
        <f t="shared" si="39"/>
        <v>0</v>
      </c>
      <c r="AD38" s="31">
        <f t="shared" ca="1" si="39"/>
        <v>121764.66321634594</v>
      </c>
      <c r="AE38" s="31">
        <f t="shared" ca="1" si="39"/>
        <v>180153.08693630761</v>
      </c>
      <c r="AF38" s="31">
        <f t="shared" ca="1" si="39"/>
        <v>224086.04322928097</v>
      </c>
      <c r="AG38" s="31">
        <f t="shared" ca="1" si="39"/>
        <v>251962.9185634437</v>
      </c>
      <c r="AH38" s="31">
        <f t="shared" ca="1" si="39"/>
        <v>810562.7336383895</v>
      </c>
      <c r="AI38" s="31">
        <f t="shared" ca="1" si="39"/>
        <v>170459.56860785326</v>
      </c>
      <c r="AJ38" s="31">
        <f t="shared" ca="1" si="39"/>
        <v>333447.18166253483</v>
      </c>
      <c r="AK38" s="31">
        <f t="shared" ca="1" si="39"/>
        <v>406992.84537176136</v>
      </c>
      <c r="AL38" s="31">
        <f t="shared" ca="1" si="39"/>
        <v>-38923.889456176665</v>
      </c>
      <c r="AM38" s="31">
        <f t="shared" ca="1" si="39"/>
        <v>306369.64255261095</v>
      </c>
      <c r="AN38" s="31">
        <f t="shared" ca="1" si="39"/>
        <v>355178.257961503</v>
      </c>
      <c r="AO38" s="31">
        <f t="shared" ca="1" si="39"/>
        <v>-11745.224144683219</v>
      </c>
      <c r="AP38" s="31">
        <f t="shared" ca="1" si="39"/>
        <v>177342.70074458653</v>
      </c>
      <c r="AQ38" s="31">
        <f t="shared" ca="1" si="39"/>
        <v>237607.64053904242</v>
      </c>
      <c r="AR38" s="31">
        <f t="shared" ca="1" si="39"/>
        <v>282986.05020376062</v>
      </c>
      <c r="AS38" s="31">
        <f t="shared" ca="1" si="39"/>
        <v>311829.35199513147</v>
      </c>
      <c r="AT38" s="31">
        <f t="shared" ca="1" si="39"/>
        <v>890955.04350254918</v>
      </c>
      <c r="AU38" s="31">
        <f t="shared" ca="1" si="39"/>
        <v>240226.44571124017</v>
      </c>
      <c r="AV38" s="31">
        <f t="shared" ca="1" si="39"/>
        <v>388349.39919789298</v>
      </c>
      <c r="AW38" s="31">
        <f t="shared" ca="1" si="39"/>
        <v>466192.19793365174</v>
      </c>
      <c r="AX38" s="31">
        <f t="shared" ca="1" si="39"/>
        <v>7171.3121875254437</v>
      </c>
      <c r="AY38" s="31">
        <f t="shared" ca="1" si="39"/>
        <v>376492.47619965207</v>
      </c>
      <c r="AZ38" s="31">
        <f t="shared" ca="1" si="39"/>
        <v>424547.49108571582</v>
      </c>
      <c r="BA38" s="31">
        <f t="shared" ca="1" si="39"/>
        <v>52295.716534385225</v>
      </c>
      <c r="BB38" s="31">
        <f t="shared" ca="1" si="39"/>
        <v>236270.62756192684</v>
      </c>
      <c r="BC38" s="31">
        <f t="shared" ca="1" si="39"/>
        <v>298503.43199984636</v>
      </c>
      <c r="BD38" s="31">
        <f t="shared" ca="1" si="39"/>
        <v>351586.4419968361</v>
      </c>
      <c r="BE38" s="31">
        <f t="shared" ca="1" si="39"/>
        <v>375281.69188516005</v>
      </c>
      <c r="BF38" s="31">
        <f t="shared" ca="1" si="39"/>
        <v>975768.07852895814</v>
      </c>
      <c r="BG38" s="31">
        <f t="shared" ca="1" si="39"/>
        <v>314246.45492198202</v>
      </c>
      <c r="BH38" s="31">
        <f t="shared" ca="1" si="39"/>
        <v>446802.81310697924</v>
      </c>
      <c r="BI38" s="31">
        <f t="shared" ca="1" si="39"/>
        <v>529111.33029189333</v>
      </c>
      <c r="BJ38" s="31">
        <f t="shared" ca="1" si="39"/>
        <v>56633.664917104878</v>
      </c>
      <c r="BK38" s="31">
        <f t="shared" ca="1" si="39"/>
        <v>451133.85594136966</v>
      </c>
      <c r="BL38" s="31">
        <f t="shared" ca="1" si="39"/>
        <v>498336.45385377784</v>
      </c>
      <c r="BM38" s="31">
        <f t="shared" ca="1" si="39"/>
        <v>120606.91579300654</v>
      </c>
      <c r="BN38" s="31">
        <f t="shared" ca="1" si="39"/>
        <v>299121.28471879079</v>
      </c>
      <c r="BO38" s="31">
        <f t="shared" ca="1" si="39"/>
        <v>363425.88333395706</v>
      </c>
      <c r="BP38" s="31">
        <f t="shared" ca="1" si="39"/>
        <v>424490.46055088378</v>
      </c>
      <c r="BQ38" s="31">
        <f t="shared" ca="1" si="39"/>
        <v>442930.00062505249</v>
      </c>
      <c r="BR38" s="31">
        <f t="shared" ca="1" si="39"/>
        <v>1065656.50173924</v>
      </c>
      <c r="BS38" s="31">
        <f t="shared" ca="1" si="39"/>
        <v>393185.57316381414</v>
      </c>
      <c r="BT38" s="31">
        <f t="shared" ca="1" si="39"/>
        <v>520342.71406755829</v>
      </c>
      <c r="BU38" s="31">
        <f t="shared" ca="1" si="39"/>
        <v>534639.93545038137</v>
      </c>
      <c r="BV38" s="31">
        <f t="shared" ca="1" si="39"/>
        <v>48353.651329070795</v>
      </c>
      <c r="BW38" s="31">
        <f t="shared" ca="1" si="39"/>
        <v>469249.87284969306</v>
      </c>
      <c r="BX38" s="31">
        <f t="shared" ref="BX38:EI38" ca="1" si="40">+BX19-BX33</f>
        <v>515504.19946011342</v>
      </c>
      <c r="BY38" s="31">
        <f t="shared" ca="1" si="40"/>
        <v>132153.40147186001</v>
      </c>
      <c r="BZ38" s="31">
        <f t="shared" ca="1" si="40"/>
        <v>304849.71429127781</v>
      </c>
      <c r="CA38" s="31">
        <f t="shared" ca="1" si="40"/>
        <v>371345.75755232829</v>
      </c>
      <c r="CB38" s="31">
        <f t="shared" ca="1" si="40"/>
        <v>438837.01591049274</v>
      </c>
      <c r="CC38" s="31">
        <f t="shared" ca="1" si="40"/>
        <v>451923.09216801426</v>
      </c>
      <c r="CD38" s="31">
        <f t="shared" ca="1" si="40"/>
        <v>1097818.4589389274</v>
      </c>
      <c r="CE38" s="31">
        <f t="shared" ca="1" si="40"/>
        <v>414256.8823668384</v>
      </c>
      <c r="CF38" s="31">
        <f t="shared" ca="1" si="40"/>
        <v>537941.16450811177</v>
      </c>
      <c r="CG38" s="31">
        <f t="shared" ca="1" si="40"/>
        <v>605290.34696162096</v>
      </c>
      <c r="CH38" s="31">
        <f t="shared" ca="1" si="40"/>
        <v>120022.79224544298</v>
      </c>
      <c r="CI38" s="31">
        <f t="shared" ca="1" si="40"/>
        <v>553428.67301049433</v>
      </c>
      <c r="CJ38" s="31">
        <f t="shared" ca="1" si="40"/>
        <v>440984.11082599335</v>
      </c>
      <c r="CK38" s="31">
        <f t="shared" ca="1" si="40"/>
        <v>63992.045938056894</v>
      </c>
      <c r="CL38" s="31">
        <f t="shared" si="40"/>
        <v>1824739.5356931281</v>
      </c>
      <c r="CM38" s="31">
        <f t="shared" si="40"/>
        <v>1891850.4074742482</v>
      </c>
      <c r="CN38" s="31">
        <f t="shared" si="40"/>
        <v>1966137.5997058593</v>
      </c>
      <c r="CO38" s="31">
        <f t="shared" si="40"/>
        <v>1971998.1042930305</v>
      </c>
      <c r="CP38" s="31">
        <f t="shared" si="40"/>
        <v>2640220.6437116461</v>
      </c>
      <c r="CQ38" s="31">
        <f t="shared" si="40"/>
        <v>1943583.071342177</v>
      </c>
      <c r="CR38" s="31">
        <f t="shared" si="40"/>
        <v>2061799.6737390745</v>
      </c>
      <c r="CS38" s="31">
        <f t="shared" si="40"/>
        <v>2120243.1753279022</v>
      </c>
      <c r="CT38" s="31">
        <f t="shared" si="40"/>
        <v>1636916.1177232049</v>
      </c>
      <c r="CU38" s="31">
        <f t="shared" si="40"/>
        <v>2076730.5751651081</v>
      </c>
      <c r="CV38" s="31">
        <f t="shared" si="40"/>
        <v>1944643.4894307381</v>
      </c>
      <c r="CW38" s="31">
        <f t="shared" si="40"/>
        <v>1561654.6621166277</v>
      </c>
      <c r="CX38" s="31">
        <f t="shared" si="40"/>
        <v>1879481.7217639219</v>
      </c>
      <c r="CY38" s="31">
        <f t="shared" si="40"/>
        <v>1948605.9196984756</v>
      </c>
      <c r="CZ38" s="31">
        <f t="shared" si="40"/>
        <v>2031301.7276970348</v>
      </c>
      <c r="DA38" s="31">
        <f t="shared" si="40"/>
        <v>2031158.0474218216</v>
      </c>
      <c r="DB38" s="31">
        <f t="shared" si="40"/>
        <v>2724066.611523611</v>
      </c>
      <c r="DC38" s="31">
        <f t="shared" si="40"/>
        <v>2015596.9423581799</v>
      </c>
      <c r="DD38" s="31">
        <f t="shared" si="40"/>
        <v>2129638.3445978807</v>
      </c>
      <c r="DE38" s="31">
        <f t="shared" si="40"/>
        <v>2187805.259101727</v>
      </c>
      <c r="DF38" s="31">
        <f t="shared" si="40"/>
        <v>1700864.2069722726</v>
      </c>
      <c r="DG38" s="31">
        <f t="shared" si="40"/>
        <v>2148967.7462872034</v>
      </c>
      <c r="DH38" s="31">
        <f t="shared" si="40"/>
        <v>1997837.2116336604</v>
      </c>
      <c r="DI38" s="31">
        <f t="shared" si="40"/>
        <v>1610367.7903861261</v>
      </c>
      <c r="DJ38" s="31">
        <f t="shared" si="40"/>
        <v>1935866.1734168399</v>
      </c>
      <c r="DK38" s="31">
        <f t="shared" si="40"/>
        <v>2007064.0972894304</v>
      </c>
      <c r="DL38" s="31">
        <f t="shared" si="40"/>
        <v>2098420.7795279459</v>
      </c>
      <c r="DM38" s="31">
        <f t="shared" si="40"/>
        <v>2092092.7888444762</v>
      </c>
      <c r="DN38" s="31">
        <f t="shared" si="40"/>
        <v>2810659.9257949665</v>
      </c>
      <c r="DO38" s="31">
        <f t="shared" si="40"/>
        <v>2090147.5484484502</v>
      </c>
      <c r="DP38" s="31">
        <f t="shared" si="40"/>
        <v>2199811.4096147832</v>
      </c>
      <c r="DQ38" s="31">
        <f t="shared" si="40"/>
        <v>2257591.9448144659</v>
      </c>
      <c r="DR38" s="31">
        <f t="shared" si="40"/>
        <v>1767163.7691846811</v>
      </c>
      <c r="DS38" s="31">
        <f t="shared" si="40"/>
        <v>2223868.7952363193</v>
      </c>
      <c r="DT38" s="31">
        <f t="shared" si="40"/>
        <v>2052626.7455026703</v>
      </c>
      <c r="DU38" s="31">
        <f t="shared" si="40"/>
        <v>1660542.3125037104</v>
      </c>
      <c r="DV38" s="31">
        <f t="shared" si="40"/>
        <v>1993942.1586193447</v>
      </c>
      <c r="DW38" s="31">
        <f t="shared" si="40"/>
        <v>2067276.0202081124</v>
      </c>
      <c r="DX38" s="31">
        <f t="shared" si="40"/>
        <v>2167553.4029137846</v>
      </c>
      <c r="DY38" s="31">
        <f t="shared" si="40"/>
        <v>2154855.5725098108</v>
      </c>
      <c r="DZ38" s="31">
        <f t="shared" si="40"/>
        <v>2900094.6052907445</v>
      </c>
      <c r="EA38" s="31">
        <f t="shared" si="40"/>
        <v>2167329.8076124042</v>
      </c>
      <c r="EB38" s="31">
        <f t="shared" si="40"/>
        <v>2272403.8623161409</v>
      </c>
      <c r="EC38" s="31">
        <f t="shared" si="40"/>
        <v>2329679.8574955715</v>
      </c>
      <c r="ED38" s="31">
        <f t="shared" si="40"/>
        <v>1835907.0000636235</v>
      </c>
      <c r="EE38" s="31">
        <f t="shared" si="40"/>
        <v>2301538.4764819331</v>
      </c>
      <c r="EF38" s="31">
        <f t="shared" si="40"/>
        <v>2109059.9653877504</v>
      </c>
      <c r="EG38" s="31">
        <f t="shared" si="40"/>
        <v>1712222.0702848216</v>
      </c>
      <c r="EH38" s="31">
        <f t="shared" si="40"/>
        <v>2053760.4233779258</v>
      </c>
      <c r="EI38" s="31">
        <f t="shared" si="40"/>
        <v>2129294.3008143567</v>
      </c>
      <c r="EJ38" s="31">
        <f t="shared" ref="EJ38:GU38" si="41">+EJ19-EJ33</f>
        <v>2238760.005001198</v>
      </c>
      <c r="EK38" s="31">
        <f t="shared" si="41"/>
        <v>2219501.2396851047</v>
      </c>
      <c r="EL38" s="31">
        <f t="shared" si="41"/>
        <v>2992468.0692574922</v>
      </c>
      <c r="EM38" s="31">
        <f t="shared" si="41"/>
        <v>2247242.4261868023</v>
      </c>
      <c r="EN38" s="31">
        <f t="shared" si="41"/>
        <v>2347503.9941191846</v>
      </c>
      <c r="EO38" s="31">
        <f t="shared" si="41"/>
        <v>2404148.4152739435</v>
      </c>
      <c r="EP38" s="31">
        <f t="shared" si="41"/>
        <v>1907189.9437591045</v>
      </c>
      <c r="EQ38" s="31">
        <f t="shared" si="41"/>
        <v>2382085.9290343421</v>
      </c>
      <c r="ER38" s="31">
        <f t="shared" si="41"/>
        <v>2167186.181869383</v>
      </c>
      <c r="ES38" s="31">
        <f t="shared" si="41"/>
        <v>1765452.2207993662</v>
      </c>
      <c r="ET38" s="31">
        <f t="shared" si="41"/>
        <v>2115373.2360792635</v>
      </c>
      <c r="EU38" s="31">
        <f t="shared" si="41"/>
        <v>2193173.129838787</v>
      </c>
      <c r="EV38" s="31">
        <f t="shared" si="41"/>
        <v>2312102.8051512344</v>
      </c>
      <c r="EW38" s="31">
        <f t="shared" si="41"/>
        <v>2286086.276875658</v>
      </c>
      <c r="EX38" s="31">
        <f t="shared" si="41"/>
        <v>3006740.3448162386</v>
      </c>
      <c r="EY38" s="31">
        <f t="shared" si="41"/>
        <v>2202477.9144610581</v>
      </c>
      <c r="EZ38" s="31">
        <f t="shared" si="41"/>
        <v>2368946.5058855158</v>
      </c>
      <c r="FA38" s="31">
        <f t="shared" si="41"/>
        <v>2473131.192288883</v>
      </c>
      <c r="FB38" s="31">
        <f t="shared" si="41"/>
        <v>1924987.3595419594</v>
      </c>
      <c r="FC38" s="31">
        <f t="shared" si="41"/>
        <v>2249082.5735066892</v>
      </c>
      <c r="FD38" s="31">
        <f t="shared" si="41"/>
        <v>2227056.1848454643</v>
      </c>
      <c r="FE38" s="31">
        <f t="shared" si="41"/>
        <v>1820279.2758293475</v>
      </c>
      <c r="FF38" s="31">
        <f t="shared" si="41"/>
        <v>2178834.4331616415</v>
      </c>
      <c r="FG38" s="31">
        <f t="shared" si="41"/>
        <v>2258968.323733951</v>
      </c>
      <c r="FH38" s="31">
        <f t="shared" si="41"/>
        <v>2387645.8893057704</v>
      </c>
      <c r="FI38" s="31">
        <f t="shared" si="41"/>
        <v>2354668.8651819276</v>
      </c>
      <c r="FJ38" s="31">
        <f t="shared" si="41"/>
        <v>3090495.1104392256</v>
      </c>
      <c r="FK38" s="31">
        <f t="shared" si="41"/>
        <v>2264148.8883598899</v>
      </c>
      <c r="FL38" s="31">
        <f t="shared" si="41"/>
        <v>2430245.4054555814</v>
      </c>
      <c r="FM38" s="31">
        <f t="shared" si="41"/>
        <v>2539992.4549295497</v>
      </c>
      <c r="FN38" s="31">
        <f t="shared" si="41"/>
        <v>1974020.6823197184</v>
      </c>
      <c r="FO38" s="31">
        <f t="shared" si="41"/>
        <v>2304031.0476148902</v>
      </c>
      <c r="FP38" s="31">
        <f t="shared" si="41"/>
        <v>2288722.2879108284</v>
      </c>
      <c r="FQ38" s="31">
        <f t="shared" si="41"/>
        <v>1876751.1425102279</v>
      </c>
      <c r="FR38" s="31">
        <f t="shared" si="41"/>
        <v>2244199.4661564901</v>
      </c>
      <c r="FS38" s="31">
        <f t="shared" si="41"/>
        <v>2326737.3734459691</v>
      </c>
      <c r="FT38" s="31">
        <f t="shared" si="41"/>
        <v>2465455.2659849436</v>
      </c>
      <c r="FU38" s="31">
        <f t="shared" si="41"/>
        <v>2425308.9311373858</v>
      </c>
      <c r="FV38" s="31">
        <f t="shared" si="41"/>
        <v>3176762.5190309025</v>
      </c>
      <c r="FW38" s="31">
        <f t="shared" si="41"/>
        <v>2327669.9914756864</v>
      </c>
      <c r="FX38" s="31">
        <f t="shared" si="41"/>
        <v>2493383.2720127492</v>
      </c>
      <c r="FY38" s="31">
        <f t="shared" si="41"/>
        <v>2608859.5554494364</v>
      </c>
      <c r="FZ38" s="31">
        <f t="shared" si="41"/>
        <v>2024525.0047808099</v>
      </c>
      <c r="GA38" s="31">
        <f t="shared" si="41"/>
        <v>2360627.9759463365</v>
      </c>
      <c r="GB38" s="31">
        <f t="shared" si="41"/>
        <v>2352238.374068154</v>
      </c>
      <c r="GC38" s="31">
        <f t="shared" si="41"/>
        <v>1934917.1651915351</v>
      </c>
      <c r="GD38" s="31">
        <f t="shared" si="41"/>
        <v>2311525.450141185</v>
      </c>
      <c r="GE38" s="31">
        <f t="shared" si="41"/>
        <v>2396539.4946493478</v>
      </c>
      <c r="GF38" s="31">
        <f t="shared" si="41"/>
        <v>2545598.9239644925</v>
      </c>
      <c r="GG38" s="31">
        <f t="shared" si="41"/>
        <v>2498068.1990715074</v>
      </c>
      <c r="GH38" s="31">
        <f t="shared" si="41"/>
        <v>3265617.9498803299</v>
      </c>
      <c r="GI38" s="31">
        <f t="shared" si="41"/>
        <v>2393096.727684957</v>
      </c>
      <c r="GJ38" s="31">
        <f t="shared" si="41"/>
        <v>2558415.2745666313</v>
      </c>
      <c r="GK38" s="31">
        <f t="shared" si="41"/>
        <v>2679792.6689849198</v>
      </c>
      <c r="GL38" s="31">
        <f t="shared" si="41"/>
        <v>2076544.4569157343</v>
      </c>
      <c r="GM38" s="31">
        <f t="shared" si="41"/>
        <v>2418922.8121277266</v>
      </c>
      <c r="GN38" s="31">
        <f t="shared" si="41"/>
        <v>2417659.9428101978</v>
      </c>
      <c r="GO38" s="31">
        <f t="shared" si="41"/>
        <v>1994828.1685532809</v>
      </c>
      <c r="GP38" s="31">
        <f t="shared" si="41"/>
        <v>2380871.213645421</v>
      </c>
      <c r="GQ38" s="31">
        <f t="shared" si="41"/>
        <v>2468435.6794888289</v>
      </c>
      <c r="GR38" s="31">
        <f t="shared" si="41"/>
        <v>2628146.8916834267</v>
      </c>
      <c r="GS38" s="31">
        <f t="shared" si="41"/>
        <v>2573010.2450436526</v>
      </c>
      <c r="GT38" s="31">
        <f t="shared" si="41"/>
        <v>3357139.0436552395</v>
      </c>
      <c r="GU38" s="31">
        <f t="shared" si="41"/>
        <v>2460486.2659805054</v>
      </c>
      <c r="GV38" s="31">
        <f t="shared" ref="GV38:IH38" si="42">+GV19-GV33</f>
        <v>2625398.23719713</v>
      </c>
      <c r="GW38" s="31">
        <f t="shared" si="42"/>
        <v>2752853.775926467</v>
      </c>
      <c r="GX38" s="31">
        <f t="shared" si="42"/>
        <v>2130124.4926147065</v>
      </c>
      <c r="GY38" s="31">
        <f t="shared" si="42"/>
        <v>2478966.4933945588</v>
      </c>
      <c r="GZ38" s="31">
        <f t="shared" si="42"/>
        <v>2485044.1586145042</v>
      </c>
      <c r="HA38" s="31">
        <f t="shared" si="42"/>
        <v>2056536.5020158794</v>
      </c>
      <c r="HB38" s="31">
        <f t="shared" si="42"/>
        <v>2452297.3500547833</v>
      </c>
      <c r="HC38" s="31">
        <f t="shared" si="42"/>
        <v>2542488.7498734938</v>
      </c>
      <c r="HD38" s="31">
        <f t="shared" si="42"/>
        <v>2713171.2984339297</v>
      </c>
      <c r="HE38" s="31">
        <f t="shared" si="42"/>
        <v>2650200.5523949619</v>
      </c>
      <c r="HF38" s="31">
        <f t="shared" si="42"/>
        <v>3451405.770243397</v>
      </c>
      <c r="HG38" s="31">
        <f t="shared" si="42"/>
        <v>2529897.4904249208</v>
      </c>
      <c r="HH38" s="31">
        <f t="shared" si="42"/>
        <v>2694390.6887065442</v>
      </c>
      <c r="HI38" s="31">
        <f t="shared" si="42"/>
        <v>2828106.7160762614</v>
      </c>
      <c r="HJ38" s="31">
        <f t="shared" si="42"/>
        <v>2185311.9293846474</v>
      </c>
      <c r="HK38" s="31">
        <f t="shared" si="42"/>
        <v>2540811.4850993953</v>
      </c>
      <c r="HL38" s="31">
        <f t="shared" si="42"/>
        <v>2554449.9008929394</v>
      </c>
      <c r="HM38" s="31">
        <f t="shared" si="42"/>
        <v>2120096.0854823561</v>
      </c>
      <c r="HN38" s="31">
        <f t="shared" si="42"/>
        <v>2525866.2705564275</v>
      </c>
      <c r="HO38" s="31">
        <f t="shared" si="42"/>
        <v>2618763.4123696988</v>
      </c>
      <c r="HP38" s="31">
        <f t="shared" si="42"/>
        <v>2800746.4373869481</v>
      </c>
      <c r="HQ38" s="31">
        <f t="shared" si="42"/>
        <v>2729706.5689668115</v>
      </c>
      <c r="HR38" s="31">
        <f t="shared" si="42"/>
        <v>3548500.4986291984</v>
      </c>
      <c r="HS38" s="31">
        <f t="shared" si="42"/>
        <v>2601391.0516026691</v>
      </c>
      <c r="HT38" s="31">
        <f t="shared" si="42"/>
        <v>2765452.9137612404</v>
      </c>
      <c r="HU38" s="31">
        <f t="shared" si="42"/>
        <v>2905617.2444305494</v>
      </c>
      <c r="HV38" s="31">
        <f t="shared" si="42"/>
        <v>2242154.9892576868</v>
      </c>
      <c r="HW38" s="31">
        <f t="shared" si="42"/>
        <v>2604511.8265553773</v>
      </c>
      <c r="HX38" s="31">
        <f t="shared" si="42"/>
        <v>2625937.8154397276</v>
      </c>
      <c r="HY38" s="31">
        <f t="shared" si="42"/>
        <v>2185562.456452827</v>
      </c>
      <c r="HZ38" s="31">
        <f t="shared" si="42"/>
        <v>2601642.2586731198</v>
      </c>
      <c r="IA38" s="31">
        <f t="shared" si="42"/>
        <v>2697326.3147407896</v>
      </c>
      <c r="IB38" s="31">
        <f t="shared" si="42"/>
        <v>2890948.8305085567</v>
      </c>
      <c r="IC38" s="31">
        <f t="shared" si="42"/>
        <v>2811597.7660358157</v>
      </c>
      <c r="ID38" s="31">
        <f t="shared" si="42"/>
        <v>3648508.0688665751</v>
      </c>
      <c r="IE38" s="31">
        <f t="shared" si="42"/>
        <v>2675029.4196157483</v>
      </c>
      <c r="IF38" s="31">
        <f t="shared" si="42"/>
        <v>2838647.0055675777</v>
      </c>
      <c r="IG38" s="31">
        <f t="shared" si="42"/>
        <v>2985453.0886354661</v>
      </c>
      <c r="IH38" s="31">
        <f t="shared" si="42"/>
        <v>2300703.3409269173</v>
      </c>
      <c r="II38" s="31">
        <f>+II19-II33</f>
        <v>2668846.3534591091</v>
      </c>
      <c r="IJ38" s="31">
        <f>+IJ19-IJ33</f>
        <v>2696978.4130871817</v>
      </c>
      <c r="IK38" s="31">
        <f>+IK19-IK33</f>
        <v>2250400.8642166737</v>
      </c>
      <c r="IL38" s="31">
        <f>+IL19-IL33</f>
        <v>2677099.5720975758</v>
      </c>
      <c r="IM38" s="31">
        <f>+IM19-IM33</f>
        <v>2775654.1498472756</v>
      </c>
    </row>
    <row r="39" spans="1:247" x14ac:dyDescent="0.3">
      <c r="A39" t="s">
        <v>923</v>
      </c>
      <c r="C39" s="31">
        <f>+C38</f>
        <v>0</v>
      </c>
      <c r="D39" s="31">
        <f>+D38+C39</f>
        <v>0</v>
      </c>
      <c r="E39" s="31">
        <f>+D39+E38</f>
        <v>0</v>
      </c>
      <c r="F39" s="31">
        <f t="shared" ref="F39:BQ39" si="43">+E39+F38</f>
        <v>0</v>
      </c>
      <c r="G39" s="31">
        <f t="shared" si="43"/>
        <v>0</v>
      </c>
      <c r="H39" s="31">
        <f t="shared" si="43"/>
        <v>0</v>
      </c>
      <c r="I39" s="31">
        <f t="shared" si="43"/>
        <v>0</v>
      </c>
      <c r="J39" s="31">
        <f t="shared" si="43"/>
        <v>0</v>
      </c>
      <c r="K39" s="31">
        <f t="shared" si="43"/>
        <v>0</v>
      </c>
      <c r="L39" s="31">
        <f t="shared" si="43"/>
        <v>0</v>
      </c>
      <c r="M39" s="31">
        <f t="shared" si="43"/>
        <v>0</v>
      </c>
      <c r="N39" s="31">
        <f t="shared" si="43"/>
        <v>0</v>
      </c>
      <c r="O39" s="31">
        <f t="shared" si="43"/>
        <v>0</v>
      </c>
      <c r="P39" s="31">
        <f t="shared" si="43"/>
        <v>0</v>
      </c>
      <c r="Q39" s="31">
        <f t="shared" si="43"/>
        <v>0</v>
      </c>
      <c r="R39" s="31">
        <f t="shared" si="43"/>
        <v>0</v>
      </c>
      <c r="S39" s="31">
        <f t="shared" si="43"/>
        <v>0</v>
      </c>
      <c r="T39" s="31">
        <f t="shared" si="43"/>
        <v>0</v>
      </c>
      <c r="U39" s="31">
        <f t="shared" si="43"/>
        <v>0</v>
      </c>
      <c r="V39" s="31">
        <f t="shared" si="43"/>
        <v>0</v>
      </c>
      <c r="W39" s="31">
        <f t="shared" si="43"/>
        <v>0</v>
      </c>
      <c r="X39" s="31">
        <f t="shared" si="43"/>
        <v>0</v>
      </c>
      <c r="Y39" s="31">
        <f t="shared" si="43"/>
        <v>0</v>
      </c>
      <c r="Z39" s="31">
        <f t="shared" si="43"/>
        <v>0</v>
      </c>
      <c r="AA39" s="31">
        <f t="shared" si="43"/>
        <v>0</v>
      </c>
      <c r="AB39" s="31">
        <f t="shared" si="43"/>
        <v>0</v>
      </c>
      <c r="AC39" s="31">
        <f t="shared" si="43"/>
        <v>0</v>
      </c>
      <c r="AD39" s="31">
        <f t="shared" ca="1" si="43"/>
        <v>121764.66321634594</v>
      </c>
      <c r="AE39" s="31">
        <f t="shared" ca="1" si="43"/>
        <v>301917.75015265355</v>
      </c>
      <c r="AF39" s="31">
        <f t="shared" ca="1" si="43"/>
        <v>526003.79338193452</v>
      </c>
      <c r="AG39" s="31">
        <f t="shared" ca="1" si="43"/>
        <v>777966.71194537822</v>
      </c>
      <c r="AH39" s="31">
        <f t="shared" ca="1" si="43"/>
        <v>1588529.4455837677</v>
      </c>
      <c r="AI39" s="31">
        <f t="shared" ca="1" si="43"/>
        <v>1758989.014191621</v>
      </c>
      <c r="AJ39" s="31">
        <f t="shared" ca="1" si="43"/>
        <v>2092436.1958541558</v>
      </c>
      <c r="AK39" s="31">
        <f t="shared" ca="1" si="43"/>
        <v>2499429.0412259172</v>
      </c>
      <c r="AL39" s="31">
        <f t="shared" ca="1" si="43"/>
        <v>2460505.1517697405</v>
      </c>
      <c r="AM39" s="31">
        <f t="shared" ca="1" si="43"/>
        <v>2766874.7943223515</v>
      </c>
      <c r="AN39" s="31">
        <f t="shared" ca="1" si="43"/>
        <v>3122053.0522838542</v>
      </c>
      <c r="AO39" s="31">
        <f t="shared" ca="1" si="43"/>
        <v>3110307.828139171</v>
      </c>
      <c r="AP39" s="31">
        <f t="shared" ca="1" si="43"/>
        <v>3287650.5288837575</v>
      </c>
      <c r="AQ39" s="31">
        <f t="shared" ca="1" si="43"/>
        <v>3525258.1694227997</v>
      </c>
      <c r="AR39" s="31">
        <f t="shared" ca="1" si="43"/>
        <v>3808244.2196265603</v>
      </c>
      <c r="AS39" s="31">
        <f t="shared" ca="1" si="43"/>
        <v>4120073.5716216918</v>
      </c>
      <c r="AT39" s="31">
        <f t="shared" ca="1" si="43"/>
        <v>5011028.6151242405</v>
      </c>
      <c r="AU39" s="31">
        <f t="shared" ca="1" si="43"/>
        <v>5251255.0608354807</v>
      </c>
      <c r="AV39" s="31">
        <f t="shared" ca="1" si="43"/>
        <v>5639604.4600333739</v>
      </c>
      <c r="AW39" s="31">
        <f t="shared" ca="1" si="43"/>
        <v>6105796.6579670254</v>
      </c>
      <c r="AX39" s="31">
        <f t="shared" ca="1" si="43"/>
        <v>6112967.9701545509</v>
      </c>
      <c r="AY39" s="31">
        <f t="shared" ca="1" si="43"/>
        <v>6489460.4463542029</v>
      </c>
      <c r="AZ39" s="31">
        <f t="shared" ca="1" si="43"/>
        <v>6914007.9374399185</v>
      </c>
      <c r="BA39" s="31">
        <f t="shared" ca="1" si="43"/>
        <v>6966303.653974304</v>
      </c>
      <c r="BB39" s="31">
        <f t="shared" ca="1" si="43"/>
        <v>7202574.2815362308</v>
      </c>
      <c r="BC39" s="31">
        <f t="shared" ca="1" si="43"/>
        <v>7501077.7135360772</v>
      </c>
      <c r="BD39" s="31">
        <f t="shared" ca="1" si="43"/>
        <v>7852664.1555329133</v>
      </c>
      <c r="BE39" s="31">
        <f t="shared" ca="1" si="43"/>
        <v>8227945.8474180736</v>
      </c>
      <c r="BF39" s="31">
        <f t="shared" ca="1" si="43"/>
        <v>9203713.925947031</v>
      </c>
      <c r="BG39" s="31">
        <f t="shared" ca="1" si="43"/>
        <v>9517960.3808690123</v>
      </c>
      <c r="BH39" s="31">
        <f t="shared" ca="1" si="43"/>
        <v>9964763.1939759925</v>
      </c>
      <c r="BI39" s="31">
        <f t="shared" ca="1" si="43"/>
        <v>10493874.524267886</v>
      </c>
      <c r="BJ39" s="31">
        <f t="shared" ca="1" si="43"/>
        <v>10550508.18918499</v>
      </c>
      <c r="BK39" s="31">
        <f t="shared" ca="1" si="43"/>
        <v>11001642.04512636</v>
      </c>
      <c r="BL39" s="31">
        <f t="shared" ca="1" si="43"/>
        <v>11499978.498980138</v>
      </c>
      <c r="BM39" s="31">
        <f t="shared" ca="1" si="43"/>
        <v>11620585.414773146</v>
      </c>
      <c r="BN39" s="31">
        <f t="shared" ca="1" si="43"/>
        <v>11919706.699491937</v>
      </c>
      <c r="BO39" s="31">
        <f t="shared" ca="1" si="43"/>
        <v>12283132.582825894</v>
      </c>
      <c r="BP39" s="31">
        <f t="shared" ca="1" si="43"/>
        <v>12707623.043376777</v>
      </c>
      <c r="BQ39" s="31">
        <f t="shared" ca="1" si="43"/>
        <v>13150553.044001829</v>
      </c>
      <c r="BR39" s="31">
        <f t="shared" ref="BR39:EC39" ca="1" si="44">+BQ39+BR38</f>
        <v>14216209.545741068</v>
      </c>
      <c r="BS39" s="31">
        <f t="shared" ca="1" si="44"/>
        <v>14609395.118904883</v>
      </c>
      <c r="BT39" s="31">
        <f t="shared" ca="1" si="44"/>
        <v>15129737.832972441</v>
      </c>
      <c r="BU39" s="31">
        <f t="shared" ca="1" si="44"/>
        <v>15664377.768422822</v>
      </c>
      <c r="BV39" s="31">
        <f t="shared" ca="1" si="44"/>
        <v>15712731.419751892</v>
      </c>
      <c r="BW39" s="31">
        <f t="shared" ca="1" si="44"/>
        <v>16181981.292601585</v>
      </c>
      <c r="BX39" s="31">
        <f t="shared" ca="1" si="44"/>
        <v>16697485.492061699</v>
      </c>
      <c r="BY39" s="31">
        <f t="shared" ca="1" si="44"/>
        <v>16829638.893533558</v>
      </c>
      <c r="BZ39" s="31">
        <f t="shared" ca="1" si="44"/>
        <v>17134488.607824836</v>
      </c>
      <c r="CA39" s="31">
        <f t="shared" ca="1" si="44"/>
        <v>17505834.365377165</v>
      </c>
      <c r="CB39" s="31">
        <f t="shared" ca="1" si="44"/>
        <v>17944671.381287657</v>
      </c>
      <c r="CC39" s="31">
        <f t="shared" ca="1" si="44"/>
        <v>18396594.473455671</v>
      </c>
      <c r="CD39" s="31">
        <f t="shared" ca="1" si="44"/>
        <v>19494412.932394598</v>
      </c>
      <c r="CE39" s="31">
        <f t="shared" ca="1" si="44"/>
        <v>19908669.814761437</v>
      </c>
      <c r="CF39" s="31">
        <f t="shared" ca="1" si="44"/>
        <v>20446610.979269549</v>
      </c>
      <c r="CG39" s="31">
        <f t="shared" ca="1" si="44"/>
        <v>21051901.32623117</v>
      </c>
      <c r="CH39" s="31">
        <f t="shared" ca="1" si="44"/>
        <v>21171924.118476614</v>
      </c>
      <c r="CI39" s="31">
        <f t="shared" ca="1" si="44"/>
        <v>21725352.791487109</v>
      </c>
      <c r="CJ39" s="31">
        <f t="shared" ca="1" si="44"/>
        <v>22166336.902313102</v>
      </c>
      <c r="CK39" s="31">
        <f t="shared" ca="1" si="44"/>
        <v>22230328.948251158</v>
      </c>
      <c r="CL39" s="31">
        <f t="shared" ca="1" si="44"/>
        <v>24055068.483944286</v>
      </c>
      <c r="CM39" s="31">
        <f t="shared" ca="1" si="44"/>
        <v>25946918.891418535</v>
      </c>
      <c r="CN39" s="31">
        <f t="shared" ca="1" si="44"/>
        <v>27913056.491124395</v>
      </c>
      <c r="CO39" s="31">
        <f t="shared" ca="1" si="44"/>
        <v>29885054.595417425</v>
      </c>
      <c r="CP39" s="31">
        <f t="shared" ca="1" si="44"/>
        <v>32525275.23912907</v>
      </c>
      <c r="CQ39" s="31">
        <f t="shared" ca="1" si="44"/>
        <v>34468858.310471244</v>
      </c>
      <c r="CR39" s="31">
        <f t="shared" ca="1" si="44"/>
        <v>36530657.98421032</v>
      </c>
      <c r="CS39" s="31">
        <f t="shared" ca="1" si="44"/>
        <v>38650901.159538224</v>
      </c>
      <c r="CT39" s="31">
        <f t="shared" ca="1" si="44"/>
        <v>40287817.277261429</v>
      </c>
      <c r="CU39" s="31">
        <f t="shared" ca="1" si="44"/>
        <v>42364547.852426536</v>
      </c>
      <c r="CV39" s="31">
        <f t="shared" ca="1" si="44"/>
        <v>44309191.341857277</v>
      </c>
      <c r="CW39" s="31">
        <f t="shared" ca="1" si="44"/>
        <v>45870846.003973901</v>
      </c>
      <c r="CX39" s="31">
        <f t="shared" ca="1" si="44"/>
        <v>47750327.725737825</v>
      </c>
      <c r="CY39" s="31">
        <f t="shared" ca="1" si="44"/>
        <v>49698933.645436302</v>
      </c>
      <c r="CZ39" s="31">
        <f t="shared" ca="1" si="44"/>
        <v>51730235.373133339</v>
      </c>
      <c r="DA39" s="31">
        <f t="shared" ca="1" si="44"/>
        <v>53761393.420555159</v>
      </c>
      <c r="DB39" s="31">
        <f t="shared" ca="1" si="44"/>
        <v>56485460.032078773</v>
      </c>
      <c r="DC39" s="31">
        <f t="shared" ca="1" si="44"/>
        <v>58501056.974436954</v>
      </c>
      <c r="DD39" s="31">
        <f t="shared" ca="1" si="44"/>
        <v>60630695.319034837</v>
      </c>
      <c r="DE39" s="31">
        <f t="shared" ca="1" si="44"/>
        <v>62818500.578136563</v>
      </c>
      <c r="DF39" s="31">
        <f t="shared" ca="1" si="44"/>
        <v>64519364.785108835</v>
      </c>
      <c r="DG39" s="31">
        <f t="shared" ca="1" si="44"/>
        <v>66668332.531396039</v>
      </c>
      <c r="DH39" s="31">
        <f t="shared" ca="1" si="44"/>
        <v>68666169.743029699</v>
      </c>
      <c r="DI39" s="31">
        <f t="shared" ca="1" si="44"/>
        <v>70276537.533415824</v>
      </c>
      <c r="DJ39" s="31">
        <f t="shared" ca="1" si="44"/>
        <v>72212403.706832662</v>
      </c>
      <c r="DK39" s="31">
        <f t="shared" ca="1" si="44"/>
        <v>74219467.80412209</v>
      </c>
      <c r="DL39" s="31">
        <f t="shared" ca="1" si="44"/>
        <v>76317888.583650038</v>
      </c>
      <c r="DM39" s="31">
        <f t="shared" ca="1" si="44"/>
        <v>78409981.372494519</v>
      </c>
      <c r="DN39" s="31">
        <f t="shared" ca="1" si="44"/>
        <v>81220641.298289478</v>
      </c>
      <c r="DO39" s="31">
        <f t="shared" ca="1" si="44"/>
        <v>83310788.846737921</v>
      </c>
      <c r="DP39" s="31">
        <f t="shared" ca="1" si="44"/>
        <v>85510600.256352708</v>
      </c>
      <c r="DQ39" s="31">
        <f t="shared" ca="1" si="44"/>
        <v>87768192.201167166</v>
      </c>
      <c r="DR39" s="31">
        <f t="shared" ca="1" si="44"/>
        <v>89535355.970351845</v>
      </c>
      <c r="DS39" s="31">
        <f t="shared" ca="1" si="44"/>
        <v>91759224.765588164</v>
      </c>
      <c r="DT39" s="31">
        <f t="shared" ca="1" si="44"/>
        <v>93811851.51109083</v>
      </c>
      <c r="DU39" s="31">
        <f t="shared" ca="1" si="44"/>
        <v>95472393.82359454</v>
      </c>
      <c r="DV39" s="31">
        <f t="shared" ca="1" si="44"/>
        <v>97466335.982213885</v>
      </c>
      <c r="DW39" s="31">
        <f t="shared" ca="1" si="44"/>
        <v>99533612.00242199</v>
      </c>
      <c r="DX39" s="31">
        <f t="shared" ca="1" si="44"/>
        <v>101701165.40533577</v>
      </c>
      <c r="DY39" s="31">
        <f t="shared" ca="1" si="44"/>
        <v>103856020.97784558</v>
      </c>
      <c r="DZ39" s="31">
        <f t="shared" ca="1" si="44"/>
        <v>106756115.58313632</v>
      </c>
      <c r="EA39" s="31">
        <f t="shared" ca="1" si="44"/>
        <v>108923445.39074872</v>
      </c>
      <c r="EB39" s="31">
        <f t="shared" ca="1" si="44"/>
        <v>111195849.25306487</v>
      </c>
      <c r="EC39" s="31">
        <f t="shared" ca="1" si="44"/>
        <v>113525529.11056045</v>
      </c>
      <c r="ED39" s="31">
        <f t="shared" ref="ED39:GO39" ca="1" si="45">+EC39+ED38</f>
        <v>115361436.11062407</v>
      </c>
      <c r="EE39" s="31">
        <f t="shared" ca="1" si="45"/>
        <v>117662974.587106</v>
      </c>
      <c r="EF39" s="31">
        <f t="shared" ca="1" si="45"/>
        <v>119772034.55249375</v>
      </c>
      <c r="EG39" s="31">
        <f t="shared" ca="1" si="45"/>
        <v>121484256.62277858</v>
      </c>
      <c r="EH39" s="31">
        <f t="shared" ca="1" si="45"/>
        <v>123538017.04615651</v>
      </c>
      <c r="EI39" s="31">
        <f t="shared" ca="1" si="45"/>
        <v>125667311.34697087</v>
      </c>
      <c r="EJ39" s="31">
        <f t="shared" ca="1" si="45"/>
        <v>127906071.35197207</v>
      </c>
      <c r="EK39" s="31">
        <f t="shared" ca="1" si="45"/>
        <v>130125572.59165718</v>
      </c>
      <c r="EL39" s="31">
        <f t="shared" ca="1" si="45"/>
        <v>133118040.66091467</v>
      </c>
      <c r="EM39" s="31">
        <f t="shared" ca="1" si="45"/>
        <v>135365283.08710149</v>
      </c>
      <c r="EN39" s="31">
        <f t="shared" ca="1" si="45"/>
        <v>137712787.08122069</v>
      </c>
      <c r="EO39" s="31">
        <f t="shared" ca="1" si="45"/>
        <v>140116935.49649462</v>
      </c>
      <c r="EP39" s="31">
        <f t="shared" ca="1" si="45"/>
        <v>142024125.44025373</v>
      </c>
      <c r="EQ39" s="31">
        <f t="shared" ca="1" si="45"/>
        <v>144406211.36928809</v>
      </c>
      <c r="ER39" s="31">
        <f t="shared" ca="1" si="45"/>
        <v>146573397.55115747</v>
      </c>
      <c r="ES39" s="31">
        <f t="shared" ca="1" si="45"/>
        <v>148338849.77195683</v>
      </c>
      <c r="ET39" s="31">
        <f t="shared" ca="1" si="45"/>
        <v>150454223.00803611</v>
      </c>
      <c r="EU39" s="31">
        <f t="shared" ca="1" si="45"/>
        <v>152647396.1378749</v>
      </c>
      <c r="EV39" s="31">
        <f t="shared" ca="1" si="45"/>
        <v>154959498.94302613</v>
      </c>
      <c r="EW39" s="31">
        <f t="shared" ca="1" si="45"/>
        <v>157245585.21990177</v>
      </c>
      <c r="EX39" s="31">
        <f t="shared" ca="1" si="45"/>
        <v>160252325.56471801</v>
      </c>
      <c r="EY39" s="31">
        <f t="shared" ca="1" si="45"/>
        <v>162454803.47917905</v>
      </c>
      <c r="EZ39" s="31">
        <f t="shared" ca="1" si="45"/>
        <v>164823749.98506457</v>
      </c>
      <c r="FA39" s="31">
        <f t="shared" ca="1" si="45"/>
        <v>167296881.17735344</v>
      </c>
      <c r="FB39" s="31">
        <f t="shared" ca="1" si="45"/>
        <v>169221868.53689539</v>
      </c>
      <c r="FC39" s="31">
        <f t="shared" ca="1" si="45"/>
        <v>171470951.11040208</v>
      </c>
      <c r="FD39" s="31">
        <f t="shared" ca="1" si="45"/>
        <v>173698007.29524755</v>
      </c>
      <c r="FE39" s="31">
        <f t="shared" ca="1" si="45"/>
        <v>175518286.5710769</v>
      </c>
      <c r="FF39" s="31">
        <f t="shared" ca="1" si="45"/>
        <v>177697121.00423855</v>
      </c>
      <c r="FG39" s="31">
        <f t="shared" ca="1" si="45"/>
        <v>179956089.3279725</v>
      </c>
      <c r="FH39" s="31">
        <f t="shared" ca="1" si="45"/>
        <v>182343735.21727827</v>
      </c>
      <c r="FI39" s="31">
        <f t="shared" ca="1" si="45"/>
        <v>184698404.08246019</v>
      </c>
      <c r="FJ39" s="31">
        <f t="shared" ca="1" si="45"/>
        <v>187788899.19289941</v>
      </c>
      <c r="FK39" s="31">
        <f t="shared" ca="1" si="45"/>
        <v>190053048.08125931</v>
      </c>
      <c r="FL39" s="31">
        <f t="shared" ca="1" si="45"/>
        <v>192483293.4867149</v>
      </c>
      <c r="FM39" s="31">
        <f t="shared" ca="1" si="45"/>
        <v>195023285.94164446</v>
      </c>
      <c r="FN39" s="31">
        <f t="shared" ca="1" si="45"/>
        <v>196997306.62396419</v>
      </c>
      <c r="FO39" s="31">
        <f t="shared" ca="1" si="45"/>
        <v>199301337.67157909</v>
      </c>
      <c r="FP39" s="31">
        <f t="shared" ca="1" si="45"/>
        <v>201590059.95948991</v>
      </c>
      <c r="FQ39" s="31">
        <f t="shared" ca="1" si="45"/>
        <v>203466811.10200015</v>
      </c>
      <c r="FR39" s="31">
        <f t="shared" ca="1" si="45"/>
        <v>205711010.56815663</v>
      </c>
      <c r="FS39" s="31">
        <f t="shared" ca="1" si="45"/>
        <v>208037747.94160259</v>
      </c>
      <c r="FT39" s="31">
        <f t="shared" ca="1" si="45"/>
        <v>210503203.20758754</v>
      </c>
      <c r="FU39" s="31">
        <f t="shared" ca="1" si="45"/>
        <v>212928512.13872492</v>
      </c>
      <c r="FV39" s="31">
        <f t="shared" ca="1" si="45"/>
        <v>216105274.65775582</v>
      </c>
      <c r="FW39" s="31">
        <f t="shared" ca="1" si="45"/>
        <v>218432944.64923149</v>
      </c>
      <c r="FX39" s="31">
        <f t="shared" ca="1" si="45"/>
        <v>220926327.92124423</v>
      </c>
      <c r="FY39" s="31">
        <f t="shared" ca="1" si="45"/>
        <v>223535187.47669366</v>
      </c>
      <c r="FZ39" s="31">
        <f t="shared" ca="1" si="45"/>
        <v>225559712.48147446</v>
      </c>
      <c r="GA39" s="31">
        <f t="shared" ca="1" si="45"/>
        <v>227920340.4574208</v>
      </c>
      <c r="GB39" s="31">
        <f t="shared" ca="1" si="45"/>
        <v>230272578.83148894</v>
      </c>
      <c r="GC39" s="31">
        <f t="shared" ca="1" si="45"/>
        <v>232207495.99668047</v>
      </c>
      <c r="GD39" s="31">
        <f t="shared" ca="1" si="45"/>
        <v>234519021.44682166</v>
      </c>
      <c r="GE39" s="31">
        <f t="shared" ca="1" si="45"/>
        <v>236915560.94147101</v>
      </c>
      <c r="GF39" s="31">
        <f t="shared" ca="1" si="45"/>
        <v>239461159.86543551</v>
      </c>
      <c r="GG39" s="31">
        <f t="shared" ca="1" si="45"/>
        <v>241959228.06450701</v>
      </c>
      <c r="GH39" s="31">
        <f t="shared" ca="1" si="45"/>
        <v>245224846.01438734</v>
      </c>
      <c r="GI39" s="31">
        <f t="shared" ca="1" si="45"/>
        <v>247617942.74207228</v>
      </c>
      <c r="GJ39" s="31">
        <f t="shared" ca="1" si="45"/>
        <v>250176358.0166389</v>
      </c>
      <c r="GK39" s="31">
        <f t="shared" ca="1" si="45"/>
        <v>252856150.68562382</v>
      </c>
      <c r="GL39" s="31">
        <f t="shared" ca="1" si="45"/>
        <v>254932695.14253956</v>
      </c>
      <c r="GM39" s="31">
        <f t="shared" ca="1" si="45"/>
        <v>257351617.9546673</v>
      </c>
      <c r="GN39" s="31">
        <f t="shared" ca="1" si="45"/>
        <v>259769277.89747751</v>
      </c>
      <c r="GO39" s="31">
        <f t="shared" ca="1" si="45"/>
        <v>261764106.0660308</v>
      </c>
      <c r="GP39" s="31">
        <f t="shared" ref="GP39:IH39" ca="1" si="46">+GO39+GP38</f>
        <v>264144977.27967623</v>
      </c>
      <c r="GQ39" s="31">
        <f t="shared" ca="1" si="46"/>
        <v>266613412.95916507</v>
      </c>
      <c r="GR39" s="31">
        <f t="shared" ca="1" si="46"/>
        <v>269241559.8508485</v>
      </c>
      <c r="GS39" s="31">
        <f t="shared" ca="1" si="46"/>
        <v>271814570.09589213</v>
      </c>
      <c r="GT39" s="31">
        <f t="shared" ca="1" si="46"/>
        <v>275171709.13954735</v>
      </c>
      <c r="GU39" s="31">
        <f t="shared" ca="1" si="46"/>
        <v>277632195.40552783</v>
      </c>
      <c r="GV39" s="31">
        <f t="shared" ca="1" si="46"/>
        <v>280257593.64272493</v>
      </c>
      <c r="GW39" s="31">
        <f t="shared" ca="1" si="46"/>
        <v>283010447.4186514</v>
      </c>
      <c r="GX39" s="31">
        <f t="shared" ca="1" si="46"/>
        <v>285140571.91126609</v>
      </c>
      <c r="GY39" s="31">
        <f t="shared" ca="1" si="46"/>
        <v>287619538.40466064</v>
      </c>
      <c r="GZ39" s="31">
        <f t="shared" ca="1" si="46"/>
        <v>290104582.56327516</v>
      </c>
      <c r="HA39" s="31">
        <f t="shared" ca="1" si="46"/>
        <v>292161119.06529105</v>
      </c>
      <c r="HB39" s="31">
        <f t="shared" ca="1" si="46"/>
        <v>294613416.41534585</v>
      </c>
      <c r="HC39" s="31">
        <f t="shared" ca="1" si="46"/>
        <v>297155905.16521937</v>
      </c>
      <c r="HD39" s="31">
        <f t="shared" ca="1" si="46"/>
        <v>299869076.46365333</v>
      </c>
      <c r="HE39" s="31">
        <f t="shared" ca="1" si="46"/>
        <v>302519277.01604831</v>
      </c>
      <c r="HF39" s="31">
        <f t="shared" ca="1" si="46"/>
        <v>305970682.78629172</v>
      </c>
      <c r="HG39" s="31">
        <f t="shared" ca="1" si="46"/>
        <v>308500580.27671665</v>
      </c>
      <c r="HH39" s="31">
        <f t="shared" ca="1" si="46"/>
        <v>311194970.96542317</v>
      </c>
      <c r="HI39" s="31">
        <f t="shared" ca="1" si="46"/>
        <v>314023077.68149942</v>
      </c>
      <c r="HJ39" s="31">
        <f t="shared" ca="1" si="46"/>
        <v>316208389.61088407</v>
      </c>
      <c r="HK39" s="31">
        <f t="shared" ca="1" si="46"/>
        <v>318749201.09598345</v>
      </c>
      <c r="HL39" s="31">
        <f t="shared" ca="1" si="46"/>
        <v>321303650.99687636</v>
      </c>
      <c r="HM39" s="31">
        <f t="shared" ca="1" si="46"/>
        <v>323423747.08235872</v>
      </c>
      <c r="HN39" s="31">
        <f t="shared" ca="1" si="46"/>
        <v>325949613.35291517</v>
      </c>
      <c r="HO39" s="31">
        <f t="shared" ca="1" si="46"/>
        <v>328568376.7652849</v>
      </c>
      <c r="HP39" s="31">
        <f t="shared" ca="1" si="46"/>
        <v>331369123.20267183</v>
      </c>
      <c r="HQ39" s="31">
        <f t="shared" ca="1" si="46"/>
        <v>334098829.77163863</v>
      </c>
      <c r="HR39" s="31">
        <f t="shared" ca="1" si="46"/>
        <v>337647330.27026784</v>
      </c>
      <c r="HS39" s="31">
        <f t="shared" ca="1" si="46"/>
        <v>340248721.32187051</v>
      </c>
      <c r="HT39" s="31">
        <f t="shared" ca="1" si="46"/>
        <v>343014174.23563176</v>
      </c>
      <c r="HU39" s="31">
        <f t="shared" ca="1" si="46"/>
        <v>345919791.48006231</v>
      </c>
      <c r="HV39" s="31">
        <f t="shared" ca="1" si="46"/>
        <v>348161946.46932</v>
      </c>
      <c r="HW39" s="31">
        <f t="shared" ca="1" si="46"/>
        <v>350766458.29587537</v>
      </c>
      <c r="HX39" s="31">
        <f t="shared" ca="1" si="46"/>
        <v>353392396.11131507</v>
      </c>
      <c r="HY39" s="31">
        <f t="shared" ca="1" si="46"/>
        <v>355577958.56776792</v>
      </c>
      <c r="HZ39" s="31">
        <f t="shared" ca="1" si="46"/>
        <v>358179600.82644105</v>
      </c>
      <c r="IA39" s="31">
        <f t="shared" ca="1" si="46"/>
        <v>360876927.14118183</v>
      </c>
      <c r="IB39" s="31">
        <f t="shared" ca="1" si="46"/>
        <v>363767875.97169036</v>
      </c>
      <c r="IC39" s="31">
        <f t="shared" ca="1" si="46"/>
        <v>366579473.73772615</v>
      </c>
      <c r="ID39" s="31">
        <f t="shared" ca="1" si="46"/>
        <v>370227981.8065927</v>
      </c>
      <c r="IE39" s="31">
        <f t="shared" ca="1" si="46"/>
        <v>372903011.22620845</v>
      </c>
      <c r="IF39" s="31">
        <f t="shared" ca="1" si="46"/>
        <v>375741658.231776</v>
      </c>
      <c r="IG39" s="31">
        <f t="shared" ca="1" si="46"/>
        <v>378727111.32041144</v>
      </c>
      <c r="IH39" s="31">
        <f t="shared" ca="1" si="46"/>
        <v>381027814.66133839</v>
      </c>
      <c r="II39" s="31">
        <f ca="1">+IH39+II38</f>
        <v>383696661.01479751</v>
      </c>
      <c r="IJ39" s="31">
        <f ca="1">+II39+IJ38</f>
        <v>386393639.4278847</v>
      </c>
      <c r="IK39" s="31">
        <f ca="1">+IJ39+IK38</f>
        <v>388644040.29210138</v>
      </c>
      <c r="IL39" s="31">
        <f ca="1">+IK39+IL38</f>
        <v>391321139.86419898</v>
      </c>
      <c r="IM39" s="31">
        <f ca="1">+IL39+IM38</f>
        <v>394096794.01404625</v>
      </c>
    </row>
    <row r="41" spans="1:247" x14ac:dyDescent="0.3">
      <c r="B41" s="32"/>
      <c r="C41">
        <v>2024</v>
      </c>
      <c r="D41">
        <v>2025</v>
      </c>
      <c r="E41">
        <v>2026</v>
      </c>
      <c r="F41">
        <v>2027</v>
      </c>
      <c r="G41">
        <v>2028</v>
      </c>
      <c r="H41">
        <v>2029</v>
      </c>
      <c r="I41">
        <v>2030</v>
      </c>
      <c r="J41">
        <v>2031</v>
      </c>
      <c r="K41">
        <v>2032</v>
      </c>
      <c r="L41">
        <v>2033</v>
      </c>
      <c r="M41">
        <v>2034</v>
      </c>
      <c r="N41">
        <v>2035</v>
      </c>
      <c r="O41">
        <v>2036</v>
      </c>
      <c r="P41">
        <v>2037</v>
      </c>
      <c r="Q41">
        <v>2038</v>
      </c>
      <c r="R41">
        <v>2039</v>
      </c>
      <c r="S41">
        <v>2040</v>
      </c>
      <c r="T41">
        <v>2041</v>
      </c>
      <c r="U41">
        <v>2042</v>
      </c>
      <c r="V41">
        <v>2043</v>
      </c>
      <c r="W41">
        <v>2044</v>
      </c>
    </row>
    <row r="42" spans="1:247" x14ac:dyDescent="0.3">
      <c r="A42" t="s">
        <v>924</v>
      </c>
      <c r="B42" s="32"/>
      <c r="C42" s="30">
        <f t="shared" ref="C42:W42" si="47">+SUMIFS(38:38,12:12,C41)</f>
        <v>0</v>
      </c>
      <c r="D42" s="30">
        <f>+SUMIFS(38:38,12:12,D41)</f>
        <v>0</v>
      </c>
      <c r="E42" s="30">
        <f ca="1">+SUMIFS(38:38,12:12,E41)</f>
        <v>301917.75015265355</v>
      </c>
      <c r="F42" s="30">
        <f t="shared" ca="1" si="47"/>
        <v>3223340.4192701466</v>
      </c>
      <c r="G42" s="30">
        <f t="shared" ca="1" si="47"/>
        <v>3975819.5441132775</v>
      </c>
      <c r="H42" s="30">
        <f t="shared" ca="1" si="47"/>
        <v>4782054.8692898154</v>
      </c>
      <c r="I42" s="69">
        <f t="shared" ca="1" si="47"/>
        <v>5222701.7825512728</v>
      </c>
      <c r="J42" s="30">
        <f t="shared" ca="1" si="47"/>
        <v>8441084.5260413699</v>
      </c>
      <c r="K42" s="30">
        <f t="shared" si="47"/>
        <v>23752014.754017763</v>
      </c>
      <c r="L42" s="30">
        <f t="shared" si="47"/>
        <v>24520534.158685785</v>
      </c>
      <c r="M42" s="30">
        <f t="shared" si="47"/>
        <v>25314144.198299926</v>
      </c>
      <c r="N42" s="30">
        <f t="shared" si="47"/>
        <v>26133699.34454887</v>
      </c>
      <c r="O42" s="30">
        <f t="shared" si="47"/>
        <v>26980084.790903974</v>
      </c>
      <c r="P42" s="30">
        <f t="shared" si="47"/>
        <v>27308693.190097641</v>
      </c>
      <c r="Q42" s="30">
        <f t="shared" si="47"/>
        <v>28081658.613630068</v>
      </c>
      <c r="R42" s="30">
        <f t="shared" si="47"/>
        <v>28877812.999868475</v>
      </c>
      <c r="S42" s="30">
        <f t="shared" si="47"/>
        <v>29697852.01769403</v>
      </c>
      <c r="T42" s="30">
        <f t="shared" si="47"/>
        <v>30542492.206054345</v>
      </c>
      <c r="U42" s="30">
        <f t="shared" si="47"/>
        <v>31412471.600065477</v>
      </c>
      <c r="V42" s="30">
        <f t="shared" si="47"/>
        <v>32308550.375896946</v>
      </c>
      <c r="W42" s="30">
        <f t="shared" si="47"/>
        <v>33219866.872864477</v>
      </c>
    </row>
    <row r="43" spans="1:247" x14ac:dyDescent="0.3">
      <c r="A43" t="s">
        <v>925</v>
      </c>
      <c r="B43" s="35"/>
      <c r="C43" s="33">
        <f>+C42</f>
        <v>0</v>
      </c>
      <c r="D43" s="33">
        <f>+C43+D42</f>
        <v>0</v>
      </c>
      <c r="E43" s="33">
        <f t="shared" ref="E43:W43" ca="1" si="48">+D43+E42</f>
        <v>301917.75015265355</v>
      </c>
      <c r="F43" s="33">
        <f ca="1">+E43+F42</f>
        <v>3525258.1694228002</v>
      </c>
      <c r="G43" s="33">
        <f t="shared" ca="1" si="48"/>
        <v>7501077.7135360781</v>
      </c>
      <c r="H43" s="33">
        <f t="shared" ca="1" si="48"/>
        <v>12283132.582825894</v>
      </c>
      <c r="I43" s="33">
        <f t="shared" ca="1" si="48"/>
        <v>17505834.365377165</v>
      </c>
      <c r="J43" s="33">
        <f t="shared" ca="1" si="48"/>
        <v>25946918.891418535</v>
      </c>
      <c r="K43" s="33">
        <f t="shared" ca="1" si="48"/>
        <v>49698933.645436302</v>
      </c>
      <c r="L43" s="33">
        <f t="shared" ca="1" si="48"/>
        <v>74219467.80412209</v>
      </c>
      <c r="M43" s="33">
        <f t="shared" ca="1" si="48"/>
        <v>99533612.00242202</v>
      </c>
      <c r="N43" s="33">
        <f t="shared" ca="1" si="48"/>
        <v>125667311.34697089</v>
      </c>
      <c r="O43" s="33">
        <f t="shared" ca="1" si="48"/>
        <v>152647396.13787487</v>
      </c>
      <c r="P43" s="33">
        <f t="shared" ca="1" si="48"/>
        <v>179956089.3279725</v>
      </c>
      <c r="Q43" s="33">
        <f t="shared" ca="1" si="48"/>
        <v>208037747.94160256</v>
      </c>
      <c r="R43" s="33">
        <f t="shared" ca="1" si="48"/>
        <v>236915560.94147104</v>
      </c>
      <c r="S43" s="33">
        <f t="shared" ca="1" si="48"/>
        <v>266613412.95916507</v>
      </c>
      <c r="T43" s="33">
        <f t="shared" ca="1" si="48"/>
        <v>297155905.16521943</v>
      </c>
      <c r="U43" s="33">
        <f t="shared" ca="1" si="48"/>
        <v>328568376.7652849</v>
      </c>
      <c r="V43" s="33">
        <f t="shared" ca="1" si="48"/>
        <v>360876927.14118183</v>
      </c>
      <c r="W43" s="33">
        <f t="shared" ca="1" si="48"/>
        <v>394096794.01404631</v>
      </c>
    </row>
    <row r="44" spans="1:247" x14ac:dyDescent="0.3">
      <c r="A44" t="s">
        <v>925</v>
      </c>
      <c r="B44" s="35"/>
      <c r="D44" s="12">
        <f>+D43/1000000</f>
        <v>0</v>
      </c>
      <c r="E44" s="12">
        <f ca="1">+E43/1000000</f>
        <v>0.30191775015265354</v>
      </c>
      <c r="F44" s="12">
        <f ca="1">+F43/1000000</f>
        <v>3.5252581694228002</v>
      </c>
      <c r="G44" s="12">
        <f t="shared" ref="G44:I44" ca="1" si="49">+G43/1000000</f>
        <v>7.5010777135360778</v>
      </c>
      <c r="H44" s="12">
        <f t="shared" ca="1" si="49"/>
        <v>12.283132582825894</v>
      </c>
      <c r="I44" s="12">
        <f t="shared" ca="1" si="49"/>
        <v>17.505834365377165</v>
      </c>
      <c r="J44" s="12">
        <f t="shared" ref="J44" ca="1" si="50">+J43/1000000</f>
        <v>25.946918891418534</v>
      </c>
      <c r="K44" s="12">
        <f t="shared" ref="K44" ca="1" si="51">+K43/1000000</f>
        <v>49.698933645436298</v>
      </c>
      <c r="L44" s="12">
        <f t="shared" ref="L44" ca="1" si="52">+L43/1000000</f>
        <v>74.21946780412209</v>
      </c>
      <c r="M44" s="12">
        <f t="shared" ref="M44:N44" ca="1" si="53">+M43/1000000</f>
        <v>99.533612002422018</v>
      </c>
      <c r="N44" s="12">
        <f t="shared" ca="1" si="53"/>
        <v>125.66731134697089</v>
      </c>
      <c r="O44" s="12">
        <f t="shared" ref="O44" ca="1" si="54">+O43/1000000</f>
        <v>152.64739613787486</v>
      </c>
      <c r="P44" s="12">
        <f t="shared" ref="P44" ca="1" si="55">+P43/1000000</f>
        <v>179.95608932797251</v>
      </c>
      <c r="Q44" s="12">
        <f t="shared" ref="Q44" ca="1" si="56">+Q43/1000000</f>
        <v>208.03774794160256</v>
      </c>
      <c r="R44" s="12">
        <f t="shared" ref="R44:S44" ca="1" si="57">+R43/1000000</f>
        <v>236.91556094147103</v>
      </c>
      <c r="S44" s="12">
        <f t="shared" ca="1" si="57"/>
        <v>266.61341295916509</v>
      </c>
      <c r="T44" s="12">
        <f t="shared" ref="T44" ca="1" si="58">+T43/1000000</f>
        <v>297.15590516521945</v>
      </c>
      <c r="U44" s="12">
        <f t="shared" ref="U44" ca="1" si="59">+U43/1000000</f>
        <v>328.56837676528488</v>
      </c>
      <c r="V44" s="12">
        <f t="shared" ref="V44" ca="1" si="60">+V43/1000000</f>
        <v>360.87692714118185</v>
      </c>
      <c r="W44" s="12">
        <f t="shared" ref="W44" ca="1" si="61">+W43/1000000</f>
        <v>394.09679401404634</v>
      </c>
    </row>
    <row r="45" spans="1:247" x14ac:dyDescent="0.3">
      <c r="B45" s="35"/>
    </row>
    <row r="46" spans="1:247" x14ac:dyDescent="0.3">
      <c r="A46" s="6" t="s">
        <v>926</v>
      </c>
      <c r="B46" s="43" t="s">
        <v>927</v>
      </c>
      <c r="C46" s="43"/>
      <c r="D46" s="43"/>
      <c r="E46" s="43"/>
    </row>
    <row r="47" spans="1:247" x14ac:dyDescent="0.3">
      <c r="A47" t="s">
        <v>929</v>
      </c>
      <c r="B47" s="35">
        <f>+NPV(11%,E22:I22)</f>
        <v>69595254.155254573</v>
      </c>
      <c r="C47" s="35"/>
      <c r="D47" s="35"/>
      <c r="E47" s="35"/>
    </row>
    <row r="48" spans="1:247" x14ac:dyDescent="0.3">
      <c r="A48" t="s">
        <v>941</v>
      </c>
      <c r="B48" s="35">
        <f ca="1">+NPV(11%,E36:I36)</f>
        <v>57550528.83224766</v>
      </c>
      <c r="C48" s="35"/>
      <c r="D48" s="35"/>
      <c r="E48" s="35"/>
    </row>
    <row r="49" spans="1:122" x14ac:dyDescent="0.3">
      <c r="A49" t="s">
        <v>854</v>
      </c>
      <c r="B49" s="35">
        <f ca="1">+B47-B48</f>
        <v>12044725.323006913</v>
      </c>
      <c r="C49" s="35"/>
      <c r="D49" s="35"/>
      <c r="E49" s="35"/>
    </row>
    <row r="50" spans="1:122" hidden="1" x14ac:dyDescent="0.3">
      <c r="A50" t="s">
        <v>932</v>
      </c>
      <c r="B50" s="35">
        <f ca="1">+NPV(15%,C42:H42)</f>
        <v>6085570.4341882225</v>
      </c>
      <c r="C50" s="35"/>
      <c r="D50" s="35"/>
      <c r="E50" s="35"/>
    </row>
    <row r="51" spans="1:122" x14ac:dyDescent="0.3">
      <c r="A51" t="s">
        <v>942</v>
      </c>
      <c r="B51" s="38">
        <f ca="1">+B49/B47</f>
        <v>0.17306819939384493</v>
      </c>
      <c r="C51" s="38"/>
      <c r="D51" s="38"/>
      <c r="E51" s="38"/>
    </row>
    <row r="52" spans="1:122" x14ac:dyDescent="0.3">
      <c r="B52" s="38"/>
      <c r="C52" s="38"/>
      <c r="D52" s="38"/>
      <c r="E52" s="38"/>
    </row>
    <row r="53" spans="1:122" x14ac:dyDescent="0.3">
      <c r="A53" s="6"/>
    </row>
    <row r="54" spans="1:122" x14ac:dyDescent="0.3">
      <c r="A54" s="19" t="s">
        <v>935</v>
      </c>
      <c r="B54" s="19" t="s">
        <v>788</v>
      </c>
      <c r="C54" s="19" t="s">
        <v>793</v>
      </c>
      <c r="D54" s="19" t="s">
        <v>803</v>
      </c>
    </row>
    <row r="55" spans="1:122" x14ac:dyDescent="0.3">
      <c r="A55" s="20" t="s">
        <v>929</v>
      </c>
      <c r="B55" s="23">
        <f>+SUM(E22:J22)</f>
        <v>124180792.3892546</v>
      </c>
      <c r="C55" s="23">
        <f>+SUM(D22:M22)</f>
        <v>205154160.95404631</v>
      </c>
      <c r="D55" s="23">
        <f>+SUM(D22:W22)</f>
        <v>533325411.1555689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</row>
    <row r="56" spans="1:122" x14ac:dyDescent="0.3">
      <c r="A56" s="20" t="s">
        <v>937</v>
      </c>
      <c r="B56" s="23">
        <f ca="1">+SUM(E36:J36)</f>
        <v>98233873.497836068</v>
      </c>
      <c r="C56" s="23">
        <f ca="1">+SUM(D36:M36)</f>
        <v>105620548.95162427</v>
      </c>
      <c r="D56" s="23">
        <f ca="1">+SUM(D36:W36)</f>
        <v>139228617.14152259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</row>
    <row r="57" spans="1:122" x14ac:dyDescent="0.3">
      <c r="A57" s="20" t="s">
        <v>854</v>
      </c>
      <c r="B57" s="23">
        <f ca="1">+B55-B56</f>
        <v>25946918.891418532</v>
      </c>
      <c r="C57" s="23">
        <f ca="1">+C55-C56</f>
        <v>99533612.002422035</v>
      </c>
      <c r="D57" s="23">
        <f ca="1">+D55-D56</f>
        <v>394096794.01404631</v>
      </c>
      <c r="E57" s="30"/>
      <c r="F57" s="30"/>
      <c r="G57" s="30"/>
      <c r="H57" s="30"/>
      <c r="I57" s="6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</row>
    <row r="58" spans="1:122" x14ac:dyDescent="0.3">
      <c r="A58" s="20" t="s">
        <v>938</v>
      </c>
      <c r="B58" s="161">
        <f ca="1">+B57/B55</f>
        <v>0.20894470386439348</v>
      </c>
      <c r="C58" s="161">
        <f ca="1">+C57/C55</f>
        <v>0.48516496833187389</v>
      </c>
      <c r="D58" s="161">
        <f ca="1">+D57/D55</f>
        <v>0.7389424650892733</v>
      </c>
      <c r="E58" s="30"/>
      <c r="F58" s="30"/>
      <c r="G58" s="30"/>
      <c r="H58" s="30"/>
      <c r="I58" s="6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</row>
    <row r="59" spans="1:122" x14ac:dyDescent="0.3"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</row>
    <row r="60" spans="1:122" x14ac:dyDescent="0.3"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</row>
    <row r="61" spans="1:122" x14ac:dyDescent="0.3"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</row>
    <row r="62" spans="1:122" x14ac:dyDescent="0.3">
      <c r="C62" s="30"/>
      <c r="D62" s="30"/>
      <c r="E62" s="30"/>
      <c r="F62" s="30"/>
      <c r="G62" s="30"/>
      <c r="H62" s="30"/>
      <c r="I62" s="6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</row>
    <row r="63" spans="1:122" x14ac:dyDescent="0.3"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</row>
    <row r="65" spans="1:122" x14ac:dyDescent="0.3">
      <c r="A65" s="6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</row>
    <row r="66" spans="1:122" x14ac:dyDescent="0.3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</row>
    <row r="67" spans="1:122" x14ac:dyDescent="0.3"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</row>
    <row r="68" spans="1:122" x14ac:dyDescent="0.3">
      <c r="A68" s="6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</row>
    <row r="70" spans="1:122" x14ac:dyDescent="0.3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</row>
    <row r="71" spans="1:122" x14ac:dyDescent="0.3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</row>
    <row r="74" spans="1:122" x14ac:dyDescent="0.3">
      <c r="C74" s="30"/>
      <c r="D74" s="30"/>
      <c r="E74" s="30"/>
      <c r="F74" s="30"/>
      <c r="G74" s="30"/>
      <c r="H74" s="30"/>
      <c r="I74" s="69"/>
      <c r="J74" s="30"/>
      <c r="K74" s="30"/>
      <c r="L74" s="30"/>
      <c r="M74" s="30"/>
    </row>
    <row r="75" spans="1:122" x14ac:dyDescent="0.3">
      <c r="B75" s="35"/>
      <c r="C75" s="30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8" spans="1:122" x14ac:dyDescent="0.3">
      <c r="A78" s="6"/>
      <c r="B78" s="43"/>
      <c r="C78" s="43"/>
    </row>
    <row r="79" spans="1:122" x14ac:dyDescent="0.3">
      <c r="B79" s="35"/>
      <c r="C79" s="35"/>
    </row>
    <row r="80" spans="1:122" x14ac:dyDescent="0.3">
      <c r="B80" s="35"/>
      <c r="C80" s="35"/>
    </row>
    <row r="81" spans="2:3" x14ac:dyDescent="0.3">
      <c r="B81" s="35"/>
      <c r="C81" s="35"/>
    </row>
    <row r="82" spans="2:3" x14ac:dyDescent="0.3">
      <c r="B82" s="35"/>
      <c r="C82" s="35"/>
    </row>
    <row r="83" spans="2:3" x14ac:dyDescent="0.3">
      <c r="B83" s="38"/>
      <c r="C83" s="38"/>
    </row>
    <row r="84" spans="2:3" x14ac:dyDescent="0.3">
      <c r="B84" s="35"/>
    </row>
    <row r="86" spans="2:3" x14ac:dyDescent="0.3">
      <c r="B86" s="38"/>
      <c r="C86" s="38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62B7-9F14-405B-ADD9-A94641E0DF48}">
  <dimension ref="A1:IH86"/>
  <sheetViews>
    <sheetView topLeftCell="A36" workbookViewId="0">
      <selection activeCell="F60" sqref="F60"/>
    </sheetView>
  </sheetViews>
  <sheetFormatPr baseColWidth="10" defaultColWidth="11.44140625" defaultRowHeight="14.4" x14ac:dyDescent="0.3"/>
  <cols>
    <col min="1" max="1" width="30.44140625" bestFit="1" customWidth="1"/>
    <col min="2" max="2" width="12.5546875" bestFit="1" customWidth="1"/>
    <col min="3" max="3" width="14" bestFit="1" customWidth="1"/>
    <col min="4" max="5" width="12.5546875" bestFit="1" customWidth="1"/>
    <col min="6" max="20" width="13.5546875" bestFit="1" customWidth="1"/>
    <col min="21" max="23" width="15.44140625" bestFit="1" customWidth="1"/>
    <col min="24" max="39" width="11.5546875" bestFit="1" customWidth="1"/>
    <col min="40" max="221" width="12.5546875" bestFit="1" customWidth="1"/>
    <col min="222" max="242" width="14" bestFit="1" customWidth="1"/>
  </cols>
  <sheetData>
    <row r="1" spans="1:242" x14ac:dyDescent="0.3">
      <c r="A1" t="s">
        <v>905</v>
      </c>
      <c r="B1" s="9">
        <v>0.2</v>
      </c>
    </row>
    <row r="2" spans="1:242" x14ac:dyDescent="0.3">
      <c r="A2" s="6" t="s">
        <v>906</v>
      </c>
    </row>
    <row r="4" spans="1:242" x14ac:dyDescent="0.3">
      <c r="C4" s="14">
        <f>+Tarifas!S6</f>
        <v>45505</v>
      </c>
      <c r="D4" s="14">
        <f>+Tarifas!T6</f>
        <v>45536</v>
      </c>
      <c r="E4" s="14">
        <f>+Tarifas!U6</f>
        <v>45566</v>
      </c>
      <c r="F4" s="14">
        <f>+Tarifas!V6</f>
        <v>45597</v>
      </c>
      <c r="G4" s="14">
        <f>+Tarifas!W6</f>
        <v>45627</v>
      </c>
      <c r="H4" s="14">
        <f>+Tarifas!X6</f>
        <v>45658</v>
      </c>
      <c r="I4" s="14">
        <f>+Tarifas!Y6</f>
        <v>45689</v>
      </c>
      <c r="J4" s="14">
        <f>+Tarifas!Z6</f>
        <v>45717</v>
      </c>
      <c r="K4" s="14">
        <f>+Tarifas!AA6</f>
        <v>45748</v>
      </c>
      <c r="L4" s="14">
        <f>+Tarifas!AB6</f>
        <v>45778</v>
      </c>
      <c r="M4" s="14">
        <f>+Tarifas!AC6</f>
        <v>45809</v>
      </c>
      <c r="N4" s="14">
        <f>+Tarifas!AD6</f>
        <v>45839</v>
      </c>
      <c r="O4" s="14">
        <f>+Tarifas!AE6</f>
        <v>45870</v>
      </c>
      <c r="P4" s="14">
        <f>+Tarifas!AF6</f>
        <v>45901</v>
      </c>
      <c r="Q4" s="14">
        <f>+Tarifas!AG6</f>
        <v>45931</v>
      </c>
      <c r="R4" s="14">
        <f>+Tarifas!AH6</f>
        <v>45962</v>
      </c>
      <c r="S4" s="14">
        <f>+Tarifas!AI6</f>
        <v>45992</v>
      </c>
      <c r="T4" s="14">
        <f>+Tarifas!AJ6</f>
        <v>46023</v>
      </c>
      <c r="U4" s="14">
        <f>+Tarifas!AK6</f>
        <v>46054</v>
      </c>
      <c r="V4" s="14">
        <f>+Tarifas!AL6</f>
        <v>46082</v>
      </c>
      <c r="W4" s="14">
        <f>+Tarifas!AM6</f>
        <v>46113</v>
      </c>
      <c r="X4" s="14">
        <f>+Tarifas!AN6</f>
        <v>46143</v>
      </c>
      <c r="Y4" s="14">
        <f>+Tarifas!AO6</f>
        <v>46174</v>
      </c>
      <c r="Z4" s="14">
        <f>+Tarifas!AP6</f>
        <v>46204</v>
      </c>
      <c r="AA4" s="14">
        <f>+Tarifas!AQ6</f>
        <v>46235</v>
      </c>
      <c r="AB4" s="14">
        <f>+Tarifas!AR6</f>
        <v>46266</v>
      </c>
      <c r="AC4" s="14">
        <f>+Tarifas!AS6</f>
        <v>46296</v>
      </c>
      <c r="AD4" s="14">
        <f>+Tarifas!AT6</f>
        <v>46327</v>
      </c>
      <c r="AE4" s="14">
        <f>+Tarifas!AU6</f>
        <v>46357</v>
      </c>
      <c r="AF4" s="14">
        <f>+Tarifas!AV6</f>
        <v>46388</v>
      </c>
      <c r="AG4" s="14">
        <f>+Tarifas!AW6</f>
        <v>46419</v>
      </c>
      <c r="AH4" s="14">
        <f>+Tarifas!AX6</f>
        <v>46447</v>
      </c>
      <c r="AI4" s="14">
        <f>+Tarifas!AY6</f>
        <v>46478</v>
      </c>
      <c r="AJ4" s="14">
        <f>+Tarifas!AZ6</f>
        <v>46508</v>
      </c>
      <c r="AK4" s="14">
        <f>+Tarifas!BA6</f>
        <v>46539</v>
      </c>
      <c r="AL4" s="14">
        <f>+Tarifas!BB6</f>
        <v>46569</v>
      </c>
      <c r="AM4" s="14">
        <f>+Tarifas!BC6</f>
        <v>46600</v>
      </c>
      <c r="AN4" s="14">
        <f>+Tarifas!BD6</f>
        <v>46631</v>
      </c>
      <c r="AO4" s="14">
        <f>+Tarifas!BE6</f>
        <v>46661</v>
      </c>
      <c r="AP4" s="14">
        <f>+Tarifas!BF6</f>
        <v>46692</v>
      </c>
      <c r="AQ4" s="14">
        <f>+Tarifas!BG6</f>
        <v>46722</v>
      </c>
      <c r="AR4" s="14">
        <f>+Tarifas!BH6</f>
        <v>46753</v>
      </c>
      <c r="AS4" s="14">
        <f>+Tarifas!BI6</f>
        <v>46784</v>
      </c>
      <c r="AT4" s="14">
        <f>+Tarifas!BJ6</f>
        <v>46813</v>
      </c>
      <c r="AU4" s="14">
        <f>+Tarifas!BK6</f>
        <v>46844</v>
      </c>
      <c r="AV4" s="14">
        <f>+Tarifas!BL6</f>
        <v>46874</v>
      </c>
      <c r="AW4" s="14">
        <f>+Tarifas!BM6</f>
        <v>46905</v>
      </c>
      <c r="AX4" s="14">
        <f>+Tarifas!BN6</f>
        <v>46935</v>
      </c>
      <c r="AY4" s="14">
        <f>+Tarifas!BO6</f>
        <v>46966</v>
      </c>
      <c r="AZ4" s="14">
        <f>+Tarifas!BP6</f>
        <v>46997</v>
      </c>
      <c r="BA4" s="14">
        <f>+Tarifas!BQ6</f>
        <v>47027</v>
      </c>
      <c r="BB4" s="14">
        <f>+Tarifas!BR6</f>
        <v>47058</v>
      </c>
      <c r="BC4" s="14">
        <f>+Tarifas!BS6</f>
        <v>47088</v>
      </c>
      <c r="BD4" s="14">
        <f>+Tarifas!BT6</f>
        <v>47119</v>
      </c>
      <c r="BE4" s="14">
        <f>+Tarifas!BU6</f>
        <v>47150</v>
      </c>
      <c r="BF4" s="14">
        <f>+Tarifas!BV6</f>
        <v>47178</v>
      </c>
      <c r="BG4" s="14">
        <f>+Tarifas!BW6</f>
        <v>47209</v>
      </c>
      <c r="BH4" s="14">
        <f>+Tarifas!BX6</f>
        <v>47239</v>
      </c>
      <c r="BI4" s="14">
        <f>+Tarifas!BY6</f>
        <v>47270</v>
      </c>
      <c r="BJ4" s="14">
        <f>+Tarifas!BZ6</f>
        <v>47300</v>
      </c>
      <c r="BK4" s="14">
        <f>+Tarifas!CA6</f>
        <v>47331</v>
      </c>
      <c r="BL4" s="14">
        <f>+Tarifas!CB6</f>
        <v>47362</v>
      </c>
      <c r="BM4" s="14">
        <f>+Tarifas!CC6</f>
        <v>47392</v>
      </c>
      <c r="BN4" s="14">
        <f>+Tarifas!CD6</f>
        <v>47423</v>
      </c>
      <c r="BO4" s="14">
        <f>+Tarifas!CE6</f>
        <v>47453</v>
      </c>
      <c r="BP4" s="14">
        <f>+Tarifas!CF6</f>
        <v>47484</v>
      </c>
      <c r="BQ4" s="14">
        <f>+Tarifas!CG6</f>
        <v>47515</v>
      </c>
      <c r="BR4" s="14">
        <f>+Tarifas!CH6</f>
        <v>47543</v>
      </c>
      <c r="BS4" s="14">
        <f>+Tarifas!CI6</f>
        <v>47574</v>
      </c>
      <c r="BT4" s="14">
        <f>+Tarifas!CJ6</f>
        <v>47604</v>
      </c>
      <c r="BU4" s="14">
        <f>+Tarifas!CK6</f>
        <v>47635</v>
      </c>
      <c r="BV4" s="14">
        <f>+Tarifas!CL6</f>
        <v>47665</v>
      </c>
      <c r="BW4" s="14">
        <f>+Tarifas!CM6</f>
        <v>47696</v>
      </c>
      <c r="BX4" s="14">
        <f>+Tarifas!CN6</f>
        <v>47727</v>
      </c>
      <c r="BY4" s="14">
        <f>+Tarifas!CO6</f>
        <v>47757</v>
      </c>
      <c r="BZ4" s="14">
        <f>+Tarifas!CP6</f>
        <v>47788</v>
      </c>
      <c r="CA4" s="14">
        <f>+Tarifas!CQ6</f>
        <v>47818</v>
      </c>
      <c r="CB4" s="14">
        <f>+Tarifas!CR6</f>
        <v>47849</v>
      </c>
      <c r="CC4" s="14">
        <f>+Tarifas!CS6</f>
        <v>47880</v>
      </c>
      <c r="CD4" s="14">
        <f>+Tarifas!CT6</f>
        <v>47908</v>
      </c>
      <c r="CE4" s="14">
        <f>+Tarifas!CU6</f>
        <v>47939</v>
      </c>
      <c r="CF4" s="14">
        <f>+Tarifas!CV6</f>
        <v>47969</v>
      </c>
      <c r="CG4" s="14">
        <f>+Tarifas!CW6</f>
        <v>48000</v>
      </c>
      <c r="CH4" s="14">
        <f>+Tarifas!CX6</f>
        <v>48030</v>
      </c>
      <c r="CI4" s="14">
        <f>+Tarifas!CY6</f>
        <v>48061</v>
      </c>
      <c r="CJ4" s="14">
        <f>+Tarifas!CZ6</f>
        <v>48092</v>
      </c>
      <c r="CK4" s="14">
        <f>+Tarifas!DA6</f>
        <v>48122</v>
      </c>
      <c r="CL4" s="14">
        <f>+Tarifas!DB6</f>
        <v>48153</v>
      </c>
      <c r="CM4" s="14">
        <f>+Tarifas!DC6</f>
        <v>48183</v>
      </c>
      <c r="CN4" s="14">
        <f>+Tarifas!DD6</f>
        <v>48214</v>
      </c>
      <c r="CO4" s="14">
        <f>+Tarifas!DE6</f>
        <v>48245</v>
      </c>
      <c r="CP4" s="14">
        <f>+Tarifas!DF6</f>
        <v>48274</v>
      </c>
      <c r="CQ4" s="14">
        <f>+Tarifas!DG6</f>
        <v>48305</v>
      </c>
      <c r="CR4" s="14">
        <f>+Tarifas!DH6</f>
        <v>48335</v>
      </c>
      <c r="CS4" s="14">
        <f>+Tarifas!DI6</f>
        <v>48366</v>
      </c>
      <c r="CT4" s="14">
        <f>+Tarifas!DJ6</f>
        <v>48396</v>
      </c>
      <c r="CU4" s="14">
        <f>+Tarifas!DK6</f>
        <v>48427</v>
      </c>
      <c r="CV4" s="14">
        <f>+Tarifas!DL6</f>
        <v>48458</v>
      </c>
      <c r="CW4" s="14">
        <f>+Tarifas!DM6</f>
        <v>48488</v>
      </c>
      <c r="CX4" s="14">
        <f>+Tarifas!DN6</f>
        <v>48519</v>
      </c>
      <c r="CY4" s="14">
        <f>+Tarifas!DO6</f>
        <v>48549</v>
      </c>
      <c r="CZ4" s="14">
        <f>+Tarifas!DP6</f>
        <v>48580</v>
      </c>
      <c r="DA4" s="14">
        <f>+Tarifas!DQ6</f>
        <v>48611</v>
      </c>
      <c r="DB4" s="14">
        <f>+Tarifas!DR6</f>
        <v>48639</v>
      </c>
      <c r="DC4" s="14">
        <f>+Tarifas!DS6</f>
        <v>48670</v>
      </c>
      <c r="DD4" s="14">
        <f>+Tarifas!DT6</f>
        <v>48700</v>
      </c>
      <c r="DE4" s="14">
        <f>+Tarifas!DU6</f>
        <v>48731</v>
      </c>
      <c r="DF4" s="14">
        <f>+Tarifas!DV6</f>
        <v>48761</v>
      </c>
      <c r="DG4" s="14">
        <f>+Tarifas!DW6</f>
        <v>48792</v>
      </c>
      <c r="DH4" s="14">
        <f>+Tarifas!DX6</f>
        <v>48823</v>
      </c>
      <c r="DI4" s="14">
        <f>+Tarifas!DY6</f>
        <v>48853</v>
      </c>
      <c r="DJ4" s="14">
        <f>+Tarifas!DZ6</f>
        <v>48884</v>
      </c>
      <c r="DK4" s="14">
        <f>+Tarifas!EA6</f>
        <v>48914</v>
      </c>
      <c r="DL4" s="14">
        <f>+Tarifas!EB6</f>
        <v>48945</v>
      </c>
      <c r="DM4" s="14">
        <f>+Tarifas!EC6</f>
        <v>48976</v>
      </c>
      <c r="DN4" s="14">
        <f>+Tarifas!ED6</f>
        <v>49004</v>
      </c>
      <c r="DO4" s="14">
        <f>+Tarifas!EE6</f>
        <v>49035</v>
      </c>
      <c r="DP4" s="14">
        <f>+Tarifas!EF6</f>
        <v>49065</v>
      </c>
      <c r="DQ4" s="14">
        <f>+Tarifas!EG6</f>
        <v>49096</v>
      </c>
      <c r="DR4" s="14">
        <f>+Tarifas!EH6</f>
        <v>49126</v>
      </c>
      <c r="DS4" s="14">
        <f>+Tarifas!EI6</f>
        <v>49157</v>
      </c>
      <c r="DT4" s="14">
        <f>+Tarifas!EJ6</f>
        <v>49188</v>
      </c>
      <c r="DU4" s="14">
        <f>+Tarifas!EK6</f>
        <v>49218</v>
      </c>
      <c r="DV4" s="14">
        <f>+Tarifas!EL6</f>
        <v>49249</v>
      </c>
      <c r="DW4" s="14">
        <f>+Tarifas!EM6</f>
        <v>49279</v>
      </c>
      <c r="DX4" s="14">
        <f>+Tarifas!EN6</f>
        <v>49310</v>
      </c>
      <c r="DY4" s="14">
        <f>+Tarifas!EO6</f>
        <v>49341</v>
      </c>
      <c r="DZ4" s="14">
        <f>+Tarifas!EP6</f>
        <v>49369</v>
      </c>
      <c r="EA4" s="14">
        <f>+Tarifas!EQ6</f>
        <v>49400</v>
      </c>
      <c r="EB4" s="14">
        <f>+Tarifas!ER6</f>
        <v>49430</v>
      </c>
      <c r="EC4" s="14">
        <f>+Tarifas!ES6</f>
        <v>49461</v>
      </c>
      <c r="ED4" s="14">
        <f>+Tarifas!ET6</f>
        <v>49491</v>
      </c>
      <c r="EE4" s="14">
        <f>+Tarifas!EU6</f>
        <v>49522</v>
      </c>
      <c r="EF4" s="14">
        <f>+Tarifas!EV6</f>
        <v>49553</v>
      </c>
      <c r="EG4" s="14">
        <f>+Tarifas!EW6</f>
        <v>49583</v>
      </c>
      <c r="EH4" s="14">
        <f>+Tarifas!EX6</f>
        <v>49614</v>
      </c>
      <c r="EI4" s="14">
        <f>+Tarifas!EY6</f>
        <v>49644</v>
      </c>
      <c r="EJ4" s="14">
        <f>+Tarifas!EZ6</f>
        <v>49675</v>
      </c>
      <c r="EK4" s="14">
        <f>+Tarifas!FA6</f>
        <v>49706</v>
      </c>
      <c r="EL4" s="14">
        <f>+Tarifas!FB6</f>
        <v>49735</v>
      </c>
      <c r="EM4" s="14">
        <f>+Tarifas!FC6</f>
        <v>49766</v>
      </c>
      <c r="EN4" s="14">
        <f>+Tarifas!FD6</f>
        <v>49796</v>
      </c>
      <c r="EO4" s="14">
        <f>+Tarifas!FE6</f>
        <v>49827</v>
      </c>
      <c r="EP4" s="14">
        <f>+Tarifas!FF6</f>
        <v>49857</v>
      </c>
      <c r="EQ4" s="14">
        <f>+Tarifas!FG6</f>
        <v>49888</v>
      </c>
      <c r="ER4" s="14">
        <f>+Tarifas!FH6</f>
        <v>49919</v>
      </c>
      <c r="ES4" s="14">
        <f>+Tarifas!FI6</f>
        <v>49949</v>
      </c>
      <c r="ET4" s="14">
        <f>+Tarifas!FJ6</f>
        <v>49980</v>
      </c>
      <c r="EU4" s="14">
        <f>+Tarifas!FK6</f>
        <v>50010</v>
      </c>
      <c r="EV4" s="14">
        <f>+Tarifas!FL6</f>
        <v>50041</v>
      </c>
      <c r="EW4" s="14">
        <f>+Tarifas!FM6</f>
        <v>50072</v>
      </c>
      <c r="EX4" s="14">
        <f>+Tarifas!FN6</f>
        <v>50100</v>
      </c>
      <c r="EY4" s="14">
        <f>+Tarifas!FO6</f>
        <v>50131</v>
      </c>
      <c r="EZ4" s="14">
        <f>+Tarifas!FP6</f>
        <v>50161</v>
      </c>
      <c r="FA4" s="14">
        <f>+Tarifas!FQ6</f>
        <v>50192</v>
      </c>
      <c r="FB4" s="14">
        <f>+Tarifas!FR6</f>
        <v>50222</v>
      </c>
      <c r="FC4" s="14">
        <f>+Tarifas!FS6</f>
        <v>50253</v>
      </c>
      <c r="FD4" s="14">
        <f>+Tarifas!FT6</f>
        <v>50284</v>
      </c>
      <c r="FE4" s="14">
        <f>+Tarifas!FU6</f>
        <v>50314</v>
      </c>
      <c r="FF4" s="14">
        <f>+Tarifas!FV6</f>
        <v>50345</v>
      </c>
      <c r="FG4" s="14">
        <f>+Tarifas!FW6</f>
        <v>50375</v>
      </c>
      <c r="FH4" s="14">
        <f>+Tarifas!FX6</f>
        <v>50406</v>
      </c>
      <c r="FI4" s="14">
        <f>+Tarifas!FY6</f>
        <v>50437</v>
      </c>
      <c r="FJ4" s="14">
        <f>+Tarifas!FZ6</f>
        <v>50465</v>
      </c>
      <c r="FK4" s="14">
        <f>+Tarifas!GA6</f>
        <v>50496</v>
      </c>
      <c r="FL4" s="14">
        <f>+Tarifas!GB6</f>
        <v>50526</v>
      </c>
      <c r="FM4" s="14">
        <f>+Tarifas!GC6</f>
        <v>50557</v>
      </c>
      <c r="FN4" s="14">
        <f>+Tarifas!GD6</f>
        <v>50587</v>
      </c>
      <c r="FO4" s="14">
        <f>+Tarifas!GE6</f>
        <v>50618</v>
      </c>
      <c r="FP4" s="14">
        <f>+Tarifas!GF6</f>
        <v>50649</v>
      </c>
      <c r="FQ4" s="14">
        <f>+Tarifas!GG6</f>
        <v>50679</v>
      </c>
      <c r="FR4" s="14">
        <f>+Tarifas!GH6</f>
        <v>50710</v>
      </c>
      <c r="FS4" s="14">
        <f>+Tarifas!GI6</f>
        <v>50740</v>
      </c>
      <c r="FT4" s="14">
        <f>+Tarifas!GJ6</f>
        <v>50771</v>
      </c>
      <c r="FU4" s="14">
        <f>+Tarifas!GK6</f>
        <v>50802</v>
      </c>
      <c r="FV4" s="14">
        <f>+Tarifas!GL6</f>
        <v>50830</v>
      </c>
      <c r="FW4" s="14">
        <f>+Tarifas!GM6</f>
        <v>50861</v>
      </c>
      <c r="FX4" s="14">
        <f>+Tarifas!GN6</f>
        <v>50891</v>
      </c>
      <c r="FY4" s="14">
        <f>+Tarifas!GO6</f>
        <v>50922</v>
      </c>
      <c r="FZ4" s="14">
        <f>+Tarifas!GP6</f>
        <v>50952</v>
      </c>
      <c r="GA4" s="14">
        <f>+Tarifas!GQ6</f>
        <v>50983</v>
      </c>
      <c r="GB4" s="14">
        <f>+Tarifas!GR6</f>
        <v>51014</v>
      </c>
      <c r="GC4" s="14">
        <f>+Tarifas!GS6</f>
        <v>51044</v>
      </c>
      <c r="GD4" s="14">
        <f>+Tarifas!GT6</f>
        <v>51075</v>
      </c>
      <c r="GE4" s="14">
        <f>+Tarifas!GU6</f>
        <v>51105</v>
      </c>
      <c r="GF4" s="14">
        <f>+Tarifas!GV6</f>
        <v>51136</v>
      </c>
      <c r="GG4" s="14">
        <f>+Tarifas!GW6</f>
        <v>51167</v>
      </c>
      <c r="GH4" s="14">
        <f>+Tarifas!GX6</f>
        <v>51196</v>
      </c>
      <c r="GI4" s="14">
        <f>+Tarifas!GY6</f>
        <v>51227</v>
      </c>
      <c r="GJ4" s="14">
        <f>+Tarifas!GZ6</f>
        <v>51257</v>
      </c>
      <c r="GK4" s="14">
        <f>+Tarifas!HA6</f>
        <v>51288</v>
      </c>
      <c r="GL4" s="14">
        <f>+Tarifas!HB6</f>
        <v>51318</v>
      </c>
      <c r="GM4" s="14">
        <f>+Tarifas!HC6</f>
        <v>51349</v>
      </c>
      <c r="GN4" s="14">
        <f>+Tarifas!HD6</f>
        <v>51380</v>
      </c>
      <c r="GO4" s="14">
        <f>+Tarifas!HE6</f>
        <v>51410</v>
      </c>
      <c r="GP4" s="14">
        <f>+Tarifas!HF6</f>
        <v>51441</v>
      </c>
      <c r="GQ4" s="14">
        <f>+Tarifas!HG6</f>
        <v>51471</v>
      </c>
      <c r="GR4" s="14">
        <f>+Tarifas!HH6</f>
        <v>51502</v>
      </c>
      <c r="GS4" s="14">
        <f>+Tarifas!HI6</f>
        <v>51533</v>
      </c>
      <c r="GT4" s="14">
        <f>+Tarifas!HJ6</f>
        <v>51561</v>
      </c>
      <c r="GU4" s="14">
        <f>+Tarifas!HK6</f>
        <v>51592</v>
      </c>
      <c r="GV4" s="14">
        <f>+Tarifas!HL6</f>
        <v>51622</v>
      </c>
      <c r="GW4" s="14">
        <f>+Tarifas!HM6</f>
        <v>51653</v>
      </c>
      <c r="GX4" s="14">
        <f>+Tarifas!HN6</f>
        <v>51683</v>
      </c>
      <c r="GY4" s="14">
        <f>+Tarifas!HO6</f>
        <v>51714</v>
      </c>
      <c r="GZ4" s="14">
        <f>+Tarifas!HP6</f>
        <v>51745</v>
      </c>
      <c r="HA4" s="14">
        <f>+Tarifas!HQ6</f>
        <v>51775</v>
      </c>
      <c r="HB4" s="14">
        <f>+Tarifas!HR6</f>
        <v>51806</v>
      </c>
      <c r="HC4" s="14">
        <f>+Tarifas!HS6</f>
        <v>51836</v>
      </c>
      <c r="HD4" s="14">
        <f>+Tarifas!HT6</f>
        <v>51867</v>
      </c>
      <c r="HE4" s="14">
        <f>+Tarifas!HU6</f>
        <v>51898</v>
      </c>
      <c r="HF4" s="14">
        <f>+Tarifas!HV6</f>
        <v>51926</v>
      </c>
      <c r="HG4" s="14">
        <f>+Tarifas!HW6</f>
        <v>51957</v>
      </c>
      <c r="HH4" s="14">
        <f>+Tarifas!HX6</f>
        <v>51987</v>
      </c>
      <c r="HI4" s="14">
        <f>+Tarifas!HY6</f>
        <v>52018</v>
      </c>
      <c r="HJ4" s="14">
        <f>+Tarifas!HZ6</f>
        <v>52048</v>
      </c>
      <c r="HK4" s="14">
        <f>+Tarifas!IA6</f>
        <v>52079</v>
      </c>
      <c r="HL4" s="14">
        <f>+Tarifas!IB6</f>
        <v>52110</v>
      </c>
      <c r="HM4" s="14">
        <f>+Tarifas!IC6</f>
        <v>52140</v>
      </c>
      <c r="HN4" s="14">
        <f>+Tarifas!ID6</f>
        <v>52171</v>
      </c>
      <c r="HO4" s="14">
        <f>+Tarifas!IE6</f>
        <v>52201</v>
      </c>
      <c r="HP4" s="14">
        <f>+Tarifas!IF6</f>
        <v>52232</v>
      </c>
      <c r="HQ4" s="14">
        <f>+Tarifas!IG6</f>
        <v>52263</v>
      </c>
      <c r="HR4" s="14">
        <f>+Tarifas!IH6</f>
        <v>52291</v>
      </c>
      <c r="HS4" s="14">
        <f>+Tarifas!II6</f>
        <v>52322</v>
      </c>
      <c r="HT4" s="14">
        <f>+Tarifas!IJ6</f>
        <v>52352</v>
      </c>
      <c r="HU4" s="14">
        <f>+Tarifas!IK6</f>
        <v>52383</v>
      </c>
      <c r="HV4" s="14">
        <f>+Tarifas!IL6</f>
        <v>52413</v>
      </c>
      <c r="HW4" s="14">
        <f>+Tarifas!IM6</f>
        <v>52444</v>
      </c>
      <c r="HX4" s="14">
        <f>+Tarifas!IN6</f>
        <v>52475</v>
      </c>
      <c r="HY4" s="14">
        <f>+Tarifas!IO6</f>
        <v>52505</v>
      </c>
      <c r="HZ4" s="14">
        <f>+Tarifas!IP6</f>
        <v>52536</v>
      </c>
      <c r="IA4" s="14">
        <f>+Tarifas!IQ6</f>
        <v>52566</v>
      </c>
      <c r="IB4" s="14">
        <f>+Tarifas!IR6</f>
        <v>52597</v>
      </c>
      <c r="IC4" s="14">
        <f>+Tarifas!IS6</f>
        <v>52628</v>
      </c>
      <c r="ID4" s="14">
        <f>+Tarifas!IT6</f>
        <v>52657</v>
      </c>
      <c r="IE4" s="14">
        <f>+Tarifas!IU6</f>
        <v>52688</v>
      </c>
      <c r="IF4" s="14">
        <f>+Tarifas!IV6</f>
        <v>52718</v>
      </c>
      <c r="IG4" s="14">
        <f>+Tarifas!IW6</f>
        <v>52749</v>
      </c>
      <c r="IH4" s="14">
        <f>+Tarifas!IX6</f>
        <v>52779</v>
      </c>
    </row>
    <row r="5" spans="1:242" x14ac:dyDescent="0.3">
      <c r="A5" t="s">
        <v>888</v>
      </c>
      <c r="C5" s="30">
        <f>+Tarifas!S7</f>
        <v>807.28</v>
      </c>
      <c r="D5" s="30">
        <f>+Tarifas!T7</f>
        <v>855.04</v>
      </c>
      <c r="E5" s="30">
        <f>+Tarifas!U7</f>
        <v>854.84</v>
      </c>
      <c r="F5" s="30">
        <f>+Tarifas!V7</f>
        <v>907.23</v>
      </c>
      <c r="G5" s="30">
        <f>+Tarifas!W7</f>
        <v>907.2</v>
      </c>
      <c r="H5" s="30">
        <f>+Tarifas!X7</f>
        <v>907.22</v>
      </c>
      <c r="I5" s="69">
        <f>+Tarifas!Y7</f>
        <v>943.46</v>
      </c>
      <c r="J5" s="30">
        <f>+Tarifas!Z7</f>
        <v>943.5</v>
      </c>
      <c r="K5" s="30">
        <f>+Tarifas!AA7</f>
        <v>943.46</v>
      </c>
      <c r="L5" s="30">
        <f>+Tarifas!AB7</f>
        <v>943.46</v>
      </c>
      <c r="M5" s="30">
        <f>+Tarifas!AC7</f>
        <v>938.16</v>
      </c>
      <c r="N5" s="30">
        <f>+Tarifas!AD7</f>
        <v>885.71</v>
      </c>
      <c r="O5" s="30">
        <f>+Tarifas!AE7</f>
        <v>885.7</v>
      </c>
      <c r="P5" s="30">
        <f>+Tarifas!AF7</f>
        <v>795</v>
      </c>
      <c r="Q5" s="30">
        <f>+Tarifas!AG7</f>
        <v>795</v>
      </c>
      <c r="R5" s="30">
        <f>+Tarifas!AH7</f>
        <v>795.93</v>
      </c>
      <c r="S5" s="30">
        <f>+Tarifas!AI7</f>
        <v>795.93</v>
      </c>
      <c r="T5" s="30">
        <f>+Tarifas!AJ7</f>
        <v>795.93</v>
      </c>
      <c r="U5" s="30">
        <f>+Tarifas!AK7</f>
        <v>795.93</v>
      </c>
      <c r="V5" s="30">
        <f>+Tarifas!AL7</f>
        <v>971.80500000000006</v>
      </c>
      <c r="W5" s="30">
        <f>+Tarifas!AM7</f>
        <v>971.76380000000006</v>
      </c>
      <c r="X5" s="30">
        <f>+Tarifas!AN7</f>
        <v>971.76380000000006</v>
      </c>
      <c r="Y5" s="30">
        <f>+Tarifas!AO7</f>
        <v>966.3048</v>
      </c>
      <c r="Z5" s="30">
        <f>+Tarifas!AP7</f>
        <v>912.2813000000001</v>
      </c>
      <c r="AA5" s="30">
        <f>+Tarifas!AQ7</f>
        <v>912.27100000000007</v>
      </c>
      <c r="AB5" s="30">
        <f>+Tarifas!AR7</f>
        <v>818.85</v>
      </c>
      <c r="AC5" s="30">
        <f>+Tarifas!AS7</f>
        <v>818.85</v>
      </c>
      <c r="AD5" s="30">
        <f>+Tarifas!AT7</f>
        <v>819.80790000000002</v>
      </c>
      <c r="AE5" s="30">
        <f>+Tarifas!AU7</f>
        <v>819.80790000000002</v>
      </c>
      <c r="AF5" s="30">
        <f>+Tarifas!AV7</f>
        <v>819.80790000000002</v>
      </c>
      <c r="AG5" s="30">
        <f>+Tarifas!AW7</f>
        <v>819.80790000000002</v>
      </c>
      <c r="AH5" s="30">
        <f>+Tarifas!AX7</f>
        <v>1000.9591500000001</v>
      </c>
      <c r="AI5" s="30">
        <f>+Tarifas!AY7</f>
        <v>1000.9167140000001</v>
      </c>
      <c r="AJ5" s="30">
        <f>+Tarifas!AZ7</f>
        <v>1000.9167140000001</v>
      </c>
      <c r="AK5" s="30">
        <f>+Tarifas!BA7</f>
        <v>995.29394400000001</v>
      </c>
      <c r="AL5" s="30">
        <f>+Tarifas!BB7</f>
        <v>939.64973900000018</v>
      </c>
      <c r="AM5" s="30">
        <f>+Tarifas!BC7</f>
        <v>939.63913000000014</v>
      </c>
      <c r="AN5" s="30">
        <f>+Tarifas!BD7</f>
        <v>843.41550000000007</v>
      </c>
      <c r="AO5" s="30">
        <f>+Tarifas!BE7</f>
        <v>843.41550000000007</v>
      </c>
      <c r="AP5" s="30">
        <f>+Tarifas!BF7</f>
        <v>844.40213700000004</v>
      </c>
      <c r="AQ5" s="30">
        <f>+Tarifas!BG7</f>
        <v>844.40213700000004</v>
      </c>
      <c r="AR5" s="30">
        <f>+Tarifas!BH7</f>
        <v>844.40213700000004</v>
      </c>
      <c r="AS5" s="30">
        <f>+Tarifas!BI7</f>
        <v>844.40213700000004</v>
      </c>
      <c r="AT5" s="30">
        <f>+Tarifas!BJ7</f>
        <v>1030.9879245000002</v>
      </c>
      <c r="AU5" s="30">
        <f>+Tarifas!BK7</f>
        <v>1030.9442154200001</v>
      </c>
      <c r="AV5" s="30">
        <f>+Tarifas!BL7</f>
        <v>1030.9442154200001</v>
      </c>
      <c r="AW5" s="30">
        <f>+Tarifas!BM7</f>
        <v>1025.15276232</v>
      </c>
      <c r="AX5" s="30">
        <f>+Tarifas!BN7</f>
        <v>967.83923117000018</v>
      </c>
      <c r="AY5" s="30">
        <f>+Tarifas!BO7</f>
        <v>967.82830390000015</v>
      </c>
      <c r="AZ5" s="30">
        <f>+Tarifas!BP7</f>
        <v>868.71796500000005</v>
      </c>
      <c r="BA5" s="30">
        <f>+Tarifas!BQ7</f>
        <v>868.71796500000005</v>
      </c>
      <c r="BB5" s="30">
        <f>+Tarifas!BR7</f>
        <v>869.73420111000007</v>
      </c>
      <c r="BC5" s="30">
        <f>+Tarifas!BS7</f>
        <v>869.73420111000007</v>
      </c>
      <c r="BD5" s="30">
        <f>+Tarifas!BT7</f>
        <v>869.73420111000007</v>
      </c>
      <c r="BE5" s="30">
        <f>+Tarifas!BU7</f>
        <v>869.73420111000007</v>
      </c>
      <c r="BF5" s="30">
        <f>+Tarifas!BV7</f>
        <v>1061.9175622350003</v>
      </c>
      <c r="BG5" s="30">
        <f>+Tarifas!BW7</f>
        <v>1061.8725418826002</v>
      </c>
      <c r="BH5" s="30">
        <f>+Tarifas!BX7</f>
        <v>1061.8725418826002</v>
      </c>
      <c r="BI5" s="30">
        <f>+Tarifas!BY7</f>
        <v>1055.9073451895999</v>
      </c>
      <c r="BJ5" s="30">
        <f>+Tarifas!BZ7</f>
        <v>996.8744081051002</v>
      </c>
      <c r="BK5" s="30">
        <f>+Tarifas!CA7</f>
        <v>996.86315301700017</v>
      </c>
      <c r="BL5" s="30">
        <f>+Tarifas!CB7</f>
        <v>894.77950395000005</v>
      </c>
      <c r="BM5" s="30">
        <f>+Tarifas!CC7</f>
        <v>894.77950395000005</v>
      </c>
      <c r="BN5" s="30">
        <f>+Tarifas!CD7</f>
        <v>895.82622714330012</v>
      </c>
      <c r="BO5" s="30">
        <f>+Tarifas!CE7</f>
        <v>895.82622714330012</v>
      </c>
      <c r="BP5" s="30">
        <f>+Tarifas!CF7</f>
        <v>895.82622714330012</v>
      </c>
      <c r="BQ5" s="30">
        <f>+Tarifas!CG7</f>
        <v>895.82622714330012</v>
      </c>
      <c r="BR5" s="30">
        <f>+Tarifas!CH7</f>
        <v>1093.7750891020503</v>
      </c>
      <c r="BS5" s="30">
        <f>+Tarifas!CI7</f>
        <v>1093.7287181390782</v>
      </c>
      <c r="BT5" s="30">
        <f>+Tarifas!CJ7</f>
        <v>1093.7287181390782</v>
      </c>
      <c r="BU5" s="30">
        <f>+Tarifas!CK7</f>
        <v>1087.5845655452879</v>
      </c>
      <c r="BV5" s="30">
        <f>+Tarifas!CL7</f>
        <v>1026.7806403482532</v>
      </c>
      <c r="BW5" s="30">
        <f>+Tarifas!CM7</f>
        <v>1026.7690476075102</v>
      </c>
      <c r="BX5" s="30">
        <f>+Tarifas!CN7</f>
        <v>921.62288906850006</v>
      </c>
      <c r="BY5" s="30">
        <f>+Tarifas!CO7</f>
        <v>921.62288906850006</v>
      </c>
      <c r="BZ5" s="30">
        <f>+Tarifas!CP7</f>
        <v>922.70101395759912</v>
      </c>
      <c r="CA5" s="30">
        <f>+Tarifas!CQ7</f>
        <v>922.70101395759912</v>
      </c>
      <c r="CB5" s="30">
        <f>+Tarifas!CR7</f>
        <v>922.70101395759912</v>
      </c>
      <c r="CC5" s="30">
        <f>+Tarifas!CS7</f>
        <v>922.70101395759912</v>
      </c>
      <c r="CD5" s="30">
        <f>+Tarifas!CT7</f>
        <v>1126.5883417751118</v>
      </c>
      <c r="CE5" s="30">
        <f>+Tarifas!CU7</f>
        <v>1126.5405796832506</v>
      </c>
      <c r="CF5" s="30">
        <f>+Tarifas!CV7</f>
        <v>1126.5405796832506</v>
      </c>
      <c r="CG5" s="30">
        <f>+Tarifas!CW7</f>
        <v>1120.2121025116467</v>
      </c>
      <c r="CH5" s="30">
        <f>+Tarifas!CX7</f>
        <v>1057.5840595587008</v>
      </c>
      <c r="CI5" s="30">
        <f>+Tarifas!CY7</f>
        <v>1057.5721190357356</v>
      </c>
      <c r="CJ5" s="30">
        <f>+Tarifas!CZ7</f>
        <v>949.27157574055514</v>
      </c>
      <c r="CK5" s="30">
        <f>+Tarifas!DA7</f>
        <v>949.27157574055514</v>
      </c>
      <c r="CL5" s="30">
        <f>+Tarifas!DB7</f>
        <v>950.38204437632714</v>
      </c>
      <c r="CM5" s="30">
        <f>+Tarifas!DC7</f>
        <v>950.38204437632714</v>
      </c>
      <c r="CN5" s="30">
        <f>+Tarifas!DD7</f>
        <v>950.38204437632714</v>
      </c>
      <c r="CO5" s="30">
        <f>+Tarifas!DE7</f>
        <v>950.38204437632714</v>
      </c>
      <c r="CP5" s="30">
        <f>+Tarifas!DF7</f>
        <v>1160.3859920283651</v>
      </c>
      <c r="CQ5" s="30">
        <f>+Tarifas!DG7</f>
        <v>1160.3367970737481</v>
      </c>
      <c r="CR5" s="30">
        <f>+Tarifas!DH7</f>
        <v>1160.3367970737481</v>
      </c>
      <c r="CS5" s="30">
        <f>+Tarifas!DI7</f>
        <v>1153.8184655869961</v>
      </c>
      <c r="CT5" s="30">
        <f>+Tarifas!DJ7</f>
        <v>1089.3115813454619</v>
      </c>
      <c r="CU5" s="30">
        <f>+Tarifas!DK7</f>
        <v>1089.2992826068078</v>
      </c>
      <c r="CV5" s="30">
        <f>+Tarifas!DL7</f>
        <v>977.74972301277182</v>
      </c>
      <c r="CW5" s="30">
        <f>+Tarifas!DM7</f>
        <v>977.74972301277182</v>
      </c>
      <c r="CX5" s="30">
        <f>+Tarifas!DN7</f>
        <v>978.89350570761701</v>
      </c>
      <c r="CY5" s="30">
        <f>+Tarifas!DO7</f>
        <v>978.89350570761701</v>
      </c>
      <c r="CZ5" s="30">
        <f>+Tarifas!DP7</f>
        <v>978.89350570761701</v>
      </c>
      <c r="DA5" s="30">
        <f>+Tarifas!DQ7</f>
        <v>978.89350570761701</v>
      </c>
      <c r="DB5" s="30">
        <f>+Tarifas!DR7</f>
        <v>1195.197571789216</v>
      </c>
      <c r="DC5" s="30">
        <f>+Tarifas!DS7</f>
        <v>1195.1469009859607</v>
      </c>
      <c r="DD5" s="30">
        <f>+Tarifas!DT7</f>
        <v>1195.1469009859607</v>
      </c>
      <c r="DE5" s="30">
        <f>+Tarifas!DU7</f>
        <v>1188.4330195546061</v>
      </c>
      <c r="DF5" s="30">
        <f>+Tarifas!DV7</f>
        <v>1121.9909287858259</v>
      </c>
      <c r="DG5" s="30">
        <f>+Tarifas!DW7</f>
        <v>1121.978261085012</v>
      </c>
      <c r="DH5" s="30">
        <f>+Tarifas!DX7</f>
        <v>1007.082214703155</v>
      </c>
      <c r="DI5" s="30">
        <f>+Tarifas!DY7</f>
        <v>1007.082214703155</v>
      </c>
      <c r="DJ5" s="30">
        <f>+Tarifas!DZ7</f>
        <v>1008.2603108788455</v>
      </c>
      <c r="DK5" s="30">
        <f>+Tarifas!EA7</f>
        <v>1008.2603108788455</v>
      </c>
      <c r="DL5" s="30">
        <f>+Tarifas!EB7</f>
        <v>1008.2603108788455</v>
      </c>
      <c r="DM5" s="30">
        <f>+Tarifas!EC7</f>
        <v>1008.2603108788455</v>
      </c>
      <c r="DN5" s="30">
        <f>+Tarifas!ED7</f>
        <v>1231.0534989428925</v>
      </c>
      <c r="DO5" s="30">
        <f>+Tarifas!EE7</f>
        <v>1231.0013080155395</v>
      </c>
      <c r="DP5" s="30">
        <f>+Tarifas!EF7</f>
        <v>1231.0013080155395</v>
      </c>
      <c r="DQ5" s="30">
        <f>+Tarifas!EG7</f>
        <v>1224.0860101412443</v>
      </c>
      <c r="DR5" s="30">
        <f>+Tarifas!EH7</f>
        <v>1155.6506566494006</v>
      </c>
      <c r="DS5" s="30">
        <f>+Tarifas!EI7</f>
        <v>1155.6376089175624</v>
      </c>
      <c r="DT5" s="30">
        <f>+Tarifas!EJ7</f>
        <v>1037.2946811442498</v>
      </c>
      <c r="DU5" s="30">
        <f>+Tarifas!EK7</f>
        <v>1037.2946811442498</v>
      </c>
      <c r="DV5" s="30">
        <f>+Tarifas!EL7</f>
        <v>1038.5081202052108</v>
      </c>
      <c r="DW5" s="30">
        <f>+Tarifas!EM7</f>
        <v>1038.5081202052108</v>
      </c>
      <c r="DX5" s="30">
        <f>+Tarifas!EN7</f>
        <v>1038.5081202052108</v>
      </c>
      <c r="DY5" s="30">
        <f>+Tarifas!EO7</f>
        <v>1038.5081202052108</v>
      </c>
      <c r="DZ5" s="30">
        <f>+Tarifas!EP7</f>
        <v>1267.9851039111793</v>
      </c>
      <c r="EA5" s="30">
        <f>+Tarifas!EQ7</f>
        <v>1267.9313472560057</v>
      </c>
      <c r="EB5" s="30">
        <f>+Tarifas!ER7</f>
        <v>1267.9313472560057</v>
      </c>
      <c r="EC5" s="30">
        <f>+Tarifas!ES7</f>
        <v>1260.8085904454817</v>
      </c>
      <c r="ED5" s="30">
        <f>+Tarifas!ET7</f>
        <v>1190.3201763488826</v>
      </c>
      <c r="EE5" s="30">
        <f>+Tarifas!EU7</f>
        <v>1190.3067371850893</v>
      </c>
      <c r="EF5" s="30">
        <f>+Tarifas!EV7</f>
        <v>1068.4135215785773</v>
      </c>
      <c r="EG5" s="30">
        <f>+Tarifas!EW7</f>
        <v>1068.4135215785773</v>
      </c>
      <c r="EH5" s="30">
        <f>+Tarifas!EX7</f>
        <v>1069.6633638113672</v>
      </c>
      <c r="EI5" s="30">
        <f>+Tarifas!EY7</f>
        <v>1069.6633638113672</v>
      </c>
      <c r="EJ5" s="30">
        <f>+Tarifas!EZ7</f>
        <v>1069.6633638113672</v>
      </c>
      <c r="EK5" s="30">
        <f>+Tarifas!FA7</f>
        <v>1069.6633638113672</v>
      </c>
      <c r="EL5" s="30">
        <f>+Tarifas!FB7</f>
        <v>1306.0246570285146</v>
      </c>
      <c r="EM5" s="30">
        <f>+Tarifas!FC7</f>
        <v>1305.9692876736858</v>
      </c>
      <c r="EN5" s="30">
        <f>+Tarifas!FD7</f>
        <v>1305.9692876736858</v>
      </c>
      <c r="EO5" s="30">
        <f>+Tarifas!FE7</f>
        <v>1298.6328481588462</v>
      </c>
      <c r="EP5" s="30">
        <f>+Tarifas!FF7</f>
        <v>1226.029781639349</v>
      </c>
      <c r="EQ5" s="30">
        <f>+Tarifas!FG7</f>
        <v>1226.015939300642</v>
      </c>
      <c r="ER5" s="30">
        <f>+Tarifas!FH7</f>
        <v>1100.4659272259346</v>
      </c>
      <c r="ES5" s="30">
        <f>+Tarifas!FI7</f>
        <v>1100.4659272259346</v>
      </c>
      <c r="ET5" s="30">
        <f>+Tarifas!FJ7</f>
        <v>1101.7532647257083</v>
      </c>
      <c r="EU5" s="30">
        <f>+Tarifas!FK7</f>
        <v>1101.7532647257083</v>
      </c>
      <c r="EV5" s="30">
        <f>+Tarifas!FL7</f>
        <v>1101.7532647257083</v>
      </c>
      <c r="EW5" s="30">
        <f>+Tarifas!FM7</f>
        <v>1101.7532647257083</v>
      </c>
      <c r="EX5" s="30">
        <f>+Tarifas!FN7</f>
        <v>1345.2053967393701</v>
      </c>
      <c r="EY5" s="30">
        <f>+Tarifas!FO7</f>
        <v>1345.1483663038964</v>
      </c>
      <c r="EZ5" s="30">
        <f>+Tarifas!FP7</f>
        <v>1345.1483663038964</v>
      </c>
      <c r="FA5" s="30">
        <f>+Tarifas!FQ7</f>
        <v>1337.5918336036116</v>
      </c>
      <c r="FB5" s="30">
        <f>+Tarifas!FR7</f>
        <v>1262.8106750885295</v>
      </c>
      <c r="FC5" s="30">
        <f>+Tarifas!FS7</f>
        <v>1262.7964174796614</v>
      </c>
      <c r="FD5" s="30">
        <f>+Tarifas!FT7</f>
        <v>1133.4799050427127</v>
      </c>
      <c r="FE5" s="30">
        <f>+Tarifas!FU7</f>
        <v>1133.4799050427127</v>
      </c>
      <c r="FF5" s="30">
        <f>+Tarifas!FV7</f>
        <v>1134.8058626674795</v>
      </c>
      <c r="FG5" s="30">
        <f>+Tarifas!FW7</f>
        <v>1134.8058626674795</v>
      </c>
      <c r="FH5" s="30">
        <f>+Tarifas!FX7</f>
        <v>1134.8058626674795</v>
      </c>
      <c r="FI5" s="30">
        <f>+Tarifas!FY7</f>
        <v>1134.8058626674795</v>
      </c>
      <c r="FJ5" s="30">
        <f>+Tarifas!FZ7</f>
        <v>1385.5615586415513</v>
      </c>
      <c r="FK5" s="30">
        <f>+Tarifas!GA7</f>
        <v>1385.5028172930133</v>
      </c>
      <c r="FL5" s="30">
        <f>+Tarifas!GB7</f>
        <v>1385.5028172930133</v>
      </c>
      <c r="FM5" s="30">
        <f>+Tarifas!GC7</f>
        <v>1377.7195886117199</v>
      </c>
      <c r="FN5" s="30">
        <f>+Tarifas!GD7</f>
        <v>1300.6949953411854</v>
      </c>
      <c r="FO5" s="30">
        <f>+Tarifas!GE7</f>
        <v>1300.6803100040513</v>
      </c>
      <c r="FP5" s="30">
        <f>+Tarifas!GF7</f>
        <v>1167.4843021939942</v>
      </c>
      <c r="FQ5" s="30">
        <f>+Tarifas!GG7</f>
        <v>1167.4843021939942</v>
      </c>
      <c r="FR5" s="30">
        <f>+Tarifas!GH7</f>
        <v>1168.8500385475038</v>
      </c>
      <c r="FS5" s="30">
        <f>+Tarifas!GI7</f>
        <v>1168.8500385475038</v>
      </c>
      <c r="FT5" s="30">
        <f>+Tarifas!GJ7</f>
        <v>1168.8500385475038</v>
      </c>
      <c r="FU5" s="30">
        <f>+Tarifas!GK7</f>
        <v>1168.8500385475038</v>
      </c>
      <c r="FV5" s="30">
        <f>+Tarifas!GL7</f>
        <v>1427.1284054007979</v>
      </c>
      <c r="FW5" s="30">
        <f>+Tarifas!GM7</f>
        <v>1427.0679018118037</v>
      </c>
      <c r="FX5" s="30">
        <f>+Tarifas!GN7</f>
        <v>1427.0679018118037</v>
      </c>
      <c r="FY5" s="30">
        <f>+Tarifas!GO7</f>
        <v>1419.0511762700717</v>
      </c>
      <c r="FZ5" s="30">
        <f>+Tarifas!GP7</f>
        <v>1339.715845201421</v>
      </c>
      <c r="GA5" s="30">
        <f>+Tarifas!GQ7</f>
        <v>1339.7007193041729</v>
      </c>
      <c r="GB5" s="30">
        <f>+Tarifas!GR7</f>
        <v>1202.5088312598141</v>
      </c>
      <c r="GC5" s="30">
        <f>+Tarifas!GS7</f>
        <v>1202.5088312598141</v>
      </c>
      <c r="GD5" s="30">
        <f>+Tarifas!GT7</f>
        <v>1203.915539703929</v>
      </c>
      <c r="GE5" s="30">
        <f>+Tarifas!GU7</f>
        <v>1203.915539703929</v>
      </c>
      <c r="GF5" s="30">
        <f>+Tarifas!GV7</f>
        <v>1203.915539703929</v>
      </c>
      <c r="GG5" s="30">
        <f>+Tarifas!GW7</f>
        <v>1203.915539703929</v>
      </c>
      <c r="GH5" s="30">
        <f>+Tarifas!GX7</f>
        <v>1469.9422575628219</v>
      </c>
      <c r="GI5" s="30">
        <f>+Tarifas!GY7</f>
        <v>1469.8799388661578</v>
      </c>
      <c r="GJ5" s="30">
        <f>+Tarifas!GZ7</f>
        <v>1469.8799388661578</v>
      </c>
      <c r="GK5" s="30">
        <f>+Tarifas!HA7</f>
        <v>1461.6227115581739</v>
      </c>
      <c r="GL5" s="30">
        <f>+Tarifas!HB7</f>
        <v>1379.9073205574637</v>
      </c>
      <c r="GM5" s="30">
        <f>+Tarifas!HC7</f>
        <v>1379.8917408832981</v>
      </c>
      <c r="GN5" s="30">
        <f>+Tarifas!HD7</f>
        <v>1238.5840961976085</v>
      </c>
      <c r="GO5" s="30">
        <f>+Tarifas!HE7</f>
        <v>1238.5840961976085</v>
      </c>
      <c r="GP5" s="30">
        <f>+Tarifas!HF7</f>
        <v>1240.0330058950469</v>
      </c>
      <c r="GQ5" s="30">
        <f>+Tarifas!HG7</f>
        <v>1240.0330058950469</v>
      </c>
      <c r="GR5" s="30">
        <f>+Tarifas!HH7</f>
        <v>1240.0330058950469</v>
      </c>
      <c r="GS5" s="30">
        <f>+Tarifas!HI7</f>
        <v>1240.0330058950469</v>
      </c>
      <c r="GT5" s="30">
        <f>+Tarifas!HJ7</f>
        <v>1514.0405252897065</v>
      </c>
      <c r="GU5" s="30">
        <f>+Tarifas!HK7</f>
        <v>1513.9763370321425</v>
      </c>
      <c r="GV5" s="30">
        <f>+Tarifas!HL7</f>
        <v>1513.9763370321425</v>
      </c>
      <c r="GW5" s="30">
        <f>+Tarifas!HM7</f>
        <v>1505.4713929049192</v>
      </c>
      <c r="GX5" s="30">
        <f>+Tarifas!HN7</f>
        <v>1421.3045401741877</v>
      </c>
      <c r="GY5" s="30">
        <f>+Tarifas!HO7</f>
        <v>1421.2884931097972</v>
      </c>
      <c r="GZ5" s="30">
        <f>+Tarifas!HP7</f>
        <v>1275.7416190835368</v>
      </c>
      <c r="HA5" s="30">
        <f>+Tarifas!HQ7</f>
        <v>1275.7416190835368</v>
      </c>
      <c r="HB5" s="30">
        <f>+Tarifas!HR7</f>
        <v>1277.2339960718984</v>
      </c>
      <c r="HC5" s="30">
        <f>+Tarifas!HS7</f>
        <v>1277.2339960718984</v>
      </c>
      <c r="HD5" s="30">
        <f>+Tarifas!HT7</f>
        <v>1277.2339960718984</v>
      </c>
      <c r="HE5" s="30">
        <f>+Tarifas!HU7</f>
        <v>1277.2339960718984</v>
      </c>
      <c r="HF5" s="30">
        <f>+Tarifas!HV7</f>
        <v>1559.4617410483977</v>
      </c>
      <c r="HG5" s="30">
        <f>+Tarifas!HW7</f>
        <v>1559.3956271431068</v>
      </c>
      <c r="HH5" s="30">
        <f>+Tarifas!HX7</f>
        <v>1559.3956271431068</v>
      </c>
      <c r="HI5" s="30">
        <f>+Tarifas!HY7</f>
        <v>1550.6355346920668</v>
      </c>
      <c r="HJ5" s="30">
        <f>+Tarifas!HZ7</f>
        <v>1463.9436763794133</v>
      </c>
      <c r="HK5" s="30">
        <f>+Tarifas!IA7</f>
        <v>1463.9271479030911</v>
      </c>
      <c r="HL5" s="30">
        <f>+Tarifas!IB7</f>
        <v>1314.013867656043</v>
      </c>
      <c r="HM5" s="30">
        <f>+Tarifas!IC7</f>
        <v>1314.013867656043</v>
      </c>
      <c r="HN5" s="30">
        <f>+Tarifas!ID7</f>
        <v>1315.5510159540554</v>
      </c>
      <c r="HO5" s="30">
        <f>+Tarifas!IE7</f>
        <v>1315.5510159540554</v>
      </c>
      <c r="HP5" s="30">
        <f>+Tarifas!IF7</f>
        <v>1315.5510159540554</v>
      </c>
      <c r="HQ5" s="30">
        <f>+Tarifas!IG7</f>
        <v>1315.5510159540554</v>
      </c>
      <c r="HR5" s="30">
        <f>+Tarifas!IH7</f>
        <v>1606.2455932798496</v>
      </c>
      <c r="HS5" s="30">
        <f>+Tarifas!II7</f>
        <v>1606.1774959574</v>
      </c>
      <c r="HT5" s="30">
        <f>+Tarifas!IJ7</f>
        <v>1606.1774959574</v>
      </c>
      <c r="HU5" s="30">
        <f>+Tarifas!IK7</f>
        <v>1597.1546007328288</v>
      </c>
      <c r="HV5" s="30">
        <f>+Tarifas!IL7</f>
        <v>1507.8619866707957</v>
      </c>
      <c r="HW5" s="30">
        <f>+Tarifas!IM7</f>
        <v>1507.8449623401839</v>
      </c>
      <c r="HX5" s="30">
        <f>+Tarifas!IN7</f>
        <v>1353.4342836857243</v>
      </c>
      <c r="HY5" s="30">
        <f>+Tarifas!IO7</f>
        <v>1353.4342836857243</v>
      </c>
      <c r="HZ5" s="30">
        <f>+Tarifas!IP7</f>
        <v>1355.0175464326771</v>
      </c>
      <c r="IA5" s="30">
        <f>+Tarifas!IQ7</f>
        <v>1355.0175464326771</v>
      </c>
      <c r="IB5" s="30">
        <f>+Tarifas!IR7</f>
        <v>1355.0175464326771</v>
      </c>
      <c r="IC5" s="30">
        <f>+Tarifas!IS7</f>
        <v>1355.0175464326771</v>
      </c>
      <c r="ID5" s="30">
        <f>+Tarifas!IT7</f>
        <v>1654.4329610782452</v>
      </c>
      <c r="IE5" s="30">
        <f>+Tarifas!IU7</f>
        <v>1654.362820836122</v>
      </c>
      <c r="IF5" s="30">
        <f>+Tarifas!IV7</f>
        <v>1654.362820836122</v>
      </c>
      <c r="IG5" s="30">
        <f>+Tarifas!IW7</f>
        <v>1645.0692387548138</v>
      </c>
      <c r="IH5" s="30">
        <f>+Tarifas!IX7</f>
        <v>1553.0978462709195</v>
      </c>
    </row>
    <row r="6" spans="1:242" x14ac:dyDescent="0.3">
      <c r="A6" t="s">
        <v>885</v>
      </c>
      <c r="C6" s="30">
        <f>+Tarifas!S8</f>
        <v>125.95</v>
      </c>
      <c r="D6" s="30">
        <f>+Tarifas!T8</f>
        <v>128.91999999999999</v>
      </c>
      <c r="E6" s="30">
        <f>+Tarifas!U8</f>
        <v>135.29</v>
      </c>
      <c r="F6" s="30">
        <f>+Tarifas!V8</f>
        <v>139</v>
      </c>
      <c r="G6" s="30">
        <f>+Tarifas!W8</f>
        <v>147.13</v>
      </c>
      <c r="H6" s="30">
        <f>+Tarifas!X8</f>
        <v>154.19999999999999</v>
      </c>
      <c r="I6" s="69">
        <f>+Tarifas!Y8</f>
        <v>159.19</v>
      </c>
      <c r="J6" s="30">
        <f>+Tarifas!Z8</f>
        <v>156.6</v>
      </c>
      <c r="K6" s="30">
        <f>+Tarifas!AA8</f>
        <v>160.06</v>
      </c>
      <c r="L6" s="30">
        <f>+Tarifas!AB8</f>
        <v>154.88999999999999</v>
      </c>
      <c r="M6" s="30">
        <f>+Tarifas!AC8</f>
        <v>153.61000000000001</v>
      </c>
      <c r="N6" s="30">
        <f>+Tarifas!AD8</f>
        <v>151.97</v>
      </c>
      <c r="O6" s="30">
        <f>+Tarifas!AE8</f>
        <v>132.69999999999999</v>
      </c>
      <c r="P6" s="30">
        <f>+Tarifas!AF8</f>
        <v>133.16</v>
      </c>
      <c r="Q6" s="30">
        <f>+Tarifas!AG8</f>
        <v>121.2</v>
      </c>
      <c r="R6" s="30">
        <f>+Tarifas!AH8</f>
        <v>119.83</v>
      </c>
      <c r="S6" s="30">
        <f>+Tarifas!AI8</f>
        <v>151.54390000000001</v>
      </c>
      <c r="T6" s="30">
        <f>+Tarifas!AJ8</f>
        <v>158.82599999999999</v>
      </c>
      <c r="U6" s="30">
        <f>+Tarifas!AK8</f>
        <v>163.9657</v>
      </c>
      <c r="V6" s="30">
        <f>+Tarifas!AL8</f>
        <v>161.298</v>
      </c>
      <c r="W6" s="30">
        <f>+Tarifas!AM8</f>
        <v>164.86180000000002</v>
      </c>
      <c r="X6" s="30">
        <f>+Tarifas!AN8</f>
        <v>159.5367</v>
      </c>
      <c r="Y6" s="30">
        <f>+Tarifas!AO8</f>
        <v>158.21830000000003</v>
      </c>
      <c r="Z6" s="30">
        <f>+Tarifas!AP8</f>
        <v>156.5291</v>
      </c>
      <c r="AA6" s="30">
        <f>+Tarifas!AQ8</f>
        <v>136.68099999999998</v>
      </c>
      <c r="AB6" s="30">
        <f>+Tarifas!AR8</f>
        <v>137.15479999999999</v>
      </c>
      <c r="AC6" s="30">
        <f>+Tarifas!AS8</f>
        <v>124.83600000000001</v>
      </c>
      <c r="AD6" s="30">
        <f>+Tarifas!AT8</f>
        <v>123.42490000000001</v>
      </c>
      <c r="AE6" s="30">
        <f>+Tarifas!AU8</f>
        <v>156.09021700000002</v>
      </c>
      <c r="AF6" s="30">
        <f>+Tarifas!AV8</f>
        <v>163.59078</v>
      </c>
      <c r="AG6" s="30">
        <f>+Tarifas!AW8</f>
        <v>168.884671</v>
      </c>
      <c r="AH6" s="30">
        <f>+Tarifas!AX8</f>
        <v>166.13694000000001</v>
      </c>
      <c r="AI6" s="30">
        <f>+Tarifas!AY8</f>
        <v>169.80765400000001</v>
      </c>
      <c r="AJ6" s="30">
        <f>+Tarifas!AZ8</f>
        <v>164.322801</v>
      </c>
      <c r="AK6" s="30">
        <f>+Tarifas!BA8</f>
        <v>162.96484900000004</v>
      </c>
      <c r="AL6" s="30">
        <f>+Tarifas!BB8</f>
        <v>161.22497300000001</v>
      </c>
      <c r="AM6" s="30">
        <f>+Tarifas!BC8</f>
        <v>140.78143</v>
      </c>
      <c r="AN6" s="30">
        <f>+Tarifas!BD8</f>
        <v>141.26944399999999</v>
      </c>
      <c r="AO6" s="30">
        <f>+Tarifas!BE8</f>
        <v>128.58108000000001</v>
      </c>
      <c r="AP6" s="30">
        <f>+Tarifas!BF8</f>
        <v>127.12764700000001</v>
      </c>
      <c r="AQ6" s="30">
        <f>+Tarifas!BG8</f>
        <v>160.77292351000003</v>
      </c>
      <c r="AR6" s="30">
        <f>+Tarifas!BH8</f>
        <v>168.4985034</v>
      </c>
      <c r="AS6" s="30">
        <f>+Tarifas!BI8</f>
        <v>173.95121112999999</v>
      </c>
      <c r="AT6" s="30">
        <f>+Tarifas!BJ8</f>
        <v>171.12104820000002</v>
      </c>
      <c r="AU6" s="30">
        <f>+Tarifas!BK8</f>
        <v>174.90188362000001</v>
      </c>
      <c r="AV6" s="30">
        <f>+Tarifas!BL8</f>
        <v>169.25248503</v>
      </c>
      <c r="AW6" s="30">
        <f>+Tarifas!BM8</f>
        <v>167.85379447000005</v>
      </c>
      <c r="AX6" s="30">
        <f>+Tarifas!BN8</f>
        <v>166.06172219000001</v>
      </c>
      <c r="AY6" s="30">
        <f>+Tarifas!BO8</f>
        <v>145.00487290000001</v>
      </c>
      <c r="AZ6" s="30">
        <f>+Tarifas!BP8</f>
        <v>145.50752732000001</v>
      </c>
      <c r="BA6" s="30">
        <f>+Tarifas!BQ8</f>
        <v>132.43851240000001</v>
      </c>
      <c r="BB6" s="30">
        <f>+Tarifas!BR8</f>
        <v>130.94147641000001</v>
      </c>
      <c r="BC6" s="30">
        <f>+Tarifas!BS8</f>
        <v>165.59611121530003</v>
      </c>
      <c r="BD6" s="30">
        <f>+Tarifas!BT8</f>
        <v>173.55345850200001</v>
      </c>
      <c r="BE6" s="30">
        <f>+Tarifas!BU8</f>
        <v>179.16974746389999</v>
      </c>
      <c r="BF6" s="30">
        <f>+Tarifas!BV8</f>
        <v>176.25467964600003</v>
      </c>
      <c r="BG6" s="30">
        <f>+Tarifas!BW8</f>
        <v>180.1489401286</v>
      </c>
      <c r="BH6" s="30">
        <f>+Tarifas!BX8</f>
        <v>174.33005958090001</v>
      </c>
      <c r="BI6" s="30">
        <f>+Tarifas!BY8</f>
        <v>172.88940830410007</v>
      </c>
      <c r="BJ6" s="30">
        <f>+Tarifas!BZ8</f>
        <v>171.0435738557</v>
      </c>
      <c r="BK6" s="30">
        <f>+Tarifas!CA8</f>
        <v>149.35501908700002</v>
      </c>
      <c r="BL6" s="30">
        <f>+Tarifas!CB8</f>
        <v>149.87275313960001</v>
      </c>
      <c r="BM6" s="30">
        <f>+Tarifas!CC8</f>
        <v>136.41166777200002</v>
      </c>
      <c r="BN6" s="30">
        <f>+Tarifas!CD8</f>
        <v>134.86972070230001</v>
      </c>
      <c r="BO6" s="30">
        <f>+Tarifas!CE8</f>
        <v>170.56399455175904</v>
      </c>
      <c r="BP6" s="30">
        <f>+Tarifas!CF8</f>
        <v>178.76006225706001</v>
      </c>
      <c r="BQ6" s="30">
        <f>+Tarifas!CG8</f>
        <v>184.54483988781701</v>
      </c>
      <c r="BR6" s="30">
        <f>+Tarifas!CH8</f>
        <v>181.54232003538004</v>
      </c>
      <c r="BS6" s="30">
        <f>+Tarifas!CI8</f>
        <v>185.55340833245802</v>
      </c>
      <c r="BT6" s="30">
        <f>+Tarifas!CJ8</f>
        <v>179.55996136832701</v>
      </c>
      <c r="BU6" s="30">
        <f>+Tarifas!CK8</f>
        <v>178.07609055322308</v>
      </c>
      <c r="BV6" s="30">
        <f>+Tarifas!CL8</f>
        <v>176.174881071371</v>
      </c>
      <c r="BW6" s="30">
        <f>+Tarifas!CM8</f>
        <v>153.83566965961003</v>
      </c>
      <c r="BX6" s="30">
        <f>+Tarifas!CN8</f>
        <v>154.36893573378802</v>
      </c>
      <c r="BY6" s="30">
        <f>+Tarifas!CO8</f>
        <v>140.50401780516003</v>
      </c>
      <c r="BZ6" s="30">
        <f>+Tarifas!CP8</f>
        <v>138.91581232336901</v>
      </c>
      <c r="CA6" s="30">
        <f>+Tarifas!CQ8</f>
        <v>175.68091438831181</v>
      </c>
      <c r="CB6" s="30">
        <f>+Tarifas!CR8</f>
        <v>184.12286412477181</v>
      </c>
      <c r="CC6" s="30">
        <f>+Tarifas!CS8</f>
        <v>190.08118508445153</v>
      </c>
      <c r="CD6" s="30">
        <f>+Tarifas!CT8</f>
        <v>186.98858963644145</v>
      </c>
      <c r="CE6" s="30">
        <f>+Tarifas!CU8</f>
        <v>191.12001058243177</v>
      </c>
      <c r="CF6" s="30">
        <f>+Tarifas!CV8</f>
        <v>184.94676020937683</v>
      </c>
      <c r="CG6" s="30">
        <f>+Tarifas!CW8</f>
        <v>183.41837326981977</v>
      </c>
      <c r="CH6" s="30">
        <f>+Tarifas!CX8</f>
        <v>181.46012750351213</v>
      </c>
      <c r="CI6" s="30">
        <f>+Tarifas!CY8</f>
        <v>158.45073974939834</v>
      </c>
      <c r="CJ6" s="30">
        <f>+Tarifas!CZ8</f>
        <v>159.00000380580167</v>
      </c>
      <c r="CK6" s="30">
        <f>+Tarifas!DA8</f>
        <v>144.71913833931484</v>
      </c>
      <c r="CL6" s="30">
        <f>+Tarifas!DB8</f>
        <v>143.08328669307008</v>
      </c>
      <c r="CM6" s="30">
        <f>+Tarifas!DC8</f>
        <v>180.95134181996116</v>
      </c>
      <c r="CN6" s="30">
        <f>+Tarifas!DD8</f>
        <v>189.64655004851497</v>
      </c>
      <c r="CO6" s="30">
        <f>+Tarifas!DE8</f>
        <v>195.78362063698509</v>
      </c>
      <c r="CP6" s="30">
        <f>+Tarifas!DF8</f>
        <v>192.59824732553469</v>
      </c>
      <c r="CQ6" s="30">
        <f>+Tarifas!DG8</f>
        <v>196.85361089990474</v>
      </c>
      <c r="CR6" s="30">
        <f>+Tarifas!DH8</f>
        <v>190.49516301565814</v>
      </c>
      <c r="CS6" s="30">
        <f>+Tarifas!DI8</f>
        <v>188.92092446791438</v>
      </c>
      <c r="CT6" s="30">
        <f>+Tarifas!DJ8</f>
        <v>186.90393132861749</v>
      </c>
      <c r="CU6" s="30">
        <f>+Tarifas!DK8</f>
        <v>163.2042619418803</v>
      </c>
      <c r="CV6" s="30">
        <f>+Tarifas!DL8</f>
        <v>163.77000391997572</v>
      </c>
      <c r="CW6" s="30">
        <f>+Tarifas!DM8</f>
        <v>149.06071248949428</v>
      </c>
      <c r="CX6" s="30">
        <f>+Tarifas!DN8</f>
        <v>147.37578529386218</v>
      </c>
      <c r="CY6" s="30">
        <f>+Tarifas!DO8</f>
        <v>186.37988207455999</v>
      </c>
      <c r="CZ6" s="30">
        <f>+Tarifas!DP8</f>
        <v>195.33594654997043</v>
      </c>
      <c r="DA6" s="30">
        <f>+Tarifas!DQ8</f>
        <v>201.65712925609466</v>
      </c>
      <c r="DB6" s="30">
        <f>+Tarifas!DR8</f>
        <v>198.37619474530072</v>
      </c>
      <c r="DC6" s="30">
        <f>+Tarifas!DS8</f>
        <v>202.75921922690188</v>
      </c>
      <c r="DD6" s="30">
        <f>+Tarifas!DT8</f>
        <v>196.21001790612789</v>
      </c>
      <c r="DE6" s="30">
        <f>+Tarifas!DU8</f>
        <v>194.58855220195181</v>
      </c>
      <c r="DF6" s="30">
        <f>+Tarifas!DV8</f>
        <v>192.51104926847603</v>
      </c>
      <c r="DG6" s="30">
        <f>+Tarifas!DW8</f>
        <v>168.10038980013672</v>
      </c>
      <c r="DH6" s="30">
        <f>+Tarifas!DX8</f>
        <v>168.68310403757499</v>
      </c>
      <c r="DI6" s="30">
        <f>+Tarifas!DY8</f>
        <v>153.5325338641791</v>
      </c>
      <c r="DJ6" s="30">
        <f>+Tarifas!DZ8</f>
        <v>151.79705885267805</v>
      </c>
      <c r="DK6" s="30">
        <f>+Tarifas!EA8</f>
        <v>191.9712785367968</v>
      </c>
      <c r="DL6" s="30">
        <f>+Tarifas!EB8</f>
        <v>201.19602494646955</v>
      </c>
      <c r="DM6" s="30">
        <f>+Tarifas!EC8</f>
        <v>207.70684313377751</v>
      </c>
      <c r="DN6" s="30">
        <f>+Tarifas!ED8</f>
        <v>204.32748058765975</v>
      </c>
      <c r="DO6" s="30">
        <f>+Tarifas!EE8</f>
        <v>208.84199580370893</v>
      </c>
      <c r="DP6" s="30">
        <f>+Tarifas!EF8</f>
        <v>202.09631844331173</v>
      </c>
      <c r="DQ6" s="30">
        <f>+Tarifas!EG8</f>
        <v>200.42620876801038</v>
      </c>
      <c r="DR6" s="30">
        <f>+Tarifas!EH8</f>
        <v>198.28638074653031</v>
      </c>
      <c r="DS6" s="30">
        <f>+Tarifas!EI8</f>
        <v>173.14340149414082</v>
      </c>
      <c r="DT6" s="30">
        <f>+Tarifas!EJ8</f>
        <v>173.74359715870224</v>
      </c>
      <c r="DU6" s="30">
        <f>+Tarifas!EK8</f>
        <v>158.13850988010446</v>
      </c>
      <c r="DV6" s="30">
        <f>+Tarifas!EL8</f>
        <v>156.3509706182584</v>
      </c>
      <c r="DW6" s="30">
        <f>+Tarifas!EM8</f>
        <v>197.73041689290071</v>
      </c>
      <c r="DX6" s="30">
        <f>+Tarifas!EN8</f>
        <v>207.23190569486363</v>
      </c>
      <c r="DY6" s="30">
        <f>+Tarifas!EO8</f>
        <v>213.93804842779085</v>
      </c>
      <c r="DZ6" s="30">
        <f>+Tarifas!EP8</f>
        <v>210.45730500528956</v>
      </c>
      <c r="EA6" s="30">
        <f>+Tarifas!EQ8</f>
        <v>215.10725567782021</v>
      </c>
      <c r="EB6" s="30">
        <f>+Tarifas!ER8</f>
        <v>208.15920799661109</v>
      </c>
      <c r="EC6" s="30">
        <f>+Tarifas!ES8</f>
        <v>206.43899503105069</v>
      </c>
      <c r="ED6" s="30">
        <f>+Tarifas!ET8</f>
        <v>204.23497216892622</v>
      </c>
      <c r="EE6" s="30">
        <f>+Tarifas!EU8</f>
        <v>178.33770353896506</v>
      </c>
      <c r="EF6" s="30">
        <f>+Tarifas!EV8</f>
        <v>178.95590507346333</v>
      </c>
      <c r="EG6" s="30">
        <f>+Tarifas!EW8</f>
        <v>162.8826651765076</v>
      </c>
      <c r="EH6" s="30">
        <f>+Tarifas!EX8</f>
        <v>161.04149973680614</v>
      </c>
      <c r="EI6" s="30">
        <f>+Tarifas!EY8</f>
        <v>203.66232939968774</v>
      </c>
      <c r="EJ6" s="30">
        <f>+Tarifas!EZ8</f>
        <v>213.44886286570954</v>
      </c>
      <c r="EK6" s="30">
        <f>+Tarifas!FA8</f>
        <v>220.35618988062458</v>
      </c>
      <c r="EL6" s="30">
        <f>+Tarifas!FB8</f>
        <v>216.77102415544826</v>
      </c>
      <c r="EM6" s="30">
        <f>+Tarifas!FC8</f>
        <v>221.56047334815483</v>
      </c>
      <c r="EN6" s="30">
        <f>+Tarifas!FD8</f>
        <v>214.40398423650942</v>
      </c>
      <c r="EO6" s="30">
        <f>+Tarifas!FE8</f>
        <v>212.63216488198222</v>
      </c>
      <c r="EP6" s="30">
        <f>+Tarifas!FF8</f>
        <v>210.36202133399402</v>
      </c>
      <c r="EQ6" s="30">
        <f>+Tarifas!FG8</f>
        <v>183.68783464513402</v>
      </c>
      <c r="ER6" s="30">
        <f>+Tarifas!FH8</f>
        <v>184.32458222566723</v>
      </c>
      <c r="ES6" s="30">
        <f>+Tarifas!FI8</f>
        <v>167.76914513180284</v>
      </c>
      <c r="ET6" s="30">
        <f>+Tarifas!FJ8</f>
        <v>165.87274472891033</v>
      </c>
      <c r="EU6" s="30">
        <f>+Tarifas!FK8</f>
        <v>209.77219928167838</v>
      </c>
      <c r="EV6" s="30">
        <f>+Tarifas!FL8</f>
        <v>219.85232875168083</v>
      </c>
      <c r="EW6" s="30">
        <f>+Tarifas!FM8</f>
        <v>226.96687557704334</v>
      </c>
      <c r="EX6" s="30">
        <f>+Tarifas!FN8</f>
        <v>223.27415488011172</v>
      </c>
      <c r="EY6" s="30">
        <f>+Tarifas!FO8</f>
        <v>228.20728754859948</v>
      </c>
      <c r="EZ6" s="30">
        <f>+Tarifas!FP8</f>
        <v>220.83610376360471</v>
      </c>
      <c r="FA6" s="30">
        <f>+Tarifas!FQ8</f>
        <v>219.01112982844168</v>
      </c>
      <c r="FB6" s="30">
        <f>+Tarifas!FR8</f>
        <v>216.67288197401385</v>
      </c>
      <c r="FC6" s="30">
        <f>+Tarifas!FS8</f>
        <v>189.19846968448803</v>
      </c>
      <c r="FD6" s="30">
        <f>+Tarifas!FT8</f>
        <v>189.85431969243726</v>
      </c>
      <c r="FE6" s="30">
        <f>+Tarifas!FU8</f>
        <v>172.80221948575692</v>
      </c>
      <c r="FF6" s="30">
        <f>+Tarifas!FV8</f>
        <v>170.84892707077765</v>
      </c>
      <c r="FG6" s="30">
        <f>+Tarifas!FW8</f>
        <v>216.06536526012874</v>
      </c>
      <c r="FH6" s="30">
        <f>+Tarifas!FX8</f>
        <v>226.44789861423126</v>
      </c>
      <c r="FI6" s="30">
        <f>+Tarifas!FY8</f>
        <v>233.77588184435464</v>
      </c>
      <c r="FJ6" s="30">
        <f>+Tarifas!FZ8</f>
        <v>229.97237952651508</v>
      </c>
      <c r="FK6" s="30">
        <f>+Tarifas!GA8</f>
        <v>235.05350617505746</v>
      </c>
      <c r="FL6" s="30">
        <f>+Tarifas!GB8</f>
        <v>227.46118687651287</v>
      </c>
      <c r="FM6" s="30">
        <f>+Tarifas!GC8</f>
        <v>225.58146372329495</v>
      </c>
      <c r="FN6" s="30">
        <f>+Tarifas!GD8</f>
        <v>223.17306843323428</v>
      </c>
      <c r="FO6" s="30">
        <f>+Tarifas!GE8</f>
        <v>194.87442377502268</v>
      </c>
      <c r="FP6" s="30">
        <f>+Tarifas!GF8</f>
        <v>195.54994928321037</v>
      </c>
      <c r="FQ6" s="30">
        <f>+Tarifas!GG8</f>
        <v>177.98628607032964</v>
      </c>
      <c r="FR6" s="30">
        <f>+Tarifas!GH8</f>
        <v>175.97439488290098</v>
      </c>
      <c r="FS6" s="30">
        <f>+Tarifas!GI8</f>
        <v>222.54732621793261</v>
      </c>
      <c r="FT6" s="30">
        <f>+Tarifas!GJ8</f>
        <v>233.24133557265822</v>
      </c>
      <c r="FU6" s="30">
        <f>+Tarifas!GK8</f>
        <v>240.78915829968528</v>
      </c>
      <c r="FV6" s="30">
        <f>+Tarifas!GL8</f>
        <v>236.87155091231054</v>
      </c>
      <c r="FW6" s="30">
        <f>+Tarifas!GM8</f>
        <v>242.10511136030919</v>
      </c>
      <c r="FX6" s="30">
        <f>+Tarifas!GN8</f>
        <v>234.28502248280827</v>
      </c>
      <c r="FY6" s="30">
        <f>+Tarifas!GO8</f>
        <v>232.34890763499379</v>
      </c>
      <c r="FZ6" s="30">
        <f>+Tarifas!GP8</f>
        <v>229.86826048623132</v>
      </c>
      <c r="GA6" s="30">
        <f>+Tarifas!GQ8</f>
        <v>200.72065648827336</v>
      </c>
      <c r="GB6" s="30">
        <f>+Tarifas!GR8</f>
        <v>201.41644776170668</v>
      </c>
      <c r="GC6" s="30">
        <f>+Tarifas!GS8</f>
        <v>183.32587465243952</v>
      </c>
      <c r="GD6" s="30">
        <f>+Tarifas!GT8</f>
        <v>181.253626729388</v>
      </c>
      <c r="GE6" s="30">
        <f>+Tarifas!GU8</f>
        <v>229.2237460044706</v>
      </c>
      <c r="GF6" s="30">
        <f>+Tarifas!GV8</f>
        <v>240.23857563983796</v>
      </c>
      <c r="GG6" s="30">
        <f>+Tarifas!GW8</f>
        <v>248.01283304867584</v>
      </c>
      <c r="GH6" s="30">
        <f>+Tarifas!GX8</f>
        <v>243.97769743967987</v>
      </c>
      <c r="GI6" s="30">
        <f>+Tarifas!GY8</f>
        <v>249.36826470111848</v>
      </c>
      <c r="GJ6" s="30">
        <f>+Tarifas!GZ8</f>
        <v>241.31357315729252</v>
      </c>
      <c r="GK6" s="30">
        <f>+Tarifas!HA8</f>
        <v>239.31937486404362</v>
      </c>
      <c r="GL6" s="30">
        <f>+Tarifas!HB8</f>
        <v>236.76430830081827</v>
      </c>
      <c r="GM6" s="30">
        <f>+Tarifas!HC8</f>
        <v>206.74227618292156</v>
      </c>
      <c r="GN6" s="30">
        <f>+Tarifas!HD8</f>
        <v>207.45894119455789</v>
      </c>
      <c r="GO6" s="30">
        <f>+Tarifas!HE8</f>
        <v>188.8256508920127</v>
      </c>
      <c r="GP6" s="30">
        <f>+Tarifas!HF8</f>
        <v>186.69123553126965</v>
      </c>
      <c r="GQ6" s="30">
        <f>+Tarifas!HG8</f>
        <v>236.10045838460474</v>
      </c>
      <c r="GR6" s="30">
        <f>+Tarifas!HH8</f>
        <v>247.4457329090331</v>
      </c>
      <c r="GS6" s="30">
        <f>+Tarifas!HI8</f>
        <v>255.45321804013614</v>
      </c>
      <c r="GT6" s="30">
        <f>+Tarifas!HJ8</f>
        <v>251.29702836287026</v>
      </c>
      <c r="GU6" s="30">
        <f>+Tarifas!HK8</f>
        <v>256.84931264215203</v>
      </c>
      <c r="GV6" s="30">
        <f>+Tarifas!HL8</f>
        <v>248.5529803520113</v>
      </c>
      <c r="GW6" s="30">
        <f>+Tarifas!HM8</f>
        <v>246.49895610996495</v>
      </c>
      <c r="GX6" s="30">
        <f>+Tarifas!HN8</f>
        <v>243.86723754984283</v>
      </c>
      <c r="GY6" s="30">
        <f>+Tarifas!HO8</f>
        <v>212.94454446840922</v>
      </c>
      <c r="GZ6" s="30">
        <f>+Tarifas!HP8</f>
        <v>213.68270943039462</v>
      </c>
      <c r="HA6" s="30">
        <f>+Tarifas!HQ8</f>
        <v>194.49042041877308</v>
      </c>
      <c r="HB6" s="30">
        <f>+Tarifas!HR8</f>
        <v>192.29197259720775</v>
      </c>
      <c r="HC6" s="30">
        <f>+Tarifas!HS8</f>
        <v>243.18347213614288</v>
      </c>
      <c r="HD6" s="30">
        <f>+Tarifas!HT8</f>
        <v>254.86910489630409</v>
      </c>
      <c r="HE6" s="30">
        <f>+Tarifas!HU8</f>
        <v>263.11681458134024</v>
      </c>
      <c r="HF6" s="30">
        <f>+Tarifas!HV8</f>
        <v>258.83593921375638</v>
      </c>
      <c r="HG6" s="30">
        <f>+Tarifas!HW8</f>
        <v>264.55479202141657</v>
      </c>
      <c r="HH6" s="30">
        <f>+Tarifas!HX8</f>
        <v>256.00956976257163</v>
      </c>
      <c r="HI6" s="30">
        <f>+Tarifas!HY8</f>
        <v>253.89392479326389</v>
      </c>
      <c r="HJ6" s="30">
        <f>+Tarifas!HZ8</f>
        <v>251.18325467633812</v>
      </c>
      <c r="HK6" s="30">
        <f>+Tarifas!IA8</f>
        <v>219.33288080246149</v>
      </c>
      <c r="HL6" s="30">
        <f>+Tarifas!IB8</f>
        <v>220.09319071330646</v>
      </c>
      <c r="HM6" s="30">
        <f>+Tarifas!IC8</f>
        <v>200.32513303133629</v>
      </c>
      <c r="HN6" s="30">
        <f>+Tarifas!ID8</f>
        <v>198.060731775124</v>
      </c>
      <c r="HO6" s="30">
        <f>+Tarifas!IE8</f>
        <v>250.47897630022717</v>
      </c>
      <c r="HP6" s="30">
        <f>+Tarifas!IF8</f>
        <v>262.5151780431932</v>
      </c>
      <c r="HQ6" s="30">
        <f>+Tarifas!IG8</f>
        <v>271.01031901878048</v>
      </c>
      <c r="HR6" s="30">
        <f>+Tarifas!IH8</f>
        <v>266.60101739016909</v>
      </c>
      <c r="HS6" s="30">
        <f>+Tarifas!II8</f>
        <v>272.49143578205906</v>
      </c>
      <c r="HT6" s="30">
        <f>+Tarifas!IJ8</f>
        <v>263.6898568554488</v>
      </c>
      <c r="HU6" s="30">
        <f>+Tarifas!IK8</f>
        <v>261.51074253706179</v>
      </c>
      <c r="HV6" s="30">
        <f>+Tarifas!IL8</f>
        <v>258.7187523166283</v>
      </c>
      <c r="HW6" s="30">
        <f>+Tarifas!IM8</f>
        <v>225.91286722653533</v>
      </c>
      <c r="HX6" s="30">
        <f>+Tarifas!IN8</f>
        <v>226.69598643470565</v>
      </c>
      <c r="HY6" s="30">
        <f>+Tarifas!IO8</f>
        <v>206.33488702227638</v>
      </c>
      <c r="HZ6" s="30">
        <f>+Tarifas!IP8</f>
        <v>204.00255372837773</v>
      </c>
      <c r="IA6" s="30">
        <f>+Tarifas!IQ8</f>
        <v>257.99334558923397</v>
      </c>
      <c r="IB6" s="30">
        <f>+Tarifas!IR8</f>
        <v>270.39063338448898</v>
      </c>
      <c r="IC6" s="30">
        <f>+Tarifas!IS8</f>
        <v>279.14062858934392</v>
      </c>
      <c r="ID6" s="30">
        <f>+Tarifas!IT8</f>
        <v>274.59904791187415</v>
      </c>
      <c r="IE6" s="30">
        <f>+Tarifas!IU8</f>
        <v>280.66617885552085</v>
      </c>
      <c r="IF6" s="30">
        <f>+Tarifas!IV8</f>
        <v>271.60055256111224</v>
      </c>
      <c r="IG6" s="30">
        <f>+Tarifas!IW8</f>
        <v>269.35606481317365</v>
      </c>
      <c r="IH6" s="30">
        <f>+Tarifas!IX8</f>
        <v>266.48031488612713</v>
      </c>
    </row>
    <row r="7" spans="1:242" x14ac:dyDescent="0.3">
      <c r="A7" t="s">
        <v>907</v>
      </c>
      <c r="C7" s="30">
        <f>+Tarifas!U49</f>
        <v>0</v>
      </c>
      <c r="D7" s="30">
        <f>+Tarifas!V49</f>
        <v>0</v>
      </c>
      <c r="E7" s="30">
        <f>+Tarifas!W49</f>
        <v>0</v>
      </c>
      <c r="F7" s="30">
        <f>+Tarifas!X49</f>
        <v>0</v>
      </c>
      <c r="G7" s="30">
        <f>+Tarifas!Y49</f>
        <v>0</v>
      </c>
      <c r="H7" s="30">
        <f ca="1">+Tarifas!Z49</f>
        <v>117.76437779643383</v>
      </c>
      <c r="I7" s="30">
        <f ca="1">+Tarifas!AA49</f>
        <v>117.76437779643383</v>
      </c>
      <c r="J7" s="30">
        <f ca="1">+Tarifas!AB49</f>
        <v>117.76437779643383</v>
      </c>
      <c r="K7" s="30">
        <f ca="1">+Tarifas!AC49</f>
        <v>117.76437779643383</v>
      </c>
      <c r="L7" s="30">
        <f ca="1">+Tarifas!AD49</f>
        <v>117.76437779643383</v>
      </c>
      <c r="M7" s="30">
        <f ca="1">+Tarifas!AE49</f>
        <v>117.76437779643383</v>
      </c>
      <c r="N7" s="30">
        <f ca="1">+Tarifas!AF49</f>
        <v>117.76437779643383</v>
      </c>
      <c r="O7" s="30">
        <f ca="1">+Tarifas!AG49</f>
        <v>117.76437779643383</v>
      </c>
      <c r="P7" s="30">
        <f ca="1">+Tarifas!AH49</f>
        <v>117.76437779643383</v>
      </c>
      <c r="Q7" s="30">
        <f ca="1">+Tarifas!AI49</f>
        <v>117.76437779643383</v>
      </c>
      <c r="R7" s="30">
        <f ca="1">+Tarifas!AJ49</f>
        <v>117.76437779643383</v>
      </c>
      <c r="S7" s="30">
        <f ca="1">+Tarifas!AK49</f>
        <v>117.76437779643383</v>
      </c>
      <c r="T7" s="30">
        <f ca="1">+Tarifas!AL49</f>
        <v>123.65259668625554</v>
      </c>
      <c r="U7" s="30">
        <f ca="1">+Tarifas!AM49</f>
        <v>123.65259668625554</v>
      </c>
      <c r="V7" s="30">
        <f ca="1">+Tarifas!AN49</f>
        <v>123.65259668625554</v>
      </c>
      <c r="W7" s="30">
        <f ca="1">+Tarifas!AO49</f>
        <v>123.65259668625554</v>
      </c>
      <c r="X7" s="30">
        <f ca="1">+Tarifas!AP49</f>
        <v>123.65259668625554</v>
      </c>
      <c r="Y7" s="30">
        <f ca="1">+Tarifas!AQ49</f>
        <v>123.65259668625554</v>
      </c>
      <c r="Z7" s="30">
        <f ca="1">+Tarifas!AR49</f>
        <v>123.65259668625554</v>
      </c>
      <c r="AA7" s="30">
        <f ca="1">+Tarifas!AS49</f>
        <v>123.65259668625554</v>
      </c>
      <c r="AB7" s="30">
        <f ca="1">+Tarifas!AT49</f>
        <v>123.65259668625554</v>
      </c>
      <c r="AC7" s="30">
        <f ca="1">+Tarifas!AU49</f>
        <v>123.65259668625554</v>
      </c>
      <c r="AD7" s="30">
        <f ca="1">+Tarifas!AV49</f>
        <v>123.65259668625554</v>
      </c>
      <c r="AE7" s="30">
        <f ca="1">+Tarifas!AW49</f>
        <v>123.65259668625554</v>
      </c>
      <c r="AF7" s="30">
        <f ca="1">+Tarifas!AX49</f>
        <v>129.83522652056831</v>
      </c>
      <c r="AG7" s="30">
        <f ca="1">+Tarifas!AY49</f>
        <v>129.83522652056831</v>
      </c>
      <c r="AH7" s="30">
        <f ca="1">+Tarifas!AZ49</f>
        <v>129.83522652056831</v>
      </c>
      <c r="AI7" s="30">
        <f ca="1">+Tarifas!BA49</f>
        <v>129.83522652056831</v>
      </c>
      <c r="AJ7" s="30">
        <f ca="1">+Tarifas!BB49</f>
        <v>129.83522652056831</v>
      </c>
      <c r="AK7" s="30">
        <f ca="1">+Tarifas!BC49</f>
        <v>129.83522652056831</v>
      </c>
      <c r="AL7" s="30">
        <f ca="1">+Tarifas!BD49</f>
        <v>129.83522652056831</v>
      </c>
      <c r="AM7" s="30">
        <f ca="1">+Tarifas!BE49</f>
        <v>129.83522652056831</v>
      </c>
      <c r="AN7" s="30">
        <f ca="1">+Tarifas!BF49</f>
        <v>129.83522652056831</v>
      </c>
      <c r="AO7" s="30">
        <f ca="1">+Tarifas!BG49</f>
        <v>129.83522652056831</v>
      </c>
      <c r="AP7" s="30">
        <f ca="1">+Tarifas!BH49</f>
        <v>129.83522652056831</v>
      </c>
      <c r="AQ7" s="30">
        <f ca="1">+Tarifas!BI49</f>
        <v>129.83522652056831</v>
      </c>
      <c r="AR7" s="30">
        <f ca="1">+Tarifas!BJ49</f>
        <v>133.73028331618536</v>
      </c>
      <c r="AS7" s="30">
        <f ca="1">+Tarifas!BK49</f>
        <v>133.73028331618536</v>
      </c>
      <c r="AT7" s="30">
        <f ca="1">+Tarifas!BL49</f>
        <v>133.73028331618536</v>
      </c>
      <c r="AU7" s="30">
        <f ca="1">+Tarifas!BM49</f>
        <v>133.73028331618536</v>
      </c>
      <c r="AV7" s="30">
        <f ca="1">+Tarifas!BN49</f>
        <v>133.73028331618536</v>
      </c>
      <c r="AW7" s="30">
        <f ca="1">+Tarifas!BO49</f>
        <v>133.73028331618536</v>
      </c>
      <c r="AX7" s="30">
        <f ca="1">+Tarifas!BP49</f>
        <v>133.73028331618536</v>
      </c>
      <c r="AY7" s="30">
        <f ca="1">+Tarifas!BQ49</f>
        <v>133.73028331618536</v>
      </c>
      <c r="AZ7" s="30">
        <f ca="1">+Tarifas!BR49</f>
        <v>133.73028331618536</v>
      </c>
      <c r="BA7" s="30">
        <f ca="1">+Tarifas!BS49</f>
        <v>133.73028331618536</v>
      </c>
      <c r="BB7" s="30">
        <f ca="1">+Tarifas!BT49</f>
        <v>133.73028331618536</v>
      </c>
      <c r="BC7" s="30">
        <f ca="1">+Tarifas!BU49</f>
        <v>133.73028331618536</v>
      </c>
      <c r="BD7" s="30">
        <f ca="1">+Tarifas!BV49</f>
        <v>140.41679748199465</v>
      </c>
      <c r="BE7" s="30">
        <f ca="1">+Tarifas!BW49</f>
        <v>140.41679748199465</v>
      </c>
      <c r="BF7" s="30">
        <f ca="1">+Tarifas!BX49</f>
        <v>140.41679748199465</v>
      </c>
      <c r="BG7" s="30">
        <f ca="1">+Tarifas!BY49</f>
        <v>140.41679748199465</v>
      </c>
      <c r="BH7" s="30">
        <f ca="1">+Tarifas!BZ49</f>
        <v>140.41679748199465</v>
      </c>
      <c r="BI7" s="30">
        <f ca="1">+Tarifas!CA49</f>
        <v>140.41679748199465</v>
      </c>
      <c r="BJ7" s="30">
        <f ca="1">+Tarifas!CB49</f>
        <v>140.41679748199465</v>
      </c>
      <c r="BK7" s="30">
        <f ca="1">+Tarifas!CC49</f>
        <v>140.41679748199465</v>
      </c>
      <c r="BL7" s="30">
        <f ca="1">+Tarifas!CD49</f>
        <v>140.41679748199465</v>
      </c>
      <c r="BM7" s="30">
        <f ca="1">+Tarifas!CE49</f>
        <v>140.41679748199465</v>
      </c>
      <c r="BN7" s="30">
        <f ca="1">+Tarifas!CF49</f>
        <v>140.41679748199465</v>
      </c>
      <c r="BO7" s="30">
        <f ca="1">+Tarifas!CG49</f>
        <v>140.41679748199465</v>
      </c>
      <c r="BP7" s="30">
        <f ca="1">+Tarifas!CH49</f>
        <v>144.62930140645449</v>
      </c>
      <c r="BQ7" s="30">
        <f ca="1">+Tarifas!CI49</f>
        <v>144.62930140645449</v>
      </c>
      <c r="BR7" s="30">
        <f ca="1">+Tarifas!CJ49</f>
        <v>144.62930140645449</v>
      </c>
      <c r="BS7" s="30">
        <f ca="1">+Tarifas!CK49</f>
        <v>144.62930140645449</v>
      </c>
      <c r="BT7" s="30">
        <f ca="1">+Tarifas!CL49</f>
        <v>144.62930140645449</v>
      </c>
      <c r="BU7" s="30">
        <f ca="1">+Tarifas!CM49</f>
        <v>144.62930140645449</v>
      </c>
      <c r="BV7" s="30">
        <f ca="1">+Tarifas!CN49</f>
        <v>144.62930140645449</v>
      </c>
      <c r="BW7" s="30">
        <f ca="1">+Tarifas!CO49</f>
        <v>144.62930140645449</v>
      </c>
      <c r="BX7" s="30">
        <f ca="1">+Tarifas!CP49</f>
        <v>144.62930140645449</v>
      </c>
      <c r="BY7" s="30">
        <f ca="1">+Tarifas!CQ49</f>
        <v>144.62930140645449</v>
      </c>
      <c r="BZ7" s="30">
        <f ca="1">+Tarifas!CR49</f>
        <v>144.62930140645449</v>
      </c>
      <c r="CA7" s="30">
        <f ca="1">+Tarifas!CS49</f>
        <v>144.62930140645449</v>
      </c>
      <c r="CB7" s="30">
        <f ca="1">+Tarifas!CT49</f>
        <v>151.86076647677723</v>
      </c>
      <c r="CC7" s="30">
        <f ca="1">+Tarifas!CU49</f>
        <v>151.86076647677723</v>
      </c>
      <c r="CD7" s="30">
        <f ca="1">+Tarifas!CV49</f>
        <v>151.86076647677723</v>
      </c>
      <c r="CE7" s="30">
        <f ca="1">+Tarifas!CW49</f>
        <v>151.86076647677723</v>
      </c>
      <c r="CF7" s="30">
        <f ca="1">+Tarifas!CX49</f>
        <v>151.86076647677723</v>
      </c>
      <c r="CG7" s="30">
        <f ca="1">+Tarifas!CY49</f>
        <v>151.86076647677723</v>
      </c>
      <c r="CH7" s="30">
        <f ca="1">+Tarifas!CZ49</f>
        <v>151.86076647677723</v>
      </c>
      <c r="CI7" s="30">
        <f ca="1">+Tarifas!DA49</f>
        <v>151.86076647677723</v>
      </c>
      <c r="CJ7" s="30">
        <f ca="1">+Tarifas!DB49</f>
        <v>151.86076647677723</v>
      </c>
      <c r="CK7" s="30">
        <f ca="1">+Tarifas!DC49</f>
        <v>151.86076647677723</v>
      </c>
      <c r="CL7" s="30">
        <f ca="1">+Tarifas!DD49</f>
        <v>151.86076647677723</v>
      </c>
      <c r="CM7" s="30">
        <f ca="1">+Tarifas!DE49</f>
        <v>151.86076647677723</v>
      </c>
      <c r="CN7" s="30">
        <f ca="1">+Tarifas!DF49</f>
        <v>159.4538048006161</v>
      </c>
      <c r="CO7" s="30">
        <f ca="1">+Tarifas!DG49</f>
        <v>159.4538048006161</v>
      </c>
      <c r="CP7" s="30">
        <f ca="1">+Tarifas!DH49</f>
        <v>159.4538048006161</v>
      </c>
      <c r="CQ7" s="30">
        <f ca="1">+Tarifas!DI49</f>
        <v>159.4538048006161</v>
      </c>
      <c r="CR7" s="30">
        <f ca="1">+Tarifas!DJ49</f>
        <v>159.4538048006161</v>
      </c>
      <c r="CS7" s="30">
        <f ca="1">+Tarifas!DK49</f>
        <v>159.4538048006161</v>
      </c>
      <c r="CT7" s="30">
        <f ca="1">+Tarifas!DL49</f>
        <v>159.4538048006161</v>
      </c>
      <c r="CU7" s="30">
        <f ca="1">+Tarifas!DM49</f>
        <v>159.4538048006161</v>
      </c>
      <c r="CV7" s="30">
        <f ca="1">+Tarifas!DN49</f>
        <v>159.4538048006161</v>
      </c>
      <c r="CW7" s="30">
        <f ca="1">+Tarifas!DO49</f>
        <v>159.4538048006161</v>
      </c>
      <c r="CX7" s="30">
        <f ca="1">+Tarifas!DP49</f>
        <v>159.4538048006161</v>
      </c>
      <c r="CY7" s="30">
        <f ca="1">+Tarifas!DQ49</f>
        <v>159.4538048006161</v>
      </c>
      <c r="CZ7" s="30">
        <f ca="1">+Tarifas!DR49</f>
        <v>167.4264950406469</v>
      </c>
      <c r="DA7" s="30">
        <f ca="1">+Tarifas!DS49</f>
        <v>167.4264950406469</v>
      </c>
      <c r="DB7" s="30">
        <f ca="1">+Tarifas!DT49</f>
        <v>167.4264950406469</v>
      </c>
      <c r="DC7" s="30">
        <f ca="1">+Tarifas!DU49</f>
        <v>167.4264950406469</v>
      </c>
      <c r="DD7" s="30">
        <f ca="1">+Tarifas!DV49</f>
        <v>167.4264950406469</v>
      </c>
      <c r="DE7" s="30">
        <f ca="1">+Tarifas!DW49</f>
        <v>167.4264950406469</v>
      </c>
      <c r="DF7" s="30">
        <f ca="1">+Tarifas!DX49</f>
        <v>167.4264950406469</v>
      </c>
      <c r="DG7" s="30">
        <f ca="1">+Tarifas!DY49</f>
        <v>167.4264950406469</v>
      </c>
      <c r="DH7" s="30">
        <f ca="1">+Tarifas!DZ49</f>
        <v>167.4264950406469</v>
      </c>
      <c r="DI7" s="30">
        <f ca="1">+Tarifas!EA49</f>
        <v>167.4264950406469</v>
      </c>
      <c r="DJ7" s="30">
        <f ca="1">+Tarifas!EB49</f>
        <v>167.4264950406469</v>
      </c>
      <c r="DK7" s="30">
        <f ca="1">+Tarifas!EC49</f>
        <v>167.4264950406469</v>
      </c>
      <c r="DL7" s="30">
        <f ca="1">+Tarifas!ED49</f>
        <v>175.79781979267926</v>
      </c>
      <c r="DM7" s="30">
        <f ca="1">+Tarifas!EE49</f>
        <v>175.79781979267926</v>
      </c>
      <c r="DN7" s="30">
        <f ca="1">+Tarifas!EF49</f>
        <v>175.79781979267926</v>
      </c>
      <c r="DO7" s="30">
        <f ca="1">+Tarifas!EG49</f>
        <v>175.79781979267926</v>
      </c>
      <c r="DP7" s="30">
        <f ca="1">+Tarifas!EH49</f>
        <v>175.79781979267926</v>
      </c>
      <c r="DQ7" s="30">
        <f ca="1">+Tarifas!EI49</f>
        <v>175.79781979267926</v>
      </c>
      <c r="DR7" s="30">
        <f ca="1">+Tarifas!EJ49</f>
        <v>175.79781979267926</v>
      </c>
      <c r="DS7" s="30">
        <f ca="1">+Tarifas!EK49</f>
        <v>175.79781979267926</v>
      </c>
      <c r="DT7" s="30">
        <f ca="1">+Tarifas!EL49</f>
        <v>175.79781979267926</v>
      </c>
      <c r="DU7" s="30">
        <f ca="1">+Tarifas!EM49</f>
        <v>175.79781979267926</v>
      </c>
      <c r="DV7" s="30">
        <f ca="1">+Tarifas!EN49</f>
        <v>175.79781979267926</v>
      </c>
      <c r="DW7" s="30">
        <f ca="1">+Tarifas!EO49</f>
        <v>175.79781979267926</v>
      </c>
      <c r="DX7" s="30">
        <f ca="1">+Tarifas!EP49</f>
        <v>129.21139754761924</v>
      </c>
      <c r="DY7" s="30">
        <f ca="1">+Tarifas!EQ49</f>
        <v>129.21139754761924</v>
      </c>
      <c r="DZ7" s="30">
        <f ca="1">+Tarifas!ER49</f>
        <v>129.21139754761924</v>
      </c>
      <c r="EA7" s="30">
        <f ca="1">+Tarifas!ES49</f>
        <v>129.21139754761924</v>
      </c>
      <c r="EB7" s="30">
        <f ca="1">+Tarifas!ET49</f>
        <v>129.21139754761924</v>
      </c>
      <c r="EC7" s="30">
        <f ca="1">+Tarifas!EU49</f>
        <v>129.21139754761924</v>
      </c>
      <c r="ED7" s="30">
        <f ca="1">+Tarifas!EV49</f>
        <v>129.21139754761924</v>
      </c>
      <c r="EE7" s="30">
        <f ca="1">+Tarifas!EW49</f>
        <v>129.21139754761924</v>
      </c>
      <c r="EF7" s="30">
        <f ca="1">+Tarifas!EX49</f>
        <v>129.21139754761924</v>
      </c>
      <c r="EG7" s="30">
        <f ca="1">+Tarifas!EY49</f>
        <v>129.21139754761924</v>
      </c>
      <c r="EH7" s="30">
        <f ca="1">+Tarifas!EZ49</f>
        <v>129.21139754761924</v>
      </c>
      <c r="EI7" s="30">
        <f ca="1">+Tarifas!FA49</f>
        <v>129.21139754761924</v>
      </c>
      <c r="EJ7" s="30">
        <f ca="1">+Tarifas!FB49</f>
        <v>135.67196742500022</v>
      </c>
      <c r="EK7" s="30">
        <f ca="1">+Tarifas!FC49</f>
        <v>135.67196742500022</v>
      </c>
      <c r="EL7" s="30">
        <f ca="1">+Tarifas!FD49</f>
        <v>135.67196742500022</v>
      </c>
      <c r="EM7" s="30">
        <f ca="1">+Tarifas!FE49</f>
        <v>135.67196742500022</v>
      </c>
      <c r="EN7" s="30">
        <f ca="1">+Tarifas!FF49</f>
        <v>135.67196742500022</v>
      </c>
      <c r="EO7" s="30">
        <f ca="1">+Tarifas!FG49</f>
        <v>135.67196742500022</v>
      </c>
      <c r="EP7" s="30">
        <f ca="1">+Tarifas!FH49</f>
        <v>135.67196742500022</v>
      </c>
      <c r="EQ7" s="30">
        <f ca="1">+Tarifas!FI49</f>
        <v>135.67196742500022</v>
      </c>
      <c r="ER7" s="30">
        <f ca="1">+Tarifas!FJ49</f>
        <v>135.67196742500022</v>
      </c>
      <c r="ES7" s="30">
        <f ca="1">+Tarifas!FK49</f>
        <v>135.67196742500022</v>
      </c>
      <c r="ET7" s="30">
        <f ca="1">+Tarifas!FL49</f>
        <v>135.67196742500022</v>
      </c>
      <c r="EU7" s="30">
        <f ca="1">+Tarifas!FM49</f>
        <v>135.67196742500022</v>
      </c>
      <c r="EV7" s="30">
        <f ca="1">+Tarifas!FN49</f>
        <v>142.45556579625023</v>
      </c>
      <c r="EW7" s="30">
        <f ca="1">+Tarifas!FO49</f>
        <v>142.45556579625023</v>
      </c>
      <c r="EX7" s="30">
        <f ca="1">+Tarifas!FP49</f>
        <v>142.45556579625023</v>
      </c>
      <c r="EY7" s="30">
        <f ca="1">+Tarifas!FQ49</f>
        <v>142.45556579625023</v>
      </c>
      <c r="EZ7" s="30">
        <f ca="1">+Tarifas!FR49</f>
        <v>142.45556579625023</v>
      </c>
      <c r="FA7" s="30">
        <f ca="1">+Tarifas!FS49</f>
        <v>142.45556579625023</v>
      </c>
      <c r="FB7" s="30">
        <f ca="1">+Tarifas!FT49</f>
        <v>142.45556579625023</v>
      </c>
      <c r="FC7" s="30">
        <f ca="1">+Tarifas!FU49</f>
        <v>142.45556579625023</v>
      </c>
      <c r="FD7" s="30">
        <f ca="1">+Tarifas!FV49</f>
        <v>142.45556579625023</v>
      </c>
      <c r="FE7" s="30">
        <f ca="1">+Tarifas!FW49</f>
        <v>142.45556579625023</v>
      </c>
      <c r="FF7" s="30">
        <f ca="1">+Tarifas!FX49</f>
        <v>142.45556579625023</v>
      </c>
      <c r="FG7" s="30">
        <f ca="1">+Tarifas!FY49</f>
        <v>142.45556579625023</v>
      </c>
      <c r="FH7" s="30">
        <f ca="1">+Tarifas!FZ49</f>
        <v>149.57834408606274</v>
      </c>
      <c r="FI7" s="30">
        <f ca="1">+Tarifas!GA49</f>
        <v>149.57834408606274</v>
      </c>
      <c r="FJ7" s="30">
        <f ca="1">+Tarifas!GB49</f>
        <v>149.57834408606274</v>
      </c>
      <c r="FK7" s="30">
        <f ca="1">+Tarifas!GC49</f>
        <v>149.57834408606274</v>
      </c>
      <c r="FL7" s="30">
        <f ca="1">+Tarifas!GD49</f>
        <v>149.57834408606274</v>
      </c>
      <c r="FM7" s="30">
        <f ca="1">+Tarifas!GE49</f>
        <v>149.57834408606274</v>
      </c>
      <c r="FN7" s="30">
        <f ca="1">+Tarifas!GF49</f>
        <v>149.57834408606274</v>
      </c>
      <c r="FO7" s="30">
        <f ca="1">+Tarifas!GG49</f>
        <v>149.57834408606274</v>
      </c>
      <c r="FP7" s="30">
        <f ca="1">+Tarifas!GH49</f>
        <v>149.57834408606274</v>
      </c>
      <c r="FQ7" s="30">
        <f ca="1">+Tarifas!GI49</f>
        <v>149.57834408606274</v>
      </c>
      <c r="FR7" s="30">
        <f ca="1">+Tarifas!GJ49</f>
        <v>149.57834408606274</v>
      </c>
      <c r="FS7" s="30">
        <f ca="1">+Tarifas!GK49</f>
        <v>149.57834408606274</v>
      </c>
      <c r="FT7" s="30">
        <f ca="1">+Tarifas!GL49</f>
        <v>157.05726129036589</v>
      </c>
      <c r="FU7" s="30">
        <f ca="1">+Tarifas!GM49</f>
        <v>157.05726129036589</v>
      </c>
      <c r="FV7" s="30">
        <f ca="1">+Tarifas!GN49</f>
        <v>157.05726129036589</v>
      </c>
      <c r="FW7" s="30">
        <f ca="1">+Tarifas!GO49</f>
        <v>157.05726129036589</v>
      </c>
      <c r="FX7" s="30">
        <f ca="1">+Tarifas!GP49</f>
        <v>157.05726129036589</v>
      </c>
      <c r="FY7" s="30">
        <f ca="1">+Tarifas!GQ49</f>
        <v>157.05726129036589</v>
      </c>
      <c r="FZ7" s="30">
        <f ca="1">+Tarifas!GR49</f>
        <v>157.05726129036589</v>
      </c>
      <c r="GA7" s="30">
        <f ca="1">+Tarifas!GS49</f>
        <v>157.05726129036589</v>
      </c>
      <c r="GB7" s="30">
        <f ca="1">+Tarifas!GT49</f>
        <v>157.05726129036589</v>
      </c>
      <c r="GC7" s="30">
        <f ca="1">+Tarifas!GU49</f>
        <v>157.05726129036589</v>
      </c>
      <c r="GD7" s="30">
        <f ca="1">+Tarifas!GV49</f>
        <v>157.05726129036589</v>
      </c>
      <c r="GE7" s="30">
        <f ca="1">+Tarifas!GW49</f>
        <v>157.05726129036589</v>
      </c>
      <c r="GF7" s="30">
        <f ca="1">+Tarifas!GX49</f>
        <v>164.91012435488418</v>
      </c>
      <c r="GG7" s="30">
        <f ca="1">+Tarifas!GY49</f>
        <v>164.91012435488418</v>
      </c>
      <c r="GH7" s="30">
        <f ca="1">+Tarifas!GZ49</f>
        <v>164.91012435488418</v>
      </c>
      <c r="GI7" s="30">
        <f ca="1">+Tarifas!HA49</f>
        <v>164.91012435488418</v>
      </c>
      <c r="GJ7" s="30">
        <f ca="1">+Tarifas!HB49</f>
        <v>164.91012435488418</v>
      </c>
      <c r="GK7" s="30">
        <f ca="1">+Tarifas!HC49</f>
        <v>164.91012435488418</v>
      </c>
      <c r="GL7" s="30">
        <f ca="1">+Tarifas!HD49</f>
        <v>164.91012435488418</v>
      </c>
      <c r="GM7" s="30">
        <f ca="1">+Tarifas!HE49</f>
        <v>164.91012435488418</v>
      </c>
      <c r="GN7" s="30">
        <f ca="1">+Tarifas!HF49</f>
        <v>164.91012435488418</v>
      </c>
      <c r="GO7" s="30">
        <f ca="1">+Tarifas!HG49</f>
        <v>164.91012435488418</v>
      </c>
      <c r="GP7" s="30">
        <f ca="1">+Tarifas!HH49</f>
        <v>164.91012435488418</v>
      </c>
      <c r="GQ7" s="30">
        <f ca="1">+Tarifas!HI49</f>
        <v>164.91012435488418</v>
      </c>
      <c r="GR7" s="30">
        <f ca="1">+Tarifas!HJ49</f>
        <v>173.15563057262838</v>
      </c>
      <c r="GS7" s="30">
        <f ca="1">+Tarifas!HK49</f>
        <v>173.15563057262838</v>
      </c>
      <c r="GT7" s="30">
        <f ca="1">+Tarifas!HL49</f>
        <v>173.15563057262838</v>
      </c>
      <c r="GU7" s="30">
        <f ca="1">+Tarifas!HM49</f>
        <v>173.15563057262838</v>
      </c>
      <c r="GV7" s="30">
        <f ca="1">+Tarifas!HN49</f>
        <v>173.15563057262838</v>
      </c>
      <c r="GW7" s="30">
        <f ca="1">+Tarifas!HO49</f>
        <v>173.15563057262838</v>
      </c>
      <c r="GX7" s="30">
        <f ca="1">+Tarifas!HP49</f>
        <v>173.15563057262838</v>
      </c>
      <c r="GY7" s="30">
        <f ca="1">+Tarifas!HQ49</f>
        <v>173.15563057262838</v>
      </c>
      <c r="GZ7" s="30">
        <f ca="1">+Tarifas!HR49</f>
        <v>173.15563057262838</v>
      </c>
      <c r="HA7" s="30">
        <f ca="1">+Tarifas!HS49</f>
        <v>173.15563057262838</v>
      </c>
      <c r="HB7" s="30">
        <f ca="1">+Tarifas!HT49</f>
        <v>173.15563057262838</v>
      </c>
      <c r="HC7" s="30">
        <f ca="1">+Tarifas!HU49</f>
        <v>173.15563057262838</v>
      </c>
      <c r="HD7" s="30">
        <f ca="1">+Tarifas!HV49</f>
        <v>181.81341210125981</v>
      </c>
      <c r="HE7" s="30">
        <f ca="1">+Tarifas!HW49</f>
        <v>181.81341210125981</v>
      </c>
      <c r="HF7" s="30">
        <f ca="1">+Tarifas!HX49</f>
        <v>181.81341210125981</v>
      </c>
      <c r="HG7" s="30">
        <f ca="1">+Tarifas!HY49</f>
        <v>181.81341210125981</v>
      </c>
      <c r="HH7" s="30">
        <f ca="1">+Tarifas!HZ49</f>
        <v>181.81341210125981</v>
      </c>
      <c r="HI7" s="30">
        <f ca="1">+Tarifas!IA49</f>
        <v>181.81341210125981</v>
      </c>
      <c r="HJ7" s="30">
        <f ca="1">+Tarifas!IB49</f>
        <v>181.81341210125981</v>
      </c>
      <c r="HK7" s="30">
        <f ca="1">+Tarifas!IC49</f>
        <v>181.81341210125981</v>
      </c>
      <c r="HL7" s="30">
        <f ca="1">+Tarifas!ID49</f>
        <v>181.81341210125981</v>
      </c>
      <c r="HM7" s="30">
        <f ca="1">+Tarifas!IE49</f>
        <v>181.81341210125981</v>
      </c>
      <c r="HN7" s="30">
        <f ca="1">+Tarifas!IF49</f>
        <v>181.81341210125981</v>
      </c>
      <c r="HO7" s="30">
        <f ca="1">+Tarifas!IG49</f>
        <v>181.81341210125981</v>
      </c>
      <c r="HP7" s="30">
        <f ca="1">+Tarifas!IH49</f>
        <v>190.90408270632281</v>
      </c>
      <c r="HQ7" s="30">
        <f ca="1">+Tarifas!II49</f>
        <v>190.90408270632281</v>
      </c>
      <c r="HR7" s="30">
        <f ca="1">+Tarifas!IJ49</f>
        <v>190.90408270632281</v>
      </c>
      <c r="HS7" s="30">
        <f ca="1">+Tarifas!IK49</f>
        <v>190.90408270632281</v>
      </c>
      <c r="HT7" s="30">
        <f ca="1">+Tarifas!IL49</f>
        <v>190.90408270632281</v>
      </c>
      <c r="HU7" s="30">
        <f ca="1">+Tarifas!IM49</f>
        <v>190.90408270632281</v>
      </c>
      <c r="HV7" s="30">
        <f ca="1">+Tarifas!IN49</f>
        <v>190.90408270632281</v>
      </c>
      <c r="HW7" s="30">
        <f ca="1">+Tarifas!IO49</f>
        <v>190.90408270632281</v>
      </c>
      <c r="HX7" s="30">
        <f ca="1">+Tarifas!IP49</f>
        <v>190.90408270632281</v>
      </c>
      <c r="HY7" s="30">
        <f ca="1">+Tarifas!IQ49</f>
        <v>190.90408270632281</v>
      </c>
      <c r="HZ7" s="30">
        <f ca="1">+Tarifas!IR49</f>
        <v>190.90408270632281</v>
      </c>
      <c r="IA7" s="30">
        <f ca="1">+Tarifas!IS49</f>
        <v>190.90408270632281</v>
      </c>
      <c r="IB7" s="30">
        <f ca="1">+Tarifas!IT49</f>
        <v>200.44928684163895</v>
      </c>
      <c r="IC7" s="30">
        <f ca="1">+Tarifas!IU49</f>
        <v>200.44928684163895</v>
      </c>
      <c r="ID7" s="30">
        <f ca="1">+Tarifas!IV49</f>
        <v>200.44928684163895</v>
      </c>
      <c r="IE7" s="30">
        <f ca="1">+Tarifas!IW49</f>
        <v>200.44928684163895</v>
      </c>
      <c r="IF7" s="30">
        <f ca="1">+Tarifas!IX49</f>
        <v>200.44928684163895</v>
      </c>
      <c r="IG7" s="30">
        <f ca="1">+Tarifas!IY49</f>
        <v>200.44928684163895</v>
      </c>
      <c r="IH7" s="30">
        <f ca="1">+Tarifas!IZ49</f>
        <v>200.44928684163895</v>
      </c>
    </row>
    <row r="8" spans="1:242" x14ac:dyDescent="0.3">
      <c r="A8" t="s">
        <v>847</v>
      </c>
      <c r="C8" s="30">
        <f>+Tarifas!U11</f>
        <v>572.95334196097235</v>
      </c>
      <c r="D8" s="30">
        <f>+Tarifas!V11</f>
        <v>872.37307894909748</v>
      </c>
      <c r="E8" s="30">
        <f>+Tarifas!W11</f>
        <v>917.84675343819993</v>
      </c>
      <c r="F8" s="30">
        <f>+Tarifas!X11</f>
        <v>918.48700596730043</v>
      </c>
      <c r="G8" s="30">
        <f>+Tarifas!Y11</f>
        <v>759.5353879713183</v>
      </c>
      <c r="H8" s="30">
        <f>+Tarifas!Z11</f>
        <v>410.97074948300434</v>
      </c>
      <c r="I8" s="69">
        <f>+Tarifas!AA11</f>
        <v>502.7327297681133</v>
      </c>
      <c r="J8" s="30">
        <f>+Tarifas!AB11</f>
        <v>400</v>
      </c>
      <c r="K8" s="30">
        <f>+Tarifas!AC11</f>
        <v>400</v>
      </c>
      <c r="L8" s="30">
        <f>+Tarifas!AD11</f>
        <v>400</v>
      </c>
      <c r="M8" s="30">
        <f>+Tarifas!AE11</f>
        <v>400</v>
      </c>
      <c r="N8" s="30">
        <f>+Tarifas!AF11</f>
        <v>400</v>
      </c>
      <c r="O8" s="30">
        <f>+Tarifas!AG11</f>
        <v>422.83601609611441</v>
      </c>
      <c r="P8" s="30">
        <f>+Tarifas!AH11</f>
        <v>716.06872268758036</v>
      </c>
      <c r="Q8" s="30">
        <f>+Tarifas!AI11</f>
        <v>750.52801906913862</v>
      </c>
      <c r="R8" s="30">
        <f>+Tarifas!AJ11</f>
        <v>543.45884359233014</v>
      </c>
      <c r="S8" s="30">
        <f>+Tarifas!AK11</f>
        <v>589.60375384170311</v>
      </c>
      <c r="T8" s="30">
        <f>+Tarifas!AL11</f>
        <v>431.51928695715458</v>
      </c>
      <c r="U8" s="30">
        <f>+Tarifas!AM11</f>
        <v>527.86936625651902</v>
      </c>
      <c r="V8" s="30">
        <f>+Tarifas!AN11</f>
        <v>402.71224854145231</v>
      </c>
      <c r="W8" s="30">
        <f>+Tarifas!AO11</f>
        <v>398.00436171042924</v>
      </c>
      <c r="X8" s="30">
        <f>+Tarifas!AP11</f>
        <v>400</v>
      </c>
      <c r="Y8" s="30">
        <f>+Tarifas!AQ11</f>
        <v>400</v>
      </c>
      <c r="Z8" s="30">
        <f>+Tarifas!AR11</f>
        <v>400</v>
      </c>
      <c r="AA8" s="30">
        <f>+Tarifas!AS11</f>
        <v>443.97781690092012</v>
      </c>
      <c r="AB8" s="30">
        <f>+Tarifas!AT11</f>
        <v>751.87215882195937</v>
      </c>
      <c r="AC8" s="30">
        <f>+Tarifas!AU11</f>
        <v>788.05442002259554</v>
      </c>
      <c r="AD8" s="30">
        <f>+Tarifas!AV11</f>
        <v>570.63178577194662</v>
      </c>
      <c r="AE8" s="30">
        <f>+Tarifas!AW11</f>
        <v>619.08394153378833</v>
      </c>
      <c r="AF8" s="30">
        <f>+Tarifas!AX11</f>
        <v>453.09525130501231</v>
      </c>
      <c r="AG8" s="30">
        <f>+Tarifas!AY11</f>
        <v>554.26283456934505</v>
      </c>
      <c r="AH8" s="30">
        <f>+Tarifas!AZ11</f>
        <v>422.84786096852497</v>
      </c>
      <c r="AI8" s="30">
        <f>+Tarifas!BA11</f>
        <v>417.90457979595072</v>
      </c>
      <c r="AJ8" s="30">
        <f>+Tarifas!BB11</f>
        <v>400</v>
      </c>
      <c r="AK8" s="30">
        <f>+Tarifas!BC11</f>
        <v>400</v>
      </c>
      <c r="AL8" s="30">
        <f>+Tarifas!BD11</f>
        <v>400</v>
      </c>
      <c r="AM8" s="30">
        <f>+Tarifas!BE11</f>
        <v>466.17670774596616</v>
      </c>
      <c r="AN8" s="30">
        <f>+Tarifas!BF11</f>
        <v>789.46576676305733</v>
      </c>
      <c r="AO8" s="30">
        <f>+Tarifas!BG11</f>
        <v>827.4571410237254</v>
      </c>
      <c r="AP8" s="30">
        <f>+Tarifas!BH11</f>
        <v>599.16337506054401</v>
      </c>
      <c r="AQ8" s="30">
        <f>+Tarifas!BI11</f>
        <v>650.03813861047774</v>
      </c>
      <c r="AR8" s="30">
        <f>+Tarifas!BJ11</f>
        <v>475.75001387026293</v>
      </c>
      <c r="AS8" s="30">
        <f>+Tarifas!BK11</f>
        <v>581.97597629781228</v>
      </c>
      <c r="AT8" s="30">
        <f>+Tarifas!BL11</f>
        <v>443.99025401695121</v>
      </c>
      <c r="AU8" s="30">
        <f>+Tarifas!BM11</f>
        <v>438.79980878574827</v>
      </c>
      <c r="AV8" s="30">
        <f>+Tarifas!BN11</f>
        <v>400</v>
      </c>
      <c r="AW8" s="30">
        <f>+Tarifas!BO11</f>
        <v>400</v>
      </c>
      <c r="AX8" s="30">
        <f>+Tarifas!BP11</f>
        <v>400</v>
      </c>
      <c r="AY8" s="30">
        <f>+Tarifas!BQ11</f>
        <v>489.48554313326446</v>
      </c>
      <c r="AZ8" s="30">
        <f>+Tarifas!BR11</f>
        <v>828.93905510121022</v>
      </c>
      <c r="BA8" s="30">
        <f>+Tarifas!BS11</f>
        <v>868.82999807491171</v>
      </c>
      <c r="BB8" s="30">
        <f>+Tarifas!BT11</f>
        <v>629.12154381357129</v>
      </c>
      <c r="BC8" s="30">
        <f>+Tarifas!BU11</f>
        <v>682.54004554100163</v>
      </c>
      <c r="BD8" s="30">
        <f>+Tarifas!BV11</f>
        <v>499.53751456377609</v>
      </c>
      <c r="BE8" s="30">
        <f>+Tarifas!BW11</f>
        <v>611.07477511270292</v>
      </c>
      <c r="BF8" s="30">
        <f>+Tarifas!BX11</f>
        <v>466.18976671779882</v>
      </c>
      <c r="BG8" s="30">
        <f>+Tarifas!BY11</f>
        <v>460.73979922503571</v>
      </c>
      <c r="BH8" s="30">
        <f>+Tarifas!BZ11</f>
        <v>400</v>
      </c>
      <c r="BI8" s="30">
        <f>+Tarifas!CA11</f>
        <v>400</v>
      </c>
      <c r="BJ8" s="30">
        <f>+Tarifas!CB11</f>
        <v>400</v>
      </c>
      <c r="BK8" s="30">
        <f>+Tarifas!CC11</f>
        <v>513.95982028992773</v>
      </c>
      <c r="BL8" s="30">
        <f>+Tarifas!CD11</f>
        <v>870.38600785627079</v>
      </c>
      <c r="BM8" s="30">
        <f>+Tarifas!CE11</f>
        <v>912.27149797865729</v>
      </c>
      <c r="BN8" s="30">
        <f>+Tarifas!CF11</f>
        <v>660.57762100424986</v>
      </c>
      <c r="BO8" s="30">
        <f>+Tarifas!CG11</f>
        <v>716.66704781805174</v>
      </c>
      <c r="BP8" s="30">
        <f>+Tarifas!CH11</f>
        <v>524.5143902919649</v>
      </c>
      <c r="BQ8" s="30">
        <f>+Tarifas!CI11</f>
        <v>641.62851386833813</v>
      </c>
      <c r="BR8" s="30">
        <f>+Tarifas!CJ11</f>
        <v>489.49925505368878</v>
      </c>
      <c r="BS8" s="30">
        <f>+Tarifas!CK11</f>
        <v>483.77678918628754</v>
      </c>
      <c r="BT8" s="30">
        <f>+Tarifas!CL11</f>
        <v>416.72686986338789</v>
      </c>
      <c r="BU8" s="30">
        <f>+Tarifas!CM11</f>
        <v>400</v>
      </c>
      <c r="BV8" s="30">
        <f>+Tarifas!CN11</f>
        <v>400</v>
      </c>
      <c r="BW8" s="30">
        <f>+Tarifas!CO11</f>
        <v>539.65781130442417</v>
      </c>
      <c r="BX8" s="30">
        <f>+Tarifas!CP11</f>
        <v>913.90530824908433</v>
      </c>
      <c r="BY8" s="30">
        <f>+Tarifas!CQ11</f>
        <v>957.88507287759023</v>
      </c>
      <c r="BZ8" s="30">
        <f>+Tarifas!CR11</f>
        <v>693.60650205446234</v>
      </c>
      <c r="CA8" s="30">
        <f>+Tarifas!CS11</f>
        <v>752.50040020895437</v>
      </c>
      <c r="CB8" s="30">
        <f>+Tarifas!CT11</f>
        <v>550.74010980656317</v>
      </c>
      <c r="CC8" s="30">
        <f>+Tarifas!CU11</f>
        <v>673.70993956175505</v>
      </c>
      <c r="CD8" s="30">
        <f>+Tarifas!CV11</f>
        <v>513.97421780637319</v>
      </c>
      <c r="CE8" s="30">
        <f>+Tarifas!CW11</f>
        <v>507.96562864560195</v>
      </c>
      <c r="CF8" s="30">
        <f>+Tarifas!CX11</f>
        <v>437.5632133565573</v>
      </c>
      <c r="CG8" s="30">
        <f>+Tarifas!CY11</f>
        <v>400</v>
      </c>
      <c r="CH8" s="30">
        <f>+Tarifas!CZ11</f>
        <v>415.28082597768793</v>
      </c>
      <c r="CI8" s="30">
        <f>+Tarifas!DA11</f>
        <v>566.64070186964545</v>
      </c>
      <c r="CJ8" s="30">
        <f>+Tarifas!DB11</f>
        <v>500</v>
      </c>
      <c r="CK8" s="30">
        <f>+Tarifas!DC11</f>
        <v>500</v>
      </c>
      <c r="CL8" s="30">
        <f>+Tarifas!DD11</f>
        <v>728.28682715718548</v>
      </c>
      <c r="CM8" s="30">
        <f>+Tarifas!DE11</f>
        <v>790.12542021940214</v>
      </c>
      <c r="CN8" s="30">
        <f>+Tarifas!DF11</f>
        <v>578.27711529689134</v>
      </c>
      <c r="CO8" s="30">
        <f>+Tarifas!DG11</f>
        <v>707.39543653984288</v>
      </c>
      <c r="CP8" s="30">
        <f>+Tarifas!DH11</f>
        <v>539.67292869669188</v>
      </c>
      <c r="CQ8" s="30">
        <f>+Tarifas!DI11</f>
        <v>533.36391007788211</v>
      </c>
      <c r="CR8" s="30">
        <f>+Tarifas!DJ11</f>
        <v>459.4413740243852</v>
      </c>
      <c r="CS8" s="30">
        <f>+Tarifas!DK11</f>
        <v>404.50342374660408</v>
      </c>
      <c r="CT8" s="30">
        <f>+Tarifas!DL11</f>
        <v>436.04486727657235</v>
      </c>
      <c r="CU8" s="30">
        <f>+Tarifas!DM11</f>
        <v>594.97273696312777</v>
      </c>
      <c r="CV8" s="30">
        <f>+Tarifas!DN11</f>
        <v>500</v>
      </c>
      <c r="CW8" s="30">
        <f>+Tarifas!DO11</f>
        <v>500</v>
      </c>
      <c r="CX8" s="30">
        <f>+Tarifas!DP11</f>
        <v>764.70116851504474</v>
      </c>
      <c r="CY8" s="30">
        <f>+Tarifas!DQ11</f>
        <v>829.63169123037233</v>
      </c>
      <c r="CZ8" s="30">
        <f>+Tarifas!DR11</f>
        <v>607.19097106173592</v>
      </c>
      <c r="DA8" s="30">
        <f>+Tarifas!DS11</f>
        <v>742.76520836683505</v>
      </c>
      <c r="DB8" s="30">
        <f>+Tarifas!DT11</f>
        <v>566.65657513152655</v>
      </c>
      <c r="DC8" s="30">
        <f>+Tarifas!DU11</f>
        <v>560.03210558177625</v>
      </c>
      <c r="DD8" s="30">
        <f>+Tarifas!DV11</f>
        <v>482.41344272560445</v>
      </c>
      <c r="DE8" s="30">
        <f>+Tarifas!DW11</f>
        <v>424.72859493393429</v>
      </c>
      <c r="DF8" s="30">
        <f>+Tarifas!DX11</f>
        <v>457.84711064040096</v>
      </c>
      <c r="DG8" s="30">
        <f>+Tarifas!DY11</f>
        <v>624.72137381128414</v>
      </c>
      <c r="DH8" s="30">
        <f>+Tarifas!DZ11</f>
        <v>500</v>
      </c>
      <c r="DI8" s="30">
        <f>+Tarifas!EA11</f>
        <v>500</v>
      </c>
      <c r="DJ8" s="30">
        <f>+Tarifas!EB11</f>
        <v>802.93622694079704</v>
      </c>
      <c r="DK8" s="30">
        <f>+Tarifas!EC11</f>
        <v>871.11327579189094</v>
      </c>
      <c r="DL8" s="30">
        <f>+Tarifas!ED11</f>
        <v>637.55051961482275</v>
      </c>
      <c r="DM8" s="30">
        <f>+Tarifas!EE11</f>
        <v>779.90346878517687</v>
      </c>
      <c r="DN8" s="30">
        <f>+Tarifas!EF11</f>
        <v>594.98940388810286</v>
      </c>
      <c r="DO8" s="30">
        <f>+Tarifas!EG11</f>
        <v>588.03371086086509</v>
      </c>
      <c r="DP8" s="30">
        <f>+Tarifas!EH11</f>
        <v>506.53411486188469</v>
      </c>
      <c r="DQ8" s="30">
        <f>+Tarifas!EI11</f>
        <v>445.96502468063102</v>
      </c>
      <c r="DR8" s="30">
        <f>+Tarifas!EJ11</f>
        <v>480.73946617242103</v>
      </c>
      <c r="DS8" s="30">
        <f>+Tarifas!EK11</f>
        <v>655.95744250184839</v>
      </c>
      <c r="DT8" s="30">
        <f>+Tarifas!EL11</f>
        <v>500</v>
      </c>
      <c r="DU8" s="30">
        <f>+Tarifas!EM11</f>
        <v>500</v>
      </c>
      <c r="DV8" s="30">
        <f>+Tarifas!EN11</f>
        <v>843.08303828783698</v>
      </c>
      <c r="DW8" s="30">
        <f>+Tarifas!EO11</f>
        <v>914.66893958148557</v>
      </c>
      <c r="DX8" s="30">
        <f>+Tarifas!EP11</f>
        <v>669.42804559556396</v>
      </c>
      <c r="DY8" s="30">
        <f>+Tarifas!EQ11</f>
        <v>818.89864222443578</v>
      </c>
      <c r="DZ8" s="30">
        <f>+Tarifas!ER11</f>
        <v>624.738874082508</v>
      </c>
      <c r="EA8" s="30">
        <f>+Tarifas!ES11</f>
        <v>617.43539640390838</v>
      </c>
      <c r="EB8" s="30">
        <f>+Tarifas!ET11</f>
        <v>531.86082060497893</v>
      </c>
      <c r="EC8" s="30">
        <f>+Tarifas!EU11</f>
        <v>468.26327591466259</v>
      </c>
      <c r="ED8" s="30">
        <f>+Tarifas!EV11</f>
        <v>504.77643948104213</v>
      </c>
      <c r="EE8" s="30">
        <f>+Tarifas!EW11</f>
        <v>688.75531462694084</v>
      </c>
      <c r="EF8" s="30">
        <f>+Tarifas!EX11</f>
        <v>500</v>
      </c>
      <c r="EG8" s="30">
        <f>+Tarifas!EY11</f>
        <v>500</v>
      </c>
      <c r="EH8" s="30">
        <f>+Tarifas!EZ11</f>
        <v>885.23719020222882</v>
      </c>
      <c r="EI8" s="30">
        <f>+Tarifas!FA11</f>
        <v>500</v>
      </c>
      <c r="EJ8" s="30">
        <f>+Tarifas!FB11</f>
        <v>702.89944787534216</v>
      </c>
      <c r="EK8" s="30">
        <f>+Tarifas!FC11</f>
        <v>859.84357433565765</v>
      </c>
      <c r="EL8" s="30">
        <f>+Tarifas!FD11</f>
        <v>655.97581778663346</v>
      </c>
      <c r="EM8" s="30">
        <f>+Tarifas!FE11</f>
        <v>648.30716622410387</v>
      </c>
      <c r="EN8" s="30">
        <f>+Tarifas!FF11</f>
        <v>558.4538616352279</v>
      </c>
      <c r="EO8" s="30">
        <f>+Tarifas!FG11</f>
        <v>491.67643971039575</v>
      </c>
      <c r="EP8" s="30">
        <f>+Tarifas!FH11</f>
        <v>530.01526145509422</v>
      </c>
      <c r="EQ8" s="30">
        <f>+Tarifas!FI11</f>
        <v>723.19308035828794</v>
      </c>
      <c r="ER8" s="30">
        <f>+Tarifas!FJ11</f>
        <v>500</v>
      </c>
      <c r="ES8" s="30">
        <f>+Tarifas!FK11</f>
        <v>500</v>
      </c>
      <c r="ET8" s="30">
        <f>+Tarifas!FL11</f>
        <v>500</v>
      </c>
      <c r="EU8" s="30">
        <f>+Tarifas!FM11</f>
        <v>500</v>
      </c>
      <c r="EV8" s="30">
        <f>+Tarifas!FN11</f>
        <v>500</v>
      </c>
      <c r="EW8" s="30">
        <f>+Tarifas!FO11</f>
        <v>500</v>
      </c>
      <c r="EX8" s="30">
        <f>+Tarifas!FP11</f>
        <v>500</v>
      </c>
      <c r="EY8" s="30">
        <f>+Tarifas!FQ11</f>
        <v>500</v>
      </c>
      <c r="EZ8" s="30">
        <f>+Tarifas!FR11</f>
        <v>500</v>
      </c>
      <c r="FA8" s="30">
        <f>+Tarifas!FS11</f>
        <v>500</v>
      </c>
      <c r="FB8" s="30">
        <f>+Tarifas!FT11</f>
        <v>500</v>
      </c>
      <c r="FC8" s="30">
        <f>+Tarifas!FU11</f>
        <v>500</v>
      </c>
      <c r="FD8" s="30">
        <f>+Tarifas!FV11</f>
        <v>500</v>
      </c>
      <c r="FE8" s="30">
        <f>+Tarifas!FW11</f>
        <v>500</v>
      </c>
      <c r="FF8" s="30">
        <f>+Tarifas!FX11</f>
        <v>500</v>
      </c>
      <c r="FG8" s="30">
        <f>+Tarifas!FY11</f>
        <v>500</v>
      </c>
      <c r="FH8" s="30">
        <f>+Tarifas!FZ11</f>
        <v>500</v>
      </c>
      <c r="FI8" s="30">
        <f>+Tarifas!GA11</f>
        <v>500</v>
      </c>
      <c r="FJ8" s="30">
        <f>+Tarifas!GB11</f>
        <v>500</v>
      </c>
      <c r="FK8" s="30">
        <f>+Tarifas!GC11</f>
        <v>500</v>
      </c>
      <c r="FL8" s="30">
        <f>+Tarifas!GD11</f>
        <v>500</v>
      </c>
      <c r="FM8" s="30">
        <f>+Tarifas!GE11</f>
        <v>500</v>
      </c>
      <c r="FN8" s="30">
        <f>+Tarifas!GF11</f>
        <v>500</v>
      </c>
      <c r="FO8" s="30">
        <f>+Tarifas!GG11</f>
        <v>500</v>
      </c>
      <c r="FP8" s="30">
        <f>+Tarifas!GH11</f>
        <v>500</v>
      </c>
      <c r="FQ8" s="30">
        <f>+Tarifas!GI11</f>
        <v>500</v>
      </c>
      <c r="FR8" s="30">
        <f>+Tarifas!GJ11</f>
        <v>500</v>
      </c>
      <c r="FS8" s="30">
        <f>+Tarifas!GK11</f>
        <v>500</v>
      </c>
      <c r="FT8" s="30">
        <f>+Tarifas!GL11</f>
        <v>500</v>
      </c>
      <c r="FU8" s="30">
        <f>+Tarifas!GM11</f>
        <v>500</v>
      </c>
      <c r="FV8" s="30">
        <f>+Tarifas!GN11</f>
        <v>500</v>
      </c>
      <c r="FW8" s="30">
        <f>+Tarifas!GO11</f>
        <v>500</v>
      </c>
      <c r="FX8" s="30">
        <f>+Tarifas!GP11</f>
        <v>500</v>
      </c>
      <c r="FY8" s="30">
        <f>+Tarifas!GQ11</f>
        <v>500</v>
      </c>
      <c r="FZ8" s="30">
        <f>+Tarifas!GR11</f>
        <v>500</v>
      </c>
      <c r="GA8" s="30">
        <f>+Tarifas!GS11</f>
        <v>500</v>
      </c>
      <c r="GB8" s="30">
        <f>+Tarifas!GT11</f>
        <v>500</v>
      </c>
      <c r="GC8" s="30">
        <f>+Tarifas!GU11</f>
        <v>500</v>
      </c>
      <c r="GD8" s="30">
        <f>+Tarifas!GV11</f>
        <v>500</v>
      </c>
      <c r="GE8" s="30">
        <f>+Tarifas!GW11</f>
        <v>500</v>
      </c>
      <c r="GF8" s="30">
        <f>+Tarifas!GX11</f>
        <v>500</v>
      </c>
      <c r="GG8" s="30">
        <f>+Tarifas!GY11</f>
        <v>500</v>
      </c>
      <c r="GH8" s="30">
        <f>+Tarifas!GZ11</f>
        <v>500</v>
      </c>
      <c r="GI8" s="30">
        <f>+Tarifas!HA11</f>
        <v>500</v>
      </c>
      <c r="GJ8" s="30">
        <f>+Tarifas!HB11</f>
        <v>500</v>
      </c>
      <c r="GK8" s="30">
        <f>+Tarifas!HC11</f>
        <v>500</v>
      </c>
      <c r="GL8" s="30">
        <f>+Tarifas!HD11</f>
        <v>500</v>
      </c>
      <c r="GM8" s="30">
        <f>+Tarifas!HE11</f>
        <v>500</v>
      </c>
      <c r="GN8" s="30">
        <f>+Tarifas!HF11</f>
        <v>500</v>
      </c>
      <c r="GO8" s="30">
        <f>+Tarifas!HG11</f>
        <v>500</v>
      </c>
      <c r="GP8" s="30">
        <f>+Tarifas!HH11</f>
        <v>500</v>
      </c>
      <c r="GQ8" s="30">
        <f>+Tarifas!HI11</f>
        <v>500</v>
      </c>
      <c r="GR8" s="30">
        <f>+Tarifas!HJ11</f>
        <v>500</v>
      </c>
      <c r="GS8" s="30">
        <f>+Tarifas!HK11</f>
        <v>500</v>
      </c>
      <c r="GT8" s="30">
        <f>+Tarifas!HL11</f>
        <v>500</v>
      </c>
      <c r="GU8" s="30">
        <f>+Tarifas!HM11</f>
        <v>500</v>
      </c>
      <c r="GV8" s="30">
        <f>+Tarifas!HN11</f>
        <v>500</v>
      </c>
      <c r="GW8" s="30">
        <f>+Tarifas!HO11</f>
        <v>500</v>
      </c>
      <c r="GX8" s="30">
        <f>+Tarifas!HP11</f>
        <v>500</v>
      </c>
      <c r="GY8" s="30">
        <f>+Tarifas!HQ11</f>
        <v>500</v>
      </c>
      <c r="GZ8" s="30">
        <f>+Tarifas!HR11</f>
        <v>500</v>
      </c>
      <c r="HA8" s="30">
        <f>+Tarifas!HS11</f>
        <v>500</v>
      </c>
      <c r="HB8" s="30">
        <f>+Tarifas!HT11</f>
        <v>500</v>
      </c>
      <c r="HC8" s="30">
        <f>+Tarifas!HU11</f>
        <v>500</v>
      </c>
      <c r="HD8" s="30">
        <f>+Tarifas!HV11</f>
        <v>500</v>
      </c>
      <c r="HE8" s="30">
        <f>+Tarifas!HW11</f>
        <v>500</v>
      </c>
      <c r="HF8" s="30">
        <f>+Tarifas!HX11</f>
        <v>500</v>
      </c>
      <c r="HG8" s="30">
        <f>+Tarifas!HY11</f>
        <v>500</v>
      </c>
      <c r="HH8" s="30">
        <f>+Tarifas!HZ11</f>
        <v>500</v>
      </c>
      <c r="HI8" s="30">
        <f>+Tarifas!IA11</f>
        <v>500</v>
      </c>
      <c r="HJ8" s="30">
        <f>+Tarifas!IB11</f>
        <v>500</v>
      </c>
      <c r="HK8" s="30">
        <f>+Tarifas!IC11</f>
        <v>500</v>
      </c>
      <c r="HL8" s="30">
        <f>+Tarifas!ID11</f>
        <v>500</v>
      </c>
      <c r="HM8" s="30">
        <f>+Tarifas!IE11</f>
        <v>500</v>
      </c>
      <c r="HN8" s="30">
        <f>+Tarifas!IF11</f>
        <v>500</v>
      </c>
      <c r="HO8" s="30">
        <f>+Tarifas!IG11</f>
        <v>500</v>
      </c>
      <c r="HP8" s="30">
        <f>+Tarifas!IH11</f>
        <v>500</v>
      </c>
      <c r="HQ8" s="30">
        <f>+Tarifas!II11</f>
        <v>500</v>
      </c>
      <c r="HR8" s="30">
        <f>+Tarifas!IJ11</f>
        <v>500</v>
      </c>
      <c r="HS8" s="30">
        <f>+Tarifas!IK11</f>
        <v>500</v>
      </c>
      <c r="HT8" s="30">
        <f>+Tarifas!IL11</f>
        <v>500</v>
      </c>
      <c r="HU8" s="30">
        <f>+Tarifas!IM11</f>
        <v>500</v>
      </c>
      <c r="HV8" s="30">
        <f>+Tarifas!IN11</f>
        <v>500</v>
      </c>
      <c r="HW8" s="30">
        <f>+Tarifas!IO11</f>
        <v>500</v>
      </c>
      <c r="HX8" s="30">
        <f>+Tarifas!IP11</f>
        <v>500</v>
      </c>
      <c r="HY8" s="30">
        <f>+Tarifas!IQ11</f>
        <v>500</v>
      </c>
      <c r="HZ8" s="30">
        <f>+Tarifas!IR11</f>
        <v>500</v>
      </c>
      <c r="IA8" s="30">
        <f>+Tarifas!IS11</f>
        <v>500</v>
      </c>
      <c r="IB8" s="30">
        <f>+Tarifas!IT11</f>
        <v>500</v>
      </c>
      <c r="IC8" s="30">
        <f>+Tarifas!IU11</f>
        <v>500</v>
      </c>
      <c r="ID8" s="30">
        <f>+Tarifas!IV11</f>
        <v>500</v>
      </c>
      <c r="IE8" s="30">
        <f>+Tarifas!IW11</f>
        <v>500</v>
      </c>
      <c r="IF8" s="30">
        <f>+Tarifas!IX11</f>
        <v>500</v>
      </c>
      <c r="IG8" s="30">
        <f>+Tarifas!IY11</f>
        <v>500</v>
      </c>
      <c r="IH8" s="30">
        <f>+Tarifas!IZ11</f>
        <v>500</v>
      </c>
    </row>
    <row r="9" spans="1:242" x14ac:dyDescent="0.3">
      <c r="C9" s="30"/>
      <c r="D9" s="30"/>
      <c r="E9" s="30"/>
      <c r="F9" s="30"/>
      <c r="G9" s="30"/>
      <c r="H9" s="30"/>
      <c r="I9" s="6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</row>
    <row r="11" spans="1:242" x14ac:dyDescent="0.3">
      <c r="A11" t="s">
        <v>761</v>
      </c>
      <c r="B11">
        <f>+Producción!B1</f>
        <v>15950</v>
      </c>
      <c r="C11" t="s">
        <v>37</v>
      </c>
    </row>
    <row r="12" spans="1:242" x14ac:dyDescent="0.3">
      <c r="C12">
        <f>+YEAR(C13)</f>
        <v>2024</v>
      </c>
      <c r="D12">
        <f t="shared" ref="D12:BO12" si="0">+YEAR(D13)</f>
        <v>2024</v>
      </c>
      <c r="E12">
        <f t="shared" si="0"/>
        <v>2024</v>
      </c>
      <c r="F12">
        <f t="shared" si="0"/>
        <v>2024</v>
      </c>
      <c r="G12">
        <f t="shared" si="0"/>
        <v>2024</v>
      </c>
      <c r="H12">
        <f t="shared" si="0"/>
        <v>2025</v>
      </c>
      <c r="I12">
        <f t="shared" si="0"/>
        <v>2025</v>
      </c>
      <c r="J12">
        <f t="shared" si="0"/>
        <v>2025</v>
      </c>
      <c r="K12">
        <f t="shared" si="0"/>
        <v>2025</v>
      </c>
      <c r="L12">
        <f t="shared" si="0"/>
        <v>2025</v>
      </c>
      <c r="M12">
        <f t="shared" si="0"/>
        <v>2025</v>
      </c>
      <c r="N12">
        <f t="shared" si="0"/>
        <v>2025</v>
      </c>
      <c r="O12">
        <f t="shared" si="0"/>
        <v>2025</v>
      </c>
      <c r="P12">
        <f t="shared" si="0"/>
        <v>2025</v>
      </c>
      <c r="Q12">
        <f t="shared" si="0"/>
        <v>2025</v>
      </c>
      <c r="R12">
        <f t="shared" si="0"/>
        <v>2025</v>
      </c>
      <c r="S12">
        <f t="shared" si="0"/>
        <v>2025</v>
      </c>
      <c r="T12">
        <f t="shared" si="0"/>
        <v>2026</v>
      </c>
      <c r="U12">
        <f t="shared" si="0"/>
        <v>2026</v>
      </c>
      <c r="V12">
        <f t="shared" si="0"/>
        <v>2026</v>
      </c>
      <c r="W12">
        <f t="shared" si="0"/>
        <v>2026</v>
      </c>
      <c r="X12">
        <f t="shared" si="0"/>
        <v>2026</v>
      </c>
      <c r="Y12">
        <f t="shared" si="0"/>
        <v>2026</v>
      </c>
      <c r="Z12">
        <f t="shared" si="0"/>
        <v>2026</v>
      </c>
      <c r="AA12">
        <f t="shared" si="0"/>
        <v>2026</v>
      </c>
      <c r="AB12">
        <f t="shared" si="0"/>
        <v>2026</v>
      </c>
      <c r="AC12">
        <f t="shared" si="0"/>
        <v>2026</v>
      </c>
      <c r="AD12">
        <f t="shared" si="0"/>
        <v>2026</v>
      </c>
      <c r="AE12">
        <f t="shared" si="0"/>
        <v>2026</v>
      </c>
      <c r="AF12">
        <f t="shared" si="0"/>
        <v>2027</v>
      </c>
      <c r="AG12">
        <f t="shared" si="0"/>
        <v>2027</v>
      </c>
      <c r="AH12">
        <f t="shared" si="0"/>
        <v>2027</v>
      </c>
      <c r="AI12">
        <f t="shared" si="0"/>
        <v>2027</v>
      </c>
      <c r="AJ12">
        <f t="shared" si="0"/>
        <v>2027</v>
      </c>
      <c r="AK12">
        <f t="shared" si="0"/>
        <v>2027</v>
      </c>
      <c r="AL12">
        <f t="shared" si="0"/>
        <v>2027</v>
      </c>
      <c r="AM12">
        <f t="shared" si="0"/>
        <v>2027</v>
      </c>
      <c r="AN12">
        <f t="shared" si="0"/>
        <v>2027</v>
      </c>
      <c r="AO12">
        <f t="shared" si="0"/>
        <v>2027</v>
      </c>
      <c r="AP12">
        <f t="shared" si="0"/>
        <v>2027</v>
      </c>
      <c r="AQ12">
        <f t="shared" si="0"/>
        <v>2027</v>
      </c>
      <c r="AR12">
        <f t="shared" si="0"/>
        <v>2028</v>
      </c>
      <c r="AS12">
        <f t="shared" si="0"/>
        <v>2028</v>
      </c>
      <c r="AT12">
        <f t="shared" si="0"/>
        <v>2028</v>
      </c>
      <c r="AU12">
        <f t="shared" si="0"/>
        <v>2028</v>
      </c>
      <c r="AV12">
        <f t="shared" si="0"/>
        <v>2028</v>
      </c>
      <c r="AW12">
        <f t="shared" si="0"/>
        <v>2028</v>
      </c>
      <c r="AX12">
        <f t="shared" si="0"/>
        <v>2028</v>
      </c>
      <c r="AY12">
        <f t="shared" si="0"/>
        <v>2028</v>
      </c>
      <c r="AZ12">
        <f t="shared" si="0"/>
        <v>2028</v>
      </c>
      <c r="BA12">
        <f t="shared" si="0"/>
        <v>2028</v>
      </c>
      <c r="BB12">
        <f t="shared" si="0"/>
        <v>2028</v>
      </c>
      <c r="BC12">
        <f t="shared" si="0"/>
        <v>2028</v>
      </c>
      <c r="BD12">
        <f t="shared" si="0"/>
        <v>2029</v>
      </c>
      <c r="BE12">
        <f t="shared" si="0"/>
        <v>2029</v>
      </c>
      <c r="BF12">
        <f t="shared" si="0"/>
        <v>2029</v>
      </c>
      <c r="BG12">
        <f t="shared" si="0"/>
        <v>2029</v>
      </c>
      <c r="BH12">
        <f t="shared" si="0"/>
        <v>2029</v>
      </c>
      <c r="BI12">
        <f t="shared" si="0"/>
        <v>2029</v>
      </c>
      <c r="BJ12">
        <f t="shared" si="0"/>
        <v>2029</v>
      </c>
      <c r="BK12">
        <f t="shared" si="0"/>
        <v>2029</v>
      </c>
      <c r="BL12">
        <f t="shared" si="0"/>
        <v>2029</v>
      </c>
      <c r="BM12">
        <f t="shared" si="0"/>
        <v>2029</v>
      </c>
      <c r="BN12">
        <f t="shared" si="0"/>
        <v>2029</v>
      </c>
      <c r="BO12">
        <f t="shared" si="0"/>
        <v>2029</v>
      </c>
      <c r="BP12">
        <f t="shared" ref="BP12:EA12" si="1">+YEAR(BP13)</f>
        <v>2030</v>
      </c>
      <c r="BQ12">
        <f t="shared" si="1"/>
        <v>2030</v>
      </c>
      <c r="BR12">
        <f t="shared" si="1"/>
        <v>2030</v>
      </c>
      <c r="BS12">
        <f t="shared" si="1"/>
        <v>2030</v>
      </c>
      <c r="BT12">
        <f t="shared" si="1"/>
        <v>2030</v>
      </c>
      <c r="BU12">
        <f t="shared" si="1"/>
        <v>2030</v>
      </c>
      <c r="BV12">
        <f t="shared" si="1"/>
        <v>2030</v>
      </c>
      <c r="BW12">
        <f t="shared" si="1"/>
        <v>2030</v>
      </c>
      <c r="BX12">
        <f t="shared" si="1"/>
        <v>2030</v>
      </c>
      <c r="BY12">
        <f t="shared" si="1"/>
        <v>2030</v>
      </c>
      <c r="BZ12">
        <f t="shared" si="1"/>
        <v>2030</v>
      </c>
      <c r="CA12">
        <f t="shared" si="1"/>
        <v>2030</v>
      </c>
      <c r="CB12">
        <f t="shared" si="1"/>
        <v>2031</v>
      </c>
      <c r="CC12">
        <f t="shared" si="1"/>
        <v>2031</v>
      </c>
      <c r="CD12">
        <f t="shared" si="1"/>
        <v>2031</v>
      </c>
      <c r="CE12">
        <f t="shared" si="1"/>
        <v>2031</v>
      </c>
      <c r="CF12">
        <f t="shared" si="1"/>
        <v>2031</v>
      </c>
      <c r="CG12">
        <f t="shared" si="1"/>
        <v>2031</v>
      </c>
      <c r="CH12">
        <f t="shared" si="1"/>
        <v>2031</v>
      </c>
      <c r="CI12">
        <f t="shared" si="1"/>
        <v>2031</v>
      </c>
      <c r="CJ12">
        <f t="shared" si="1"/>
        <v>2031</v>
      </c>
      <c r="CK12">
        <f t="shared" si="1"/>
        <v>2031</v>
      </c>
      <c r="CL12">
        <f t="shared" si="1"/>
        <v>2031</v>
      </c>
      <c r="CM12">
        <f t="shared" si="1"/>
        <v>2031</v>
      </c>
      <c r="CN12">
        <f t="shared" si="1"/>
        <v>2032</v>
      </c>
      <c r="CO12">
        <f t="shared" si="1"/>
        <v>2032</v>
      </c>
      <c r="CP12">
        <f t="shared" si="1"/>
        <v>2032</v>
      </c>
      <c r="CQ12">
        <f t="shared" si="1"/>
        <v>2032</v>
      </c>
      <c r="CR12">
        <f t="shared" si="1"/>
        <v>2032</v>
      </c>
      <c r="CS12">
        <f t="shared" si="1"/>
        <v>2032</v>
      </c>
      <c r="CT12">
        <f t="shared" si="1"/>
        <v>2032</v>
      </c>
      <c r="CU12">
        <f t="shared" si="1"/>
        <v>2032</v>
      </c>
      <c r="CV12">
        <f t="shared" si="1"/>
        <v>2032</v>
      </c>
      <c r="CW12">
        <f t="shared" si="1"/>
        <v>2032</v>
      </c>
      <c r="CX12">
        <f t="shared" si="1"/>
        <v>2032</v>
      </c>
      <c r="CY12">
        <f t="shared" si="1"/>
        <v>2032</v>
      </c>
      <c r="CZ12">
        <f t="shared" si="1"/>
        <v>2033</v>
      </c>
      <c r="DA12">
        <f t="shared" si="1"/>
        <v>2033</v>
      </c>
      <c r="DB12">
        <f t="shared" si="1"/>
        <v>2033</v>
      </c>
      <c r="DC12">
        <f t="shared" si="1"/>
        <v>2033</v>
      </c>
      <c r="DD12">
        <f t="shared" si="1"/>
        <v>2033</v>
      </c>
      <c r="DE12">
        <f t="shared" si="1"/>
        <v>2033</v>
      </c>
      <c r="DF12">
        <f t="shared" si="1"/>
        <v>2033</v>
      </c>
      <c r="DG12">
        <f t="shared" si="1"/>
        <v>2033</v>
      </c>
      <c r="DH12">
        <f t="shared" si="1"/>
        <v>2033</v>
      </c>
      <c r="DI12">
        <f t="shared" si="1"/>
        <v>2033</v>
      </c>
      <c r="DJ12">
        <f t="shared" si="1"/>
        <v>2033</v>
      </c>
      <c r="DK12">
        <f t="shared" si="1"/>
        <v>2033</v>
      </c>
      <c r="DL12">
        <f t="shared" si="1"/>
        <v>2034</v>
      </c>
      <c r="DM12">
        <f t="shared" si="1"/>
        <v>2034</v>
      </c>
      <c r="DN12">
        <f t="shared" si="1"/>
        <v>2034</v>
      </c>
      <c r="DO12">
        <f t="shared" si="1"/>
        <v>2034</v>
      </c>
      <c r="DP12">
        <f t="shared" si="1"/>
        <v>2034</v>
      </c>
      <c r="DQ12">
        <f t="shared" si="1"/>
        <v>2034</v>
      </c>
      <c r="DR12">
        <f t="shared" si="1"/>
        <v>2034</v>
      </c>
      <c r="DS12">
        <f t="shared" si="1"/>
        <v>2034</v>
      </c>
      <c r="DT12">
        <f t="shared" si="1"/>
        <v>2034</v>
      </c>
      <c r="DU12">
        <f t="shared" si="1"/>
        <v>2034</v>
      </c>
      <c r="DV12">
        <f t="shared" si="1"/>
        <v>2034</v>
      </c>
      <c r="DW12">
        <f t="shared" si="1"/>
        <v>2034</v>
      </c>
      <c r="DX12">
        <f t="shared" si="1"/>
        <v>2035</v>
      </c>
      <c r="DY12">
        <f t="shared" si="1"/>
        <v>2035</v>
      </c>
      <c r="DZ12">
        <f t="shared" si="1"/>
        <v>2035</v>
      </c>
      <c r="EA12">
        <f t="shared" si="1"/>
        <v>2035</v>
      </c>
      <c r="EB12">
        <f t="shared" ref="EB12:GM12" si="2">+YEAR(EB13)</f>
        <v>2035</v>
      </c>
      <c r="EC12">
        <f t="shared" si="2"/>
        <v>2035</v>
      </c>
      <c r="ED12">
        <f t="shared" si="2"/>
        <v>2035</v>
      </c>
      <c r="EE12">
        <f t="shared" si="2"/>
        <v>2035</v>
      </c>
      <c r="EF12">
        <f t="shared" si="2"/>
        <v>2035</v>
      </c>
      <c r="EG12">
        <f t="shared" si="2"/>
        <v>2035</v>
      </c>
      <c r="EH12">
        <f t="shared" si="2"/>
        <v>2035</v>
      </c>
      <c r="EI12">
        <f t="shared" si="2"/>
        <v>2035</v>
      </c>
      <c r="EJ12">
        <f t="shared" si="2"/>
        <v>2036</v>
      </c>
      <c r="EK12">
        <f t="shared" si="2"/>
        <v>2036</v>
      </c>
      <c r="EL12">
        <f t="shared" si="2"/>
        <v>2036</v>
      </c>
      <c r="EM12">
        <f t="shared" si="2"/>
        <v>2036</v>
      </c>
      <c r="EN12">
        <f t="shared" si="2"/>
        <v>2036</v>
      </c>
      <c r="EO12">
        <f t="shared" si="2"/>
        <v>2036</v>
      </c>
      <c r="EP12">
        <f t="shared" si="2"/>
        <v>2036</v>
      </c>
      <c r="EQ12">
        <f t="shared" si="2"/>
        <v>2036</v>
      </c>
      <c r="ER12">
        <f t="shared" si="2"/>
        <v>2036</v>
      </c>
      <c r="ES12">
        <f t="shared" si="2"/>
        <v>2036</v>
      </c>
      <c r="ET12">
        <f t="shared" si="2"/>
        <v>2036</v>
      </c>
      <c r="EU12">
        <f t="shared" si="2"/>
        <v>2036</v>
      </c>
      <c r="EV12">
        <f t="shared" si="2"/>
        <v>2037</v>
      </c>
      <c r="EW12">
        <f t="shared" si="2"/>
        <v>2037</v>
      </c>
      <c r="EX12">
        <f t="shared" si="2"/>
        <v>2037</v>
      </c>
      <c r="EY12">
        <f t="shared" si="2"/>
        <v>2037</v>
      </c>
      <c r="EZ12">
        <f t="shared" si="2"/>
        <v>2037</v>
      </c>
      <c r="FA12">
        <f t="shared" si="2"/>
        <v>2037</v>
      </c>
      <c r="FB12">
        <f t="shared" si="2"/>
        <v>2037</v>
      </c>
      <c r="FC12">
        <f t="shared" si="2"/>
        <v>2037</v>
      </c>
      <c r="FD12">
        <f t="shared" si="2"/>
        <v>2037</v>
      </c>
      <c r="FE12">
        <f t="shared" si="2"/>
        <v>2037</v>
      </c>
      <c r="FF12">
        <f t="shared" si="2"/>
        <v>2037</v>
      </c>
      <c r="FG12">
        <f t="shared" si="2"/>
        <v>2037</v>
      </c>
      <c r="FH12">
        <f t="shared" si="2"/>
        <v>2038</v>
      </c>
      <c r="FI12">
        <f t="shared" si="2"/>
        <v>2038</v>
      </c>
      <c r="FJ12">
        <f t="shared" si="2"/>
        <v>2038</v>
      </c>
      <c r="FK12">
        <f t="shared" si="2"/>
        <v>2038</v>
      </c>
      <c r="FL12">
        <f t="shared" si="2"/>
        <v>2038</v>
      </c>
      <c r="FM12">
        <f t="shared" si="2"/>
        <v>2038</v>
      </c>
      <c r="FN12">
        <f t="shared" si="2"/>
        <v>2038</v>
      </c>
      <c r="FO12">
        <f t="shared" si="2"/>
        <v>2038</v>
      </c>
      <c r="FP12">
        <f t="shared" si="2"/>
        <v>2038</v>
      </c>
      <c r="FQ12">
        <f t="shared" si="2"/>
        <v>2038</v>
      </c>
      <c r="FR12">
        <f t="shared" si="2"/>
        <v>2038</v>
      </c>
      <c r="FS12">
        <f t="shared" si="2"/>
        <v>2038</v>
      </c>
      <c r="FT12">
        <f t="shared" si="2"/>
        <v>2039</v>
      </c>
      <c r="FU12">
        <f t="shared" si="2"/>
        <v>2039</v>
      </c>
      <c r="FV12">
        <f t="shared" si="2"/>
        <v>2039</v>
      </c>
      <c r="FW12">
        <f t="shared" si="2"/>
        <v>2039</v>
      </c>
      <c r="FX12">
        <f t="shared" si="2"/>
        <v>2039</v>
      </c>
      <c r="FY12">
        <f t="shared" si="2"/>
        <v>2039</v>
      </c>
      <c r="FZ12">
        <f t="shared" si="2"/>
        <v>2039</v>
      </c>
      <c r="GA12">
        <f t="shared" si="2"/>
        <v>2039</v>
      </c>
      <c r="GB12">
        <f t="shared" si="2"/>
        <v>2039</v>
      </c>
      <c r="GC12">
        <f t="shared" si="2"/>
        <v>2039</v>
      </c>
      <c r="GD12">
        <f t="shared" si="2"/>
        <v>2039</v>
      </c>
      <c r="GE12">
        <f t="shared" si="2"/>
        <v>2039</v>
      </c>
      <c r="GF12">
        <f t="shared" si="2"/>
        <v>2040</v>
      </c>
      <c r="GG12">
        <f t="shared" si="2"/>
        <v>2040</v>
      </c>
      <c r="GH12">
        <f t="shared" si="2"/>
        <v>2040</v>
      </c>
      <c r="GI12">
        <f t="shared" si="2"/>
        <v>2040</v>
      </c>
      <c r="GJ12">
        <f t="shared" si="2"/>
        <v>2040</v>
      </c>
      <c r="GK12">
        <f t="shared" si="2"/>
        <v>2040</v>
      </c>
      <c r="GL12">
        <f t="shared" si="2"/>
        <v>2040</v>
      </c>
      <c r="GM12">
        <f t="shared" si="2"/>
        <v>2040</v>
      </c>
      <c r="GN12">
        <f t="shared" ref="GN12:IH12" si="3">+YEAR(GN13)</f>
        <v>2040</v>
      </c>
      <c r="GO12">
        <f t="shared" si="3"/>
        <v>2040</v>
      </c>
      <c r="GP12">
        <f t="shared" si="3"/>
        <v>2040</v>
      </c>
      <c r="GQ12">
        <f t="shared" si="3"/>
        <v>2040</v>
      </c>
      <c r="GR12">
        <f t="shared" si="3"/>
        <v>2041</v>
      </c>
      <c r="GS12">
        <f t="shared" si="3"/>
        <v>2041</v>
      </c>
      <c r="GT12">
        <f t="shared" si="3"/>
        <v>2041</v>
      </c>
      <c r="GU12">
        <f t="shared" si="3"/>
        <v>2041</v>
      </c>
      <c r="GV12">
        <f t="shared" si="3"/>
        <v>2041</v>
      </c>
      <c r="GW12">
        <f t="shared" si="3"/>
        <v>2041</v>
      </c>
      <c r="GX12">
        <f t="shared" si="3"/>
        <v>2041</v>
      </c>
      <c r="GY12">
        <f t="shared" si="3"/>
        <v>2041</v>
      </c>
      <c r="GZ12">
        <f t="shared" si="3"/>
        <v>2041</v>
      </c>
      <c r="HA12">
        <f t="shared" si="3"/>
        <v>2041</v>
      </c>
      <c r="HB12">
        <f t="shared" si="3"/>
        <v>2041</v>
      </c>
      <c r="HC12">
        <f t="shared" si="3"/>
        <v>2041</v>
      </c>
      <c r="HD12">
        <f t="shared" si="3"/>
        <v>2042</v>
      </c>
      <c r="HE12">
        <f t="shared" si="3"/>
        <v>2042</v>
      </c>
      <c r="HF12">
        <f t="shared" si="3"/>
        <v>2042</v>
      </c>
      <c r="HG12">
        <f t="shared" si="3"/>
        <v>2042</v>
      </c>
      <c r="HH12">
        <f t="shared" si="3"/>
        <v>2042</v>
      </c>
      <c r="HI12">
        <f t="shared" si="3"/>
        <v>2042</v>
      </c>
      <c r="HJ12">
        <f t="shared" si="3"/>
        <v>2042</v>
      </c>
      <c r="HK12">
        <f t="shared" si="3"/>
        <v>2042</v>
      </c>
      <c r="HL12">
        <f t="shared" si="3"/>
        <v>2042</v>
      </c>
      <c r="HM12">
        <f t="shared" si="3"/>
        <v>2042</v>
      </c>
      <c r="HN12">
        <f t="shared" si="3"/>
        <v>2042</v>
      </c>
      <c r="HO12">
        <f t="shared" si="3"/>
        <v>2042</v>
      </c>
      <c r="HP12">
        <f t="shared" si="3"/>
        <v>2043</v>
      </c>
      <c r="HQ12">
        <f t="shared" si="3"/>
        <v>2043</v>
      </c>
      <c r="HR12">
        <f t="shared" si="3"/>
        <v>2043</v>
      </c>
      <c r="HS12">
        <f t="shared" si="3"/>
        <v>2043</v>
      </c>
      <c r="HT12">
        <f t="shared" si="3"/>
        <v>2043</v>
      </c>
      <c r="HU12">
        <f t="shared" si="3"/>
        <v>2043</v>
      </c>
      <c r="HV12">
        <f t="shared" si="3"/>
        <v>2043</v>
      </c>
      <c r="HW12">
        <f t="shared" si="3"/>
        <v>2043</v>
      </c>
      <c r="HX12">
        <f t="shared" si="3"/>
        <v>2043</v>
      </c>
      <c r="HY12">
        <f t="shared" si="3"/>
        <v>2043</v>
      </c>
      <c r="HZ12">
        <f t="shared" si="3"/>
        <v>2043</v>
      </c>
      <c r="IA12">
        <f t="shared" si="3"/>
        <v>2043</v>
      </c>
      <c r="IB12">
        <f t="shared" si="3"/>
        <v>2044</v>
      </c>
      <c r="IC12">
        <f t="shared" si="3"/>
        <v>2044</v>
      </c>
      <c r="ID12">
        <f t="shared" si="3"/>
        <v>2044</v>
      </c>
      <c r="IE12">
        <f t="shared" si="3"/>
        <v>2044</v>
      </c>
      <c r="IF12">
        <f t="shared" si="3"/>
        <v>2044</v>
      </c>
      <c r="IG12">
        <f t="shared" si="3"/>
        <v>2044</v>
      </c>
      <c r="IH12">
        <f t="shared" si="3"/>
        <v>2044</v>
      </c>
    </row>
    <row r="13" spans="1:242" x14ac:dyDescent="0.3">
      <c r="A13" t="s">
        <v>762</v>
      </c>
      <c r="C13" s="14">
        <v>45505</v>
      </c>
      <c r="D13" s="14">
        <v>45536</v>
      </c>
      <c r="E13" s="14">
        <v>45566</v>
      </c>
      <c r="F13" s="14">
        <v>45597</v>
      </c>
      <c r="G13" s="14">
        <v>45627</v>
      </c>
      <c r="H13" s="14">
        <v>45658</v>
      </c>
      <c r="I13" s="14">
        <v>45689</v>
      </c>
      <c r="J13" s="14">
        <v>45717</v>
      </c>
      <c r="K13" s="14">
        <v>45748</v>
      </c>
      <c r="L13" s="14">
        <v>45778</v>
      </c>
      <c r="M13" s="14">
        <v>45809</v>
      </c>
      <c r="N13" s="14">
        <v>45839</v>
      </c>
      <c r="O13" s="14">
        <v>45870</v>
      </c>
      <c r="P13" s="14">
        <v>45901</v>
      </c>
      <c r="Q13" s="14">
        <v>45931</v>
      </c>
      <c r="R13" s="14">
        <v>45962</v>
      </c>
      <c r="S13" s="14">
        <v>45992</v>
      </c>
      <c r="T13" s="14">
        <v>46023</v>
      </c>
      <c r="U13" s="14">
        <v>46054</v>
      </c>
      <c r="V13" s="14">
        <v>46082</v>
      </c>
      <c r="W13" s="14">
        <v>46113</v>
      </c>
      <c r="X13" s="14">
        <v>46143</v>
      </c>
      <c r="Y13" s="14">
        <v>46174</v>
      </c>
      <c r="Z13" s="14">
        <v>46204</v>
      </c>
      <c r="AA13" s="14">
        <v>46235</v>
      </c>
      <c r="AB13" s="14">
        <v>46266</v>
      </c>
      <c r="AC13" s="14">
        <v>46296</v>
      </c>
      <c r="AD13" s="14">
        <v>46327</v>
      </c>
      <c r="AE13" s="14">
        <v>46357</v>
      </c>
      <c r="AF13" s="14">
        <v>46388</v>
      </c>
      <c r="AG13" s="14">
        <v>46419</v>
      </c>
      <c r="AH13" s="14">
        <v>46447</v>
      </c>
      <c r="AI13" s="14">
        <v>46478</v>
      </c>
      <c r="AJ13" s="14">
        <v>46508</v>
      </c>
      <c r="AK13" s="14">
        <v>46539</v>
      </c>
      <c r="AL13" s="14">
        <v>46569</v>
      </c>
      <c r="AM13" s="14">
        <v>46600</v>
      </c>
      <c r="AN13" s="14">
        <v>46631</v>
      </c>
      <c r="AO13" s="14">
        <v>46661</v>
      </c>
      <c r="AP13" s="14">
        <v>46692</v>
      </c>
      <c r="AQ13" s="14">
        <v>46722</v>
      </c>
      <c r="AR13" s="14">
        <v>46753</v>
      </c>
      <c r="AS13" s="14">
        <v>46784</v>
      </c>
      <c r="AT13" s="14">
        <v>46813</v>
      </c>
      <c r="AU13" s="14">
        <v>46844</v>
      </c>
      <c r="AV13" s="14">
        <v>46874</v>
      </c>
      <c r="AW13" s="14">
        <v>46905</v>
      </c>
      <c r="AX13" s="14">
        <v>46935</v>
      </c>
      <c r="AY13" s="14">
        <v>46966</v>
      </c>
      <c r="AZ13" s="14">
        <v>46997</v>
      </c>
      <c r="BA13" s="14">
        <v>47027</v>
      </c>
      <c r="BB13" s="14">
        <v>47058</v>
      </c>
      <c r="BC13" s="14">
        <v>47088</v>
      </c>
      <c r="BD13" s="14">
        <v>47119</v>
      </c>
      <c r="BE13" s="14">
        <v>47150</v>
      </c>
      <c r="BF13" s="14">
        <v>47178</v>
      </c>
      <c r="BG13" s="14">
        <v>47209</v>
      </c>
      <c r="BH13" s="14">
        <v>47239</v>
      </c>
      <c r="BI13" s="14">
        <v>47270</v>
      </c>
      <c r="BJ13" s="14">
        <v>47300</v>
      </c>
      <c r="BK13" s="14">
        <v>47331</v>
      </c>
      <c r="BL13" s="14">
        <v>47362</v>
      </c>
      <c r="BM13" s="14">
        <v>47392</v>
      </c>
      <c r="BN13" s="14">
        <v>47423</v>
      </c>
      <c r="BO13" s="14">
        <v>47453</v>
      </c>
      <c r="BP13" s="14">
        <v>47484</v>
      </c>
      <c r="BQ13" s="14">
        <v>47515</v>
      </c>
      <c r="BR13" s="14">
        <v>47543</v>
      </c>
      <c r="BS13" s="14">
        <v>47574</v>
      </c>
      <c r="BT13" s="14">
        <v>47604</v>
      </c>
      <c r="BU13" s="14">
        <v>47635</v>
      </c>
      <c r="BV13" s="14">
        <v>47665</v>
      </c>
      <c r="BW13" s="14">
        <v>47696</v>
      </c>
      <c r="BX13" s="14">
        <v>47727</v>
      </c>
      <c r="BY13" s="14">
        <v>47757</v>
      </c>
      <c r="BZ13" s="14">
        <v>47788</v>
      </c>
      <c r="CA13" s="14">
        <v>47818</v>
      </c>
      <c r="CB13" s="14">
        <v>47849</v>
      </c>
      <c r="CC13" s="14">
        <v>47880</v>
      </c>
      <c r="CD13" s="14">
        <v>47908</v>
      </c>
      <c r="CE13" s="14">
        <v>47939</v>
      </c>
      <c r="CF13" s="14">
        <v>47969</v>
      </c>
      <c r="CG13" s="14">
        <v>48000</v>
      </c>
      <c r="CH13" s="14">
        <v>48030</v>
      </c>
      <c r="CI13" s="14">
        <v>48061</v>
      </c>
      <c r="CJ13" s="14">
        <v>48092</v>
      </c>
      <c r="CK13" s="14">
        <v>48122</v>
      </c>
      <c r="CL13" s="14">
        <v>48153</v>
      </c>
      <c r="CM13" s="14">
        <v>48183</v>
      </c>
      <c r="CN13" s="14">
        <v>48214</v>
      </c>
      <c r="CO13" s="14">
        <v>48245</v>
      </c>
      <c r="CP13" s="14">
        <v>48274</v>
      </c>
      <c r="CQ13" s="14">
        <v>48305</v>
      </c>
      <c r="CR13" s="14">
        <v>48335</v>
      </c>
      <c r="CS13" s="14">
        <v>48366</v>
      </c>
      <c r="CT13" s="14">
        <v>48396</v>
      </c>
      <c r="CU13" s="14">
        <v>48427</v>
      </c>
      <c r="CV13" s="14">
        <v>48458</v>
      </c>
      <c r="CW13" s="14">
        <v>48488</v>
      </c>
      <c r="CX13" s="14">
        <v>48519</v>
      </c>
      <c r="CY13" s="14">
        <v>48549</v>
      </c>
      <c r="CZ13" s="14">
        <v>48580</v>
      </c>
      <c r="DA13" s="14">
        <v>48611</v>
      </c>
      <c r="DB13" s="14">
        <v>48639</v>
      </c>
      <c r="DC13" s="14">
        <v>48670</v>
      </c>
      <c r="DD13" s="14">
        <v>48700</v>
      </c>
      <c r="DE13" s="14">
        <v>48731</v>
      </c>
      <c r="DF13" s="14">
        <v>48761</v>
      </c>
      <c r="DG13" s="14">
        <v>48792</v>
      </c>
      <c r="DH13" s="14">
        <v>48823</v>
      </c>
      <c r="DI13" s="14">
        <v>48853</v>
      </c>
      <c r="DJ13" s="14">
        <v>48884</v>
      </c>
      <c r="DK13" s="14">
        <v>48914</v>
      </c>
      <c r="DL13" s="14">
        <v>48945</v>
      </c>
      <c r="DM13" s="14">
        <v>48976</v>
      </c>
      <c r="DN13" s="14">
        <v>49004</v>
      </c>
      <c r="DO13" s="14">
        <v>49035</v>
      </c>
      <c r="DP13" s="14">
        <v>49065</v>
      </c>
      <c r="DQ13" s="14">
        <v>49096</v>
      </c>
      <c r="DR13" s="14">
        <v>49126</v>
      </c>
      <c r="DS13" s="14">
        <v>49157</v>
      </c>
      <c r="DT13" s="14">
        <v>49188</v>
      </c>
      <c r="DU13" s="14">
        <v>49218</v>
      </c>
      <c r="DV13" s="14">
        <v>49249</v>
      </c>
      <c r="DW13" s="14">
        <v>49279</v>
      </c>
      <c r="DX13" s="14">
        <v>49310</v>
      </c>
      <c r="DY13" s="14">
        <v>49341</v>
      </c>
      <c r="DZ13" s="14">
        <v>49369</v>
      </c>
      <c r="EA13" s="14">
        <v>49400</v>
      </c>
      <c r="EB13" s="14">
        <v>49430</v>
      </c>
      <c r="EC13" s="14">
        <v>49461</v>
      </c>
      <c r="ED13" s="14">
        <v>49491</v>
      </c>
      <c r="EE13" s="14">
        <v>49522</v>
      </c>
      <c r="EF13" s="14">
        <v>49553</v>
      </c>
      <c r="EG13" s="14">
        <v>49583</v>
      </c>
      <c r="EH13" s="14">
        <v>49614</v>
      </c>
      <c r="EI13" s="14">
        <v>49644</v>
      </c>
      <c r="EJ13" s="14">
        <v>49675</v>
      </c>
      <c r="EK13" s="14">
        <v>49706</v>
      </c>
      <c r="EL13" s="14">
        <v>49735</v>
      </c>
      <c r="EM13" s="14">
        <v>49766</v>
      </c>
      <c r="EN13" s="14">
        <v>49796</v>
      </c>
      <c r="EO13" s="14">
        <v>49827</v>
      </c>
      <c r="EP13" s="14">
        <v>49857</v>
      </c>
      <c r="EQ13" s="14">
        <v>49888</v>
      </c>
      <c r="ER13" s="14">
        <v>49919</v>
      </c>
      <c r="ES13" s="14">
        <v>49949</v>
      </c>
      <c r="ET13" s="14">
        <v>49980</v>
      </c>
      <c r="EU13" s="14">
        <v>50010</v>
      </c>
      <c r="EV13" s="14">
        <v>50041</v>
      </c>
      <c r="EW13" s="14">
        <v>50072</v>
      </c>
      <c r="EX13" s="14">
        <v>50100</v>
      </c>
      <c r="EY13" s="14">
        <v>50131</v>
      </c>
      <c r="EZ13" s="14">
        <v>50161</v>
      </c>
      <c r="FA13" s="14">
        <v>50192</v>
      </c>
      <c r="FB13" s="14">
        <v>50222</v>
      </c>
      <c r="FC13" s="14">
        <v>50253</v>
      </c>
      <c r="FD13" s="14">
        <v>50284</v>
      </c>
      <c r="FE13" s="14">
        <v>50314</v>
      </c>
      <c r="FF13" s="14">
        <v>50345</v>
      </c>
      <c r="FG13" s="14">
        <v>50375</v>
      </c>
      <c r="FH13" s="14">
        <v>50406</v>
      </c>
      <c r="FI13" s="14">
        <v>50437</v>
      </c>
      <c r="FJ13" s="14">
        <v>50465</v>
      </c>
      <c r="FK13" s="14">
        <v>50496</v>
      </c>
      <c r="FL13" s="14">
        <v>50526</v>
      </c>
      <c r="FM13" s="14">
        <v>50557</v>
      </c>
      <c r="FN13" s="14">
        <v>50587</v>
      </c>
      <c r="FO13" s="14">
        <v>50618</v>
      </c>
      <c r="FP13" s="14">
        <v>50649</v>
      </c>
      <c r="FQ13" s="14">
        <v>50679</v>
      </c>
      <c r="FR13" s="14">
        <v>50710</v>
      </c>
      <c r="FS13" s="14">
        <v>50740</v>
      </c>
      <c r="FT13" s="14">
        <v>50771</v>
      </c>
      <c r="FU13" s="14">
        <v>50802</v>
      </c>
      <c r="FV13" s="14">
        <v>50830</v>
      </c>
      <c r="FW13" s="14">
        <v>50861</v>
      </c>
      <c r="FX13" s="14">
        <v>50891</v>
      </c>
      <c r="FY13" s="14">
        <v>50922</v>
      </c>
      <c r="FZ13" s="14">
        <v>50952</v>
      </c>
      <c r="GA13" s="14">
        <v>50983</v>
      </c>
      <c r="GB13" s="14">
        <v>51014</v>
      </c>
      <c r="GC13" s="14">
        <v>51044</v>
      </c>
      <c r="GD13" s="14">
        <v>51075</v>
      </c>
      <c r="GE13" s="14">
        <v>51105</v>
      </c>
      <c r="GF13" s="14">
        <v>51136</v>
      </c>
      <c r="GG13" s="14">
        <v>51167</v>
      </c>
      <c r="GH13" s="14">
        <v>51196</v>
      </c>
      <c r="GI13" s="14">
        <v>51227</v>
      </c>
      <c r="GJ13" s="14">
        <v>51257</v>
      </c>
      <c r="GK13" s="14">
        <v>51288</v>
      </c>
      <c r="GL13" s="14">
        <v>51318</v>
      </c>
      <c r="GM13" s="14">
        <v>51349</v>
      </c>
      <c r="GN13" s="14">
        <v>51380</v>
      </c>
      <c r="GO13" s="14">
        <v>51410</v>
      </c>
      <c r="GP13" s="14">
        <v>51441</v>
      </c>
      <c r="GQ13" s="14">
        <v>51471</v>
      </c>
      <c r="GR13" s="14">
        <v>51502</v>
      </c>
      <c r="GS13" s="14">
        <v>51533</v>
      </c>
      <c r="GT13" s="14">
        <v>51561</v>
      </c>
      <c r="GU13" s="14">
        <v>51592</v>
      </c>
      <c r="GV13" s="14">
        <v>51622</v>
      </c>
      <c r="GW13" s="14">
        <v>51653</v>
      </c>
      <c r="GX13" s="14">
        <v>51683</v>
      </c>
      <c r="GY13" s="14">
        <v>51714</v>
      </c>
      <c r="GZ13" s="14">
        <v>51745</v>
      </c>
      <c r="HA13" s="14">
        <v>51775</v>
      </c>
      <c r="HB13" s="14">
        <v>51806</v>
      </c>
      <c r="HC13" s="14">
        <v>51836</v>
      </c>
      <c r="HD13" s="14">
        <v>51867</v>
      </c>
      <c r="HE13" s="14">
        <v>51898</v>
      </c>
      <c r="HF13" s="14">
        <v>51926</v>
      </c>
      <c r="HG13" s="14">
        <v>51957</v>
      </c>
      <c r="HH13" s="14">
        <v>51987</v>
      </c>
      <c r="HI13" s="14">
        <v>52018</v>
      </c>
      <c r="HJ13" s="14">
        <v>52048</v>
      </c>
      <c r="HK13" s="14">
        <v>52079</v>
      </c>
      <c r="HL13" s="14">
        <v>52110</v>
      </c>
      <c r="HM13" s="14">
        <v>52140</v>
      </c>
      <c r="HN13" s="14">
        <v>52171</v>
      </c>
      <c r="HO13" s="14">
        <v>52201</v>
      </c>
      <c r="HP13" s="14">
        <v>52232</v>
      </c>
      <c r="HQ13" s="14">
        <v>52263</v>
      </c>
      <c r="HR13" s="14">
        <v>52291</v>
      </c>
      <c r="HS13" s="14">
        <v>52322</v>
      </c>
      <c r="HT13" s="14">
        <v>52352</v>
      </c>
      <c r="HU13" s="14">
        <v>52383</v>
      </c>
      <c r="HV13" s="14">
        <v>52413</v>
      </c>
      <c r="HW13" s="14">
        <v>52444</v>
      </c>
      <c r="HX13" s="14">
        <v>52475</v>
      </c>
      <c r="HY13" s="14">
        <v>52505</v>
      </c>
      <c r="HZ13" s="14">
        <v>52536</v>
      </c>
      <c r="IA13" s="14">
        <v>52566</v>
      </c>
      <c r="IB13" s="14">
        <v>52597</v>
      </c>
      <c r="IC13" s="14">
        <v>52628</v>
      </c>
      <c r="ID13" s="14">
        <v>52657</v>
      </c>
      <c r="IE13" s="14">
        <v>52688</v>
      </c>
      <c r="IF13" s="14">
        <v>52718</v>
      </c>
      <c r="IG13" s="14">
        <v>52749</v>
      </c>
      <c r="IH13" s="14">
        <v>52779</v>
      </c>
    </row>
    <row r="14" spans="1:242" x14ac:dyDescent="0.3">
      <c r="A14" s="6" t="s">
        <v>908</v>
      </c>
      <c r="B14" t="s">
        <v>33</v>
      </c>
      <c r="C14" s="10">
        <f>+Producción!E8</f>
        <v>2195.9335397999998</v>
      </c>
      <c r="D14" s="10">
        <f>+Producción!F8</f>
        <v>2055.0388319999997</v>
      </c>
      <c r="E14" s="10">
        <f>+Producción!G8</f>
        <v>1852.7674396</v>
      </c>
      <c r="F14" s="10">
        <f>+Producción!H8</f>
        <v>1770.6796800000002</v>
      </c>
      <c r="G14" s="10">
        <f>+Producción!I8</f>
        <v>1871.7622308</v>
      </c>
      <c r="H14" s="10">
        <f>+Producción!J8</f>
        <v>2150.5786302000006</v>
      </c>
      <c r="I14" s="70">
        <f>+Producción!K8</f>
        <v>1982.6360400000001</v>
      </c>
      <c r="J14" s="10">
        <f>+Producción!L8</f>
        <v>2360.8296480999998</v>
      </c>
      <c r="K14" s="10">
        <f>+Producción!M8</f>
        <v>2144.5575689999996</v>
      </c>
      <c r="L14" s="10">
        <f>+Producción!N8</f>
        <v>2079.2997071</v>
      </c>
      <c r="M14" s="10">
        <f>+Producción!O8</f>
        <v>2090.0679030000001</v>
      </c>
      <c r="N14" s="10">
        <f>+Producción!P8</f>
        <v>2224.0865339000002</v>
      </c>
      <c r="O14" s="10">
        <f>+Producción!Q8</f>
        <v>2191.4520427799998</v>
      </c>
      <c r="P14" s="10">
        <f>+Producción!R8</f>
        <v>2050.8448751999999</v>
      </c>
      <c r="Q14" s="10">
        <f>+Producción!S8</f>
        <v>1848.9862815599997</v>
      </c>
      <c r="R14" s="10">
        <f>+Producción!T8</f>
        <v>1767.0660480000001</v>
      </c>
      <c r="S14" s="10">
        <f>+Producción!U8</f>
        <v>1867.9423078799998</v>
      </c>
      <c r="T14" s="10">
        <f>+Producción!V8</f>
        <v>2146.1896942200001</v>
      </c>
      <c r="U14" s="10">
        <f>+Producción!W8</f>
        <v>1978.5898440000001</v>
      </c>
      <c r="V14" s="10">
        <f>+Producción!X8</f>
        <v>2356.01162841</v>
      </c>
      <c r="W14" s="10">
        <f>+Producción!Y8</f>
        <v>2140.1809208999998</v>
      </c>
      <c r="X14" s="10">
        <f>+Producción!Z8</f>
        <v>2075.0562383099996</v>
      </c>
      <c r="Y14" s="10">
        <f>+Producción!AA8</f>
        <v>2085.8024583000001</v>
      </c>
      <c r="Z14" s="10">
        <f>+Producción!AB8</f>
        <v>2219.5475817899996</v>
      </c>
      <c r="AA14" s="10">
        <f>+Producción!AC8</f>
        <v>2189.2112942699996</v>
      </c>
      <c r="AB14" s="10">
        <f>+Producción!AD8</f>
        <v>2048.7478967999996</v>
      </c>
      <c r="AC14" s="10">
        <f>+Producción!AE8</f>
        <v>1847.09570254</v>
      </c>
      <c r="AD14" s="10">
        <f>+Producción!AF8</f>
        <v>1765.2592320000001</v>
      </c>
      <c r="AE14" s="10">
        <f>+Producción!AG8</f>
        <v>1866.0323464199996</v>
      </c>
      <c r="AF14" s="10">
        <f>+Producción!AH8</f>
        <v>2143.9952262300003</v>
      </c>
      <c r="AG14" s="10">
        <f>+Producción!AI8</f>
        <v>1976.5667460000002</v>
      </c>
      <c r="AH14" s="10">
        <f>+Producción!AJ8</f>
        <v>2353.6026185649998</v>
      </c>
      <c r="AI14" s="10">
        <f>+Producción!AK8</f>
        <v>2137.9925968499997</v>
      </c>
      <c r="AJ14" s="10">
        <f>+Producción!AL8</f>
        <v>2072.9345039149998</v>
      </c>
      <c r="AK14" s="10">
        <f>+Producción!AM8</f>
        <v>2083.6697359499999</v>
      </c>
      <c r="AL14" s="10">
        <f>+Producción!AN8</f>
        <v>2217.2781057349998</v>
      </c>
      <c r="AM14" s="10">
        <f>+Producción!AO8</f>
        <v>2186.9705457599998</v>
      </c>
      <c r="AN14" s="10">
        <f>+Producción!AP8</f>
        <v>2046.6509183999999</v>
      </c>
      <c r="AO14" s="10">
        <f>+Producción!AQ8</f>
        <v>1845.2051235200001</v>
      </c>
      <c r="AP14" s="10">
        <f>+Producción!AR8</f>
        <v>1763.4524160000003</v>
      </c>
      <c r="AQ14" s="10">
        <f>+Producción!AS8</f>
        <v>1864.1223849599999</v>
      </c>
      <c r="AR14" s="10">
        <f>+Producción!AT8</f>
        <v>2141.8007582400005</v>
      </c>
      <c r="AS14" s="10">
        <f>+Producción!AU8</f>
        <v>2045.0630639999997</v>
      </c>
      <c r="AT14" s="10">
        <f>+Producción!AV8</f>
        <v>2351.1936087199997</v>
      </c>
      <c r="AU14" s="10">
        <f>+Producción!AW8</f>
        <v>2135.8042727999996</v>
      </c>
      <c r="AV14" s="10">
        <f>+Producción!AX8</f>
        <v>2070.8127695200001</v>
      </c>
      <c r="AW14" s="10">
        <f>+Producción!AY8</f>
        <v>2081.5370136000001</v>
      </c>
      <c r="AX14" s="10">
        <f>+Producción!AZ8</f>
        <v>2215.0086296800005</v>
      </c>
      <c r="AY14" s="10">
        <f>+Producción!BA8</f>
        <v>2184.72979725</v>
      </c>
      <c r="AZ14" s="10">
        <f>+Producción!BB8</f>
        <v>2044.55394</v>
      </c>
      <c r="BA14" s="10">
        <f>+Producción!BC8</f>
        <v>1843.3145444999998</v>
      </c>
      <c r="BB14" s="10">
        <f>+Producción!BD8</f>
        <v>1761.6456000000001</v>
      </c>
      <c r="BC14" s="10">
        <f>+Producción!BE8</f>
        <v>1862.2124234999999</v>
      </c>
      <c r="BD14" s="10">
        <f>+Producción!BF8</f>
        <v>2139.6062902500003</v>
      </c>
      <c r="BE14" s="10">
        <f>+Producción!BG8</f>
        <v>1972.5205499999997</v>
      </c>
      <c r="BF14" s="10">
        <f>+Producción!BH8</f>
        <v>2348.7845988749996</v>
      </c>
      <c r="BG14" s="10">
        <f>+Producción!BI8</f>
        <v>2133.6159487499999</v>
      </c>
      <c r="BH14" s="10">
        <f>+Producción!BJ8</f>
        <v>2068.6910351249999</v>
      </c>
      <c r="BI14" s="10">
        <f>+Producción!BK8</f>
        <v>2079.4042912499999</v>
      </c>
      <c r="BJ14" s="10">
        <f>+Producción!BL8</f>
        <v>2212.7391536249997</v>
      </c>
      <c r="BK14" s="10">
        <f>+Producción!BM8</f>
        <v>2173.5260546999998</v>
      </c>
      <c r="BL14" s="10">
        <f>+Producción!BN8</f>
        <v>2034.0690479999998</v>
      </c>
      <c r="BM14" s="10">
        <f>+Producción!BO8</f>
        <v>1833.8616494</v>
      </c>
      <c r="BN14" s="10">
        <f>+Producción!BP8</f>
        <v>1752.6115199999999</v>
      </c>
      <c r="BO14" s="10">
        <f>+Producción!BQ8</f>
        <v>1852.6626161999998</v>
      </c>
      <c r="BP14" s="10">
        <f>+Producción!BR8</f>
        <v>2128.6339502999999</v>
      </c>
      <c r="BQ14" s="10">
        <f>+Producción!BS8</f>
        <v>1962.40506</v>
      </c>
      <c r="BR14" s="10">
        <f>+Producción!BT8</f>
        <v>2336.7395496499998</v>
      </c>
      <c r="BS14" s="10">
        <f>+Producción!BU8</f>
        <v>2122.6743284999998</v>
      </c>
      <c r="BT14" s="10">
        <f>+Producción!BV8</f>
        <v>2058.0823631500002</v>
      </c>
      <c r="BU14" s="10">
        <f>+Producción!BW8</f>
        <v>2068.7406794999997</v>
      </c>
      <c r="BV14" s="10">
        <f>+Producción!BX8</f>
        <v>2201.3917733499998</v>
      </c>
      <c r="BW14" s="10">
        <f>+Producción!BY8</f>
        <v>2162.3223121499996</v>
      </c>
      <c r="BX14" s="10">
        <f>+Producción!BZ8</f>
        <v>2023.5841559999999</v>
      </c>
      <c r="BY14" s="10">
        <f>+Producción!CA8</f>
        <v>1824.4087542999998</v>
      </c>
      <c r="BZ14" s="10">
        <f>+Producción!CB8</f>
        <v>1743.57744</v>
      </c>
      <c r="CA14" s="10">
        <f>+Producción!CC8</f>
        <v>1843.1128088999999</v>
      </c>
      <c r="CB14" s="10">
        <f>+Producción!CD8</f>
        <v>2117.66161035</v>
      </c>
      <c r="CC14" s="10">
        <f>+Producción!CE8</f>
        <v>1952.2895700000004</v>
      </c>
      <c r="CD14" s="10">
        <f>+Producción!CF8</f>
        <v>2324.6945004249997</v>
      </c>
      <c r="CE14" s="10">
        <f>+Producción!CG8</f>
        <v>2111.7327082499996</v>
      </c>
      <c r="CF14" s="10">
        <f>+Producción!CH8</f>
        <v>2047.4736911749999</v>
      </c>
      <c r="CG14" s="10">
        <f>+Producción!CI8</f>
        <v>2058.07706775</v>
      </c>
      <c r="CH14" s="10">
        <f>+Producción!CJ8</f>
        <v>2190.0443930750002</v>
      </c>
      <c r="CI14" s="10">
        <f>+Producción!CK8</f>
        <v>2151.1185696000002</v>
      </c>
      <c r="CJ14" s="10">
        <f>+Producción!CL8</f>
        <v>2013.0992640000002</v>
      </c>
      <c r="CK14" s="10">
        <f>+Producción!CM8</f>
        <v>1814.9558592000001</v>
      </c>
      <c r="CL14" s="10">
        <f>+Producción!CN8</f>
        <v>1734.5433599999999</v>
      </c>
      <c r="CM14" s="10">
        <f>+Producción!CO8</f>
        <v>1833.5630015999998</v>
      </c>
      <c r="CN14" s="10">
        <f>+Producción!CP8</f>
        <v>2106.6892704000002</v>
      </c>
      <c r="CO14" s="10">
        <f>+Producción!CQ8</f>
        <v>2011.5374399999998</v>
      </c>
      <c r="CP14" s="10">
        <f>+Producción!CR8</f>
        <v>2312.6494511999999</v>
      </c>
      <c r="CQ14" s="10">
        <f>+Producción!CS8</f>
        <v>2100.7910879999999</v>
      </c>
      <c r="CR14" s="10">
        <f>+Producción!CT8</f>
        <v>2036.8650191999998</v>
      </c>
      <c r="CS14" s="10">
        <f>+Producción!CU8</f>
        <v>2047.413456</v>
      </c>
      <c r="CT14" s="10">
        <f>+Producción!CV8</f>
        <v>2178.6970128000003</v>
      </c>
      <c r="CU14" s="10">
        <f>+Producción!CW8</f>
        <v>2139.9148270499995</v>
      </c>
      <c r="CV14" s="10">
        <f>+Producción!CX8</f>
        <v>2002.6143719999998</v>
      </c>
      <c r="CW14" s="10">
        <f>+Producción!CY8</f>
        <v>1805.5029641000003</v>
      </c>
      <c r="CX14" s="10">
        <f>+Producción!CZ8</f>
        <v>1725.5092800000002</v>
      </c>
      <c r="CY14" s="10">
        <f>+Producción!DA8</f>
        <v>1824.0131942999999</v>
      </c>
      <c r="CZ14" s="10">
        <f>+Producción!DB8</f>
        <v>2095.7169304500003</v>
      </c>
      <c r="DA14" s="10">
        <f>+Producción!DC8</f>
        <v>1932.0585900000001</v>
      </c>
      <c r="DB14" s="10">
        <f>+Producción!DD8</f>
        <v>2300.6044019750002</v>
      </c>
      <c r="DC14" s="10">
        <f>+Producción!DE8</f>
        <v>2089.8494677499998</v>
      </c>
      <c r="DD14" s="10">
        <f>+Producción!DF8</f>
        <v>2026.2563472249999</v>
      </c>
      <c r="DE14" s="10">
        <f>+Producción!DG8</f>
        <v>2036.74984425</v>
      </c>
      <c r="DF14" s="10">
        <f>+Producción!DH8</f>
        <v>2167.3496325250003</v>
      </c>
      <c r="DG14" s="10">
        <f>+Producción!DI8</f>
        <v>2128.7110844999997</v>
      </c>
      <c r="DH14" s="10">
        <f>+Producción!DJ8</f>
        <v>1992.1294800000001</v>
      </c>
      <c r="DI14" s="10">
        <f>+Producción!DK8</f>
        <v>1796.0500690000001</v>
      </c>
      <c r="DJ14" s="10">
        <f>+Producción!DL8</f>
        <v>1716.4752000000001</v>
      </c>
      <c r="DK14" s="10">
        <f>+Producción!DM8</f>
        <v>1814.4633869999998</v>
      </c>
      <c r="DL14" s="10">
        <f>+Producción!DN8</f>
        <v>2084.7445905</v>
      </c>
      <c r="DM14" s="10">
        <f>+Producción!DO8</f>
        <v>1921.9431</v>
      </c>
      <c r="DN14" s="10">
        <f>+Producción!DP8</f>
        <v>2288.55935275</v>
      </c>
      <c r="DO14" s="10">
        <f>+Producción!DQ8</f>
        <v>2078.9078475000001</v>
      </c>
      <c r="DP14" s="10">
        <f>+Producción!DR8</f>
        <v>2015.6476752499998</v>
      </c>
      <c r="DQ14" s="10">
        <f>+Producción!DS8</f>
        <v>2026.0862324999998</v>
      </c>
      <c r="DR14" s="10">
        <f>+Producción!DT8</f>
        <v>2156.0022522499999</v>
      </c>
      <c r="DS14" s="10">
        <f>+Producción!DU8</f>
        <v>2106.3035994000002</v>
      </c>
      <c r="DT14" s="10">
        <f>+Producción!DV8</f>
        <v>2036.8650192</v>
      </c>
      <c r="DU14" s="10">
        <f>+Producción!DW8</f>
        <v>1777.1442787999999</v>
      </c>
      <c r="DV14" s="10">
        <f>+Producción!DX8</f>
        <v>1755.020608</v>
      </c>
      <c r="DW14" s="10">
        <f>+Producción!DY8</f>
        <v>1795.3637723999998</v>
      </c>
      <c r="DX14" s="10">
        <f>+Producción!DZ8</f>
        <v>2062.7999106000002</v>
      </c>
      <c r="DY14" s="10">
        <f>+Producción!EA8</f>
        <v>1901.7121200000001</v>
      </c>
      <c r="DZ14" s="10">
        <f>+Producción!EB8</f>
        <v>2264.4692542999996</v>
      </c>
      <c r="EA14" s="10">
        <f>+Producción!EC8</f>
        <v>2057.0246069999998</v>
      </c>
      <c r="EB14" s="10">
        <f>+Producción!ED8</f>
        <v>1994.4303312999998</v>
      </c>
      <c r="EC14" s="10">
        <f>+Producción!EE8</f>
        <v>2004.7590090000001</v>
      </c>
      <c r="ED14" s="10">
        <f>+Producción!EF8</f>
        <v>2133.3074917000004</v>
      </c>
      <c r="EE14" s="10">
        <f>+Producción!EG8</f>
        <v>2083.8961142999997</v>
      </c>
      <c r="EF14" s="10">
        <f>+Producción!EH8</f>
        <v>2015.1962424000001</v>
      </c>
      <c r="EG14" s="10">
        <f>+Producción!EI8</f>
        <v>1758.2384886</v>
      </c>
      <c r="EH14" s="10">
        <f>+Producción!EJ8</f>
        <v>1736.3501759999999</v>
      </c>
      <c r="EI14" s="10">
        <f>+Producción!EK8</f>
        <v>1776.2641577999998</v>
      </c>
      <c r="EJ14" s="10">
        <f>+Producción!EL8</f>
        <v>2040.8552307000004</v>
      </c>
      <c r="EK14" s="10">
        <f>+Producción!EM8</f>
        <v>1948.6768950000001</v>
      </c>
      <c r="EL14" s="10">
        <f>+Producción!EN8</f>
        <v>2240.3791558500002</v>
      </c>
      <c r="EM14" s="10">
        <f>+Producción!EO8</f>
        <v>2035.1413664999998</v>
      </c>
      <c r="EN14" s="10">
        <f>+Producción!EP8</f>
        <v>1973.2129873499998</v>
      </c>
      <c r="EO14" s="10">
        <f>+Producción!EQ8</f>
        <v>1983.4317854999999</v>
      </c>
      <c r="EP14" s="10">
        <f>+Producción!ER8</f>
        <v>2110.6127311499999</v>
      </c>
      <c r="EQ14" s="10">
        <f>+Producción!ES8</f>
        <v>2061.4886291999997</v>
      </c>
      <c r="ER14" s="10">
        <f>+Producción!ET8</f>
        <v>1993.5274656000001</v>
      </c>
      <c r="ES14" s="10">
        <f>+Producción!EU8</f>
        <v>1739.3326984</v>
      </c>
      <c r="ET14" s="10">
        <f>+Producción!EV8</f>
        <v>1717.679744</v>
      </c>
      <c r="EU14" s="10">
        <f>+Producción!EW8</f>
        <v>1757.1645431999998</v>
      </c>
      <c r="EV14" s="10">
        <f>+Producción!EX8</f>
        <v>2018.9105508000002</v>
      </c>
      <c r="EW14" s="10">
        <f>+Producción!EY8</f>
        <v>1861.2501599999998</v>
      </c>
      <c r="EX14" s="10">
        <f>+Producción!EZ8</f>
        <v>2216.2890574000003</v>
      </c>
      <c r="EY14" s="10">
        <f>+Producción!FA8</f>
        <v>2013.2581259999997</v>
      </c>
      <c r="EZ14" s="10">
        <f>+Producción!FB8</f>
        <v>1951.9956433999998</v>
      </c>
      <c r="FA14" s="10">
        <f>+Producción!FC8</f>
        <v>1962.104562</v>
      </c>
      <c r="FB14" s="10">
        <f>+Producción!FD8</f>
        <v>2087.9179706</v>
      </c>
      <c r="FC14" s="10">
        <f>+Producción!FE8</f>
        <v>2039.0811440999998</v>
      </c>
      <c r="FD14" s="10">
        <f>+Producción!FF8</f>
        <v>1971.8586888000002</v>
      </c>
      <c r="FE14" s="10">
        <f>+Producción!FG8</f>
        <v>1720.4269082000001</v>
      </c>
      <c r="FF14" s="10">
        <f>+Producción!FH8</f>
        <v>1699.0093119999999</v>
      </c>
      <c r="FG14" s="10">
        <f>+Producción!FI8</f>
        <v>1738.0649285999998</v>
      </c>
      <c r="FH14" s="10">
        <f>+Producción!FJ8</f>
        <v>1996.9658709000003</v>
      </c>
      <c r="FI14" s="10">
        <f>+Producción!FK8</f>
        <v>1841.0191800000002</v>
      </c>
      <c r="FJ14" s="10">
        <f>+Producción!FL8</f>
        <v>2192.1989589499999</v>
      </c>
      <c r="FK14" s="10">
        <f>+Producción!FM8</f>
        <v>1991.3748855000001</v>
      </c>
      <c r="FL14" s="10">
        <f>+Producción!FN8</f>
        <v>1930.7782994500001</v>
      </c>
      <c r="FM14" s="10">
        <f>+Producción!FO8</f>
        <v>1940.7773385</v>
      </c>
      <c r="FN14" s="10">
        <f>+Producción!FP8</f>
        <v>2065.22321005</v>
      </c>
      <c r="FO14" s="10">
        <f>+Producción!FQ8</f>
        <v>2016.6736589999998</v>
      </c>
      <c r="FP14" s="10">
        <f>+Producción!FR8</f>
        <v>1950.1899119999998</v>
      </c>
      <c r="FQ14" s="10">
        <f>+Producción!FS8</f>
        <v>1701.5211179999999</v>
      </c>
      <c r="FR14" s="10">
        <f>+Producción!FT8</f>
        <v>1680.33888</v>
      </c>
      <c r="FS14" s="10">
        <f>+Producción!FU8</f>
        <v>1718.965314</v>
      </c>
      <c r="FT14" s="10">
        <f>+Producción!FV8</f>
        <v>1975.021191</v>
      </c>
      <c r="FU14" s="10">
        <f>+Producción!FW8</f>
        <v>1820.7882000000002</v>
      </c>
      <c r="FV14" s="10">
        <f>+Producción!FX8</f>
        <v>2168.1088605</v>
      </c>
      <c r="FW14" s="10">
        <f>+Producción!FY8</f>
        <v>1969.4916450000001</v>
      </c>
      <c r="FX14" s="10">
        <f>+Producción!FZ8</f>
        <v>1909.5609554999999</v>
      </c>
      <c r="FY14" s="10">
        <f>+Producción!GA8</f>
        <v>1919.4501150000001</v>
      </c>
      <c r="FZ14" s="10">
        <f>+Producción!GB8</f>
        <v>2042.5284494999999</v>
      </c>
      <c r="GA14" s="10">
        <f>+Producción!GC8</f>
        <v>1994.2661739</v>
      </c>
      <c r="GB14" s="10">
        <f>+Producción!GD8</f>
        <v>1928.5211351999999</v>
      </c>
      <c r="GC14" s="10">
        <f>+Producción!GE8</f>
        <v>1682.6153277999999</v>
      </c>
      <c r="GD14" s="10">
        <f>+Producción!GF8</f>
        <v>1661.6684479999999</v>
      </c>
      <c r="GE14" s="10">
        <f>+Producción!GG8</f>
        <v>1699.8656994</v>
      </c>
      <c r="GF14" s="10">
        <f>+Producción!GH8</f>
        <v>1953.0765111000003</v>
      </c>
      <c r="GG14" s="10">
        <f>+Producción!GI8</f>
        <v>1864.8628349999999</v>
      </c>
      <c r="GH14" s="10">
        <f>+Producción!GJ8</f>
        <v>2144.0187620500001</v>
      </c>
      <c r="GI14" s="10">
        <f>+Producción!GK8</f>
        <v>1947.6084044999998</v>
      </c>
      <c r="GJ14" s="10">
        <f>+Producción!GL8</f>
        <v>1888.3436115500001</v>
      </c>
      <c r="GK14" s="10">
        <f>+Producción!GM8</f>
        <v>1898.1228914999997</v>
      </c>
      <c r="GL14" s="10">
        <f>+Producción!GN8</f>
        <v>2019.8336889499999</v>
      </c>
      <c r="GM14" s="10">
        <f>+Producción!GO8</f>
        <v>1971.8586888</v>
      </c>
      <c r="GN14" s="10">
        <f>+Producción!GP8</f>
        <v>1906.8523583999997</v>
      </c>
      <c r="GO14" s="10">
        <f>+Producción!GQ8</f>
        <v>1663.7095376</v>
      </c>
      <c r="GP14" s="10">
        <f>+Producción!GR8</f>
        <v>1642.9980159999998</v>
      </c>
      <c r="GQ14" s="10">
        <f>+Producción!GS8</f>
        <v>1680.7660848</v>
      </c>
      <c r="GR14" s="10">
        <f>+Producción!GT8</f>
        <v>1931.1318312000001</v>
      </c>
      <c r="GS14" s="10">
        <f>+Producción!GU8</f>
        <v>1780.3262399999999</v>
      </c>
      <c r="GT14" s="10">
        <f>+Producción!GV8</f>
        <v>2119.9286635999997</v>
      </c>
      <c r="GU14" s="10">
        <f>+Producción!GW8</f>
        <v>1925.7251639999997</v>
      </c>
      <c r="GV14" s="10">
        <f>+Producción!GX8</f>
        <v>1867.1262675999997</v>
      </c>
      <c r="GW14" s="10">
        <f>+Producción!GY8</f>
        <v>1876.795668</v>
      </c>
      <c r="GX14" s="10">
        <f>+Producción!GZ8</f>
        <v>1997.1389283999999</v>
      </c>
      <c r="GY14" s="10">
        <f>+Producción!HA8</f>
        <v>1949.4512037</v>
      </c>
      <c r="GZ14" s="10">
        <f>+Producción!HB8</f>
        <v>1885.1835816</v>
      </c>
      <c r="HA14" s="10">
        <f>+Producción!HC8</f>
        <v>1644.8037474</v>
      </c>
      <c r="HB14" s="10">
        <f>+Producción!HD8</f>
        <v>1624.3275840000001</v>
      </c>
      <c r="HC14" s="10">
        <f>+Producción!HE8</f>
        <v>1661.6664701999998</v>
      </c>
      <c r="HD14" s="10">
        <f>+Producción!HF8</f>
        <v>1909.1871513000001</v>
      </c>
      <c r="HE14" s="10">
        <f>+Producción!HG8</f>
        <v>1760.0952600000003</v>
      </c>
      <c r="HF14" s="10">
        <f>+Producción!HH8</f>
        <v>2095.8385651499998</v>
      </c>
      <c r="HG14" s="10">
        <f>+Producción!HI8</f>
        <v>1903.8419234999997</v>
      </c>
      <c r="HH14" s="10">
        <f>+Producción!HJ8</f>
        <v>1845.9089236499997</v>
      </c>
      <c r="HI14" s="10">
        <f>+Producción!HK8</f>
        <v>1855.4684444999998</v>
      </c>
      <c r="HJ14" s="10">
        <f>+Producción!HL8</f>
        <v>1974.4441678499998</v>
      </c>
      <c r="HK14" s="10">
        <f>+Producción!HM8</f>
        <v>1927.0437185999997</v>
      </c>
      <c r="HL14" s="10">
        <f>+Producción!HN8</f>
        <v>1863.5148048000001</v>
      </c>
      <c r="HM14" s="10">
        <f>+Producción!HO8</f>
        <v>1625.8979572000001</v>
      </c>
      <c r="HN14" s="10">
        <f>+Producción!HP8</f>
        <v>1605.657152</v>
      </c>
      <c r="HO14" s="10">
        <f>+Producción!HQ8</f>
        <v>1642.5668555999998</v>
      </c>
      <c r="HP14" s="10">
        <f>+Producción!HR8</f>
        <v>1887.2424714000003</v>
      </c>
      <c r="HQ14" s="10">
        <f>+Producción!HS8</f>
        <v>1739.86428</v>
      </c>
      <c r="HR14" s="10">
        <f>+Producción!HT8</f>
        <v>2071.7484666999999</v>
      </c>
      <c r="HS14" s="10">
        <f>+Producción!HU8</f>
        <v>1881.9586830000001</v>
      </c>
      <c r="HT14" s="10">
        <f>+Producción!HV8</f>
        <v>1824.6915796999999</v>
      </c>
      <c r="HU14" s="10">
        <f>+Producción!HW8</f>
        <v>1834.1412210000001</v>
      </c>
      <c r="HV14" s="10">
        <f>+Producción!HX8</f>
        <v>1951.7494072999998</v>
      </c>
      <c r="HW14" s="10">
        <f>+Producción!HY8</f>
        <v>1904.6362335000001</v>
      </c>
      <c r="HX14" s="10">
        <f>+Producción!HZ8</f>
        <v>1841.8460279999999</v>
      </c>
      <c r="HY14" s="10">
        <f>+Producción!IA8</f>
        <v>1606.9921670000001</v>
      </c>
      <c r="HZ14" s="10">
        <f>+Producción!IB8</f>
        <v>1586.9867199999999</v>
      </c>
      <c r="IA14" s="10">
        <f>+Producción!IC8</f>
        <v>1623.4672409999998</v>
      </c>
      <c r="IB14" s="10">
        <f>+Producción!ID8</f>
        <v>1865.2977915000004</v>
      </c>
      <c r="IC14" s="10">
        <f>+Producción!IE8</f>
        <v>1781.0487750000002</v>
      </c>
      <c r="ID14" s="10">
        <f>+Producción!IF8</f>
        <v>2047.6583682499997</v>
      </c>
      <c r="IE14" s="10">
        <f>+Producción!IG8</f>
        <v>1860.0754424999998</v>
      </c>
      <c r="IF14" s="10">
        <f>+Producción!IH8</f>
        <v>1803.4742357499997</v>
      </c>
      <c r="IG14" s="10">
        <f>+Producción!II8</f>
        <v>1812.8139974999999</v>
      </c>
      <c r="IH14" s="10">
        <f>+Producción!IJ8</f>
        <v>1929.0546467500001</v>
      </c>
    </row>
    <row r="16" spans="1:242" x14ac:dyDescent="0.3">
      <c r="A16" s="6" t="s">
        <v>909</v>
      </c>
      <c r="B16" t="s">
        <v>939</v>
      </c>
      <c r="C16" s="10">
        <f>+Producción!E9</f>
        <v>1361</v>
      </c>
      <c r="D16" s="10">
        <f>+Producción!F9</f>
        <v>1712</v>
      </c>
      <c r="E16" s="10">
        <f>+Producción!G9</f>
        <v>1565</v>
      </c>
      <c r="F16" s="10">
        <f>+Producción!H9</f>
        <v>2143</v>
      </c>
      <c r="G16" s="10">
        <f>+Producción!I9</f>
        <v>2131</v>
      </c>
      <c r="H16" s="10">
        <f>+Producción!J9</f>
        <v>2409</v>
      </c>
      <c r="I16" s="70">
        <f>+Producción!K9</f>
        <v>2063</v>
      </c>
      <c r="J16" s="10">
        <f>+Producción!L9</f>
        <v>1931</v>
      </c>
      <c r="K16" s="10">
        <f>+Producción!M9</f>
        <v>1439</v>
      </c>
      <c r="L16" s="10">
        <f>+Producción!N9</f>
        <v>1428</v>
      </c>
      <c r="M16" s="10">
        <f>+Producción!O9</f>
        <v>1562</v>
      </c>
      <c r="N16" s="10">
        <f>+Producción!P9</f>
        <v>1231</v>
      </c>
      <c r="O16" s="10">
        <f>+Producción!Q9</f>
        <v>1361</v>
      </c>
      <c r="P16" s="10">
        <f>+Producción!R9</f>
        <v>1712</v>
      </c>
      <c r="Q16" s="10">
        <f>+Producción!S9</f>
        <v>1565</v>
      </c>
      <c r="R16" s="10">
        <f>+Producción!T9</f>
        <v>2143</v>
      </c>
      <c r="S16" s="10">
        <f>+Producción!U9</f>
        <v>2131</v>
      </c>
      <c r="T16" s="10">
        <f>+Producción!V9</f>
        <v>2409</v>
      </c>
      <c r="U16" s="10">
        <f>+Producción!W9</f>
        <v>2063</v>
      </c>
      <c r="V16" s="10">
        <f>+Producción!X9</f>
        <v>1931</v>
      </c>
      <c r="W16" s="10">
        <f>+Producción!Y9</f>
        <v>1439</v>
      </c>
      <c r="X16" s="10">
        <f>+Producción!Z9</f>
        <v>1428</v>
      </c>
      <c r="Y16" s="10">
        <f>+Producción!AA9</f>
        <v>1562</v>
      </c>
      <c r="Z16" s="10">
        <f>+Producción!AB9</f>
        <v>1231</v>
      </c>
      <c r="AA16" s="10">
        <f>+Producción!AC9</f>
        <v>1361</v>
      </c>
      <c r="AB16" s="10">
        <f>+Producción!AD9</f>
        <v>1712</v>
      </c>
      <c r="AC16" s="10">
        <f>+Producción!AE9</f>
        <v>1565</v>
      </c>
      <c r="AD16" s="10">
        <f>+Producción!AF9</f>
        <v>2143</v>
      </c>
      <c r="AE16" s="10">
        <f>+Producción!AG9</f>
        <v>2131</v>
      </c>
      <c r="AF16" s="10">
        <f>+Producción!AH9</f>
        <v>2409</v>
      </c>
      <c r="AG16" s="10">
        <f>+Producción!AI9</f>
        <v>2063</v>
      </c>
      <c r="AH16" s="10">
        <f>+Producción!AJ9</f>
        <v>1931</v>
      </c>
      <c r="AI16" s="10">
        <f>+Producción!AK9</f>
        <v>1439</v>
      </c>
      <c r="AJ16" s="10">
        <f>+Producción!AL9</f>
        <v>1428</v>
      </c>
      <c r="AK16" s="10">
        <f>+Producción!AM9</f>
        <v>1562</v>
      </c>
      <c r="AL16" s="10">
        <f>+Producción!AN9</f>
        <v>1231</v>
      </c>
      <c r="AM16" s="10">
        <f>+Producción!AO9</f>
        <v>1361</v>
      </c>
      <c r="AN16" s="10">
        <f>+Producción!AP9</f>
        <v>1712</v>
      </c>
      <c r="AO16" s="10">
        <f>+Producción!AQ9</f>
        <v>1565</v>
      </c>
      <c r="AP16" s="10">
        <f>+Producción!AR9</f>
        <v>2143</v>
      </c>
      <c r="AQ16" s="10">
        <f>+Producción!AS9</f>
        <v>2131</v>
      </c>
      <c r="AR16" s="10">
        <f>+Producción!AT9</f>
        <v>2409</v>
      </c>
      <c r="AS16" s="10">
        <f>+Producción!AU9</f>
        <v>2063</v>
      </c>
      <c r="AT16" s="10">
        <f>+Producción!AV9</f>
        <v>1931</v>
      </c>
      <c r="AU16" s="10">
        <f>+Producción!AW9</f>
        <v>1439</v>
      </c>
      <c r="AV16" s="10">
        <f>+Producción!AX9</f>
        <v>1428</v>
      </c>
      <c r="AW16" s="10">
        <f>+Producción!AY9</f>
        <v>1562</v>
      </c>
      <c r="AX16" s="10">
        <f>+Producción!AZ9</f>
        <v>1231</v>
      </c>
      <c r="AY16" s="10">
        <f>+Producción!BA9</f>
        <v>1361</v>
      </c>
      <c r="AZ16" s="10">
        <f>+Producción!BB9</f>
        <v>1712</v>
      </c>
      <c r="BA16" s="10">
        <f>+Producción!BC9</f>
        <v>1565</v>
      </c>
      <c r="BB16" s="10">
        <f>+Producción!BD9</f>
        <v>2143</v>
      </c>
      <c r="BC16" s="10">
        <f>+Producción!BE9</f>
        <v>2131</v>
      </c>
      <c r="BD16" s="10">
        <f>+Producción!BF9</f>
        <v>2409</v>
      </c>
      <c r="BE16" s="10">
        <f>+Producción!BG9</f>
        <v>2063</v>
      </c>
      <c r="BF16" s="10">
        <f>+Producción!BH9</f>
        <v>1931</v>
      </c>
      <c r="BG16" s="10">
        <f>+Producción!BI9</f>
        <v>1439</v>
      </c>
      <c r="BH16" s="10">
        <f>+Producción!BJ9</f>
        <v>1428</v>
      </c>
      <c r="BI16" s="10">
        <f>+Producción!BK9</f>
        <v>1562</v>
      </c>
      <c r="BJ16" s="10">
        <f>+Producción!BL9</f>
        <v>1231</v>
      </c>
      <c r="BK16" s="10">
        <f>+Producción!BM9</f>
        <v>1361</v>
      </c>
      <c r="BL16" s="10">
        <f>+Producción!BN9</f>
        <v>1712</v>
      </c>
      <c r="BM16" s="10">
        <f>+Producción!BO9</f>
        <v>1565</v>
      </c>
      <c r="BN16" s="10">
        <f>+Producción!BP9</f>
        <v>2143</v>
      </c>
      <c r="BO16" s="10">
        <f>+Producción!BQ9</f>
        <v>2131</v>
      </c>
      <c r="BP16" s="10">
        <f>+Producción!BR9</f>
        <v>2409</v>
      </c>
      <c r="BQ16" s="10">
        <f>+Producción!BS9</f>
        <v>2063</v>
      </c>
      <c r="BR16" s="10">
        <f>+Producción!BT9</f>
        <v>1931</v>
      </c>
      <c r="BS16" s="10">
        <f>+Producción!BU9</f>
        <v>1439</v>
      </c>
      <c r="BT16" s="10">
        <f>+Producción!BV9</f>
        <v>1428</v>
      </c>
      <c r="BU16" s="10">
        <f>+Producción!BW9</f>
        <v>1562</v>
      </c>
      <c r="BV16" s="10">
        <f>+Producción!BX9</f>
        <v>1231</v>
      </c>
      <c r="BW16" s="10">
        <f>+Producción!BY9</f>
        <v>1361</v>
      </c>
      <c r="BX16" s="10">
        <f>+Producción!BZ9</f>
        <v>1712</v>
      </c>
      <c r="BY16" s="10">
        <f>+Producción!CA9</f>
        <v>1565</v>
      </c>
      <c r="BZ16" s="10">
        <f>+Producción!CB9</f>
        <v>2143</v>
      </c>
      <c r="CA16" s="10">
        <f>+Producción!CC9</f>
        <v>2131</v>
      </c>
      <c r="CB16" s="10">
        <f>+Producción!CD9</f>
        <v>2409</v>
      </c>
      <c r="CC16" s="10">
        <f>+Producción!CE9</f>
        <v>2063</v>
      </c>
      <c r="CD16" s="10">
        <f>+Producción!CF9</f>
        <v>1931</v>
      </c>
      <c r="CE16" s="10">
        <f>+Producción!CG9</f>
        <v>1439</v>
      </c>
      <c r="CF16" s="10">
        <f>+Producción!CH9</f>
        <v>1428</v>
      </c>
      <c r="CG16" s="10">
        <f>+Producción!CI9</f>
        <v>1562</v>
      </c>
      <c r="CH16" s="10">
        <f>+Producción!CJ9</f>
        <v>1231</v>
      </c>
      <c r="CI16" s="10">
        <f>+Producción!CK9</f>
        <v>1361</v>
      </c>
      <c r="CJ16" s="10">
        <f>+Producción!CL9</f>
        <v>1712</v>
      </c>
      <c r="CK16" s="10">
        <f>+Producción!CM9</f>
        <v>1565</v>
      </c>
      <c r="CL16" s="10">
        <f>+Producción!CN9</f>
        <v>2143</v>
      </c>
      <c r="CM16" s="10">
        <f>+Producción!CO9</f>
        <v>2131</v>
      </c>
      <c r="CN16" s="10">
        <f>+Producción!CP9</f>
        <v>2409</v>
      </c>
      <c r="CO16" s="10">
        <f>+Producción!CQ9</f>
        <v>2063</v>
      </c>
      <c r="CP16" s="10">
        <f>+Producción!CR9</f>
        <v>1931</v>
      </c>
      <c r="CQ16" s="10">
        <f>+Producción!CS9</f>
        <v>1439</v>
      </c>
      <c r="CR16" s="10">
        <f>+Producción!CT9</f>
        <v>1428</v>
      </c>
      <c r="CS16" s="10">
        <f>+Producción!CU9</f>
        <v>1562</v>
      </c>
      <c r="CT16" s="10">
        <f>+Producción!CV9</f>
        <v>1231</v>
      </c>
      <c r="CU16" s="10">
        <f>+Producción!CW9</f>
        <v>1361</v>
      </c>
      <c r="CV16" s="10">
        <f>+Producción!CX9</f>
        <v>1712</v>
      </c>
      <c r="CW16" s="10">
        <f>+Producción!CY9</f>
        <v>1565</v>
      </c>
      <c r="CX16" s="10">
        <f>+Producción!CZ9</f>
        <v>2143</v>
      </c>
      <c r="CY16" s="10">
        <f>+Producción!DA9</f>
        <v>2131</v>
      </c>
      <c r="CZ16" s="10">
        <f>+Producción!DB9</f>
        <v>2409</v>
      </c>
      <c r="DA16" s="10">
        <f>+Producción!DC9</f>
        <v>2063</v>
      </c>
      <c r="DB16" s="10">
        <f>+Producción!DD9</f>
        <v>1931</v>
      </c>
      <c r="DC16" s="10">
        <f>+Producción!DE9</f>
        <v>1439</v>
      </c>
      <c r="DD16" s="10">
        <f>+Producción!DF9</f>
        <v>1428</v>
      </c>
      <c r="DE16" s="10">
        <f>+Producción!DG9</f>
        <v>1562</v>
      </c>
      <c r="DF16" s="10">
        <f>+Producción!DH9</f>
        <v>1231</v>
      </c>
      <c r="DG16" s="10">
        <f>+Producción!DI9</f>
        <v>1361</v>
      </c>
      <c r="DH16" s="10">
        <f>+Producción!DJ9</f>
        <v>1712</v>
      </c>
      <c r="DI16" s="10">
        <f>+Producción!DK9</f>
        <v>1565</v>
      </c>
      <c r="DJ16" s="10">
        <f>+Producción!DL9</f>
        <v>2143</v>
      </c>
      <c r="DK16" s="10">
        <f>+Producción!DM9</f>
        <v>2131</v>
      </c>
      <c r="DL16" s="10">
        <f>+Producción!DN9</f>
        <v>2409</v>
      </c>
      <c r="DM16" s="10">
        <f>+Producción!DO9</f>
        <v>2063</v>
      </c>
      <c r="DN16" s="10">
        <f>+Producción!DP9</f>
        <v>1931</v>
      </c>
      <c r="DO16" s="10">
        <f>+Producción!DQ9</f>
        <v>1439</v>
      </c>
      <c r="DP16" s="10">
        <f>+Producción!DR9</f>
        <v>1428</v>
      </c>
      <c r="DQ16" s="10">
        <f>+Producción!DS9</f>
        <v>1562</v>
      </c>
      <c r="DR16" s="10">
        <f>+Producción!DT9</f>
        <v>1231</v>
      </c>
      <c r="DS16" s="10">
        <f>+Producción!DU9</f>
        <v>1361</v>
      </c>
      <c r="DT16" s="10">
        <f>+Producción!DV9</f>
        <v>1712</v>
      </c>
      <c r="DU16" s="10">
        <f>+Producción!DW9</f>
        <v>1565</v>
      </c>
      <c r="DV16" s="10">
        <f>+Producción!DX9</f>
        <v>2143</v>
      </c>
      <c r="DW16" s="10">
        <f>+Producción!DY9</f>
        <v>2131</v>
      </c>
      <c r="DX16" s="10">
        <f>+Producción!DZ9</f>
        <v>2409</v>
      </c>
      <c r="DY16" s="10">
        <f>+Producción!EA9</f>
        <v>2063</v>
      </c>
      <c r="DZ16" s="10">
        <f>+Producción!EB9</f>
        <v>1931</v>
      </c>
      <c r="EA16" s="10">
        <f>+Producción!EC9</f>
        <v>1439</v>
      </c>
      <c r="EB16" s="10">
        <f>+Producción!ED9</f>
        <v>1428</v>
      </c>
      <c r="EC16" s="10">
        <f>+Producción!EE9</f>
        <v>1562</v>
      </c>
      <c r="ED16" s="10">
        <f>+Producción!EF9</f>
        <v>1231</v>
      </c>
      <c r="EE16" s="10">
        <f>+Producción!EG9</f>
        <v>1361</v>
      </c>
      <c r="EF16" s="10">
        <f>+Producción!EH9</f>
        <v>1712</v>
      </c>
      <c r="EG16" s="10">
        <f>+Producción!EI9</f>
        <v>1565</v>
      </c>
      <c r="EH16" s="10">
        <f>+Producción!EJ9</f>
        <v>2143</v>
      </c>
      <c r="EI16" s="10">
        <f>+Producción!EK9</f>
        <v>2131</v>
      </c>
      <c r="EJ16" s="10">
        <f>+Producción!EL9</f>
        <v>2409</v>
      </c>
      <c r="EK16" s="10">
        <f>+Producción!EM9</f>
        <v>2063</v>
      </c>
      <c r="EL16" s="10">
        <f>+Producción!EN9</f>
        <v>1931</v>
      </c>
      <c r="EM16" s="10">
        <f>+Producción!EO9</f>
        <v>1439</v>
      </c>
      <c r="EN16" s="10">
        <f>+Producción!EP9</f>
        <v>1428</v>
      </c>
      <c r="EO16" s="10">
        <f>+Producción!EQ9</f>
        <v>1562</v>
      </c>
      <c r="EP16" s="10">
        <f>+Producción!ER9</f>
        <v>1231</v>
      </c>
      <c r="EQ16" s="10">
        <f>+Producción!ES9</f>
        <v>1361</v>
      </c>
      <c r="ER16" s="10">
        <f>+Producción!ET9</f>
        <v>1712</v>
      </c>
      <c r="ES16" s="10">
        <f>+Producción!EU9</f>
        <v>1565</v>
      </c>
      <c r="ET16" s="10">
        <f>+Producción!EV9</f>
        <v>2143</v>
      </c>
      <c r="EU16" s="10">
        <f>+Producción!EW9</f>
        <v>2131</v>
      </c>
      <c r="EV16" s="10">
        <f>+Producción!EX9</f>
        <v>2409</v>
      </c>
      <c r="EW16" s="10">
        <f>+Producción!EY9</f>
        <v>2063</v>
      </c>
      <c r="EX16" s="10">
        <f>+Producción!EZ9</f>
        <v>1931</v>
      </c>
      <c r="EY16" s="10">
        <f>+Producción!FA9</f>
        <v>1439</v>
      </c>
      <c r="EZ16" s="10">
        <f>+Producción!FB9</f>
        <v>1428</v>
      </c>
      <c r="FA16" s="10">
        <f>+Producción!FC9</f>
        <v>1562</v>
      </c>
      <c r="FB16" s="10">
        <f>+Producción!FD9</f>
        <v>1231</v>
      </c>
      <c r="FC16" s="10">
        <f>+Producción!FE9</f>
        <v>1361</v>
      </c>
      <c r="FD16" s="10">
        <f>+Producción!FF9</f>
        <v>1712</v>
      </c>
      <c r="FE16" s="10">
        <f>+Producción!FG9</f>
        <v>1565</v>
      </c>
      <c r="FF16" s="10">
        <f>+Producción!FH9</f>
        <v>2143</v>
      </c>
      <c r="FG16" s="10">
        <f>+Producción!FI9</f>
        <v>2131</v>
      </c>
      <c r="FH16" s="10">
        <f>+Producción!FJ9</f>
        <v>2409</v>
      </c>
      <c r="FI16" s="10">
        <f>+Producción!FK9</f>
        <v>2063</v>
      </c>
      <c r="FJ16" s="10">
        <f>+Producción!FL9</f>
        <v>1931</v>
      </c>
      <c r="FK16" s="10">
        <f>+Producción!FM9</f>
        <v>1439</v>
      </c>
      <c r="FL16" s="10">
        <f>+Producción!FN9</f>
        <v>1428</v>
      </c>
      <c r="FM16" s="10">
        <f>+Producción!FO9</f>
        <v>1562</v>
      </c>
      <c r="FN16" s="10">
        <f>+Producción!FP9</f>
        <v>1231</v>
      </c>
      <c r="FO16" s="10">
        <f>+Producción!FQ9</f>
        <v>1361</v>
      </c>
      <c r="FP16" s="10">
        <f>+Producción!FR9</f>
        <v>1712</v>
      </c>
      <c r="FQ16" s="10">
        <f>+Producción!FS9</f>
        <v>1565</v>
      </c>
      <c r="FR16" s="10">
        <f>+Producción!FT9</f>
        <v>2143</v>
      </c>
      <c r="FS16" s="10">
        <f>+Producción!FU9</f>
        <v>2131</v>
      </c>
      <c r="FT16" s="10">
        <f>+Producción!FV9</f>
        <v>2409</v>
      </c>
      <c r="FU16" s="10">
        <f>+Producción!FW9</f>
        <v>2063</v>
      </c>
      <c r="FV16" s="10">
        <f>+Producción!FX9</f>
        <v>1931</v>
      </c>
      <c r="FW16" s="10">
        <f>+Producción!FY9</f>
        <v>1439</v>
      </c>
      <c r="FX16" s="10">
        <f>+Producción!FZ9</f>
        <v>1428</v>
      </c>
      <c r="FY16" s="10">
        <f>+Producción!GA9</f>
        <v>1562</v>
      </c>
      <c r="FZ16" s="10">
        <f>+Producción!GB9</f>
        <v>1231</v>
      </c>
      <c r="GA16" s="10">
        <f>+Producción!GC9</f>
        <v>1361</v>
      </c>
      <c r="GB16" s="10">
        <f>+Producción!GD9</f>
        <v>1712</v>
      </c>
      <c r="GC16" s="10">
        <f>+Producción!GE9</f>
        <v>1565</v>
      </c>
      <c r="GD16" s="10">
        <f>+Producción!GF9</f>
        <v>2143</v>
      </c>
      <c r="GE16" s="10">
        <f>+Producción!GG9</f>
        <v>2131</v>
      </c>
      <c r="GF16" s="10">
        <f>+Producción!GH9</f>
        <v>2409</v>
      </c>
      <c r="GG16" s="10">
        <f>+Producción!GI9</f>
        <v>2063</v>
      </c>
      <c r="GH16" s="10">
        <f>+Producción!GJ9</f>
        <v>1931</v>
      </c>
      <c r="GI16" s="10">
        <f>+Producción!GK9</f>
        <v>1439</v>
      </c>
      <c r="GJ16" s="10">
        <f>+Producción!GL9</f>
        <v>1428</v>
      </c>
      <c r="GK16" s="10">
        <f>+Producción!GM9</f>
        <v>1562</v>
      </c>
      <c r="GL16" s="10">
        <f>+Producción!GN9</f>
        <v>1231</v>
      </c>
      <c r="GM16" s="10">
        <f>+Producción!GO9</f>
        <v>1361</v>
      </c>
      <c r="GN16" s="10">
        <f>+Producción!GP9</f>
        <v>1712</v>
      </c>
      <c r="GO16" s="10">
        <f>+Producción!GQ9</f>
        <v>1565</v>
      </c>
      <c r="GP16" s="10">
        <f>+Producción!GR9</f>
        <v>2143</v>
      </c>
      <c r="GQ16" s="10">
        <f>+Producción!GS9</f>
        <v>2131</v>
      </c>
      <c r="GR16" s="10">
        <f>+Producción!GT9</f>
        <v>2409</v>
      </c>
      <c r="GS16" s="10">
        <f>+Producción!GU9</f>
        <v>2063</v>
      </c>
      <c r="GT16" s="10">
        <f>+Producción!GV9</f>
        <v>1931</v>
      </c>
      <c r="GU16" s="10">
        <f>+Producción!GW9</f>
        <v>1439</v>
      </c>
      <c r="GV16" s="10">
        <f>+Producción!GX9</f>
        <v>1428</v>
      </c>
      <c r="GW16" s="10">
        <f>+Producción!GY9</f>
        <v>1562</v>
      </c>
      <c r="GX16" s="10">
        <f>+Producción!GZ9</f>
        <v>1231</v>
      </c>
      <c r="GY16" s="10">
        <f>+Producción!HA9</f>
        <v>1361</v>
      </c>
      <c r="GZ16" s="10">
        <f>+Producción!HB9</f>
        <v>1712</v>
      </c>
      <c r="HA16" s="10">
        <f>+Producción!HC9</f>
        <v>1565</v>
      </c>
      <c r="HB16" s="10">
        <f>+Producción!HD9</f>
        <v>2143</v>
      </c>
      <c r="HC16" s="10">
        <f>+Producción!HE9</f>
        <v>2131</v>
      </c>
      <c r="HD16" s="10">
        <f>+Producción!HF9</f>
        <v>2409</v>
      </c>
      <c r="HE16" s="10">
        <f>+Producción!HG9</f>
        <v>2063</v>
      </c>
      <c r="HF16" s="10">
        <f>+Producción!HH9</f>
        <v>1931</v>
      </c>
      <c r="HG16" s="10">
        <f>+Producción!HI9</f>
        <v>1439</v>
      </c>
      <c r="HH16" s="10">
        <f>+Producción!HJ9</f>
        <v>1428</v>
      </c>
      <c r="HI16" s="10">
        <f>+Producción!HK9</f>
        <v>1562</v>
      </c>
      <c r="HJ16" s="10">
        <f>+Producción!HL9</f>
        <v>1231</v>
      </c>
      <c r="HK16" s="10">
        <f>+Producción!HM9</f>
        <v>1361</v>
      </c>
      <c r="HL16" s="10">
        <f>+Producción!HN9</f>
        <v>1712</v>
      </c>
      <c r="HM16" s="10">
        <f>+Producción!HO9</f>
        <v>1565</v>
      </c>
      <c r="HN16" s="10">
        <f>+Producción!HP9</f>
        <v>2143</v>
      </c>
      <c r="HO16" s="10">
        <f>+Producción!HQ9</f>
        <v>2131</v>
      </c>
      <c r="HP16" s="10">
        <f>+Producción!HR9</f>
        <v>2409</v>
      </c>
      <c r="HQ16" s="10">
        <f>+Producción!HS9</f>
        <v>2063</v>
      </c>
      <c r="HR16" s="10">
        <f>+Producción!HT9</f>
        <v>1931</v>
      </c>
      <c r="HS16" s="10">
        <f>+Producción!HU9</f>
        <v>1439</v>
      </c>
      <c r="HT16" s="10">
        <f>+Producción!HV9</f>
        <v>1428</v>
      </c>
      <c r="HU16" s="10">
        <f>+Producción!HW9</f>
        <v>1562</v>
      </c>
      <c r="HV16" s="10">
        <f>+Producción!HX9</f>
        <v>1231</v>
      </c>
      <c r="HW16" s="10">
        <f>+Producción!HY9</f>
        <v>1361</v>
      </c>
      <c r="HX16" s="10">
        <f>+Producción!HZ9</f>
        <v>1712</v>
      </c>
      <c r="HY16" s="10">
        <f>+Producción!IA9</f>
        <v>1565</v>
      </c>
      <c r="HZ16" s="10">
        <f>+Producción!IB9</f>
        <v>2143</v>
      </c>
      <c r="IA16" s="10">
        <f>+Producción!IC9</f>
        <v>2131</v>
      </c>
      <c r="IB16" s="10">
        <f>+Producción!ID9</f>
        <v>2409</v>
      </c>
      <c r="IC16" s="10">
        <f>+Producción!IE9</f>
        <v>2063</v>
      </c>
      <c r="ID16" s="10">
        <f>+Producción!IF9</f>
        <v>1931</v>
      </c>
      <c r="IE16" s="10">
        <f>+Producción!IG9</f>
        <v>1439</v>
      </c>
      <c r="IF16" s="10">
        <f>+Producción!IH9</f>
        <v>1428</v>
      </c>
      <c r="IG16" s="10">
        <f>+Producción!II9</f>
        <v>1562</v>
      </c>
      <c r="IH16" s="10">
        <f>+Producción!IJ9</f>
        <v>1231</v>
      </c>
    </row>
    <row r="17" spans="1:242" x14ac:dyDescent="0.3">
      <c r="A17" t="s">
        <v>910</v>
      </c>
      <c r="B17" s="30"/>
      <c r="C17" s="10"/>
      <c r="D17" s="10">
        <f>+C16*C5</f>
        <v>1098708.08</v>
      </c>
      <c r="E17" s="10">
        <f t="shared" ref="E17:BP17" si="4">+D16*D5</f>
        <v>1463828.48</v>
      </c>
      <c r="F17" s="10">
        <f t="shared" si="4"/>
        <v>1337824.6000000001</v>
      </c>
      <c r="G17" s="10">
        <f t="shared" si="4"/>
        <v>1944193.8900000001</v>
      </c>
      <c r="H17" s="10">
        <f t="shared" si="4"/>
        <v>1933243.2000000002</v>
      </c>
      <c r="I17" s="10">
        <f>+H16*H5</f>
        <v>2185492.98</v>
      </c>
      <c r="J17" s="10">
        <f t="shared" si="4"/>
        <v>1946357.98</v>
      </c>
      <c r="K17" s="10">
        <f t="shared" si="4"/>
        <v>1821898.5</v>
      </c>
      <c r="L17" s="10">
        <f t="shared" si="4"/>
        <v>1357638.94</v>
      </c>
      <c r="M17" s="10">
        <f t="shared" si="4"/>
        <v>1347260.8800000001</v>
      </c>
      <c r="N17" s="10">
        <f t="shared" si="4"/>
        <v>1465405.92</v>
      </c>
      <c r="O17" s="10">
        <f t="shared" si="4"/>
        <v>1090309.01</v>
      </c>
      <c r="P17" s="10">
        <f t="shared" si="4"/>
        <v>1205437.7</v>
      </c>
      <c r="Q17" s="10">
        <f t="shared" si="4"/>
        <v>1361040</v>
      </c>
      <c r="R17" s="10">
        <f t="shared" si="4"/>
        <v>1244175</v>
      </c>
      <c r="S17" s="10">
        <f t="shared" si="4"/>
        <v>1705677.99</v>
      </c>
      <c r="T17" s="10">
        <f t="shared" si="4"/>
        <v>1696126.8299999998</v>
      </c>
      <c r="U17" s="10">
        <f t="shared" si="4"/>
        <v>1917395.3699999999</v>
      </c>
      <c r="V17" s="10">
        <f t="shared" si="4"/>
        <v>1642003.5899999999</v>
      </c>
      <c r="W17" s="10">
        <f t="shared" si="4"/>
        <v>1876555.4550000001</v>
      </c>
      <c r="X17" s="10">
        <f t="shared" si="4"/>
        <v>1398368.1082000001</v>
      </c>
      <c r="Y17" s="10">
        <f t="shared" si="4"/>
        <v>1387678.7064</v>
      </c>
      <c r="Z17" s="10">
        <f t="shared" si="4"/>
        <v>1509368.0976</v>
      </c>
      <c r="AA17" s="10">
        <f t="shared" si="4"/>
        <v>1123018.2803000002</v>
      </c>
      <c r="AB17" s="10">
        <f t="shared" si="4"/>
        <v>1241600.831</v>
      </c>
      <c r="AC17" s="10">
        <f t="shared" si="4"/>
        <v>1401871.2</v>
      </c>
      <c r="AD17" s="10">
        <f t="shared" si="4"/>
        <v>1281500.25</v>
      </c>
      <c r="AE17" s="10">
        <f t="shared" si="4"/>
        <v>1756848.3297000001</v>
      </c>
      <c r="AF17" s="10">
        <f t="shared" si="4"/>
        <v>1747010.6348999999</v>
      </c>
      <c r="AG17" s="10">
        <f t="shared" si="4"/>
        <v>1974917.2311</v>
      </c>
      <c r="AH17" s="10">
        <f t="shared" si="4"/>
        <v>1691263.6977000001</v>
      </c>
      <c r="AI17" s="10">
        <f t="shared" si="4"/>
        <v>1932852.1186500003</v>
      </c>
      <c r="AJ17" s="10">
        <f t="shared" si="4"/>
        <v>1440319.1514460002</v>
      </c>
      <c r="AK17" s="10">
        <f t="shared" si="4"/>
        <v>1429309.0675920001</v>
      </c>
      <c r="AL17" s="10">
        <f t="shared" si="4"/>
        <v>1554649.140528</v>
      </c>
      <c r="AM17" s="10">
        <f t="shared" si="4"/>
        <v>1156708.8287090003</v>
      </c>
      <c r="AN17" s="10">
        <f t="shared" si="4"/>
        <v>1278848.8559300001</v>
      </c>
      <c r="AO17" s="10">
        <f t="shared" si="4"/>
        <v>1443927.3360000001</v>
      </c>
      <c r="AP17" s="10">
        <f t="shared" si="4"/>
        <v>1319945.2575000001</v>
      </c>
      <c r="AQ17" s="10">
        <f t="shared" si="4"/>
        <v>1809553.7795910002</v>
      </c>
      <c r="AR17" s="10">
        <f t="shared" si="4"/>
        <v>1799420.953947</v>
      </c>
      <c r="AS17" s="10">
        <f t="shared" si="4"/>
        <v>2034164.7480330002</v>
      </c>
      <c r="AT17" s="10">
        <f t="shared" si="4"/>
        <v>1742001.6086310002</v>
      </c>
      <c r="AU17" s="10">
        <f t="shared" si="4"/>
        <v>1990837.6822095003</v>
      </c>
      <c r="AV17" s="10">
        <f t="shared" si="4"/>
        <v>1483528.7259893802</v>
      </c>
      <c r="AW17" s="10">
        <f t="shared" si="4"/>
        <v>1472188.3396197602</v>
      </c>
      <c r="AX17" s="10">
        <f t="shared" si="4"/>
        <v>1601288.6147438399</v>
      </c>
      <c r="AY17" s="10">
        <f t="shared" si="4"/>
        <v>1191410.0935702701</v>
      </c>
      <c r="AZ17" s="10">
        <f t="shared" si="4"/>
        <v>1317214.3216079003</v>
      </c>
      <c r="BA17" s="10">
        <f t="shared" si="4"/>
        <v>1487245.1560800001</v>
      </c>
      <c r="BB17" s="10">
        <f t="shared" si="4"/>
        <v>1359543.6152250001</v>
      </c>
      <c r="BC17" s="10">
        <f t="shared" si="4"/>
        <v>1863840.3929787301</v>
      </c>
      <c r="BD17" s="10">
        <f t="shared" si="4"/>
        <v>1853403.5825654101</v>
      </c>
      <c r="BE17" s="10">
        <f t="shared" si="4"/>
        <v>2095189.6904739903</v>
      </c>
      <c r="BF17" s="10">
        <f t="shared" si="4"/>
        <v>1794261.6568899301</v>
      </c>
      <c r="BG17" s="10">
        <f t="shared" si="4"/>
        <v>2050562.8126757857</v>
      </c>
      <c r="BH17" s="10">
        <f t="shared" si="4"/>
        <v>1528034.5877690618</v>
      </c>
      <c r="BI17" s="10">
        <f t="shared" si="4"/>
        <v>1516353.9898083531</v>
      </c>
      <c r="BJ17" s="10">
        <f t="shared" si="4"/>
        <v>1649327.2731861551</v>
      </c>
      <c r="BK17" s="10">
        <f t="shared" si="4"/>
        <v>1227152.3963773784</v>
      </c>
      <c r="BL17" s="10">
        <f t="shared" si="4"/>
        <v>1356730.7512561372</v>
      </c>
      <c r="BM17" s="10">
        <f t="shared" si="4"/>
        <v>1531862.5107624</v>
      </c>
      <c r="BN17" s="10">
        <f t="shared" si="4"/>
        <v>1400329.92368175</v>
      </c>
      <c r="BO17" s="10">
        <f t="shared" si="4"/>
        <v>1919755.604768092</v>
      </c>
      <c r="BP17" s="10">
        <f t="shared" si="4"/>
        <v>1909005.6900423726</v>
      </c>
      <c r="BQ17" s="10">
        <f t="shared" ref="BQ17:EB17" si="5">+BP16*BP5</f>
        <v>2158045.3811882101</v>
      </c>
      <c r="BR17" s="10">
        <f t="shared" si="5"/>
        <v>1848089.5065966281</v>
      </c>
      <c r="BS17" s="10">
        <f t="shared" si="5"/>
        <v>2112079.6970560593</v>
      </c>
      <c r="BT17" s="10">
        <f t="shared" si="5"/>
        <v>1573875.6254021334</v>
      </c>
      <c r="BU17" s="10">
        <f t="shared" si="5"/>
        <v>1561844.6095026035</v>
      </c>
      <c r="BV17" s="10">
        <f t="shared" si="5"/>
        <v>1698807.0913817396</v>
      </c>
      <c r="BW17" s="10">
        <f t="shared" si="5"/>
        <v>1263966.9682686997</v>
      </c>
      <c r="BX17" s="10">
        <f t="shared" si="5"/>
        <v>1397432.6737938214</v>
      </c>
      <c r="BY17" s="10">
        <f t="shared" si="5"/>
        <v>1577818.3860852721</v>
      </c>
      <c r="BZ17" s="10">
        <f t="shared" si="5"/>
        <v>1442339.8213922025</v>
      </c>
      <c r="CA17" s="10">
        <f t="shared" si="5"/>
        <v>1977348.2729111349</v>
      </c>
      <c r="CB17" s="10">
        <f t="shared" si="5"/>
        <v>1966275.8607436437</v>
      </c>
      <c r="CC17" s="10">
        <f t="shared" si="5"/>
        <v>2222786.7426238563</v>
      </c>
      <c r="CD17" s="10">
        <f t="shared" si="5"/>
        <v>1903532.191794527</v>
      </c>
      <c r="CE17" s="10">
        <f t="shared" si="5"/>
        <v>2175442.0879677408</v>
      </c>
      <c r="CF17" s="10">
        <f t="shared" si="5"/>
        <v>1621091.8941641976</v>
      </c>
      <c r="CG17" s="10">
        <f t="shared" si="5"/>
        <v>1608699.9477876818</v>
      </c>
      <c r="CH17" s="10">
        <f t="shared" si="5"/>
        <v>1749771.3041231921</v>
      </c>
      <c r="CI17" s="10">
        <f t="shared" si="5"/>
        <v>1301885.9773167607</v>
      </c>
      <c r="CJ17" s="10">
        <f t="shared" si="5"/>
        <v>1439355.654007636</v>
      </c>
      <c r="CK17" s="10">
        <f t="shared" si="5"/>
        <v>1625152.9376678304</v>
      </c>
      <c r="CL17" s="10">
        <f t="shared" si="5"/>
        <v>1485610.0160339689</v>
      </c>
      <c r="CM17" s="10">
        <f t="shared" si="5"/>
        <v>2036668.7210984691</v>
      </c>
      <c r="CN17" s="10">
        <f t="shared" si="5"/>
        <v>2025264.1365659533</v>
      </c>
      <c r="CO17" s="10">
        <f t="shared" si="5"/>
        <v>2289470.3449025722</v>
      </c>
      <c r="CP17" s="10">
        <f t="shared" si="5"/>
        <v>1960638.1575483629</v>
      </c>
      <c r="CQ17" s="10">
        <f t="shared" si="5"/>
        <v>2240705.350606773</v>
      </c>
      <c r="CR17" s="10">
        <f t="shared" si="5"/>
        <v>1669724.6509891236</v>
      </c>
      <c r="CS17" s="10">
        <f t="shared" si="5"/>
        <v>1656960.9462213123</v>
      </c>
      <c r="CT17" s="10">
        <f t="shared" si="5"/>
        <v>1802264.443246888</v>
      </c>
      <c r="CU17" s="10">
        <f t="shared" si="5"/>
        <v>1340942.5566362636</v>
      </c>
      <c r="CV17" s="10">
        <f t="shared" si="5"/>
        <v>1482536.3236278654</v>
      </c>
      <c r="CW17" s="10">
        <f t="shared" si="5"/>
        <v>1673907.5257978654</v>
      </c>
      <c r="CX17" s="10">
        <f t="shared" si="5"/>
        <v>1530178.316514988</v>
      </c>
      <c r="CY17" s="10">
        <f t="shared" si="5"/>
        <v>2097768.7827314232</v>
      </c>
      <c r="CZ17" s="10">
        <f t="shared" si="5"/>
        <v>2086022.0606629318</v>
      </c>
      <c r="DA17" s="10">
        <f t="shared" si="5"/>
        <v>2358154.4552496495</v>
      </c>
      <c r="DB17" s="10">
        <f t="shared" si="5"/>
        <v>2019457.3022748139</v>
      </c>
      <c r="DC17" s="10">
        <f t="shared" si="5"/>
        <v>2307926.511124976</v>
      </c>
      <c r="DD17" s="10">
        <f t="shared" si="5"/>
        <v>1719816.3905187973</v>
      </c>
      <c r="DE17" s="10">
        <f t="shared" si="5"/>
        <v>1706669.7746079518</v>
      </c>
      <c r="DF17" s="10">
        <f t="shared" si="5"/>
        <v>1856332.3765442946</v>
      </c>
      <c r="DG17" s="10">
        <f t="shared" si="5"/>
        <v>1381170.8333353517</v>
      </c>
      <c r="DH17" s="10">
        <f t="shared" si="5"/>
        <v>1527012.4133367015</v>
      </c>
      <c r="DI17" s="10">
        <f t="shared" si="5"/>
        <v>1724124.7515718015</v>
      </c>
      <c r="DJ17" s="10">
        <f t="shared" si="5"/>
        <v>1576083.6660104375</v>
      </c>
      <c r="DK17" s="10">
        <f t="shared" si="5"/>
        <v>2160701.8462133659</v>
      </c>
      <c r="DL17" s="10">
        <f t="shared" si="5"/>
        <v>2148602.72248282</v>
      </c>
      <c r="DM17" s="10">
        <f t="shared" si="5"/>
        <v>2428899.0889071389</v>
      </c>
      <c r="DN17" s="10">
        <f t="shared" si="5"/>
        <v>2080041.0213430584</v>
      </c>
      <c r="DO17" s="10">
        <f t="shared" si="5"/>
        <v>2377164.3064587256</v>
      </c>
      <c r="DP17" s="10">
        <f t="shared" si="5"/>
        <v>1771410.8822343613</v>
      </c>
      <c r="DQ17" s="10">
        <f t="shared" si="5"/>
        <v>1757869.8678461905</v>
      </c>
      <c r="DR17" s="10">
        <f t="shared" si="5"/>
        <v>1912022.3478406235</v>
      </c>
      <c r="DS17" s="10">
        <f t="shared" si="5"/>
        <v>1422605.9583354122</v>
      </c>
      <c r="DT17" s="10">
        <f t="shared" si="5"/>
        <v>1572822.7857368025</v>
      </c>
      <c r="DU17" s="10">
        <f t="shared" si="5"/>
        <v>1775848.4941189557</v>
      </c>
      <c r="DV17" s="10">
        <f t="shared" si="5"/>
        <v>1623366.175990751</v>
      </c>
      <c r="DW17" s="10">
        <f t="shared" si="5"/>
        <v>2225522.9015997667</v>
      </c>
      <c r="DX17" s="10">
        <f t="shared" si="5"/>
        <v>2213060.8041573041</v>
      </c>
      <c r="DY17" s="10">
        <f t="shared" si="5"/>
        <v>2501766.0615743529</v>
      </c>
      <c r="DZ17" s="10">
        <f t="shared" si="5"/>
        <v>2142442.2519833501</v>
      </c>
      <c r="EA17" s="10">
        <f t="shared" si="5"/>
        <v>2448479.2356524873</v>
      </c>
      <c r="EB17" s="10">
        <f t="shared" si="5"/>
        <v>1824553.2087013922</v>
      </c>
      <c r="EC17" s="10">
        <f t="shared" ref="EC17:GN17" si="6">+EB16*EB5</f>
        <v>1810605.9638815762</v>
      </c>
      <c r="ED17" s="10">
        <f t="shared" si="6"/>
        <v>1969383.0182758425</v>
      </c>
      <c r="EE17" s="10">
        <f t="shared" si="6"/>
        <v>1465284.1370854743</v>
      </c>
      <c r="EF17" s="10">
        <f t="shared" si="6"/>
        <v>1620007.4693089065</v>
      </c>
      <c r="EG17" s="10">
        <f t="shared" si="6"/>
        <v>1829123.9489425244</v>
      </c>
      <c r="EH17" s="10">
        <f t="shared" si="6"/>
        <v>1672067.1612704734</v>
      </c>
      <c r="EI17" s="10">
        <f t="shared" si="6"/>
        <v>2292288.58864776</v>
      </c>
      <c r="EJ17" s="10">
        <f t="shared" si="6"/>
        <v>2279452.6282820236</v>
      </c>
      <c r="EK17" s="10">
        <f t="shared" si="6"/>
        <v>2576819.0434215837</v>
      </c>
      <c r="EL17" s="10">
        <f t="shared" si="6"/>
        <v>2206715.5195428506</v>
      </c>
      <c r="EM17" s="10">
        <f t="shared" si="6"/>
        <v>2521933.6127220616</v>
      </c>
      <c r="EN17" s="10">
        <f t="shared" si="6"/>
        <v>1879289.8049624339</v>
      </c>
      <c r="EO17" s="10">
        <f t="shared" si="6"/>
        <v>1864924.1427980233</v>
      </c>
      <c r="EP17" s="10">
        <f t="shared" si="6"/>
        <v>2028464.5088241177</v>
      </c>
      <c r="EQ17" s="10">
        <f t="shared" si="6"/>
        <v>1509242.6611980386</v>
      </c>
      <c r="ER17" s="10">
        <f t="shared" si="6"/>
        <v>1668607.6933881738</v>
      </c>
      <c r="ES17" s="10">
        <f t="shared" si="6"/>
        <v>1883997.6674108</v>
      </c>
      <c r="ET17" s="10">
        <f t="shared" si="6"/>
        <v>1722229.1761085875</v>
      </c>
      <c r="EU17" s="10">
        <f t="shared" si="6"/>
        <v>2361057.2463071928</v>
      </c>
      <c r="EV17" s="10">
        <f t="shared" si="6"/>
        <v>2347836.2071304843</v>
      </c>
      <c r="EW17" s="10">
        <f t="shared" si="6"/>
        <v>2654123.6147242314</v>
      </c>
      <c r="EX17" s="10">
        <f t="shared" si="6"/>
        <v>2272916.9851291361</v>
      </c>
      <c r="EY17" s="10">
        <f t="shared" si="6"/>
        <v>2597591.6211037235</v>
      </c>
      <c r="EZ17" s="10">
        <f t="shared" si="6"/>
        <v>1935668.4991113069</v>
      </c>
      <c r="FA17" s="10">
        <f t="shared" si="6"/>
        <v>1920871.8670819642</v>
      </c>
      <c r="FB17" s="10">
        <f t="shared" si="6"/>
        <v>2089318.4440888413</v>
      </c>
      <c r="FC17" s="10">
        <f t="shared" si="6"/>
        <v>1554519.9410339799</v>
      </c>
      <c r="FD17" s="10">
        <f t="shared" si="6"/>
        <v>1718665.9241898193</v>
      </c>
      <c r="FE17" s="10">
        <f t="shared" si="6"/>
        <v>1940517.5974331242</v>
      </c>
      <c r="FF17" s="10">
        <f t="shared" si="6"/>
        <v>1773896.0513918453</v>
      </c>
      <c r="FG17" s="10">
        <f t="shared" si="6"/>
        <v>2431888.9636964086</v>
      </c>
      <c r="FH17" s="10">
        <f t="shared" si="6"/>
        <v>2418271.293344399</v>
      </c>
      <c r="FI17" s="10">
        <f t="shared" si="6"/>
        <v>2733747.3231659578</v>
      </c>
      <c r="FJ17" s="10">
        <f t="shared" si="6"/>
        <v>2341104.49468301</v>
      </c>
      <c r="FK17" s="10">
        <f t="shared" si="6"/>
        <v>2675519.3697368354</v>
      </c>
      <c r="FL17" s="10">
        <f t="shared" si="6"/>
        <v>1993738.5540846463</v>
      </c>
      <c r="FM17" s="10">
        <f t="shared" si="6"/>
        <v>1978498.0230944231</v>
      </c>
      <c r="FN17" s="10">
        <f t="shared" si="6"/>
        <v>2151997.9974115067</v>
      </c>
      <c r="FO17" s="10">
        <f t="shared" si="6"/>
        <v>1601155.5392649993</v>
      </c>
      <c r="FP17" s="10">
        <f t="shared" si="6"/>
        <v>1770225.9019155139</v>
      </c>
      <c r="FQ17" s="10">
        <f t="shared" si="6"/>
        <v>1998733.125356118</v>
      </c>
      <c r="FR17" s="10">
        <f t="shared" si="6"/>
        <v>1827112.9329336009</v>
      </c>
      <c r="FS17" s="10">
        <f t="shared" si="6"/>
        <v>2504845.6326073008</v>
      </c>
      <c r="FT17" s="10">
        <f t="shared" si="6"/>
        <v>2490819.4321447308</v>
      </c>
      <c r="FU17" s="10">
        <f t="shared" si="6"/>
        <v>2815759.7428609366</v>
      </c>
      <c r="FV17" s="10">
        <f t="shared" si="6"/>
        <v>2411337.6295235003</v>
      </c>
      <c r="FW17" s="10">
        <f t="shared" si="6"/>
        <v>2755784.9508289406</v>
      </c>
      <c r="FX17" s="10">
        <f t="shared" si="6"/>
        <v>2053550.7107071856</v>
      </c>
      <c r="FY17" s="10">
        <f t="shared" si="6"/>
        <v>2037852.9637872558</v>
      </c>
      <c r="FZ17" s="10">
        <f t="shared" si="6"/>
        <v>2216557.9373338521</v>
      </c>
      <c r="GA17" s="10">
        <f t="shared" si="6"/>
        <v>1649190.2054429492</v>
      </c>
      <c r="GB17" s="10">
        <f t="shared" si="6"/>
        <v>1823332.6789729793</v>
      </c>
      <c r="GC17" s="10">
        <f t="shared" si="6"/>
        <v>2058695.1191168018</v>
      </c>
      <c r="GD17" s="10">
        <f t="shared" si="6"/>
        <v>1881926.3209216089</v>
      </c>
      <c r="GE17" s="10">
        <f t="shared" si="6"/>
        <v>2579991.0015855199</v>
      </c>
      <c r="GF17" s="10">
        <f t="shared" si="6"/>
        <v>2565544.0151090724</v>
      </c>
      <c r="GG17" s="10">
        <f t="shared" si="6"/>
        <v>2900232.5351467649</v>
      </c>
      <c r="GH17" s="10">
        <f t="shared" si="6"/>
        <v>2483677.7584092054</v>
      </c>
      <c r="GI17" s="10">
        <f t="shared" si="6"/>
        <v>2838458.4993538088</v>
      </c>
      <c r="GJ17" s="10">
        <f t="shared" si="6"/>
        <v>2115157.232028401</v>
      </c>
      <c r="GK17" s="10">
        <f t="shared" si="6"/>
        <v>2098988.5527008735</v>
      </c>
      <c r="GL17" s="10">
        <f t="shared" si="6"/>
        <v>2283054.6754538678</v>
      </c>
      <c r="GM17" s="10">
        <f t="shared" si="6"/>
        <v>1698665.9116062378</v>
      </c>
      <c r="GN17" s="10">
        <f t="shared" si="6"/>
        <v>1878032.6593421686</v>
      </c>
      <c r="GO17" s="10">
        <f t="shared" ref="GO17:IG17" si="7">+GN16*GN5</f>
        <v>2120455.9726903057</v>
      </c>
      <c r="GP17" s="10">
        <f t="shared" si="7"/>
        <v>1938384.1105492571</v>
      </c>
      <c r="GQ17" s="10">
        <f t="shared" si="7"/>
        <v>2657390.7316330858</v>
      </c>
      <c r="GR17" s="10">
        <f t="shared" si="7"/>
        <v>2642510.3355623451</v>
      </c>
      <c r="GS17" s="10">
        <f t="shared" si="7"/>
        <v>2987239.5112011679</v>
      </c>
      <c r="GT17" s="10">
        <f t="shared" si="7"/>
        <v>2558188.091161482</v>
      </c>
      <c r="GU17" s="10">
        <f t="shared" si="7"/>
        <v>2923612.2543344232</v>
      </c>
      <c r="GV17" s="10">
        <f t="shared" si="7"/>
        <v>2178611.948989253</v>
      </c>
      <c r="GW17" s="10">
        <f t="shared" si="7"/>
        <v>2161958.2092818995</v>
      </c>
      <c r="GX17" s="10">
        <f t="shared" si="7"/>
        <v>2351546.3157174839</v>
      </c>
      <c r="GY17" s="10">
        <f t="shared" si="7"/>
        <v>1749625.888954425</v>
      </c>
      <c r="GZ17" s="10">
        <f t="shared" si="7"/>
        <v>1934373.639122434</v>
      </c>
      <c r="HA17" s="10">
        <f t="shared" si="7"/>
        <v>2184069.6518710149</v>
      </c>
      <c r="HB17" s="10">
        <f t="shared" si="7"/>
        <v>1996535.633865735</v>
      </c>
      <c r="HC17" s="10">
        <f t="shared" si="7"/>
        <v>2737112.4535820782</v>
      </c>
      <c r="HD17" s="10">
        <f t="shared" si="7"/>
        <v>2721785.6456292155</v>
      </c>
      <c r="HE17" s="10">
        <f t="shared" si="7"/>
        <v>3076856.6965372032</v>
      </c>
      <c r="HF17" s="10">
        <f t="shared" si="7"/>
        <v>2634933.7338963263</v>
      </c>
      <c r="HG17" s="10">
        <f t="shared" si="7"/>
        <v>3011320.621964456</v>
      </c>
      <c r="HH17" s="10">
        <f t="shared" si="7"/>
        <v>2243970.3074589306</v>
      </c>
      <c r="HI17" s="10">
        <f t="shared" si="7"/>
        <v>2226816.9555603564</v>
      </c>
      <c r="HJ17" s="10">
        <f t="shared" si="7"/>
        <v>2422092.7051890083</v>
      </c>
      <c r="HK17" s="10">
        <f t="shared" si="7"/>
        <v>1802114.6656230579</v>
      </c>
      <c r="HL17" s="10">
        <f t="shared" si="7"/>
        <v>1992404.848296107</v>
      </c>
      <c r="HM17" s="10">
        <f t="shared" si="7"/>
        <v>2249591.7414271454</v>
      </c>
      <c r="HN17" s="10">
        <f t="shared" si="7"/>
        <v>2056431.7028817073</v>
      </c>
      <c r="HO17" s="10">
        <f t="shared" si="7"/>
        <v>2819225.827189541</v>
      </c>
      <c r="HP17" s="10">
        <f t="shared" si="7"/>
        <v>2803439.214998092</v>
      </c>
      <c r="HQ17" s="10">
        <f t="shared" si="7"/>
        <v>3169162.3974333196</v>
      </c>
      <c r="HR17" s="10">
        <f t="shared" si="7"/>
        <v>2713981.7459132164</v>
      </c>
      <c r="HS17" s="10">
        <f t="shared" si="7"/>
        <v>3101660.2406233894</v>
      </c>
      <c r="HT17" s="10">
        <f t="shared" si="7"/>
        <v>2311289.4166826988</v>
      </c>
      <c r="HU17" s="10">
        <f t="shared" si="7"/>
        <v>2293621.464227167</v>
      </c>
      <c r="HV17" s="10">
        <f t="shared" si="7"/>
        <v>2494755.4863446788</v>
      </c>
      <c r="HW17" s="10">
        <f t="shared" si="7"/>
        <v>1856178.1055917495</v>
      </c>
      <c r="HX17" s="10">
        <f t="shared" si="7"/>
        <v>2052176.9937449903</v>
      </c>
      <c r="HY17" s="10">
        <f t="shared" si="7"/>
        <v>2317079.4936699597</v>
      </c>
      <c r="HZ17" s="10">
        <f t="shared" si="7"/>
        <v>2118124.6539681586</v>
      </c>
      <c r="IA17" s="10">
        <f t="shared" si="7"/>
        <v>2903802.602005227</v>
      </c>
      <c r="IB17" s="10">
        <f t="shared" si="7"/>
        <v>2887542.3914480349</v>
      </c>
      <c r="IC17" s="10">
        <f t="shared" si="7"/>
        <v>3264237.2693563192</v>
      </c>
      <c r="ID17" s="10">
        <f t="shared" si="7"/>
        <v>2795401.198290613</v>
      </c>
      <c r="IE17" s="10">
        <f t="shared" si="7"/>
        <v>3194710.0478420914</v>
      </c>
      <c r="IF17" s="10">
        <f t="shared" si="7"/>
        <v>2380628.0991831794</v>
      </c>
      <c r="IG17" s="10">
        <f t="shared" si="7"/>
        <v>2362430.1081539821</v>
      </c>
      <c r="IH17" s="10">
        <f>+IG16*IG5</f>
        <v>2569598.1509350194</v>
      </c>
    </row>
    <row r="18" spans="1:242" x14ac:dyDescent="0.3">
      <c r="A18" t="s">
        <v>911</v>
      </c>
      <c r="B18" s="30"/>
      <c r="C18" s="31"/>
      <c r="D18" s="31">
        <f>+C16*(C5*$B$1)</f>
        <v>219741.61600000001</v>
      </c>
      <c r="E18" s="31">
        <f t="shared" ref="E18:BP18" si="8">+D16*(D5*$B$1)</f>
        <v>292765.696</v>
      </c>
      <c r="F18" s="31">
        <f t="shared" si="8"/>
        <v>267564.92000000004</v>
      </c>
      <c r="G18" s="31">
        <f t="shared" si="8"/>
        <v>388838.77800000005</v>
      </c>
      <c r="H18" s="31">
        <f t="shared" si="8"/>
        <v>386648.64000000007</v>
      </c>
      <c r="I18" s="31">
        <f t="shared" si="8"/>
        <v>437098.59600000002</v>
      </c>
      <c r="J18" s="31">
        <f t="shared" si="8"/>
        <v>389271.59600000002</v>
      </c>
      <c r="K18" s="31">
        <f t="shared" si="8"/>
        <v>364379.7</v>
      </c>
      <c r="L18" s="31">
        <f t="shared" si="8"/>
        <v>271527.788</v>
      </c>
      <c r="M18" s="31">
        <f t="shared" si="8"/>
        <v>269452.17600000004</v>
      </c>
      <c r="N18" s="31">
        <f t="shared" si="8"/>
        <v>293081.18400000001</v>
      </c>
      <c r="O18" s="31">
        <f t="shared" si="8"/>
        <v>218061.80200000003</v>
      </c>
      <c r="P18" s="31">
        <f t="shared" si="8"/>
        <v>241087.54</v>
      </c>
      <c r="Q18" s="31">
        <f t="shared" si="8"/>
        <v>272208</v>
      </c>
      <c r="R18" s="31">
        <f t="shared" si="8"/>
        <v>248835</v>
      </c>
      <c r="S18" s="31">
        <f t="shared" si="8"/>
        <v>341135.598</v>
      </c>
      <c r="T18" s="31">
        <f t="shared" si="8"/>
        <v>339225.36600000004</v>
      </c>
      <c r="U18" s="31">
        <f t="shared" si="8"/>
        <v>383479.07400000002</v>
      </c>
      <c r="V18" s="31">
        <f t="shared" si="8"/>
        <v>328400.71799999999</v>
      </c>
      <c r="W18" s="31">
        <f t="shared" si="8"/>
        <v>375311.09100000001</v>
      </c>
      <c r="X18" s="31">
        <f t="shared" si="8"/>
        <v>279673.62164000003</v>
      </c>
      <c r="Y18" s="31">
        <f t="shared" si="8"/>
        <v>277535.74128000002</v>
      </c>
      <c r="Z18" s="31">
        <f t="shared" si="8"/>
        <v>301873.61952000001</v>
      </c>
      <c r="AA18" s="31">
        <f t="shared" si="8"/>
        <v>224603.65606000007</v>
      </c>
      <c r="AB18" s="31">
        <f t="shared" si="8"/>
        <v>248320.16620000001</v>
      </c>
      <c r="AC18" s="31">
        <f t="shared" si="8"/>
        <v>280374.24</v>
      </c>
      <c r="AD18" s="31">
        <f t="shared" si="8"/>
        <v>256300.05000000002</v>
      </c>
      <c r="AE18" s="31">
        <f t="shared" si="8"/>
        <v>351369.66594000004</v>
      </c>
      <c r="AF18" s="31">
        <f t="shared" si="8"/>
        <v>349402.12698000006</v>
      </c>
      <c r="AG18" s="31">
        <f t="shared" si="8"/>
        <v>394983.44622000004</v>
      </c>
      <c r="AH18" s="31">
        <f t="shared" si="8"/>
        <v>338252.73954000004</v>
      </c>
      <c r="AI18" s="31">
        <f t="shared" si="8"/>
        <v>386570.4237300001</v>
      </c>
      <c r="AJ18" s="31">
        <f t="shared" si="8"/>
        <v>288063.83028920001</v>
      </c>
      <c r="AK18" s="31">
        <f t="shared" si="8"/>
        <v>285861.81351840001</v>
      </c>
      <c r="AL18" s="31">
        <f t="shared" si="8"/>
        <v>310929.82810560003</v>
      </c>
      <c r="AM18" s="31">
        <f t="shared" si="8"/>
        <v>231341.76574180005</v>
      </c>
      <c r="AN18" s="31">
        <f t="shared" si="8"/>
        <v>255769.77118600006</v>
      </c>
      <c r="AO18" s="31">
        <f t="shared" si="8"/>
        <v>288785.46720000001</v>
      </c>
      <c r="AP18" s="31">
        <f t="shared" si="8"/>
        <v>263989.05150000006</v>
      </c>
      <c r="AQ18" s="31">
        <f t="shared" si="8"/>
        <v>361910.75591820007</v>
      </c>
      <c r="AR18" s="31">
        <f t="shared" si="8"/>
        <v>359884.19078940008</v>
      </c>
      <c r="AS18" s="31">
        <f t="shared" si="8"/>
        <v>406832.9496066001</v>
      </c>
      <c r="AT18" s="31">
        <f t="shared" si="8"/>
        <v>348400.32172620005</v>
      </c>
      <c r="AU18" s="31">
        <f t="shared" si="8"/>
        <v>398167.53644190007</v>
      </c>
      <c r="AV18" s="31">
        <f t="shared" si="8"/>
        <v>296705.74519787607</v>
      </c>
      <c r="AW18" s="31">
        <f t="shared" si="8"/>
        <v>294437.66792395205</v>
      </c>
      <c r="AX18" s="31">
        <f t="shared" si="8"/>
        <v>320257.722948768</v>
      </c>
      <c r="AY18" s="31">
        <f t="shared" si="8"/>
        <v>238282.01871405408</v>
      </c>
      <c r="AZ18" s="31">
        <f t="shared" si="8"/>
        <v>263442.86432158004</v>
      </c>
      <c r="BA18" s="31">
        <f t="shared" si="8"/>
        <v>297449.03121600003</v>
      </c>
      <c r="BB18" s="31">
        <f t="shared" si="8"/>
        <v>271908.72304500005</v>
      </c>
      <c r="BC18" s="31">
        <f t="shared" si="8"/>
        <v>372768.07859574602</v>
      </c>
      <c r="BD18" s="31">
        <f t="shared" si="8"/>
        <v>370680.71651308204</v>
      </c>
      <c r="BE18" s="31">
        <f t="shared" si="8"/>
        <v>419037.93809479807</v>
      </c>
      <c r="BF18" s="31">
        <f t="shared" si="8"/>
        <v>358852.33137798606</v>
      </c>
      <c r="BG18" s="31">
        <f t="shared" si="8"/>
        <v>410112.56253515714</v>
      </c>
      <c r="BH18" s="31">
        <f t="shared" si="8"/>
        <v>305606.91755381238</v>
      </c>
      <c r="BI18" s="31">
        <f t="shared" si="8"/>
        <v>303270.79796167061</v>
      </c>
      <c r="BJ18" s="31">
        <f t="shared" si="8"/>
        <v>329865.45463723107</v>
      </c>
      <c r="BK18" s="31">
        <f t="shared" si="8"/>
        <v>245430.47927547569</v>
      </c>
      <c r="BL18" s="31">
        <f t="shared" si="8"/>
        <v>271346.15025122743</v>
      </c>
      <c r="BM18" s="31">
        <f t="shared" si="8"/>
        <v>306372.50215248001</v>
      </c>
      <c r="BN18" s="31">
        <f t="shared" si="8"/>
        <v>280065.98473635002</v>
      </c>
      <c r="BO18" s="31">
        <f t="shared" si="8"/>
        <v>383951.12095361843</v>
      </c>
      <c r="BP18" s="31">
        <f t="shared" si="8"/>
        <v>381801.13800847455</v>
      </c>
      <c r="BQ18" s="31">
        <f t="shared" ref="BQ18:EB18" si="9">+BP16*(BP5*$B$1)</f>
        <v>431609.07623764203</v>
      </c>
      <c r="BR18" s="31">
        <f t="shared" si="9"/>
        <v>369617.90131932561</v>
      </c>
      <c r="BS18" s="31">
        <f t="shared" si="9"/>
        <v>422415.93941121188</v>
      </c>
      <c r="BT18" s="31">
        <f t="shared" si="9"/>
        <v>314775.12508042669</v>
      </c>
      <c r="BU18" s="31">
        <f t="shared" si="9"/>
        <v>312368.92190052074</v>
      </c>
      <c r="BV18" s="31">
        <f t="shared" si="9"/>
        <v>339761.41827634792</v>
      </c>
      <c r="BW18" s="31">
        <f t="shared" si="9"/>
        <v>252793.39365373994</v>
      </c>
      <c r="BX18" s="31">
        <f t="shared" si="9"/>
        <v>279486.53475876432</v>
      </c>
      <c r="BY18" s="31">
        <f t="shared" si="9"/>
        <v>315563.67721705441</v>
      </c>
      <c r="BZ18" s="31">
        <f t="shared" si="9"/>
        <v>288467.96427844052</v>
      </c>
      <c r="CA18" s="31">
        <f t="shared" si="9"/>
        <v>395469.65458222706</v>
      </c>
      <c r="CB18" s="31">
        <f t="shared" si="9"/>
        <v>393255.1721487288</v>
      </c>
      <c r="CC18" s="31">
        <f t="shared" si="9"/>
        <v>444557.34852477128</v>
      </c>
      <c r="CD18" s="31">
        <f t="shared" si="9"/>
        <v>380706.43835890543</v>
      </c>
      <c r="CE18" s="31">
        <f t="shared" si="9"/>
        <v>435088.41759354819</v>
      </c>
      <c r="CF18" s="31">
        <f t="shared" si="9"/>
        <v>324218.37883283955</v>
      </c>
      <c r="CG18" s="31">
        <f t="shared" si="9"/>
        <v>321739.98955753638</v>
      </c>
      <c r="CH18" s="31">
        <f t="shared" si="9"/>
        <v>349954.26082463842</v>
      </c>
      <c r="CI18" s="31">
        <f t="shared" si="9"/>
        <v>260377.19546335217</v>
      </c>
      <c r="CJ18" s="31">
        <f t="shared" si="9"/>
        <v>287871.13080152724</v>
      </c>
      <c r="CK18" s="31">
        <f t="shared" si="9"/>
        <v>325030.58753356605</v>
      </c>
      <c r="CL18" s="31">
        <f t="shared" si="9"/>
        <v>297122.00320679374</v>
      </c>
      <c r="CM18" s="31">
        <f t="shared" si="9"/>
        <v>407333.74421969382</v>
      </c>
      <c r="CN18" s="31">
        <f t="shared" si="9"/>
        <v>405052.82731319062</v>
      </c>
      <c r="CO18" s="31">
        <f t="shared" si="9"/>
        <v>457894.06898051442</v>
      </c>
      <c r="CP18" s="31">
        <f t="shared" si="9"/>
        <v>392127.63150967256</v>
      </c>
      <c r="CQ18" s="31">
        <f t="shared" si="9"/>
        <v>448141.0701213546</v>
      </c>
      <c r="CR18" s="31">
        <f t="shared" si="9"/>
        <v>333944.93019782472</v>
      </c>
      <c r="CS18" s="31">
        <f t="shared" si="9"/>
        <v>331392.18924426247</v>
      </c>
      <c r="CT18" s="31">
        <f t="shared" si="9"/>
        <v>360452.88864937762</v>
      </c>
      <c r="CU18" s="31">
        <f t="shared" si="9"/>
        <v>268188.51132725272</v>
      </c>
      <c r="CV18" s="31">
        <f t="shared" si="9"/>
        <v>296507.26472557307</v>
      </c>
      <c r="CW18" s="31">
        <f t="shared" si="9"/>
        <v>334781.50515957311</v>
      </c>
      <c r="CX18" s="31">
        <f t="shared" si="9"/>
        <v>306035.66330299759</v>
      </c>
      <c r="CY18" s="31">
        <f t="shared" si="9"/>
        <v>419553.75654628465</v>
      </c>
      <c r="CZ18" s="31">
        <f t="shared" si="9"/>
        <v>417204.41213258641</v>
      </c>
      <c r="DA18" s="31">
        <f t="shared" si="9"/>
        <v>471630.89104992989</v>
      </c>
      <c r="DB18" s="31">
        <f t="shared" si="9"/>
        <v>403891.4604549628</v>
      </c>
      <c r="DC18" s="31">
        <f t="shared" si="9"/>
        <v>461585.30222499528</v>
      </c>
      <c r="DD18" s="31">
        <f t="shared" si="9"/>
        <v>343963.27810375951</v>
      </c>
      <c r="DE18" s="31">
        <f t="shared" si="9"/>
        <v>341333.9549215904</v>
      </c>
      <c r="DF18" s="31">
        <f t="shared" si="9"/>
        <v>371266.47530885896</v>
      </c>
      <c r="DG18" s="31">
        <f t="shared" si="9"/>
        <v>276234.16666707036</v>
      </c>
      <c r="DH18" s="31">
        <f t="shared" si="9"/>
        <v>305402.48266734026</v>
      </c>
      <c r="DI18" s="31">
        <f t="shared" si="9"/>
        <v>344824.95031436032</v>
      </c>
      <c r="DJ18" s="31">
        <f t="shared" si="9"/>
        <v>315216.73320208752</v>
      </c>
      <c r="DK18" s="31">
        <f t="shared" si="9"/>
        <v>432140.36924267322</v>
      </c>
      <c r="DL18" s="31">
        <f t="shared" si="9"/>
        <v>429720.54449656396</v>
      </c>
      <c r="DM18" s="31">
        <f t="shared" si="9"/>
        <v>485779.81778142782</v>
      </c>
      <c r="DN18" s="31">
        <f t="shared" si="9"/>
        <v>416008.20426861168</v>
      </c>
      <c r="DO18" s="31">
        <f t="shared" si="9"/>
        <v>475432.8612917451</v>
      </c>
      <c r="DP18" s="31">
        <f t="shared" si="9"/>
        <v>354282.1764468723</v>
      </c>
      <c r="DQ18" s="31">
        <f t="shared" si="9"/>
        <v>351573.97356923809</v>
      </c>
      <c r="DR18" s="31">
        <f t="shared" si="9"/>
        <v>382404.46956812474</v>
      </c>
      <c r="DS18" s="31">
        <f t="shared" si="9"/>
        <v>284521.19166708243</v>
      </c>
      <c r="DT18" s="31">
        <f t="shared" si="9"/>
        <v>314564.55714736052</v>
      </c>
      <c r="DU18" s="31">
        <f t="shared" si="9"/>
        <v>355169.69882379117</v>
      </c>
      <c r="DV18" s="31">
        <f t="shared" si="9"/>
        <v>324673.23519815021</v>
      </c>
      <c r="DW18" s="31">
        <f t="shared" si="9"/>
        <v>445104.58031995338</v>
      </c>
      <c r="DX18" s="31">
        <f t="shared" si="9"/>
        <v>442612.1608314609</v>
      </c>
      <c r="DY18" s="31">
        <f t="shared" si="9"/>
        <v>500353.21231487062</v>
      </c>
      <c r="DZ18" s="31">
        <f t="shared" si="9"/>
        <v>428488.45039667003</v>
      </c>
      <c r="EA18" s="31">
        <f t="shared" si="9"/>
        <v>489695.84713049745</v>
      </c>
      <c r="EB18" s="31">
        <f t="shared" si="9"/>
        <v>364910.64174027846</v>
      </c>
      <c r="EC18" s="31">
        <f t="shared" ref="EC18:GN18" si="10">+EB16*(EB5*$B$1)</f>
        <v>362121.19277631521</v>
      </c>
      <c r="ED18" s="31">
        <f t="shared" si="10"/>
        <v>393876.6036551685</v>
      </c>
      <c r="EE18" s="31">
        <f t="shared" si="10"/>
        <v>293056.8274170949</v>
      </c>
      <c r="EF18" s="31">
        <f t="shared" si="10"/>
        <v>324001.49386178132</v>
      </c>
      <c r="EG18" s="31">
        <f t="shared" si="10"/>
        <v>365824.78978850483</v>
      </c>
      <c r="EH18" s="31">
        <f t="shared" si="10"/>
        <v>334413.43225409469</v>
      </c>
      <c r="EI18" s="31">
        <f t="shared" si="10"/>
        <v>458457.71772955201</v>
      </c>
      <c r="EJ18" s="31">
        <f t="shared" si="10"/>
        <v>455890.52565640473</v>
      </c>
      <c r="EK18" s="31">
        <f t="shared" si="10"/>
        <v>515363.80868431675</v>
      </c>
      <c r="EL18" s="31">
        <f t="shared" si="10"/>
        <v>441343.10390857013</v>
      </c>
      <c r="EM18" s="31">
        <f t="shared" si="10"/>
        <v>504386.72254441242</v>
      </c>
      <c r="EN18" s="31">
        <f t="shared" si="10"/>
        <v>375857.9609924868</v>
      </c>
      <c r="EO18" s="31">
        <f t="shared" si="10"/>
        <v>372984.82855960465</v>
      </c>
      <c r="EP18" s="31">
        <f t="shared" si="10"/>
        <v>405692.90176482353</v>
      </c>
      <c r="EQ18" s="31">
        <f t="shared" si="10"/>
        <v>301848.53223960777</v>
      </c>
      <c r="ER18" s="31">
        <f t="shared" si="10"/>
        <v>333721.53867763479</v>
      </c>
      <c r="ES18" s="31">
        <f t="shared" si="10"/>
        <v>376799.53348216001</v>
      </c>
      <c r="ET18" s="31">
        <f t="shared" si="10"/>
        <v>344445.83522171754</v>
      </c>
      <c r="EU18" s="31">
        <f t="shared" si="10"/>
        <v>472211.44926143857</v>
      </c>
      <c r="EV18" s="31">
        <f t="shared" si="10"/>
        <v>469567.24142609688</v>
      </c>
      <c r="EW18" s="31">
        <f t="shared" si="10"/>
        <v>530824.72294484626</v>
      </c>
      <c r="EX18" s="31">
        <f t="shared" si="10"/>
        <v>454583.39702582726</v>
      </c>
      <c r="EY18" s="31">
        <f t="shared" si="10"/>
        <v>519518.32422074472</v>
      </c>
      <c r="EZ18" s="31">
        <f t="shared" si="10"/>
        <v>387133.69982226141</v>
      </c>
      <c r="FA18" s="31">
        <f t="shared" si="10"/>
        <v>384174.37341639283</v>
      </c>
      <c r="FB18" s="31">
        <f t="shared" si="10"/>
        <v>417863.6888177683</v>
      </c>
      <c r="FC18" s="31">
        <f t="shared" si="10"/>
        <v>310903.988206796</v>
      </c>
      <c r="FD18" s="31">
        <f t="shared" si="10"/>
        <v>343733.18483796384</v>
      </c>
      <c r="FE18" s="31">
        <f t="shared" si="10"/>
        <v>388103.51948662486</v>
      </c>
      <c r="FF18" s="31">
        <f t="shared" si="10"/>
        <v>354779.21027836908</v>
      </c>
      <c r="FG18" s="31">
        <f t="shared" si="10"/>
        <v>486377.79273928172</v>
      </c>
      <c r="FH18" s="31">
        <f t="shared" si="10"/>
        <v>483654.25866887975</v>
      </c>
      <c r="FI18" s="31">
        <f t="shared" si="10"/>
        <v>546749.46463319159</v>
      </c>
      <c r="FJ18" s="31">
        <f t="shared" si="10"/>
        <v>468220.89893660205</v>
      </c>
      <c r="FK18" s="31">
        <f t="shared" si="10"/>
        <v>535103.87394736707</v>
      </c>
      <c r="FL18" s="31">
        <f t="shared" si="10"/>
        <v>398747.71081692923</v>
      </c>
      <c r="FM18" s="31">
        <f t="shared" si="10"/>
        <v>395699.60461888462</v>
      </c>
      <c r="FN18" s="31">
        <f t="shared" si="10"/>
        <v>430399.59948230133</v>
      </c>
      <c r="FO18" s="31">
        <f t="shared" si="10"/>
        <v>320231.10785299982</v>
      </c>
      <c r="FP18" s="31">
        <f t="shared" si="10"/>
        <v>354045.18038310279</v>
      </c>
      <c r="FQ18" s="31">
        <f t="shared" si="10"/>
        <v>399746.62507122365</v>
      </c>
      <c r="FR18" s="31">
        <f t="shared" si="10"/>
        <v>365422.58658672019</v>
      </c>
      <c r="FS18" s="31">
        <f t="shared" si="10"/>
        <v>500969.12652146013</v>
      </c>
      <c r="FT18" s="31">
        <f t="shared" si="10"/>
        <v>498163.88642894611</v>
      </c>
      <c r="FU18" s="31">
        <f t="shared" si="10"/>
        <v>563151.94857218734</v>
      </c>
      <c r="FV18" s="31">
        <f t="shared" si="10"/>
        <v>482267.52590470004</v>
      </c>
      <c r="FW18" s="31">
        <f t="shared" si="10"/>
        <v>551156.9901657881</v>
      </c>
      <c r="FX18" s="31">
        <f t="shared" si="10"/>
        <v>410710.1421414371</v>
      </c>
      <c r="FY18" s="31">
        <f t="shared" si="10"/>
        <v>407570.59275745112</v>
      </c>
      <c r="FZ18" s="31">
        <f t="shared" si="10"/>
        <v>443311.58746677043</v>
      </c>
      <c r="GA18" s="31">
        <f t="shared" si="10"/>
        <v>329838.04108858987</v>
      </c>
      <c r="GB18" s="31">
        <f t="shared" si="10"/>
        <v>364666.5357945959</v>
      </c>
      <c r="GC18" s="31">
        <f t="shared" si="10"/>
        <v>411739.02382336039</v>
      </c>
      <c r="GD18" s="31">
        <f t="shared" si="10"/>
        <v>376385.26418432186</v>
      </c>
      <c r="GE18" s="31">
        <f t="shared" si="10"/>
        <v>515998.200317104</v>
      </c>
      <c r="GF18" s="31">
        <f t="shared" si="10"/>
        <v>513108.80302181456</v>
      </c>
      <c r="GG18" s="31">
        <f t="shared" si="10"/>
        <v>580046.50702935306</v>
      </c>
      <c r="GH18" s="31">
        <f t="shared" si="10"/>
        <v>496735.55168184114</v>
      </c>
      <c r="GI18" s="31">
        <f t="shared" si="10"/>
        <v>567691.69987076183</v>
      </c>
      <c r="GJ18" s="31">
        <f t="shared" si="10"/>
        <v>423031.44640568021</v>
      </c>
      <c r="GK18" s="31">
        <f t="shared" si="10"/>
        <v>419797.71054017468</v>
      </c>
      <c r="GL18" s="31">
        <f t="shared" si="10"/>
        <v>456610.93509077356</v>
      </c>
      <c r="GM18" s="31">
        <f t="shared" si="10"/>
        <v>339733.18232124759</v>
      </c>
      <c r="GN18" s="31">
        <f t="shared" si="10"/>
        <v>375606.53186843375</v>
      </c>
      <c r="GO18" s="31">
        <f t="shared" ref="GO18:IG18" si="11">+GN16*(GN5*$B$1)</f>
        <v>424091.19453806116</v>
      </c>
      <c r="GP18" s="31">
        <f t="shared" si="11"/>
        <v>387676.82210985146</v>
      </c>
      <c r="GQ18" s="31">
        <f t="shared" si="11"/>
        <v>531478.1463266171</v>
      </c>
      <c r="GR18" s="31">
        <f t="shared" si="11"/>
        <v>528502.067112469</v>
      </c>
      <c r="GS18" s="31">
        <f t="shared" si="11"/>
        <v>597447.90224023361</v>
      </c>
      <c r="GT18" s="31">
        <f t="shared" si="11"/>
        <v>511637.61823229643</v>
      </c>
      <c r="GU18" s="31">
        <f t="shared" si="11"/>
        <v>584722.45086688467</v>
      </c>
      <c r="GV18" s="31">
        <f t="shared" si="11"/>
        <v>435722.38979785069</v>
      </c>
      <c r="GW18" s="31">
        <f t="shared" si="11"/>
        <v>432391.64185637992</v>
      </c>
      <c r="GX18" s="31">
        <f t="shared" si="11"/>
        <v>470309.26314349676</v>
      </c>
      <c r="GY18" s="31">
        <f t="shared" si="11"/>
        <v>349925.17779088503</v>
      </c>
      <c r="GZ18" s="31">
        <f t="shared" si="11"/>
        <v>386874.72782448679</v>
      </c>
      <c r="HA18" s="31">
        <f t="shared" si="11"/>
        <v>436813.93037420302</v>
      </c>
      <c r="HB18" s="31">
        <f t="shared" si="11"/>
        <v>399307.12677314703</v>
      </c>
      <c r="HC18" s="31">
        <f t="shared" si="11"/>
        <v>547422.49071641569</v>
      </c>
      <c r="HD18" s="31">
        <f t="shared" si="11"/>
        <v>544357.12912584317</v>
      </c>
      <c r="HE18" s="31">
        <f t="shared" si="11"/>
        <v>615371.33930744068</v>
      </c>
      <c r="HF18" s="31">
        <f t="shared" si="11"/>
        <v>526986.74677926535</v>
      </c>
      <c r="HG18" s="31">
        <f t="shared" si="11"/>
        <v>602264.12439289119</v>
      </c>
      <c r="HH18" s="31">
        <f t="shared" si="11"/>
        <v>448794.06149178615</v>
      </c>
      <c r="HI18" s="31">
        <f t="shared" si="11"/>
        <v>445363.39111207129</v>
      </c>
      <c r="HJ18" s="31">
        <f t="shared" si="11"/>
        <v>484418.54103780165</v>
      </c>
      <c r="HK18" s="31">
        <f t="shared" si="11"/>
        <v>360422.93312461156</v>
      </c>
      <c r="HL18" s="31">
        <f t="shared" si="11"/>
        <v>398480.96965922136</v>
      </c>
      <c r="HM18" s="31">
        <f t="shared" si="11"/>
        <v>449918.34828542918</v>
      </c>
      <c r="HN18" s="31">
        <f t="shared" si="11"/>
        <v>411286.34057634149</v>
      </c>
      <c r="HO18" s="31">
        <f t="shared" si="11"/>
        <v>563845.16543790814</v>
      </c>
      <c r="HP18" s="31">
        <f t="shared" si="11"/>
        <v>560687.84299961838</v>
      </c>
      <c r="HQ18" s="31">
        <f t="shared" si="11"/>
        <v>633832.47948666394</v>
      </c>
      <c r="HR18" s="31">
        <f t="shared" si="11"/>
        <v>542796.34918264323</v>
      </c>
      <c r="HS18" s="31">
        <f t="shared" si="11"/>
        <v>620332.04812467797</v>
      </c>
      <c r="HT18" s="31">
        <f t="shared" si="11"/>
        <v>462257.88333653973</v>
      </c>
      <c r="HU18" s="31">
        <f t="shared" si="11"/>
        <v>458724.29284543346</v>
      </c>
      <c r="HV18" s="31">
        <f t="shared" si="11"/>
        <v>498951.09726893576</v>
      </c>
      <c r="HW18" s="31">
        <f t="shared" si="11"/>
        <v>371235.6211183499</v>
      </c>
      <c r="HX18" s="31">
        <f t="shared" si="11"/>
        <v>410435.39874899812</v>
      </c>
      <c r="HY18" s="31">
        <f t="shared" si="11"/>
        <v>463415.89873399201</v>
      </c>
      <c r="HZ18" s="31">
        <f t="shared" si="11"/>
        <v>423624.93079363171</v>
      </c>
      <c r="IA18" s="31">
        <f t="shared" si="11"/>
        <v>580760.52040104545</v>
      </c>
      <c r="IB18" s="31">
        <f t="shared" si="11"/>
        <v>577508.4782896071</v>
      </c>
      <c r="IC18" s="31">
        <f t="shared" si="11"/>
        <v>652847.45387126389</v>
      </c>
      <c r="ID18" s="31">
        <f t="shared" si="11"/>
        <v>559080.23965812265</v>
      </c>
      <c r="IE18" s="31">
        <f t="shared" si="11"/>
        <v>638942.00956841826</v>
      </c>
      <c r="IF18" s="31">
        <f t="shared" si="11"/>
        <v>476125.61983663595</v>
      </c>
      <c r="IG18" s="31">
        <f t="shared" si="11"/>
        <v>472486.02163079649</v>
      </c>
      <c r="IH18" s="31">
        <f>+IG16*(IG5*$B$1)</f>
        <v>513919.63018700387</v>
      </c>
    </row>
    <row r="19" spans="1:242" x14ac:dyDescent="0.3">
      <c r="A19" t="s">
        <v>912</v>
      </c>
      <c r="C19" s="31"/>
      <c r="D19" s="31">
        <f>+D17+D18</f>
        <v>1318449.696</v>
      </c>
      <c r="E19" s="31">
        <f t="shared" ref="E19:BP19" si="12">+E17+E18</f>
        <v>1756594.176</v>
      </c>
      <c r="F19" s="31">
        <f t="shared" si="12"/>
        <v>1605389.52</v>
      </c>
      <c r="G19" s="31">
        <f t="shared" si="12"/>
        <v>2333032.6680000001</v>
      </c>
      <c r="H19" s="31">
        <f t="shared" si="12"/>
        <v>2319891.8400000003</v>
      </c>
      <c r="I19" s="31">
        <f t="shared" si="12"/>
        <v>2622591.5759999999</v>
      </c>
      <c r="J19" s="31">
        <f t="shared" si="12"/>
        <v>2335629.5759999999</v>
      </c>
      <c r="K19" s="31">
        <f t="shared" si="12"/>
        <v>2186278.2000000002</v>
      </c>
      <c r="L19" s="31">
        <f t="shared" si="12"/>
        <v>1629166.7279999999</v>
      </c>
      <c r="M19" s="31">
        <f t="shared" si="12"/>
        <v>1616713.0560000001</v>
      </c>
      <c r="N19" s="31">
        <f t="shared" si="12"/>
        <v>1758487.1039999998</v>
      </c>
      <c r="O19" s="31">
        <f t="shared" si="12"/>
        <v>1308370.8119999999</v>
      </c>
      <c r="P19" s="31">
        <f t="shared" si="12"/>
        <v>1446525.24</v>
      </c>
      <c r="Q19" s="31">
        <f t="shared" si="12"/>
        <v>1633248</v>
      </c>
      <c r="R19" s="31">
        <f t="shared" si="12"/>
        <v>1493010</v>
      </c>
      <c r="S19" s="31">
        <f t="shared" si="12"/>
        <v>2046813.588</v>
      </c>
      <c r="T19" s="31">
        <f t="shared" si="12"/>
        <v>2035352.196</v>
      </c>
      <c r="U19" s="31">
        <f t="shared" si="12"/>
        <v>2300874.4440000001</v>
      </c>
      <c r="V19" s="31">
        <f t="shared" si="12"/>
        <v>1970404.3079999997</v>
      </c>
      <c r="W19" s="31">
        <f t="shared" si="12"/>
        <v>2251866.5460000001</v>
      </c>
      <c r="X19" s="31">
        <f t="shared" si="12"/>
        <v>1678041.7298400002</v>
      </c>
      <c r="Y19" s="31">
        <f t="shared" si="12"/>
        <v>1665214.44768</v>
      </c>
      <c r="Z19" s="31">
        <f t="shared" si="12"/>
        <v>1811241.7171199999</v>
      </c>
      <c r="AA19" s="31">
        <f t="shared" si="12"/>
        <v>1347621.9363600002</v>
      </c>
      <c r="AB19" s="31">
        <f t="shared" si="12"/>
        <v>1489920.9972000001</v>
      </c>
      <c r="AC19" s="31">
        <f t="shared" si="12"/>
        <v>1682245.44</v>
      </c>
      <c r="AD19" s="31">
        <f t="shared" si="12"/>
        <v>1537800.3</v>
      </c>
      <c r="AE19" s="31">
        <f t="shared" si="12"/>
        <v>2108217.9956400003</v>
      </c>
      <c r="AF19" s="31">
        <f t="shared" si="12"/>
        <v>2096412.7618800001</v>
      </c>
      <c r="AG19" s="31">
        <f t="shared" si="12"/>
        <v>2369900.6773199998</v>
      </c>
      <c r="AH19" s="31">
        <f t="shared" si="12"/>
        <v>2029516.4372400001</v>
      </c>
      <c r="AI19" s="31">
        <f t="shared" si="12"/>
        <v>2319422.5423800005</v>
      </c>
      <c r="AJ19" s="31">
        <f t="shared" si="12"/>
        <v>1728382.9817352002</v>
      </c>
      <c r="AK19" s="31">
        <f t="shared" si="12"/>
        <v>1715170.8811104002</v>
      </c>
      <c r="AL19" s="31">
        <f t="shared" si="12"/>
        <v>1865578.9686336</v>
      </c>
      <c r="AM19" s="31">
        <f t="shared" si="12"/>
        <v>1388050.5944508002</v>
      </c>
      <c r="AN19" s="31">
        <f t="shared" si="12"/>
        <v>1534618.627116</v>
      </c>
      <c r="AO19" s="31">
        <f t="shared" si="12"/>
        <v>1732712.8032000002</v>
      </c>
      <c r="AP19" s="31">
        <f t="shared" si="12"/>
        <v>1583934.3090000001</v>
      </c>
      <c r="AQ19" s="31">
        <f t="shared" si="12"/>
        <v>2171464.5355092003</v>
      </c>
      <c r="AR19" s="31">
        <f t="shared" si="12"/>
        <v>2159305.1447363999</v>
      </c>
      <c r="AS19" s="31">
        <f t="shared" si="12"/>
        <v>2440997.6976396004</v>
      </c>
      <c r="AT19" s="31">
        <f t="shared" si="12"/>
        <v>2090401.9303572001</v>
      </c>
      <c r="AU19" s="31">
        <f t="shared" si="12"/>
        <v>2389005.2186514004</v>
      </c>
      <c r="AV19" s="31">
        <f t="shared" si="12"/>
        <v>1780234.4711872563</v>
      </c>
      <c r="AW19" s="31">
        <f t="shared" si="12"/>
        <v>1766626.0075437122</v>
      </c>
      <c r="AX19" s="31">
        <f t="shared" si="12"/>
        <v>1921546.3376926079</v>
      </c>
      <c r="AY19" s="31">
        <f t="shared" si="12"/>
        <v>1429692.1122843241</v>
      </c>
      <c r="AZ19" s="31">
        <f t="shared" si="12"/>
        <v>1580657.1859294805</v>
      </c>
      <c r="BA19" s="31">
        <f t="shared" si="12"/>
        <v>1784694.1872960001</v>
      </c>
      <c r="BB19" s="31">
        <f t="shared" si="12"/>
        <v>1631452.3382700002</v>
      </c>
      <c r="BC19" s="31">
        <f t="shared" si="12"/>
        <v>2236608.471574476</v>
      </c>
      <c r="BD19" s="31">
        <f t="shared" si="12"/>
        <v>2224084.299078492</v>
      </c>
      <c r="BE19" s="31">
        <f t="shared" si="12"/>
        <v>2514227.6285687885</v>
      </c>
      <c r="BF19" s="31">
        <f t="shared" si="12"/>
        <v>2153113.9882679163</v>
      </c>
      <c r="BG19" s="31">
        <f t="shared" si="12"/>
        <v>2460675.3752109427</v>
      </c>
      <c r="BH19" s="31">
        <f t="shared" si="12"/>
        <v>1833641.5053228741</v>
      </c>
      <c r="BI19" s="31">
        <f t="shared" si="12"/>
        <v>1819624.7877700238</v>
      </c>
      <c r="BJ19" s="31">
        <f t="shared" si="12"/>
        <v>1979192.7278233862</v>
      </c>
      <c r="BK19" s="31">
        <f t="shared" si="12"/>
        <v>1472582.8756528541</v>
      </c>
      <c r="BL19" s="31">
        <f t="shared" si="12"/>
        <v>1628076.9015073646</v>
      </c>
      <c r="BM19" s="31">
        <f t="shared" si="12"/>
        <v>1838235.0129148799</v>
      </c>
      <c r="BN19" s="31">
        <f t="shared" si="12"/>
        <v>1680395.9084180999</v>
      </c>
      <c r="BO19" s="31">
        <f t="shared" si="12"/>
        <v>2303706.7257217104</v>
      </c>
      <c r="BP19" s="31">
        <f t="shared" si="12"/>
        <v>2290806.8280508472</v>
      </c>
      <c r="BQ19" s="31">
        <f t="shared" ref="BQ19:EB19" si="13">+BQ17+BQ18</f>
        <v>2589654.4574258523</v>
      </c>
      <c r="BR19" s="31">
        <f t="shared" si="13"/>
        <v>2217707.4079159535</v>
      </c>
      <c r="BS19" s="31">
        <f t="shared" si="13"/>
        <v>2534495.636467271</v>
      </c>
      <c r="BT19" s="31">
        <f t="shared" si="13"/>
        <v>1888650.7504825601</v>
      </c>
      <c r="BU19" s="31">
        <f t="shared" si="13"/>
        <v>1874213.5314031243</v>
      </c>
      <c r="BV19" s="31">
        <f t="shared" si="13"/>
        <v>2038568.5096580875</v>
      </c>
      <c r="BW19" s="31">
        <f t="shared" si="13"/>
        <v>1516760.3619224397</v>
      </c>
      <c r="BX19" s="31">
        <f t="shared" si="13"/>
        <v>1676919.2085525857</v>
      </c>
      <c r="BY19" s="31">
        <f t="shared" si="13"/>
        <v>1893382.0633023265</v>
      </c>
      <c r="BZ19" s="31">
        <f t="shared" si="13"/>
        <v>1730807.785670643</v>
      </c>
      <c r="CA19" s="31">
        <f t="shared" si="13"/>
        <v>2372817.9274933618</v>
      </c>
      <c r="CB19" s="31">
        <f t="shared" si="13"/>
        <v>2359531.0328923725</v>
      </c>
      <c r="CC19" s="31">
        <f t="shared" si="13"/>
        <v>2667344.0911486275</v>
      </c>
      <c r="CD19" s="31">
        <f t="shared" si="13"/>
        <v>2284238.6301534325</v>
      </c>
      <c r="CE19" s="31">
        <f t="shared" si="13"/>
        <v>2610530.5055612889</v>
      </c>
      <c r="CF19" s="31">
        <f t="shared" si="13"/>
        <v>1945310.272997037</v>
      </c>
      <c r="CG19" s="31">
        <f t="shared" si="13"/>
        <v>1930439.9373452181</v>
      </c>
      <c r="CH19" s="31">
        <f t="shared" si="13"/>
        <v>2099725.5649478305</v>
      </c>
      <c r="CI19" s="31">
        <f t="shared" si="13"/>
        <v>1562263.1727801128</v>
      </c>
      <c r="CJ19" s="31">
        <f t="shared" si="13"/>
        <v>1727226.7848091633</v>
      </c>
      <c r="CK19" s="31">
        <f t="shared" si="13"/>
        <v>1950183.5252013966</v>
      </c>
      <c r="CL19" s="31">
        <f t="shared" si="13"/>
        <v>1782732.0192407626</v>
      </c>
      <c r="CM19" s="31">
        <f t="shared" si="13"/>
        <v>2444002.4653181629</v>
      </c>
      <c r="CN19" s="31">
        <f t="shared" si="13"/>
        <v>2430316.9638791438</v>
      </c>
      <c r="CO19" s="31">
        <f t="shared" si="13"/>
        <v>2747364.4138830868</v>
      </c>
      <c r="CP19" s="31">
        <f t="shared" si="13"/>
        <v>2352765.7890580352</v>
      </c>
      <c r="CQ19" s="31">
        <f t="shared" si="13"/>
        <v>2688846.4207281275</v>
      </c>
      <c r="CR19" s="31">
        <f t="shared" si="13"/>
        <v>2003669.5811869483</v>
      </c>
      <c r="CS19" s="31">
        <f t="shared" si="13"/>
        <v>1988353.1354655747</v>
      </c>
      <c r="CT19" s="31">
        <f t="shared" si="13"/>
        <v>2162717.3318962655</v>
      </c>
      <c r="CU19" s="31">
        <f t="shared" si="13"/>
        <v>1609131.0679635163</v>
      </c>
      <c r="CV19" s="31">
        <f t="shared" si="13"/>
        <v>1779043.5883534385</v>
      </c>
      <c r="CW19" s="31">
        <f t="shared" si="13"/>
        <v>2008689.0309574385</v>
      </c>
      <c r="CX19" s="31">
        <f t="shared" si="13"/>
        <v>1836213.9798179856</v>
      </c>
      <c r="CY19" s="31">
        <f t="shared" si="13"/>
        <v>2517322.5392777077</v>
      </c>
      <c r="CZ19" s="31">
        <f t="shared" si="13"/>
        <v>2503226.4727955181</v>
      </c>
      <c r="DA19" s="31">
        <f t="shared" si="13"/>
        <v>2829785.3462995794</v>
      </c>
      <c r="DB19" s="31">
        <f t="shared" si="13"/>
        <v>2423348.7627297766</v>
      </c>
      <c r="DC19" s="31">
        <f t="shared" si="13"/>
        <v>2769511.8133499711</v>
      </c>
      <c r="DD19" s="31">
        <f t="shared" si="13"/>
        <v>2063779.6686225568</v>
      </c>
      <c r="DE19" s="31">
        <f t="shared" si="13"/>
        <v>2048003.7295295421</v>
      </c>
      <c r="DF19" s="31">
        <f t="shared" si="13"/>
        <v>2227598.8518531537</v>
      </c>
      <c r="DG19" s="31">
        <f t="shared" si="13"/>
        <v>1657405.0000024219</v>
      </c>
      <c r="DH19" s="31">
        <f t="shared" si="13"/>
        <v>1832414.8960040417</v>
      </c>
      <c r="DI19" s="31">
        <f t="shared" si="13"/>
        <v>2068949.7018861617</v>
      </c>
      <c r="DJ19" s="31">
        <f t="shared" si="13"/>
        <v>1891300.399212525</v>
      </c>
      <c r="DK19" s="31">
        <f t="shared" si="13"/>
        <v>2592842.2154560392</v>
      </c>
      <c r="DL19" s="31">
        <f t="shared" si="13"/>
        <v>2578323.2669793842</v>
      </c>
      <c r="DM19" s="31">
        <f t="shared" si="13"/>
        <v>2914678.9066885668</v>
      </c>
      <c r="DN19" s="31">
        <f t="shared" si="13"/>
        <v>2496049.2256116699</v>
      </c>
      <c r="DO19" s="31">
        <f t="shared" si="13"/>
        <v>2852597.1677504708</v>
      </c>
      <c r="DP19" s="31">
        <f t="shared" si="13"/>
        <v>2125693.0586812338</v>
      </c>
      <c r="DQ19" s="31">
        <f t="shared" si="13"/>
        <v>2109443.8414154286</v>
      </c>
      <c r="DR19" s="31">
        <f t="shared" si="13"/>
        <v>2294426.817408748</v>
      </c>
      <c r="DS19" s="31">
        <f t="shared" si="13"/>
        <v>1707127.1500024947</v>
      </c>
      <c r="DT19" s="31">
        <f t="shared" si="13"/>
        <v>1887387.3428841629</v>
      </c>
      <c r="DU19" s="31">
        <f t="shared" si="13"/>
        <v>2131018.1929427469</v>
      </c>
      <c r="DV19" s="31">
        <f t="shared" si="13"/>
        <v>1948039.4111889012</v>
      </c>
      <c r="DW19" s="31">
        <f t="shared" si="13"/>
        <v>2670627.4819197198</v>
      </c>
      <c r="DX19" s="31">
        <f t="shared" si="13"/>
        <v>2655672.9649887648</v>
      </c>
      <c r="DY19" s="31">
        <f t="shared" si="13"/>
        <v>3002119.2738892236</v>
      </c>
      <c r="DZ19" s="31">
        <f t="shared" si="13"/>
        <v>2570930.7023800202</v>
      </c>
      <c r="EA19" s="31">
        <f t="shared" si="13"/>
        <v>2938175.0827829847</v>
      </c>
      <c r="EB19" s="31">
        <f t="shared" si="13"/>
        <v>2189463.8504416705</v>
      </c>
      <c r="EC19" s="31">
        <f t="shared" ref="EC19:GN19" si="14">+EC17+EC18</f>
        <v>2172727.1566578913</v>
      </c>
      <c r="ED19" s="31">
        <f t="shared" si="14"/>
        <v>2363259.6219310109</v>
      </c>
      <c r="EE19" s="31">
        <f t="shared" si="14"/>
        <v>1758340.9645025693</v>
      </c>
      <c r="EF19" s="31">
        <f t="shared" si="14"/>
        <v>1944008.9631706877</v>
      </c>
      <c r="EG19" s="31">
        <f t="shared" si="14"/>
        <v>2194948.7387310294</v>
      </c>
      <c r="EH19" s="31">
        <f t="shared" si="14"/>
        <v>2006480.593524568</v>
      </c>
      <c r="EI19" s="31">
        <f t="shared" si="14"/>
        <v>2750746.3063773122</v>
      </c>
      <c r="EJ19" s="31">
        <f t="shared" si="14"/>
        <v>2735343.1539384285</v>
      </c>
      <c r="EK19" s="31">
        <f t="shared" si="14"/>
        <v>3092182.8521059006</v>
      </c>
      <c r="EL19" s="31">
        <f t="shared" si="14"/>
        <v>2648058.6234514206</v>
      </c>
      <c r="EM19" s="31">
        <f t="shared" si="14"/>
        <v>3026320.3352664742</v>
      </c>
      <c r="EN19" s="31">
        <f t="shared" si="14"/>
        <v>2255147.7659549206</v>
      </c>
      <c r="EO19" s="31">
        <f t="shared" si="14"/>
        <v>2237908.9713576278</v>
      </c>
      <c r="EP19" s="31">
        <f t="shared" si="14"/>
        <v>2434157.4105889411</v>
      </c>
      <c r="EQ19" s="31">
        <f t="shared" si="14"/>
        <v>1811091.1934376464</v>
      </c>
      <c r="ER19" s="31">
        <f t="shared" si="14"/>
        <v>2002329.2320658085</v>
      </c>
      <c r="ES19" s="31">
        <f t="shared" si="14"/>
        <v>2260797.2008929602</v>
      </c>
      <c r="ET19" s="31">
        <f t="shared" si="14"/>
        <v>2066675.0113303051</v>
      </c>
      <c r="EU19" s="31">
        <f t="shared" si="14"/>
        <v>2833268.6955686314</v>
      </c>
      <c r="EV19" s="31">
        <f t="shared" si="14"/>
        <v>2817403.448556581</v>
      </c>
      <c r="EW19" s="31">
        <f t="shared" si="14"/>
        <v>3184948.3376690778</v>
      </c>
      <c r="EX19" s="31">
        <f t="shared" si="14"/>
        <v>2727500.3821549634</v>
      </c>
      <c r="EY19" s="31">
        <f t="shared" si="14"/>
        <v>3117109.9453244684</v>
      </c>
      <c r="EZ19" s="31">
        <f t="shared" si="14"/>
        <v>2322802.1989335683</v>
      </c>
      <c r="FA19" s="31">
        <f t="shared" si="14"/>
        <v>2305046.240498357</v>
      </c>
      <c r="FB19" s="31">
        <f t="shared" si="14"/>
        <v>2507182.1329066097</v>
      </c>
      <c r="FC19" s="31">
        <f t="shared" si="14"/>
        <v>1865423.9292407758</v>
      </c>
      <c r="FD19" s="31">
        <f t="shared" si="14"/>
        <v>2062399.1090277832</v>
      </c>
      <c r="FE19" s="31">
        <f t="shared" si="14"/>
        <v>2328621.116919749</v>
      </c>
      <c r="FF19" s="31">
        <f t="shared" si="14"/>
        <v>2128675.2616702146</v>
      </c>
      <c r="FG19" s="31">
        <f t="shared" si="14"/>
        <v>2918266.7564356904</v>
      </c>
      <c r="FH19" s="31">
        <f t="shared" si="14"/>
        <v>2901925.5520132789</v>
      </c>
      <c r="FI19" s="31">
        <f t="shared" si="14"/>
        <v>3280496.7877991493</v>
      </c>
      <c r="FJ19" s="31">
        <f t="shared" si="14"/>
        <v>2809325.3936196119</v>
      </c>
      <c r="FK19" s="31">
        <f t="shared" si="14"/>
        <v>3210623.2436842024</v>
      </c>
      <c r="FL19" s="31">
        <f t="shared" si="14"/>
        <v>2392486.2649015756</v>
      </c>
      <c r="FM19" s="31">
        <f t="shared" si="14"/>
        <v>2374197.6277133077</v>
      </c>
      <c r="FN19" s="31">
        <f t="shared" si="14"/>
        <v>2582397.5968938079</v>
      </c>
      <c r="FO19" s="31">
        <f t="shared" si="14"/>
        <v>1921386.6471179991</v>
      </c>
      <c r="FP19" s="31">
        <f t="shared" si="14"/>
        <v>2124271.0822986169</v>
      </c>
      <c r="FQ19" s="31">
        <f t="shared" si="14"/>
        <v>2398479.7504273416</v>
      </c>
      <c r="FR19" s="31">
        <f t="shared" si="14"/>
        <v>2192535.5195203209</v>
      </c>
      <c r="FS19" s="31">
        <f t="shared" si="14"/>
        <v>3005814.759128761</v>
      </c>
      <c r="FT19" s="31">
        <f t="shared" si="14"/>
        <v>2988983.318573677</v>
      </c>
      <c r="FU19" s="31">
        <f t="shared" si="14"/>
        <v>3378911.6914331238</v>
      </c>
      <c r="FV19" s="31">
        <f t="shared" si="14"/>
        <v>2893605.1554282005</v>
      </c>
      <c r="FW19" s="31">
        <f t="shared" si="14"/>
        <v>3306941.9409947288</v>
      </c>
      <c r="FX19" s="31">
        <f t="shared" si="14"/>
        <v>2464260.8528486225</v>
      </c>
      <c r="FY19" s="31">
        <f t="shared" si="14"/>
        <v>2445423.5565447072</v>
      </c>
      <c r="FZ19" s="31">
        <f t="shared" si="14"/>
        <v>2659869.5248006224</v>
      </c>
      <c r="GA19" s="31">
        <f t="shared" si="14"/>
        <v>1979028.2465315391</v>
      </c>
      <c r="GB19" s="31">
        <f t="shared" si="14"/>
        <v>2187999.2147675753</v>
      </c>
      <c r="GC19" s="31">
        <f t="shared" si="14"/>
        <v>2470434.1429401622</v>
      </c>
      <c r="GD19" s="31">
        <f t="shared" si="14"/>
        <v>2258311.5851059309</v>
      </c>
      <c r="GE19" s="31">
        <f t="shared" si="14"/>
        <v>3095989.2019026238</v>
      </c>
      <c r="GF19" s="31">
        <f t="shared" si="14"/>
        <v>3078652.8181308871</v>
      </c>
      <c r="GG19" s="31">
        <f t="shared" si="14"/>
        <v>3480279.0421761181</v>
      </c>
      <c r="GH19" s="31">
        <f t="shared" si="14"/>
        <v>2980413.3100910466</v>
      </c>
      <c r="GI19" s="31">
        <f t="shared" si="14"/>
        <v>3406150.1992245708</v>
      </c>
      <c r="GJ19" s="31">
        <f t="shared" si="14"/>
        <v>2538188.6784340814</v>
      </c>
      <c r="GK19" s="31">
        <f t="shared" si="14"/>
        <v>2518786.263241048</v>
      </c>
      <c r="GL19" s="31">
        <f t="shared" si="14"/>
        <v>2739665.6105446415</v>
      </c>
      <c r="GM19" s="31">
        <f t="shared" si="14"/>
        <v>2038399.0939274854</v>
      </c>
      <c r="GN19" s="31">
        <f t="shared" si="14"/>
        <v>2253639.1912106024</v>
      </c>
      <c r="GO19" s="31">
        <f t="shared" ref="GO19:IG19" si="15">+GO17+GO18</f>
        <v>2544547.1672283667</v>
      </c>
      <c r="GP19" s="31">
        <f t="shared" si="15"/>
        <v>2326060.9326591087</v>
      </c>
      <c r="GQ19" s="31">
        <f t="shared" si="15"/>
        <v>3188868.8779597031</v>
      </c>
      <c r="GR19" s="31">
        <f t="shared" si="15"/>
        <v>3171012.4026748142</v>
      </c>
      <c r="GS19" s="31">
        <f t="shared" si="15"/>
        <v>3584687.4134414014</v>
      </c>
      <c r="GT19" s="31">
        <f t="shared" si="15"/>
        <v>3069825.7093937784</v>
      </c>
      <c r="GU19" s="31">
        <f t="shared" si="15"/>
        <v>3508334.7052013078</v>
      </c>
      <c r="GV19" s="31">
        <f t="shared" si="15"/>
        <v>2614334.3387871035</v>
      </c>
      <c r="GW19" s="31">
        <f t="shared" si="15"/>
        <v>2594349.8511382793</v>
      </c>
      <c r="GX19" s="31">
        <f t="shared" si="15"/>
        <v>2821855.5788609805</v>
      </c>
      <c r="GY19" s="31">
        <f t="shared" si="15"/>
        <v>2099551.0667453101</v>
      </c>
      <c r="GZ19" s="31">
        <f t="shared" si="15"/>
        <v>2321248.3669469208</v>
      </c>
      <c r="HA19" s="31">
        <f t="shared" si="15"/>
        <v>2620883.5822452176</v>
      </c>
      <c r="HB19" s="31">
        <f t="shared" si="15"/>
        <v>2395842.7606388819</v>
      </c>
      <c r="HC19" s="31">
        <f t="shared" si="15"/>
        <v>3284534.9442984937</v>
      </c>
      <c r="HD19" s="31">
        <f t="shared" si="15"/>
        <v>3266142.7747550588</v>
      </c>
      <c r="HE19" s="31">
        <f t="shared" si="15"/>
        <v>3692228.0358446436</v>
      </c>
      <c r="HF19" s="31">
        <f t="shared" si="15"/>
        <v>3161920.4806755916</v>
      </c>
      <c r="HG19" s="31">
        <f t="shared" si="15"/>
        <v>3613584.7463573474</v>
      </c>
      <c r="HH19" s="31">
        <f t="shared" si="15"/>
        <v>2692764.3689507167</v>
      </c>
      <c r="HI19" s="31">
        <f t="shared" si="15"/>
        <v>2672180.3466724278</v>
      </c>
      <c r="HJ19" s="31">
        <f t="shared" si="15"/>
        <v>2906511.2462268099</v>
      </c>
      <c r="HK19" s="31">
        <f t="shared" si="15"/>
        <v>2162537.5987476693</v>
      </c>
      <c r="HL19" s="31">
        <f t="shared" si="15"/>
        <v>2390885.8179553282</v>
      </c>
      <c r="HM19" s="31">
        <f t="shared" si="15"/>
        <v>2699510.0897125746</v>
      </c>
      <c r="HN19" s="31">
        <f t="shared" si="15"/>
        <v>2467718.0434580487</v>
      </c>
      <c r="HO19" s="31">
        <f t="shared" si="15"/>
        <v>3383070.9926274493</v>
      </c>
      <c r="HP19" s="31">
        <f t="shared" si="15"/>
        <v>3364127.0579977105</v>
      </c>
      <c r="HQ19" s="31">
        <f t="shared" si="15"/>
        <v>3802994.8769199834</v>
      </c>
      <c r="HR19" s="31">
        <f t="shared" si="15"/>
        <v>3256778.0950958598</v>
      </c>
      <c r="HS19" s="31">
        <f t="shared" si="15"/>
        <v>3721992.2887480673</v>
      </c>
      <c r="HT19" s="31">
        <f t="shared" si="15"/>
        <v>2773547.3000192386</v>
      </c>
      <c r="HU19" s="31">
        <f t="shared" si="15"/>
        <v>2752345.7570726005</v>
      </c>
      <c r="HV19" s="31">
        <f t="shared" si="15"/>
        <v>2993706.5836136146</v>
      </c>
      <c r="HW19" s="31">
        <f t="shared" si="15"/>
        <v>2227413.7267100993</v>
      </c>
      <c r="HX19" s="31">
        <f t="shared" si="15"/>
        <v>2462612.3924939884</v>
      </c>
      <c r="HY19" s="31">
        <f t="shared" si="15"/>
        <v>2780495.3924039518</v>
      </c>
      <c r="HZ19" s="31">
        <f t="shared" si="15"/>
        <v>2541749.5847617905</v>
      </c>
      <c r="IA19" s="31">
        <f t="shared" si="15"/>
        <v>3484563.1224062722</v>
      </c>
      <c r="IB19" s="31">
        <f t="shared" si="15"/>
        <v>3465050.8697376419</v>
      </c>
      <c r="IC19" s="31">
        <f t="shared" si="15"/>
        <v>3917084.7232275829</v>
      </c>
      <c r="ID19" s="31">
        <f t="shared" si="15"/>
        <v>3354481.4379487354</v>
      </c>
      <c r="IE19" s="31">
        <f t="shared" si="15"/>
        <v>3833652.0574105098</v>
      </c>
      <c r="IF19" s="31">
        <f t="shared" si="15"/>
        <v>2856753.7190198153</v>
      </c>
      <c r="IG19" s="31">
        <f t="shared" si="15"/>
        <v>2834916.1297847787</v>
      </c>
      <c r="IH19" s="31">
        <f>+IH17+IH18</f>
        <v>3083517.7811220232</v>
      </c>
    </row>
    <row r="20" spans="1:242" x14ac:dyDescent="0.3"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</row>
    <row r="21" spans="1:242" x14ac:dyDescent="0.3">
      <c r="C21">
        <v>2024</v>
      </c>
      <c r="D21">
        <v>2025</v>
      </c>
      <c r="E21">
        <v>2026</v>
      </c>
      <c r="F21">
        <v>2027</v>
      </c>
      <c r="G21">
        <v>2028</v>
      </c>
      <c r="H21">
        <v>2029</v>
      </c>
      <c r="I21">
        <v>2030</v>
      </c>
      <c r="J21">
        <v>2031</v>
      </c>
      <c r="K21">
        <v>2032</v>
      </c>
      <c r="L21">
        <v>2033</v>
      </c>
      <c r="M21">
        <v>2034</v>
      </c>
      <c r="N21">
        <v>2035</v>
      </c>
      <c r="O21">
        <v>2036</v>
      </c>
      <c r="P21">
        <v>2037</v>
      </c>
      <c r="Q21">
        <v>2038</v>
      </c>
      <c r="R21">
        <v>2039</v>
      </c>
      <c r="S21">
        <v>2040</v>
      </c>
      <c r="T21">
        <v>2041</v>
      </c>
      <c r="U21">
        <v>2042</v>
      </c>
      <c r="V21">
        <v>2043</v>
      </c>
      <c r="W21">
        <v>2044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</row>
    <row r="22" spans="1:242" x14ac:dyDescent="0.3">
      <c r="A22" s="6" t="s">
        <v>913</v>
      </c>
      <c r="C22" s="31">
        <f>+SUMIFS(19:19,12:12,C21)</f>
        <v>7013466.0600000005</v>
      </c>
      <c r="D22" s="31">
        <f>+SUMIFS(19:19,12:12,D21)</f>
        <v>22396725.719999999</v>
      </c>
      <c r="E22" s="31">
        <f>+SUMIFS(19:19,12:12,E21)</f>
        <v>21878802.057840005</v>
      </c>
      <c r="F22" s="31">
        <f t="shared" ref="F22:L22" si="16">+SUMIFS(19:19,12:12,F21)</f>
        <v>22535166.119575199</v>
      </c>
      <c r="G22" s="31">
        <f t="shared" si="16"/>
        <v>23211221.10316246</v>
      </c>
      <c r="H22" s="31">
        <f t="shared" si="16"/>
        <v>23907557.736257333</v>
      </c>
      <c r="I22" s="31">
        <f t="shared" si="16"/>
        <v>24624784.468345046</v>
      </c>
      <c r="J22" s="31">
        <f t="shared" si="16"/>
        <v>25363528.002395403</v>
      </c>
      <c r="K22" s="31">
        <f t="shared" si="16"/>
        <v>26124433.842467271</v>
      </c>
      <c r="L22" s="31">
        <f t="shared" si="16"/>
        <v>26908166.857741289</v>
      </c>
      <c r="M22" s="31">
        <f>+SUMIFS(19:19,12:12,M21)</f>
        <v>27715411.863473527</v>
      </c>
      <c r="N22" s="31">
        <f t="shared" ref="N22:V22" si="17">+SUMIFS(19:19,12:12,N21)</f>
        <v>28546874.219377734</v>
      </c>
      <c r="O22" s="31">
        <f t="shared" si="17"/>
        <v>29403280.445959069</v>
      </c>
      <c r="P22" s="31">
        <f t="shared" si="17"/>
        <v>30285378.859337837</v>
      </c>
      <c r="Q22" s="31">
        <f t="shared" si="17"/>
        <v>31193940.22511797</v>
      </c>
      <c r="R22" s="31">
        <f t="shared" si="17"/>
        <v>32129758.431871511</v>
      </c>
      <c r="S22" s="31">
        <f t="shared" si="17"/>
        <v>33093651.184827656</v>
      </c>
      <c r="T22" s="31">
        <f t="shared" si="17"/>
        <v>34086460.720372491</v>
      </c>
      <c r="U22" s="31">
        <f t="shared" si="17"/>
        <v>35109054.541983664</v>
      </c>
      <c r="V22" s="31">
        <f t="shared" si="17"/>
        <v>36162326.178243183</v>
      </c>
      <c r="W22" s="31">
        <f>+SUMIFS(19:19,12:12,W21)</f>
        <v>23345456.718251087</v>
      </c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</row>
    <row r="24" spans="1:242" x14ac:dyDescent="0.3">
      <c r="A24" s="6" t="s">
        <v>914</v>
      </c>
      <c r="C24" s="14">
        <v>45505</v>
      </c>
      <c r="D24" s="14">
        <v>45536</v>
      </c>
      <c r="E24" s="14">
        <v>45566</v>
      </c>
      <c r="F24" s="14">
        <v>45597</v>
      </c>
      <c r="G24" s="14">
        <v>45627</v>
      </c>
      <c r="H24" s="14">
        <v>45658</v>
      </c>
      <c r="I24" s="14">
        <v>45689</v>
      </c>
      <c r="J24" s="14">
        <v>45717</v>
      </c>
      <c r="K24" s="14">
        <v>45748</v>
      </c>
      <c r="L24" s="14">
        <v>45778</v>
      </c>
      <c r="M24" s="14">
        <v>45809</v>
      </c>
      <c r="N24" s="14">
        <v>45839</v>
      </c>
      <c r="O24" s="14">
        <v>45870</v>
      </c>
      <c r="P24" s="14">
        <v>45901</v>
      </c>
      <c r="Q24" s="14">
        <v>45931</v>
      </c>
      <c r="R24" s="14">
        <v>45962</v>
      </c>
      <c r="S24" s="14">
        <v>45992</v>
      </c>
      <c r="T24" s="14">
        <v>46023</v>
      </c>
      <c r="U24" s="14">
        <v>46054</v>
      </c>
      <c r="V24" s="14">
        <v>46082</v>
      </c>
      <c r="W24" s="14">
        <v>46113</v>
      </c>
      <c r="X24" s="14">
        <v>46143</v>
      </c>
      <c r="Y24" s="14">
        <v>46174</v>
      </c>
      <c r="Z24" s="14">
        <v>46204</v>
      </c>
      <c r="AA24" s="14">
        <v>46235</v>
      </c>
      <c r="AB24" s="14">
        <v>46266</v>
      </c>
      <c r="AC24" s="14">
        <v>46296</v>
      </c>
      <c r="AD24" s="14">
        <v>46327</v>
      </c>
      <c r="AE24" s="14">
        <v>46357</v>
      </c>
      <c r="AF24" s="14">
        <v>46388</v>
      </c>
      <c r="AG24" s="14">
        <v>46419</v>
      </c>
      <c r="AH24" s="14">
        <v>46447</v>
      </c>
      <c r="AI24" s="14">
        <v>46478</v>
      </c>
      <c r="AJ24" s="14">
        <v>46508</v>
      </c>
      <c r="AK24" s="14">
        <v>46539</v>
      </c>
      <c r="AL24" s="14">
        <v>46569</v>
      </c>
      <c r="AM24" s="14">
        <v>46600</v>
      </c>
      <c r="AN24" s="14">
        <v>46631</v>
      </c>
      <c r="AO24" s="14">
        <v>46661</v>
      </c>
      <c r="AP24" s="14">
        <v>46692</v>
      </c>
      <c r="AQ24" s="14">
        <v>46722</v>
      </c>
      <c r="AR24" s="14">
        <v>46753</v>
      </c>
      <c r="AS24" s="14">
        <v>46784</v>
      </c>
      <c r="AT24" s="14">
        <v>46813</v>
      </c>
      <c r="AU24" s="14">
        <v>46844</v>
      </c>
      <c r="AV24" s="14">
        <v>46874</v>
      </c>
      <c r="AW24" s="14">
        <v>46905</v>
      </c>
      <c r="AX24" s="14">
        <v>46935</v>
      </c>
      <c r="AY24" s="14">
        <v>46966</v>
      </c>
      <c r="AZ24" s="14">
        <v>46997</v>
      </c>
      <c r="BA24" s="14">
        <v>47027</v>
      </c>
      <c r="BB24" s="14">
        <v>47058</v>
      </c>
      <c r="BC24" s="14">
        <v>47088</v>
      </c>
      <c r="BD24" s="14">
        <v>47119</v>
      </c>
      <c r="BE24" s="14">
        <v>47150</v>
      </c>
      <c r="BF24" s="14">
        <v>47178</v>
      </c>
      <c r="BG24" s="14">
        <v>47209</v>
      </c>
      <c r="BH24" s="14">
        <v>47239</v>
      </c>
      <c r="BI24" s="14">
        <v>47270</v>
      </c>
      <c r="BJ24" s="14">
        <v>47300</v>
      </c>
      <c r="BK24" s="14">
        <v>47331</v>
      </c>
      <c r="BL24" s="14">
        <v>47362</v>
      </c>
      <c r="BM24" s="14">
        <v>47392</v>
      </c>
      <c r="BN24" s="14">
        <v>47423</v>
      </c>
      <c r="BO24" s="14">
        <v>47453</v>
      </c>
      <c r="BP24" s="14">
        <v>47484</v>
      </c>
      <c r="BQ24" s="14">
        <v>47515</v>
      </c>
      <c r="BR24" s="14">
        <v>47543</v>
      </c>
      <c r="BS24" s="14">
        <v>47574</v>
      </c>
      <c r="BT24" s="14">
        <v>47604</v>
      </c>
      <c r="BU24" s="14">
        <v>47635</v>
      </c>
      <c r="BV24" s="14">
        <v>47665</v>
      </c>
      <c r="BW24" s="14">
        <v>47696</v>
      </c>
      <c r="BX24" s="14">
        <v>47727</v>
      </c>
      <c r="BY24" s="14">
        <v>47757</v>
      </c>
      <c r="BZ24" s="14">
        <v>47788</v>
      </c>
      <c r="CA24" s="14">
        <v>47818</v>
      </c>
      <c r="CB24" s="14">
        <v>47849</v>
      </c>
      <c r="CC24" s="14">
        <v>47880</v>
      </c>
      <c r="CD24" s="14">
        <v>47908</v>
      </c>
      <c r="CE24" s="14">
        <v>47939</v>
      </c>
      <c r="CF24" s="14">
        <v>47969</v>
      </c>
      <c r="CG24" s="14">
        <v>48000</v>
      </c>
      <c r="CH24" s="14">
        <v>48030</v>
      </c>
      <c r="CI24" s="14">
        <v>48061</v>
      </c>
      <c r="CJ24" s="14">
        <v>48092</v>
      </c>
      <c r="CK24" s="14">
        <v>48122</v>
      </c>
      <c r="CL24" s="14">
        <v>48153</v>
      </c>
      <c r="CM24" s="14">
        <v>48183</v>
      </c>
      <c r="CN24" s="14">
        <v>48214</v>
      </c>
      <c r="CO24" s="14">
        <v>48245</v>
      </c>
      <c r="CP24" s="14">
        <v>48274</v>
      </c>
      <c r="CQ24" s="14">
        <v>48305</v>
      </c>
      <c r="CR24" s="14">
        <v>48335</v>
      </c>
      <c r="CS24" s="14">
        <v>48366</v>
      </c>
      <c r="CT24" s="14">
        <v>48396</v>
      </c>
      <c r="CU24" s="14">
        <v>48427</v>
      </c>
      <c r="CV24" s="14">
        <v>48458</v>
      </c>
      <c r="CW24" s="14">
        <v>48488</v>
      </c>
      <c r="CX24" s="14">
        <v>48519</v>
      </c>
      <c r="CY24" s="14">
        <v>48549</v>
      </c>
      <c r="CZ24" s="14">
        <v>48580</v>
      </c>
      <c r="DA24" s="14">
        <v>48611</v>
      </c>
      <c r="DB24" s="14">
        <v>48639</v>
      </c>
      <c r="DC24" s="14">
        <v>48670</v>
      </c>
      <c r="DD24" s="14">
        <v>48700</v>
      </c>
      <c r="DE24" s="14">
        <v>48731</v>
      </c>
      <c r="DF24" s="14">
        <v>48761</v>
      </c>
      <c r="DG24" s="14">
        <v>48792</v>
      </c>
      <c r="DH24" s="14">
        <v>48823</v>
      </c>
      <c r="DI24" s="14">
        <v>48853</v>
      </c>
      <c r="DJ24" s="14">
        <v>48884</v>
      </c>
      <c r="DK24" s="14">
        <v>48914</v>
      </c>
      <c r="DL24" s="14">
        <v>48945</v>
      </c>
      <c r="DM24" s="14">
        <v>48976</v>
      </c>
      <c r="DN24" s="14">
        <v>49004</v>
      </c>
      <c r="DO24" s="14">
        <v>49035</v>
      </c>
      <c r="DP24" s="14">
        <v>49065</v>
      </c>
      <c r="DQ24" s="14">
        <v>49096</v>
      </c>
      <c r="DR24" s="14">
        <v>49126</v>
      </c>
      <c r="DS24" s="14">
        <v>49157</v>
      </c>
      <c r="DT24" s="14">
        <v>49188</v>
      </c>
      <c r="DU24" s="14">
        <v>49218</v>
      </c>
      <c r="DV24" s="14">
        <v>49249</v>
      </c>
      <c r="DW24" s="14">
        <v>49279</v>
      </c>
      <c r="DX24" s="14">
        <v>49310</v>
      </c>
      <c r="DY24" s="14">
        <v>49341</v>
      </c>
      <c r="DZ24" s="14">
        <v>49369</v>
      </c>
      <c r="EA24" s="14">
        <v>49400</v>
      </c>
      <c r="EB24" s="14">
        <v>49430</v>
      </c>
      <c r="EC24" s="14">
        <v>49461</v>
      </c>
      <c r="ED24" s="14">
        <v>49491</v>
      </c>
      <c r="EE24" s="14">
        <v>49522</v>
      </c>
      <c r="EF24" s="14">
        <v>49553</v>
      </c>
      <c r="EG24" s="14">
        <v>49583</v>
      </c>
      <c r="EH24" s="14">
        <v>49614</v>
      </c>
      <c r="EI24" s="14">
        <v>49644</v>
      </c>
      <c r="EJ24" s="14">
        <v>49675</v>
      </c>
      <c r="EK24" s="14">
        <v>49706</v>
      </c>
      <c r="EL24" s="14">
        <v>49735</v>
      </c>
      <c r="EM24" s="14">
        <v>49766</v>
      </c>
      <c r="EN24" s="14">
        <v>49796</v>
      </c>
      <c r="EO24" s="14">
        <v>49827</v>
      </c>
      <c r="EP24" s="14">
        <v>49857</v>
      </c>
      <c r="EQ24" s="14">
        <v>49888</v>
      </c>
      <c r="ER24" s="14">
        <v>49919</v>
      </c>
      <c r="ES24" s="14">
        <v>49949</v>
      </c>
      <c r="ET24" s="14">
        <v>49980</v>
      </c>
      <c r="EU24" s="14">
        <v>50010</v>
      </c>
      <c r="EV24" s="14">
        <v>50041</v>
      </c>
      <c r="EW24" s="14">
        <v>50072</v>
      </c>
      <c r="EX24" s="14">
        <v>50100</v>
      </c>
      <c r="EY24" s="14">
        <v>50131</v>
      </c>
      <c r="EZ24" s="14">
        <v>50161</v>
      </c>
      <c r="FA24" s="14">
        <v>50192</v>
      </c>
      <c r="FB24" s="14">
        <v>50222</v>
      </c>
      <c r="FC24" s="14">
        <v>50253</v>
      </c>
      <c r="FD24" s="14">
        <v>50284</v>
      </c>
      <c r="FE24" s="14">
        <v>50314</v>
      </c>
      <c r="FF24" s="14">
        <v>50345</v>
      </c>
      <c r="FG24" s="14">
        <v>50375</v>
      </c>
      <c r="FH24" s="14">
        <v>50406</v>
      </c>
      <c r="FI24" s="14">
        <v>50437</v>
      </c>
      <c r="FJ24" s="14">
        <v>50465</v>
      </c>
      <c r="FK24" s="14">
        <v>50496</v>
      </c>
      <c r="FL24" s="14">
        <v>50526</v>
      </c>
      <c r="FM24" s="14">
        <v>50557</v>
      </c>
      <c r="FN24" s="14">
        <v>50587</v>
      </c>
      <c r="FO24" s="14">
        <v>50618</v>
      </c>
      <c r="FP24" s="14">
        <v>50649</v>
      </c>
      <c r="FQ24" s="14">
        <v>50679</v>
      </c>
      <c r="FR24" s="14">
        <v>50710</v>
      </c>
      <c r="FS24" s="14">
        <v>50740</v>
      </c>
      <c r="FT24" s="14">
        <v>50771</v>
      </c>
      <c r="FU24" s="14">
        <v>50802</v>
      </c>
      <c r="FV24" s="14">
        <v>50830</v>
      </c>
      <c r="FW24" s="14">
        <v>50861</v>
      </c>
      <c r="FX24" s="14">
        <v>50891</v>
      </c>
      <c r="FY24" s="14">
        <v>50922</v>
      </c>
      <c r="FZ24" s="14">
        <v>50952</v>
      </c>
      <c r="GA24" s="14">
        <v>50983</v>
      </c>
      <c r="GB24" s="14">
        <v>51014</v>
      </c>
      <c r="GC24" s="14">
        <v>51044</v>
      </c>
      <c r="GD24" s="14">
        <v>51075</v>
      </c>
      <c r="GE24" s="14">
        <v>51105</v>
      </c>
      <c r="GF24" s="14">
        <v>51136</v>
      </c>
      <c r="GG24" s="14">
        <v>51167</v>
      </c>
      <c r="GH24" s="14">
        <v>51196</v>
      </c>
      <c r="GI24" s="14">
        <v>51227</v>
      </c>
      <c r="GJ24" s="14">
        <v>51257</v>
      </c>
      <c r="GK24" s="14">
        <v>51288</v>
      </c>
      <c r="GL24" s="14">
        <v>51318</v>
      </c>
      <c r="GM24" s="14">
        <v>51349</v>
      </c>
      <c r="GN24" s="14">
        <v>51380</v>
      </c>
      <c r="GO24" s="14">
        <v>51410</v>
      </c>
      <c r="GP24" s="14">
        <v>51441</v>
      </c>
      <c r="GQ24" s="14">
        <v>51471</v>
      </c>
      <c r="GR24" s="14">
        <v>51502</v>
      </c>
      <c r="GS24" s="14">
        <v>51533</v>
      </c>
      <c r="GT24" s="14">
        <v>51561</v>
      </c>
      <c r="GU24" s="14">
        <v>51592</v>
      </c>
      <c r="GV24" s="14">
        <v>51622</v>
      </c>
      <c r="GW24" s="14">
        <v>51653</v>
      </c>
      <c r="GX24" s="14">
        <v>51683</v>
      </c>
      <c r="GY24" s="14">
        <v>51714</v>
      </c>
      <c r="GZ24" s="14">
        <v>51745</v>
      </c>
      <c r="HA24" s="14">
        <v>51775</v>
      </c>
      <c r="HB24" s="14">
        <v>51806</v>
      </c>
      <c r="HC24" s="14">
        <v>51836</v>
      </c>
      <c r="HD24" s="14">
        <v>51867</v>
      </c>
      <c r="HE24" s="14">
        <v>51898</v>
      </c>
      <c r="HF24" s="14">
        <v>51926</v>
      </c>
      <c r="HG24" s="14">
        <v>51957</v>
      </c>
      <c r="HH24" s="14">
        <v>51987</v>
      </c>
      <c r="HI24" s="14">
        <v>52018</v>
      </c>
      <c r="HJ24" s="14">
        <v>52048</v>
      </c>
      <c r="HK24" s="14">
        <v>52079</v>
      </c>
      <c r="HL24" s="14">
        <v>52110</v>
      </c>
      <c r="HM24" s="14">
        <v>52140</v>
      </c>
      <c r="HN24" s="14">
        <v>52171</v>
      </c>
      <c r="HO24" s="14">
        <v>52201</v>
      </c>
      <c r="HP24" s="14">
        <v>52232</v>
      </c>
      <c r="HQ24" s="14">
        <v>52263</v>
      </c>
      <c r="HR24" s="14">
        <v>52291</v>
      </c>
      <c r="HS24" s="14">
        <v>52322</v>
      </c>
      <c r="HT24" s="14">
        <v>52352</v>
      </c>
      <c r="HU24" s="14">
        <v>52383</v>
      </c>
      <c r="HV24" s="14">
        <v>52413</v>
      </c>
      <c r="HW24" s="14">
        <v>52444</v>
      </c>
      <c r="HX24" s="14">
        <v>52475</v>
      </c>
      <c r="HY24" s="14">
        <v>52505</v>
      </c>
      <c r="HZ24" s="14">
        <v>52536</v>
      </c>
      <c r="IA24" s="14">
        <v>52566</v>
      </c>
      <c r="IB24" s="14">
        <v>52597</v>
      </c>
      <c r="IC24" s="14">
        <v>52628</v>
      </c>
      <c r="ID24" s="14">
        <v>52657</v>
      </c>
      <c r="IE24" s="14">
        <v>52688</v>
      </c>
      <c r="IF24" s="14">
        <v>52718</v>
      </c>
      <c r="IG24" s="14">
        <v>52749</v>
      </c>
      <c r="IH24" s="14">
        <v>52779</v>
      </c>
    </row>
    <row r="25" spans="1:242" x14ac:dyDescent="0.3">
      <c r="A25" t="s">
        <v>915</v>
      </c>
      <c r="C25" s="30"/>
      <c r="D25" s="30">
        <f>+Producción!E13*'Análisis cliente final MP'!C6</f>
        <v>66687.424512501282</v>
      </c>
      <c r="E25" s="30">
        <f>+Producción!F13*'Análisis cliente final MP'!D6</f>
        <v>91961.158575131791</v>
      </c>
      <c r="F25" s="30">
        <f>+Producción!G13*'Análisis cliente final MP'!E6</f>
        <v>88539.903629012711</v>
      </c>
      <c r="G25" s="30">
        <f>+Producción!H13*'Análisis cliente final MP'!F6</f>
        <v>82610.396620572123</v>
      </c>
      <c r="H25" s="30">
        <f>+Producción!I13*'Análisis cliente final MP'!G6</f>
        <v>101781.56592602865</v>
      </c>
      <c r="I25" s="30">
        <f>+Producción!J13*'Análisis cliente final MP'!H6</f>
        <v>125437.95757056975</v>
      </c>
      <c r="J25" s="30">
        <f>+Producción!K13*'Análisis cliente final MP'!I6</f>
        <v>131270.49929175971</v>
      </c>
      <c r="K25" s="30">
        <f>+Producción!L13*'Análisis cliente final MP'!J6</f>
        <v>125495.70303110732</v>
      </c>
      <c r="L25" s="30">
        <f>+Producción!M13*'Análisis cliente final MP'!K6</f>
        <v>91489.676189293314</v>
      </c>
      <c r="M25" s="30">
        <f>+Producción!N13*'Análisis cliente final MP'!L6</f>
        <v>88360.656415209087</v>
      </c>
      <c r="N25" s="30">
        <f>+Producción!O13*'Análisis cliente final MP'!M6</f>
        <v>98135.431302765835</v>
      </c>
      <c r="O25" s="30">
        <f>+Producción!P13*'Análisis cliente final MP'!N6</f>
        <v>70376.2525564807</v>
      </c>
      <c r="P25" s="30">
        <f>+Producción!Q13*'Análisis cliente final MP'!O6</f>
        <v>70261.383349018812</v>
      </c>
      <c r="Q25" s="30">
        <f>+Producción!R13*'Análisis cliente final MP'!P6</f>
        <v>94985.633539129311</v>
      </c>
      <c r="R25" s="30">
        <f>+Producción!S13*'Análisis cliente final MP'!Q6</f>
        <v>79318.769456991213</v>
      </c>
      <c r="S25" s="30">
        <f>+Producción!T13*'Análisis cliente final MP'!R6</f>
        <v>71217.293719734953</v>
      </c>
      <c r="T25" s="30">
        <f>+Producción!U13*'Análisis cliente final MP'!S6</f>
        <v>104835.01290380952</v>
      </c>
      <c r="U25" s="30">
        <f>+Producción!V13*'Análisis cliente final MP'!T6</f>
        <v>129201.09629768685</v>
      </c>
      <c r="V25" s="30">
        <f>+Producción!W13*'Análisis cliente final MP'!U6</f>
        <v>135208.61427051251</v>
      </c>
      <c r="W25" s="30">
        <f>+Producción!X13*'Análisis cliente final MP'!V6</f>
        <v>129260.57412204055</v>
      </c>
      <c r="X25" s="30">
        <f>+Producción!Y13*'Análisis cliente final MP'!W6</f>
        <v>94234.366474972121</v>
      </c>
      <c r="Y25" s="30">
        <f>+Producción!Z13*'Análisis cliente final MP'!X6</f>
        <v>91011.476107665367</v>
      </c>
      <c r="Z25" s="30">
        <f>+Producción!AA13*'Análisis cliente final MP'!Y6</f>
        <v>101079.49424184881</v>
      </c>
      <c r="AA25" s="30">
        <f>+Producción!AB13*'Análisis cliente final MP'!Z6</f>
        <v>72487.54013317512</v>
      </c>
      <c r="AB25" s="30">
        <f>+Producción!AC13*'Análisis cliente final MP'!AA6</f>
        <v>72369.224849489372</v>
      </c>
      <c r="AC25" s="30">
        <f>+Producción!AD13*'Análisis cliente final MP'!AB6</f>
        <v>97835.202545303182</v>
      </c>
      <c r="AD25" s="30">
        <f>+Producción!AE13*'Análisis cliente final MP'!AC6</f>
        <v>81698.332540700954</v>
      </c>
      <c r="AE25" s="30">
        <f>+Producción!AF13*'Análisis cliente final MP'!AD6</f>
        <v>73353.812531326999</v>
      </c>
      <c r="AF25" s="30">
        <f>+Producción!AG13*'Análisis cliente final MP'!AE6</f>
        <v>107980.0632909238</v>
      </c>
      <c r="AG25" s="30">
        <f>+Producción!AH13*'Análisis cliente final MP'!AF6</f>
        <v>133077.12918661747</v>
      </c>
      <c r="AH25" s="30">
        <f>+Producción!AI13*'Análisis cliente final MP'!AG6</f>
        <v>139264.87269862788</v>
      </c>
      <c r="AI25" s="30">
        <f>+Producción!AJ13*'Análisis cliente final MP'!AH6</f>
        <v>133138.39134570176</v>
      </c>
      <c r="AJ25" s="30">
        <f>+Producción!AK13*'Análisis cliente final MP'!AI6</f>
        <v>97061.39746922128</v>
      </c>
      <c r="AK25" s="30">
        <f>+Producción!AL13*'Análisis cliente final MP'!AJ6</f>
        <v>93741.820390895329</v>
      </c>
      <c r="AL25" s="30">
        <f>+Producción!AM13*'Análisis cliente final MP'!AK6</f>
        <v>104111.87906910428</v>
      </c>
      <c r="AM25" s="30">
        <f>+Producción!AN13*'Análisis cliente final MP'!AL6</f>
        <v>74662.166337170376</v>
      </c>
      <c r="AN25" s="30">
        <f>+Producción!AO13*'Análisis cliente final MP'!AM6</f>
        <v>74540.301594974066</v>
      </c>
      <c r="AO25" s="30">
        <f>+Producción!AP13*'Análisis cliente final MP'!AN6</f>
        <v>100770.25862166229</v>
      </c>
      <c r="AP25" s="30">
        <f>+Producción!AQ13*'Análisis cliente final MP'!AO6</f>
        <v>84149.282516921987</v>
      </c>
      <c r="AQ25" s="30">
        <f>+Producción!AR13*'Análisis cliente final MP'!AP6</f>
        <v>75554.42690726681</v>
      </c>
      <c r="AR25" s="30">
        <f>+Producción!AS13*'Análisis cliente final MP'!AQ6</f>
        <v>111219.46518965153</v>
      </c>
      <c r="AS25" s="30">
        <f>+Producción!AT13*'Análisis cliente final MP'!AR6</f>
        <v>137069.44306221599</v>
      </c>
      <c r="AT25" s="30">
        <f>+Producción!AU13*'Análisis cliente final MP'!AS6</f>
        <v>143442.8188795867</v>
      </c>
      <c r="AU25" s="30">
        <f>+Producción!AV13*'Análisis cliente final MP'!AT6</f>
        <v>137132.54308607284</v>
      </c>
      <c r="AV25" s="30">
        <f>+Producción!AW13*'Análisis cliente final MP'!AU6</f>
        <v>99973.239393297918</v>
      </c>
      <c r="AW25" s="30">
        <f>+Producción!AX13*'Análisis cliente final MP'!AV6</f>
        <v>96554.075002622194</v>
      </c>
      <c r="AX25" s="30">
        <f>+Producción!AY13*'Análisis cliente final MP'!AW6</f>
        <v>107235.23544117741</v>
      </c>
      <c r="AY25" s="30">
        <f>+Producción!AZ13*'Análisis cliente final MP'!AX6</f>
        <v>76902.031327285484</v>
      </c>
      <c r="AZ25" s="30">
        <f>+Producción!BA13*'Análisis cliente final MP'!AY6</f>
        <v>76776.510642823298</v>
      </c>
      <c r="BA25" s="30">
        <f>+Producción!BB13*'Análisis cliente final MP'!AZ6</f>
        <v>103793.36638031216</v>
      </c>
      <c r="BB25" s="30">
        <f>+Producción!BC13*'Análisis cliente final MP'!BA6</f>
        <v>86673.760992429641</v>
      </c>
      <c r="BC25" s="30">
        <f>+Producción!BD13*'Análisis cliente final MP'!BB6</f>
        <v>77821.059714484814</v>
      </c>
      <c r="BD25" s="30">
        <f>+Producción!BE13*'Análisis cliente final MP'!BC6</f>
        <v>114556.04914534107</v>
      </c>
      <c r="BE25" s="30">
        <f>+Producción!BF13*'Análisis cliente final MP'!BD6</f>
        <v>141181.52635408248</v>
      </c>
      <c r="BF25" s="30">
        <f>+Producción!BG13*'Análisis cliente final MP'!BE6</f>
        <v>147746.1034459743</v>
      </c>
      <c r="BG25" s="30">
        <f>+Producción!BH13*'Análisis cliente final MP'!BF6</f>
        <v>141246.51937865501</v>
      </c>
      <c r="BH25" s="30">
        <f>+Producción!BI13*'Análisis cliente final MP'!BG6</f>
        <v>102972.43657509686</v>
      </c>
      <c r="BI25" s="30">
        <f>+Producción!BJ13*'Análisis cliente final MP'!BH6</f>
        <v>99450.697252700862</v>
      </c>
      <c r="BJ25" s="30">
        <f>+Producción!BK13*'Análisis cliente final MP'!BI6</f>
        <v>110452.29250441275</v>
      </c>
      <c r="BK25" s="30">
        <f>+Producción!BL13*'Análisis cliente final MP'!BJ6</f>
        <v>79209.092267104046</v>
      </c>
      <c r="BL25" s="30">
        <f>+Producción!BM13*'Análisis cliente final MP'!BK6</f>
        <v>79079.805962107988</v>
      </c>
      <c r="BM25" s="30">
        <f>+Producción!BN13*'Análisis cliente final MP'!BL6</f>
        <v>106907.16737172153</v>
      </c>
      <c r="BN25" s="30">
        <f>+Producción!BO13*'Análisis cliente final MP'!BM6</f>
        <v>89273.973822202533</v>
      </c>
      <c r="BO25" s="30">
        <f>+Producción!BP13*'Análisis cliente final MP'!BN6</f>
        <v>80155.691505919371</v>
      </c>
      <c r="BP25" s="30">
        <f>+Producción!BQ13*'Análisis cliente final MP'!BO6</f>
        <v>117992.73061970131</v>
      </c>
      <c r="BQ25" s="30">
        <f>+Producción!BR13*'Análisis cliente final MP'!BP6</f>
        <v>145416.97214470495</v>
      </c>
      <c r="BR25" s="30">
        <f>+Producción!BS13*'Análisis cliente final MP'!BQ6</f>
        <v>152178.48654935355</v>
      </c>
      <c r="BS25" s="30">
        <f>+Producción!BT13*'Análisis cliente final MP'!BR6</f>
        <v>145483.91496001469</v>
      </c>
      <c r="BT25" s="30">
        <f>+Producción!BU13*'Análisis cliente final MP'!BS6</f>
        <v>106061.60967234976</v>
      </c>
      <c r="BU25" s="30">
        <f>+Producción!BV13*'Análisis cliente final MP'!BT6</f>
        <v>102434.21817028189</v>
      </c>
      <c r="BV25" s="30">
        <f>+Producción!BW13*'Análisis cliente final MP'!BU6</f>
        <v>113765.86127954515</v>
      </c>
      <c r="BW25" s="30">
        <f>+Producción!BX13*'Análisis cliente final MP'!BV6</f>
        <v>81585.365035117167</v>
      </c>
      <c r="BX25" s="30">
        <f>+Producción!BY13*'Análisis cliente final MP'!BW6</f>
        <v>81452.200140971239</v>
      </c>
      <c r="BY25" s="30">
        <f>+Producción!BZ13*'Análisis cliente final MP'!BX6</f>
        <v>110114.38239287319</v>
      </c>
      <c r="BZ25" s="30">
        <f>+Producción!CA13*'Análisis cliente final MP'!BY6</f>
        <v>91952.19303686863</v>
      </c>
      <c r="CA25" s="30">
        <f>+Producción!CB13*'Análisis cliente final MP'!BZ6</f>
        <v>82560.362251096944</v>
      </c>
      <c r="CB25" s="30">
        <f>+Producción!CC13*'Análisis cliente final MP'!CA6</f>
        <v>121532.51253829234</v>
      </c>
      <c r="CC25" s="30">
        <f>+Producción!CD13*'Análisis cliente final MP'!CB6</f>
        <v>149779.4813090461</v>
      </c>
      <c r="CD25" s="30">
        <f>+Producción!CE13*'Análisis cliente final MP'!CC6</f>
        <v>156743.84114583416</v>
      </c>
      <c r="CE25" s="30">
        <f>+Producción!CF13*'Análisis cliente final MP'!CD6</f>
        <v>149848.43240881513</v>
      </c>
      <c r="CF25" s="30">
        <f>+Producción!CG13*'Análisis cliente final MP'!CE6</f>
        <v>109243.45796252028</v>
      </c>
      <c r="CG25" s="30">
        <f>+Producción!CH13*'Análisis cliente final MP'!CF6</f>
        <v>105507.24471539035</v>
      </c>
      <c r="CH25" s="30">
        <f>+Producción!CI13*'Análisis cliente final MP'!CG6</f>
        <v>117178.83711793149</v>
      </c>
      <c r="CI25" s="30">
        <f>+Producción!CJ13*'Análisis cliente final MP'!CH6</f>
        <v>84032.925986170681</v>
      </c>
      <c r="CJ25" s="30">
        <f>+Producción!CK13*'Análisis cliente final MP'!CI6</f>
        <v>83895.766145200381</v>
      </c>
      <c r="CK25" s="30">
        <f>+Producción!CL13*'Análisis cliente final MP'!CJ6</f>
        <v>113417.81386465939</v>
      </c>
      <c r="CL25" s="30">
        <f>+Producción!CM13*'Análisis cliente final MP'!CK6</f>
        <v>94710.758827974685</v>
      </c>
      <c r="CM25" s="30">
        <f>+Producción!CN13*'Análisis cliente final MP'!CL6</f>
        <v>85037.173118629857</v>
      </c>
      <c r="CN25" s="30">
        <f>+Producción!CO13*'Análisis cliente final MP'!CM6</f>
        <v>125178.48791444111</v>
      </c>
      <c r="CO25" s="30">
        <f>+Producción!CP13*'Análisis cliente final MP'!CN6</f>
        <v>154272.86574831748</v>
      </c>
      <c r="CP25" s="30">
        <f>+Producción!CQ13*'Análisis cliente final MP'!CO6</f>
        <v>161446.1563802092</v>
      </c>
      <c r="CQ25" s="30">
        <f>+Producción!CR13*'Análisis cliente final MP'!CP6</f>
        <v>154343.88538107957</v>
      </c>
      <c r="CR25" s="30">
        <f>+Producción!CS13*'Análisis cliente final MP'!CQ6</f>
        <v>112520.76170139588</v>
      </c>
      <c r="CS25" s="30">
        <f>+Producción!CT13*'Análisis cliente final MP'!CR6</f>
        <v>108672.46205685206</v>
      </c>
      <c r="CT25" s="30">
        <f>+Producción!CU13*'Análisis cliente final MP'!CS6</f>
        <v>120694.20223146945</v>
      </c>
      <c r="CU25" s="30">
        <f>+Producción!CV13*'Análisis cliente final MP'!CT6</f>
        <v>86553.913765755802</v>
      </c>
      <c r="CV25" s="30">
        <f>+Producción!CW13*'Análisis cliente final MP'!CU6</f>
        <v>86412.639129556395</v>
      </c>
      <c r="CW25" s="30">
        <f>+Producción!CX13*'Análisis cliente final MP'!CV6</f>
        <v>116820.34828059917</v>
      </c>
      <c r="CX25" s="30">
        <f>+Producción!CY13*'Análisis cliente final MP'!CW6</f>
        <v>97552.08159281392</v>
      </c>
      <c r="CY25" s="30">
        <f>+Producción!CZ13*'Análisis cliente final MP'!CX6</f>
        <v>87588.288312188743</v>
      </c>
      <c r="CZ25" s="30">
        <f>+Producción!DA13*'Análisis cliente final MP'!CY6</f>
        <v>128933.84255187435</v>
      </c>
      <c r="DA25" s="30">
        <f>+Producción!DB13*'Análisis cliente final MP'!CZ6</f>
        <v>158901.05172076702</v>
      </c>
      <c r="DB25" s="30">
        <f>+Producción!DC13*'Análisis cliente final MP'!DA6</f>
        <v>166289.5410716155</v>
      </c>
      <c r="DC25" s="30">
        <f>+Producción!DD13*'Análisis cliente final MP'!DB6</f>
        <v>158974.20194251195</v>
      </c>
      <c r="DD25" s="30">
        <f>+Producción!DE13*'Análisis cliente final MP'!DC6</f>
        <v>115896.38455243775</v>
      </c>
      <c r="DE25" s="30">
        <f>+Producción!DF13*'Análisis cliente final MP'!DD6</f>
        <v>111932.63591855763</v>
      </c>
      <c r="DF25" s="30">
        <f>+Producción!DG13*'Análisis cliente final MP'!DE6</f>
        <v>124315.02829841353</v>
      </c>
      <c r="DG25" s="30">
        <f>+Producción!DH13*'Análisis cliente final MP'!DF6</f>
        <v>89150.531178728474</v>
      </c>
      <c r="DH25" s="30">
        <f>+Producción!DI13*'Análisis cliente final MP'!DG6</f>
        <v>89005.018303443096</v>
      </c>
      <c r="DI25" s="30">
        <f>+Producción!DJ13*'Análisis cliente final MP'!DH6</f>
        <v>120324.95872901713</v>
      </c>
      <c r="DJ25" s="30">
        <f>+Producción!DK13*'Análisis cliente final MP'!DI6</f>
        <v>100478.64404059833</v>
      </c>
      <c r="DK25" s="30">
        <f>+Producción!DL13*'Análisis cliente final MP'!DJ6</f>
        <v>90215.936961554413</v>
      </c>
      <c r="DL25" s="30">
        <f>+Producción!DM13*'Análisis cliente final MP'!DK6</f>
        <v>132801.8578284306</v>
      </c>
      <c r="DM25" s="30">
        <f>+Producción!DN13*'Análisis cliente final MP'!DL6</f>
        <v>163668.08327239004</v>
      </c>
      <c r="DN25" s="30">
        <f>+Producción!DO13*'Análisis cliente final MP'!DM6</f>
        <v>171278.22730376397</v>
      </c>
      <c r="DO25" s="30">
        <f>+Producción!DP13*'Análisis cliente final MP'!DN6</f>
        <v>163743.42800078733</v>
      </c>
      <c r="DP25" s="30">
        <f>+Producción!DQ13*'Análisis cliente final MP'!DO6</f>
        <v>119373.27608901089</v>
      </c>
      <c r="DQ25" s="30">
        <f>+Producción!DR13*'Análisis cliente final MP'!DP6</f>
        <v>115290.61499611435</v>
      </c>
      <c r="DR25" s="30">
        <f>+Producción!DS13*'Análisis cliente final MP'!DQ6</f>
        <v>128044.47914736594</v>
      </c>
      <c r="DS25" s="30">
        <f>+Producción!DT13*'Análisis cliente final MP'!DR6</f>
        <v>91825.047114090339</v>
      </c>
      <c r="DT25" s="30">
        <f>+Producción!DU13*'Análisis cliente final MP'!DS6</f>
        <v>91675.168852546383</v>
      </c>
      <c r="DU25" s="30">
        <f>+Producción!DV13*'Análisis cliente final MP'!DT6</f>
        <v>123934.70749088765</v>
      </c>
      <c r="DV25" s="30">
        <f>+Producción!DW13*'Análisis cliente final MP'!DU6</f>
        <v>103493.00336181629</v>
      </c>
      <c r="DW25" s="30">
        <f>+Producción!DX13*'Análisis cliente final MP'!DV6</f>
        <v>92922.415070401054</v>
      </c>
      <c r="DX25" s="30">
        <f>+Producción!DY13*'Análisis cliente final MP'!DW6</f>
        <v>136785.91356328351</v>
      </c>
      <c r="DY25" s="30">
        <f>+Producción!DZ13*'Análisis cliente final MP'!DX6</f>
        <v>168578.12577056172</v>
      </c>
      <c r="DZ25" s="30">
        <f>+Producción!EA13*'Análisis cliente final MP'!DY6</f>
        <v>176416.57412287689</v>
      </c>
      <c r="EA25" s="30">
        <f>+Producción!EB13*'Análisis cliente final MP'!DZ6</f>
        <v>168655.73084081095</v>
      </c>
      <c r="EB25" s="30">
        <f>+Producción!EC13*'Análisis cliente final MP'!EA6</f>
        <v>122954.47437168122</v>
      </c>
      <c r="EC25" s="30">
        <f>+Producción!ED13*'Análisis cliente final MP'!EB6</f>
        <v>118749.33344599779</v>
      </c>
      <c r="ED25" s="30">
        <f>+Producción!EE13*'Análisis cliente final MP'!EC6</f>
        <v>131885.81352178691</v>
      </c>
      <c r="EE25" s="30">
        <f>+Producción!EF13*'Análisis cliente final MP'!ED6</f>
        <v>94579.798527513049</v>
      </c>
      <c r="EF25" s="30">
        <f>+Producción!EG13*'Análisis cliente final MP'!EE6</f>
        <v>94425.423918122789</v>
      </c>
      <c r="EG25" s="30">
        <f>+Producción!EH13*'Análisis cliente final MP'!EF6</f>
        <v>127652.7487156143</v>
      </c>
      <c r="EH25" s="30">
        <f>+Producción!EI13*'Análisis cliente final MP'!EG6</f>
        <v>106597.79346267077</v>
      </c>
      <c r="EI25" s="30">
        <f>+Producción!EJ13*'Análisis cliente final MP'!EH6</f>
        <v>95710.087522513073</v>
      </c>
      <c r="EJ25" s="30">
        <f>+Producción!EK13*'Análisis cliente final MP'!EI6</f>
        <v>140889.490970182</v>
      </c>
      <c r="EK25" s="30">
        <f>+Producción!EL13*'Análisis cliente final MP'!EJ6</f>
        <v>173635.4695436786</v>
      </c>
      <c r="EL25" s="30">
        <f>+Producción!EM13*'Análisis cliente final MP'!EK6</f>
        <v>181709.0713465632</v>
      </c>
      <c r="EM25" s="30">
        <f>+Producción!EN13*'Análisis cliente final MP'!EL6</f>
        <v>173715.40276603529</v>
      </c>
      <c r="EN25" s="30">
        <f>+Producción!EO13*'Análisis cliente final MP'!EM6</f>
        <v>126643.10860283166</v>
      </c>
      <c r="EO25" s="30">
        <f>+Producción!EP13*'Análisis cliente final MP'!EN6</f>
        <v>122311.81344937772</v>
      </c>
      <c r="EP25" s="30">
        <f>+Producción!EQ13*'Análisis cliente final MP'!EO6</f>
        <v>135842.38792744055</v>
      </c>
      <c r="EQ25" s="30">
        <f>+Producción!ER13*'Análisis cliente final MP'!EP6</f>
        <v>97417.19248333844</v>
      </c>
      <c r="ER25" s="30">
        <f>+Producción!ES13*'Análisis cliente final MP'!EQ6</f>
        <v>97258.186635666469</v>
      </c>
      <c r="ES25" s="30">
        <f>+Producción!ET13*'Análisis cliente final MP'!ER6</f>
        <v>131482.33117708273</v>
      </c>
      <c r="ET25" s="30">
        <f>+Producción!EU13*'Análisis cliente final MP'!ES6</f>
        <v>109795.72726655091</v>
      </c>
      <c r="EU25" s="30">
        <f>+Producción!EV13*'Análisis cliente final MP'!ET6</f>
        <v>98581.390148188468</v>
      </c>
      <c r="EV25" s="30">
        <f>+Producción!EW13*'Análisis cliente final MP'!EU6</f>
        <v>145116.17569928747</v>
      </c>
      <c r="EW25" s="30">
        <f>+Producción!EX13*'Análisis cliente final MP'!EV6</f>
        <v>178844.53362998893</v>
      </c>
      <c r="EX25" s="30">
        <f>+Producción!EY13*'Análisis cliente final MP'!EW6</f>
        <v>187160.3434869601</v>
      </c>
      <c r="EY25" s="30">
        <f>+Producción!EZ13*'Análisis cliente final MP'!EX6</f>
        <v>178926.86484901636</v>
      </c>
      <c r="EZ25" s="30">
        <f>+Producción!FA13*'Análisis cliente final MP'!EY6</f>
        <v>130442.40186091662</v>
      </c>
      <c r="FA25" s="30">
        <f>+Producción!FB13*'Análisis cliente final MP'!EZ6</f>
        <v>125981.16785285907</v>
      </c>
      <c r="FB25" s="30">
        <f>+Producción!FC13*'Análisis cliente final MP'!FA6</f>
        <v>139917.65956526375</v>
      </c>
      <c r="FC25" s="30">
        <f>+Producción!FD13*'Análisis cliente final MP'!FB6</f>
        <v>100339.7082578386</v>
      </c>
      <c r="FD25" s="30">
        <f>+Producción!FE13*'Análisis cliente final MP'!FC6</f>
        <v>100175.93223473647</v>
      </c>
      <c r="FE25" s="30">
        <f>+Producción!FF13*'Análisis cliente final MP'!FD6</f>
        <v>135426.80111239522</v>
      </c>
      <c r="FF25" s="30">
        <f>+Producción!FG13*'Análisis cliente final MP'!FE6</f>
        <v>113089.59908454743</v>
      </c>
      <c r="FG25" s="30">
        <f>+Producción!FH13*'Análisis cliente final MP'!FF6</f>
        <v>101538.83185263413</v>
      </c>
      <c r="FH25" s="30">
        <f>+Producción!FI13*'Análisis cliente final MP'!FG6</f>
        <v>149469.66097026612</v>
      </c>
      <c r="FI25" s="30">
        <f>+Producción!FJ13*'Análisis cliente final MP'!FH6</f>
        <v>184209.86963888863</v>
      </c>
      <c r="FJ25" s="30">
        <f>+Producción!FK13*'Análisis cliente final MP'!FI6</f>
        <v>192775.15379156891</v>
      </c>
      <c r="FK25" s="30">
        <f>+Producción!FL13*'Análisis cliente final MP'!FJ6</f>
        <v>184294.67079448685</v>
      </c>
      <c r="FL25" s="30">
        <f>+Producción!FM13*'Análisis cliente final MP'!FK6</f>
        <v>134355.67391674413</v>
      </c>
      <c r="FM25" s="30">
        <f>+Producción!FN13*'Análisis cliente final MP'!FL6</f>
        <v>129760.60288844485</v>
      </c>
      <c r="FN25" s="30">
        <f>+Producción!FO13*'Análisis cliente final MP'!FM6</f>
        <v>144115.18935222167</v>
      </c>
      <c r="FO25" s="30">
        <f>+Producción!FP13*'Análisis cliente final MP'!FN6</f>
        <v>103349.89950557376</v>
      </c>
      <c r="FP25" s="30">
        <f>+Producción!FQ13*'Análisis cliente final MP'!FO6</f>
        <v>103181.21020177857</v>
      </c>
      <c r="FQ25" s="30">
        <f>+Producción!FR13*'Análisis cliente final MP'!FP6</f>
        <v>139489.60514576707</v>
      </c>
      <c r="FR25" s="30">
        <f>+Producción!FS13*'Análisis cliente final MP'!FQ6</f>
        <v>116482.28705708386</v>
      </c>
      <c r="FS25" s="30">
        <f>+Producción!FT13*'Análisis cliente final MP'!FR6</f>
        <v>104584.99680821315</v>
      </c>
      <c r="FT25" s="30">
        <f>+Producción!FU13*'Análisis cliente final MP'!FS6</f>
        <v>153953.7507993741</v>
      </c>
      <c r="FU25" s="30">
        <f>+Producción!FV13*'Análisis cliente final MP'!FT6</f>
        <v>189736.16572805529</v>
      </c>
      <c r="FV25" s="30">
        <f>+Producción!FW13*'Análisis cliente final MP'!FU6</f>
        <v>198558.408405316</v>
      </c>
      <c r="FW25" s="30">
        <f>+Producción!FX13*'Análisis cliente final MP'!FV6</f>
        <v>189823.51091832147</v>
      </c>
      <c r="FX25" s="30">
        <f>+Producción!FY13*'Análisis cliente final MP'!FW6</f>
        <v>138386.34413424644</v>
      </c>
      <c r="FY25" s="30">
        <f>+Producción!FZ13*'Análisis cliente final MP'!FX6</f>
        <v>133653.42097509821</v>
      </c>
      <c r="FZ25" s="30">
        <f>+Producción!GA13*'Análisis cliente final MP'!FY6</f>
        <v>148438.64503278834</v>
      </c>
      <c r="GA25" s="30">
        <f>+Producción!GB13*'Análisis cliente final MP'!FZ6</f>
        <v>106450.39649074098</v>
      </c>
      <c r="GB25" s="30">
        <f>+Producción!GC13*'Análisis cliente final MP'!GA6</f>
        <v>106276.64650783192</v>
      </c>
      <c r="GC25" s="30">
        <f>+Producción!GD13*'Análisis cliente final MP'!GB6</f>
        <v>143674.29330014007</v>
      </c>
      <c r="GD25" s="30">
        <f>+Producción!GE13*'Análisis cliente final MP'!GC6</f>
        <v>119976.75566879637</v>
      </c>
      <c r="GE25" s="30">
        <f>+Producción!GF13*'Análisis cliente final MP'!GD6</f>
        <v>107722.54671245955</v>
      </c>
      <c r="GF25" s="30">
        <f>+Producción!GG13*'Análisis cliente final MP'!GE6</f>
        <v>158572.36332335533</v>
      </c>
      <c r="GG25" s="30">
        <f>+Producción!GH13*'Análisis cliente final MP'!GF6</f>
        <v>195428.25069989695</v>
      </c>
      <c r="GH25" s="30">
        <f>+Producción!GI13*'Análisis cliente final MP'!GG6</f>
        <v>204515.16065747547</v>
      </c>
      <c r="GI25" s="30">
        <f>+Producción!GJ13*'Análisis cliente final MP'!GH6</f>
        <v>195518.21624587112</v>
      </c>
      <c r="GJ25" s="30">
        <f>+Producción!GK13*'Análisis cliente final MP'!GI6</f>
        <v>142537.93445827384</v>
      </c>
      <c r="GK25" s="30">
        <f>+Producción!GL13*'Análisis cliente final MP'!GJ6</f>
        <v>137663.02360435115</v>
      </c>
      <c r="GL25" s="30">
        <f>+Producción!GM13*'Análisis cliente final MP'!GK6</f>
        <v>152891.80438377199</v>
      </c>
      <c r="GM25" s="30">
        <f>+Producción!GN13*'Análisis cliente final MP'!GL6</f>
        <v>109643.90838546322</v>
      </c>
      <c r="GN25" s="30">
        <f>+Producción!GO13*'Análisis cliente final MP'!GM6</f>
        <v>109464.94590306688</v>
      </c>
      <c r="GO25" s="30">
        <f>+Producción!GP13*'Análisis cliente final MP'!GN6</f>
        <v>147984.52209914429</v>
      </c>
      <c r="GP25" s="30">
        <f>+Producción!GQ13*'Análisis cliente final MP'!GO6</f>
        <v>123576.05833886025</v>
      </c>
      <c r="GQ25" s="30">
        <f>+Producción!GR13*'Análisis cliente final MP'!GP6</f>
        <v>110954.22311383333</v>
      </c>
      <c r="GR25" s="30">
        <f>+Producción!GS13*'Análisis cliente final MP'!GQ6</f>
        <v>163329.53422305599</v>
      </c>
      <c r="GS25" s="30">
        <f>+Producción!GT13*'Análisis cliente final MP'!GR6</f>
        <v>201291.09822089385</v>
      </c>
      <c r="GT25" s="30">
        <f>+Producción!GU13*'Análisis cliente final MP'!GS6</f>
        <v>210650.61547719975</v>
      </c>
      <c r="GU25" s="30">
        <f>+Producción!GV13*'Análisis cliente final MP'!GT6</f>
        <v>201383.76273324725</v>
      </c>
      <c r="GV25" s="30">
        <f>+Producción!GW13*'Análisis cliente final MP'!GU6</f>
        <v>146814.07249202207</v>
      </c>
      <c r="GW25" s="30">
        <f>+Producción!GX13*'Análisis cliente final MP'!GV6</f>
        <v>141792.91431248168</v>
      </c>
      <c r="GX25" s="30">
        <f>+Producción!GY13*'Análisis cliente final MP'!GW6</f>
        <v>157478.55851528514</v>
      </c>
      <c r="GY25" s="30">
        <f>+Producción!GZ13*'Análisis cliente final MP'!GX6</f>
        <v>112933.22563702712</v>
      </c>
      <c r="GZ25" s="30">
        <f>+Producción!HA13*'Análisis cliente final MP'!GY6</f>
        <v>112748.89428015889</v>
      </c>
      <c r="HA25" s="30">
        <f>+Producción!HB13*'Análisis cliente final MP'!GZ6</f>
        <v>152424.05776211861</v>
      </c>
      <c r="HB25" s="30">
        <f>+Producción!HC13*'Análisis cliente final MP'!HA6</f>
        <v>127283.34008902607</v>
      </c>
      <c r="HC25" s="30">
        <f>+Producción!HD13*'Análisis cliente final MP'!HB6</f>
        <v>114282.84980724833</v>
      </c>
      <c r="HD25" s="30">
        <f>+Producción!HE13*'Análisis cliente final MP'!HC6</f>
        <v>168229.42024974769</v>
      </c>
      <c r="HE25" s="30">
        <f>+Producción!HF13*'Análisis cliente final MP'!HD6</f>
        <v>207329.83116752066</v>
      </c>
      <c r="HF25" s="30">
        <f>+Producción!HG13*'Análisis cliente final MP'!HE6</f>
        <v>216970.13394151576</v>
      </c>
      <c r="HG25" s="30">
        <f>+Producción!HH13*'Análisis cliente final MP'!HF6</f>
        <v>207425.27561524467</v>
      </c>
      <c r="HH25" s="30">
        <f>+Producción!HI13*'Análisis cliente final MP'!HG6</f>
        <v>151218.4946667827</v>
      </c>
      <c r="HI25" s="30">
        <f>+Producción!HJ13*'Análisis cliente final MP'!HH6</f>
        <v>146046.70174185612</v>
      </c>
      <c r="HJ25" s="30">
        <f>+Producción!HK13*'Análisis cliente final MP'!HI6</f>
        <v>162202.91527074372</v>
      </c>
      <c r="HK25" s="30">
        <f>+Producción!HL13*'Análisis cliente final MP'!HJ6</f>
        <v>116321.22240613794</v>
      </c>
      <c r="HL25" s="30">
        <f>+Producción!HM13*'Análisis cliente final MP'!HK6</f>
        <v>116131.36110856365</v>
      </c>
      <c r="HM25" s="30">
        <f>+Producción!HN13*'Análisis cliente final MP'!HL6</f>
        <v>156996.77949498218</v>
      </c>
      <c r="HN25" s="30">
        <f>+Producción!HO13*'Análisis cliente final MP'!HM6</f>
        <v>131101.84029169686</v>
      </c>
      <c r="HO25" s="30">
        <f>+Producción!HP13*'Análisis cliente final MP'!HN6</f>
        <v>117711.33530146579</v>
      </c>
      <c r="HP25" s="30">
        <f>+Producción!HQ13*'Análisis cliente final MP'!HO6</f>
        <v>173276.30285724011</v>
      </c>
      <c r="HQ25" s="30">
        <f>+Producción!HR13*'Análisis cliente final MP'!HP6</f>
        <v>213549.72610254629</v>
      </c>
      <c r="HR25" s="30">
        <f>+Producción!HS13*'Análisis cliente final MP'!HQ6</f>
        <v>223479.23795976126</v>
      </c>
      <c r="HS25" s="30">
        <f>+Producción!HT13*'Análisis cliente final MP'!HR6</f>
        <v>213648.03388370204</v>
      </c>
      <c r="HT25" s="30">
        <f>+Producción!HU13*'Análisis cliente final MP'!HS6</f>
        <v>155755.04950678619</v>
      </c>
      <c r="HU25" s="30">
        <f>+Producción!HV13*'Análisis cliente final MP'!HT6</f>
        <v>150428.10279411182</v>
      </c>
      <c r="HV25" s="30">
        <f>+Producción!HW13*'Análisis cliente final MP'!HU6</f>
        <v>167069.00272886601</v>
      </c>
      <c r="HW25" s="30">
        <f>+Producción!HX13*'Análisis cliente final MP'!HV6</f>
        <v>119810.85907832209</v>
      </c>
      <c r="HX25" s="30">
        <f>+Producción!HY13*'Análisis cliente final MP'!HW6</f>
        <v>119615.30194182057</v>
      </c>
      <c r="HY25" s="30">
        <f>+Producción!HZ13*'Análisis cliente final MP'!HX6</f>
        <v>161706.68287983164</v>
      </c>
      <c r="HZ25" s="30">
        <f>+Producción!IA13*'Análisis cliente final MP'!HY6</f>
        <v>135034.89550044775</v>
      </c>
      <c r="IA25" s="30">
        <f>+Producción!IB13*'Análisis cliente final MP'!HZ6</f>
        <v>121242.67536050978</v>
      </c>
      <c r="IB25" s="30">
        <f>+Producción!IC13*'Análisis cliente final MP'!IA6</f>
        <v>178474.59194295731</v>
      </c>
      <c r="IC25" s="30">
        <f>+Producción!ID13*'Análisis cliente final MP'!IB6</f>
        <v>219956.21788562267</v>
      </c>
      <c r="ID25" s="30">
        <f>+Producción!IE13*'Análisis cliente final MP'!IC6</f>
        <v>230183.61509855412</v>
      </c>
      <c r="IE25" s="30">
        <f>+Producción!IF13*'Análisis cliente final MP'!ID6</f>
        <v>220057.4749002131</v>
      </c>
      <c r="IF25" s="30">
        <f>+Producción!IG13*'Análisis cliente final MP'!IE6</f>
        <v>160427.70099198978</v>
      </c>
      <c r="IG25" s="30">
        <f>+Producción!IH13*'Análisis cliente final MP'!IF6</f>
        <v>154940.94587793516</v>
      </c>
      <c r="IH25" s="30">
        <f>+Producción!II13*'Análisis cliente final MP'!IG6</f>
        <v>172081.07281073197</v>
      </c>
    </row>
    <row r="26" spans="1:242" x14ac:dyDescent="0.3">
      <c r="A26" t="s">
        <v>916</v>
      </c>
      <c r="C26" s="30"/>
      <c r="D26" s="30">
        <f>+D25*$B$1</f>
        <v>13337.484902500257</v>
      </c>
      <c r="E26" s="30">
        <f t="shared" ref="E26:BP26" si="18">+E25*$B$1</f>
        <v>18392.231715026359</v>
      </c>
      <c r="F26" s="30">
        <f t="shared" si="18"/>
        <v>17707.980725802543</v>
      </c>
      <c r="G26" s="30">
        <f t="shared" si="18"/>
        <v>16522.079324114424</v>
      </c>
      <c r="H26" s="30">
        <f t="shared" si="18"/>
        <v>20356.31318520573</v>
      </c>
      <c r="I26" s="30">
        <f t="shared" si="18"/>
        <v>25087.591514113952</v>
      </c>
      <c r="J26" s="30">
        <f t="shared" si="18"/>
        <v>26254.099858351943</v>
      </c>
      <c r="K26" s="30">
        <f t="shared" si="18"/>
        <v>25099.140606221466</v>
      </c>
      <c r="L26" s="30">
        <f t="shared" si="18"/>
        <v>18297.935237858663</v>
      </c>
      <c r="M26" s="30">
        <f t="shared" si="18"/>
        <v>17672.131283041817</v>
      </c>
      <c r="N26" s="30">
        <f t="shared" si="18"/>
        <v>19627.086260553169</v>
      </c>
      <c r="O26" s="30">
        <f t="shared" si="18"/>
        <v>14075.250511296141</v>
      </c>
      <c r="P26" s="30">
        <f t="shared" si="18"/>
        <v>14052.276669803763</v>
      </c>
      <c r="Q26" s="30">
        <f t="shared" si="18"/>
        <v>18997.126707825864</v>
      </c>
      <c r="R26" s="30">
        <f t="shared" si="18"/>
        <v>15863.753891398243</v>
      </c>
      <c r="S26" s="30">
        <f t="shared" si="18"/>
        <v>14243.458743946991</v>
      </c>
      <c r="T26" s="30">
        <f t="shared" si="18"/>
        <v>20967.002580761906</v>
      </c>
      <c r="U26" s="30">
        <f t="shared" si="18"/>
        <v>25840.219259537371</v>
      </c>
      <c r="V26" s="30">
        <f t="shared" si="18"/>
        <v>27041.722854102503</v>
      </c>
      <c r="W26" s="30">
        <f t="shared" si="18"/>
        <v>25852.114824408112</v>
      </c>
      <c r="X26" s="30">
        <f t="shared" si="18"/>
        <v>18846.873294994424</v>
      </c>
      <c r="Y26" s="30">
        <f t="shared" si="18"/>
        <v>18202.295221533073</v>
      </c>
      <c r="Z26" s="30">
        <f t="shared" si="18"/>
        <v>20215.898848369761</v>
      </c>
      <c r="AA26" s="30">
        <f t="shared" si="18"/>
        <v>14497.508026635025</v>
      </c>
      <c r="AB26" s="30">
        <f t="shared" si="18"/>
        <v>14473.844969897875</v>
      </c>
      <c r="AC26" s="30">
        <f t="shared" si="18"/>
        <v>19567.040509060636</v>
      </c>
      <c r="AD26" s="30">
        <f t="shared" si="18"/>
        <v>16339.666508140192</v>
      </c>
      <c r="AE26" s="30">
        <f t="shared" si="18"/>
        <v>14670.762506265401</v>
      </c>
      <c r="AF26" s="30">
        <f t="shared" si="18"/>
        <v>21596.012658184762</v>
      </c>
      <c r="AG26" s="30">
        <f t="shared" si="18"/>
        <v>26615.425837323495</v>
      </c>
      <c r="AH26" s="30">
        <f t="shared" si="18"/>
        <v>27852.974539725576</v>
      </c>
      <c r="AI26" s="30">
        <f t="shared" si="18"/>
        <v>26627.678269140353</v>
      </c>
      <c r="AJ26" s="30">
        <f t="shared" si="18"/>
        <v>19412.279493844257</v>
      </c>
      <c r="AK26" s="30">
        <f t="shared" si="18"/>
        <v>18748.364078179067</v>
      </c>
      <c r="AL26" s="30">
        <f t="shared" si="18"/>
        <v>20822.375813820858</v>
      </c>
      <c r="AM26" s="30">
        <f t="shared" si="18"/>
        <v>14932.433267434077</v>
      </c>
      <c r="AN26" s="30">
        <f t="shared" si="18"/>
        <v>14908.060318994814</v>
      </c>
      <c r="AO26" s="30">
        <f t="shared" si="18"/>
        <v>20154.051724332458</v>
      </c>
      <c r="AP26" s="30">
        <f t="shared" si="18"/>
        <v>16829.856503384399</v>
      </c>
      <c r="AQ26" s="30">
        <f t="shared" si="18"/>
        <v>15110.885381453363</v>
      </c>
      <c r="AR26" s="30">
        <f t="shared" si="18"/>
        <v>22243.893037930306</v>
      </c>
      <c r="AS26" s="30">
        <f t="shared" si="18"/>
        <v>27413.888612443199</v>
      </c>
      <c r="AT26" s="30">
        <f t="shared" si="18"/>
        <v>28688.563775917341</v>
      </c>
      <c r="AU26" s="30">
        <f t="shared" si="18"/>
        <v>27426.508617214567</v>
      </c>
      <c r="AV26" s="30">
        <f t="shared" si="18"/>
        <v>19994.647878659584</v>
      </c>
      <c r="AW26" s="30">
        <f t="shared" si="18"/>
        <v>19310.815000524439</v>
      </c>
      <c r="AX26" s="30">
        <f t="shared" si="18"/>
        <v>21447.047088235486</v>
      </c>
      <c r="AY26" s="30">
        <f t="shared" si="18"/>
        <v>15380.406265457097</v>
      </c>
      <c r="AZ26" s="30">
        <f t="shared" si="18"/>
        <v>15355.302128564661</v>
      </c>
      <c r="BA26" s="30">
        <f t="shared" si="18"/>
        <v>20758.673276062433</v>
      </c>
      <c r="BB26" s="30">
        <f t="shared" si="18"/>
        <v>17334.75219848593</v>
      </c>
      <c r="BC26" s="30">
        <f t="shared" si="18"/>
        <v>15564.211942896964</v>
      </c>
      <c r="BD26" s="30">
        <f t="shared" si="18"/>
        <v>22911.209829068215</v>
      </c>
      <c r="BE26" s="30">
        <f t="shared" si="18"/>
        <v>28236.305270816498</v>
      </c>
      <c r="BF26" s="30">
        <f t="shared" si="18"/>
        <v>29549.220689194859</v>
      </c>
      <c r="BG26" s="30">
        <f t="shared" si="18"/>
        <v>28249.303875731002</v>
      </c>
      <c r="BH26" s="30">
        <f t="shared" si="18"/>
        <v>20594.487315019374</v>
      </c>
      <c r="BI26" s="30">
        <f t="shared" si="18"/>
        <v>19890.139450540173</v>
      </c>
      <c r="BJ26" s="30">
        <f t="shared" si="18"/>
        <v>22090.458500882552</v>
      </c>
      <c r="BK26" s="30">
        <f t="shared" si="18"/>
        <v>15841.81845342081</v>
      </c>
      <c r="BL26" s="30">
        <f t="shared" si="18"/>
        <v>15815.961192421599</v>
      </c>
      <c r="BM26" s="30">
        <f t="shared" si="18"/>
        <v>21381.433474344307</v>
      </c>
      <c r="BN26" s="30">
        <f t="shared" si="18"/>
        <v>17854.794764440507</v>
      </c>
      <c r="BO26" s="30">
        <f t="shared" si="18"/>
        <v>16031.138301183875</v>
      </c>
      <c r="BP26" s="30">
        <f t="shared" si="18"/>
        <v>23598.546123940265</v>
      </c>
      <c r="BQ26" s="30">
        <f t="shared" ref="BQ26:EB26" si="19">+BQ25*$B$1</f>
        <v>29083.394428940992</v>
      </c>
      <c r="BR26" s="30">
        <f t="shared" si="19"/>
        <v>30435.697309870709</v>
      </c>
      <c r="BS26" s="30">
        <f t="shared" si="19"/>
        <v>29096.78299200294</v>
      </c>
      <c r="BT26" s="30">
        <f t="shared" si="19"/>
        <v>21212.321934469954</v>
      </c>
      <c r="BU26" s="30">
        <f t="shared" si="19"/>
        <v>20486.843634056379</v>
      </c>
      <c r="BV26" s="30">
        <f t="shared" si="19"/>
        <v>22753.17225590903</v>
      </c>
      <c r="BW26" s="30">
        <f t="shared" si="19"/>
        <v>16317.073007023435</v>
      </c>
      <c r="BX26" s="30">
        <f t="shared" si="19"/>
        <v>16290.440028194249</v>
      </c>
      <c r="BY26" s="30">
        <f t="shared" si="19"/>
        <v>22022.876478574639</v>
      </c>
      <c r="BZ26" s="30">
        <f t="shared" si="19"/>
        <v>18390.438607373726</v>
      </c>
      <c r="CA26" s="30">
        <f t="shared" si="19"/>
        <v>16512.072450219388</v>
      </c>
      <c r="CB26" s="30">
        <f t="shared" si="19"/>
        <v>24306.502507658472</v>
      </c>
      <c r="CC26" s="30">
        <f t="shared" si="19"/>
        <v>29955.896261809219</v>
      </c>
      <c r="CD26" s="30">
        <f t="shared" si="19"/>
        <v>31348.768229166832</v>
      </c>
      <c r="CE26" s="30">
        <f t="shared" si="19"/>
        <v>29969.686481763027</v>
      </c>
      <c r="CF26" s="30">
        <f t="shared" si="19"/>
        <v>21848.691592504056</v>
      </c>
      <c r="CG26" s="30">
        <f t="shared" si="19"/>
        <v>21101.44894307807</v>
      </c>
      <c r="CH26" s="30">
        <f t="shared" si="19"/>
        <v>23435.767423586298</v>
      </c>
      <c r="CI26" s="30">
        <f t="shared" si="19"/>
        <v>16806.585197234137</v>
      </c>
      <c r="CJ26" s="30">
        <f t="shared" si="19"/>
        <v>16779.153229040076</v>
      </c>
      <c r="CK26" s="30">
        <f t="shared" si="19"/>
        <v>22683.56277293188</v>
      </c>
      <c r="CL26" s="30">
        <f t="shared" si="19"/>
        <v>18942.151765594939</v>
      </c>
      <c r="CM26" s="30">
        <f t="shared" si="19"/>
        <v>17007.434623725971</v>
      </c>
      <c r="CN26" s="30">
        <f t="shared" si="19"/>
        <v>25035.697582888224</v>
      </c>
      <c r="CO26" s="30">
        <f t="shared" si="19"/>
        <v>30854.573149663498</v>
      </c>
      <c r="CP26" s="30">
        <f t="shared" si="19"/>
        <v>32289.231276041843</v>
      </c>
      <c r="CQ26" s="30">
        <f t="shared" si="19"/>
        <v>30868.777076215916</v>
      </c>
      <c r="CR26" s="30">
        <f t="shared" si="19"/>
        <v>22504.152340279179</v>
      </c>
      <c r="CS26" s="30">
        <f t="shared" si="19"/>
        <v>21734.492411370415</v>
      </c>
      <c r="CT26" s="30">
        <f t="shared" si="19"/>
        <v>24138.840446293892</v>
      </c>
      <c r="CU26" s="30">
        <f t="shared" si="19"/>
        <v>17310.782753151161</v>
      </c>
      <c r="CV26" s="30">
        <f t="shared" si="19"/>
        <v>17282.527825911278</v>
      </c>
      <c r="CW26" s="30">
        <f t="shared" si="19"/>
        <v>23364.069656119835</v>
      </c>
      <c r="CX26" s="30">
        <f t="shared" si="19"/>
        <v>19510.416318562784</v>
      </c>
      <c r="CY26" s="30">
        <f t="shared" si="19"/>
        <v>17517.657662437749</v>
      </c>
      <c r="CZ26" s="30">
        <f t="shared" si="19"/>
        <v>25786.76851037487</v>
      </c>
      <c r="DA26" s="30">
        <f t="shared" si="19"/>
        <v>31780.210344153405</v>
      </c>
      <c r="DB26" s="30">
        <f t="shared" si="19"/>
        <v>33257.908214323099</v>
      </c>
      <c r="DC26" s="30">
        <f t="shared" si="19"/>
        <v>31794.840388502391</v>
      </c>
      <c r="DD26" s="30">
        <f t="shared" si="19"/>
        <v>23179.276910487552</v>
      </c>
      <c r="DE26" s="30">
        <f t="shared" si="19"/>
        <v>22386.527183711529</v>
      </c>
      <c r="DF26" s="30">
        <f t="shared" si="19"/>
        <v>24863.005659682705</v>
      </c>
      <c r="DG26" s="30">
        <f t="shared" si="19"/>
        <v>17830.106235745694</v>
      </c>
      <c r="DH26" s="30">
        <f t="shared" si="19"/>
        <v>17801.003660688621</v>
      </c>
      <c r="DI26" s="30">
        <f t="shared" si="19"/>
        <v>24064.991745803429</v>
      </c>
      <c r="DJ26" s="30">
        <f t="shared" si="19"/>
        <v>20095.728808119668</v>
      </c>
      <c r="DK26" s="30">
        <f t="shared" si="19"/>
        <v>18043.187392310883</v>
      </c>
      <c r="DL26" s="30">
        <f t="shared" si="19"/>
        <v>26560.37156568612</v>
      </c>
      <c r="DM26" s="30">
        <f t="shared" si="19"/>
        <v>32733.61665447801</v>
      </c>
      <c r="DN26" s="30">
        <f t="shared" si="19"/>
        <v>34255.645460752792</v>
      </c>
      <c r="DO26" s="30">
        <f t="shared" si="19"/>
        <v>32748.685600157467</v>
      </c>
      <c r="DP26" s="30">
        <f t="shared" si="19"/>
        <v>23874.655217802181</v>
      </c>
      <c r="DQ26" s="30">
        <f t="shared" si="19"/>
        <v>23058.122999222873</v>
      </c>
      <c r="DR26" s="30">
        <f t="shared" si="19"/>
        <v>25608.895829473189</v>
      </c>
      <c r="DS26" s="30">
        <f t="shared" si="19"/>
        <v>18365.009422818068</v>
      </c>
      <c r="DT26" s="30">
        <f t="shared" si="19"/>
        <v>18335.033770509279</v>
      </c>
      <c r="DU26" s="30">
        <f t="shared" si="19"/>
        <v>24786.941498177534</v>
      </c>
      <c r="DV26" s="30">
        <f t="shared" si="19"/>
        <v>20698.60067236326</v>
      </c>
      <c r="DW26" s="30">
        <f t="shared" si="19"/>
        <v>18584.483014080211</v>
      </c>
      <c r="DX26" s="30">
        <f t="shared" si="19"/>
        <v>27357.182712656704</v>
      </c>
      <c r="DY26" s="30">
        <f t="shared" si="19"/>
        <v>33715.625154112342</v>
      </c>
      <c r="DZ26" s="30">
        <f t="shared" si="19"/>
        <v>35283.314824575376</v>
      </c>
      <c r="EA26" s="30">
        <f t="shared" si="19"/>
        <v>33731.146168162195</v>
      </c>
      <c r="EB26" s="30">
        <f t="shared" si="19"/>
        <v>24590.894874336245</v>
      </c>
      <c r="EC26" s="30">
        <f t="shared" ref="EC26:GN26" si="20">+EC25*$B$1</f>
        <v>23749.86668919956</v>
      </c>
      <c r="ED26" s="30">
        <f t="shared" si="20"/>
        <v>26377.162704357383</v>
      </c>
      <c r="EE26" s="30">
        <f t="shared" si="20"/>
        <v>18915.95970550261</v>
      </c>
      <c r="EF26" s="30">
        <f t="shared" si="20"/>
        <v>18885.084783624559</v>
      </c>
      <c r="EG26" s="30">
        <f t="shared" si="20"/>
        <v>25530.549743122861</v>
      </c>
      <c r="EH26" s="30">
        <f t="shared" si="20"/>
        <v>21319.558692534156</v>
      </c>
      <c r="EI26" s="30">
        <f t="shared" si="20"/>
        <v>19142.017504502615</v>
      </c>
      <c r="EJ26" s="30">
        <f t="shared" si="20"/>
        <v>28177.898194036403</v>
      </c>
      <c r="EK26" s="30">
        <f t="shared" si="20"/>
        <v>34727.093908735718</v>
      </c>
      <c r="EL26" s="30">
        <f t="shared" si="20"/>
        <v>36341.814269312643</v>
      </c>
      <c r="EM26" s="30">
        <f t="shared" si="20"/>
        <v>34743.080553207059</v>
      </c>
      <c r="EN26" s="30">
        <f t="shared" si="20"/>
        <v>25328.621720566334</v>
      </c>
      <c r="EO26" s="30">
        <f t="shared" si="20"/>
        <v>24462.362689875546</v>
      </c>
      <c r="EP26" s="30">
        <f t="shared" si="20"/>
        <v>27168.477585488112</v>
      </c>
      <c r="EQ26" s="30">
        <f t="shared" si="20"/>
        <v>19483.438496667688</v>
      </c>
      <c r="ER26" s="30">
        <f t="shared" si="20"/>
        <v>19451.637327133296</v>
      </c>
      <c r="ES26" s="30">
        <f t="shared" si="20"/>
        <v>26296.466235416548</v>
      </c>
      <c r="ET26" s="30">
        <f t="shared" si="20"/>
        <v>21959.145453310182</v>
      </c>
      <c r="EU26" s="30">
        <f t="shared" si="20"/>
        <v>19716.278029637695</v>
      </c>
      <c r="EV26" s="30">
        <f t="shared" si="20"/>
        <v>29023.235139857497</v>
      </c>
      <c r="EW26" s="30">
        <f t="shared" si="20"/>
        <v>35768.906725997789</v>
      </c>
      <c r="EX26" s="30">
        <f t="shared" si="20"/>
        <v>37432.068697392024</v>
      </c>
      <c r="EY26" s="30">
        <f t="shared" si="20"/>
        <v>35785.372969803277</v>
      </c>
      <c r="EZ26" s="30">
        <f t="shared" si="20"/>
        <v>26088.480372183327</v>
      </c>
      <c r="FA26" s="30">
        <f t="shared" si="20"/>
        <v>25196.233570571814</v>
      </c>
      <c r="FB26" s="30">
        <f t="shared" si="20"/>
        <v>27983.53191305275</v>
      </c>
      <c r="FC26" s="30">
        <f t="shared" si="20"/>
        <v>20067.941651567722</v>
      </c>
      <c r="FD26" s="30">
        <f t="shared" si="20"/>
        <v>20035.186446947293</v>
      </c>
      <c r="FE26" s="30">
        <f t="shared" si="20"/>
        <v>27085.360222479045</v>
      </c>
      <c r="FF26" s="30">
        <f t="shared" si="20"/>
        <v>22617.919816909489</v>
      </c>
      <c r="FG26" s="30">
        <f t="shared" si="20"/>
        <v>20307.766370526828</v>
      </c>
      <c r="FH26" s="30">
        <f t="shared" si="20"/>
        <v>29893.932194053225</v>
      </c>
      <c r="FI26" s="30">
        <f t="shared" si="20"/>
        <v>36841.973927777726</v>
      </c>
      <c r="FJ26" s="30">
        <f t="shared" si="20"/>
        <v>38555.030758313784</v>
      </c>
      <c r="FK26" s="30">
        <f t="shared" si="20"/>
        <v>36858.934158897369</v>
      </c>
      <c r="FL26" s="30">
        <f t="shared" si="20"/>
        <v>26871.134783348825</v>
      </c>
      <c r="FM26" s="30">
        <f t="shared" si="20"/>
        <v>25952.120577688969</v>
      </c>
      <c r="FN26" s="30">
        <f t="shared" si="20"/>
        <v>28823.037870444336</v>
      </c>
      <c r="FO26" s="30">
        <f t="shared" si="20"/>
        <v>20669.979901114755</v>
      </c>
      <c r="FP26" s="30">
        <f t="shared" si="20"/>
        <v>20636.242040355715</v>
      </c>
      <c r="FQ26" s="30">
        <f t="shared" si="20"/>
        <v>27897.921029153415</v>
      </c>
      <c r="FR26" s="30">
        <f t="shared" si="20"/>
        <v>23296.457411416774</v>
      </c>
      <c r="FS26" s="30">
        <f t="shared" si="20"/>
        <v>20916.999361642633</v>
      </c>
      <c r="FT26" s="30">
        <f t="shared" si="20"/>
        <v>30790.75015987482</v>
      </c>
      <c r="FU26" s="30">
        <f t="shared" si="20"/>
        <v>37947.233145611062</v>
      </c>
      <c r="FV26" s="30">
        <f t="shared" si="20"/>
        <v>39711.681681063201</v>
      </c>
      <c r="FW26" s="30">
        <f t="shared" si="20"/>
        <v>37964.702183664296</v>
      </c>
      <c r="FX26" s="30">
        <f t="shared" si="20"/>
        <v>27677.268826849289</v>
      </c>
      <c r="FY26" s="30">
        <f t="shared" si="20"/>
        <v>26730.684195019643</v>
      </c>
      <c r="FZ26" s="30">
        <f t="shared" si="20"/>
        <v>29687.729006557667</v>
      </c>
      <c r="GA26" s="30">
        <f t="shared" si="20"/>
        <v>21290.079298148197</v>
      </c>
      <c r="GB26" s="30">
        <f t="shared" si="20"/>
        <v>21255.329301566384</v>
      </c>
      <c r="GC26" s="30">
        <f t="shared" si="20"/>
        <v>28734.858660028014</v>
      </c>
      <c r="GD26" s="30">
        <f t="shared" si="20"/>
        <v>23995.351133759275</v>
      </c>
      <c r="GE26" s="30">
        <f t="shared" si="20"/>
        <v>21544.509342491911</v>
      </c>
      <c r="GF26" s="30">
        <f t="shared" si="20"/>
        <v>31714.472664671066</v>
      </c>
      <c r="GG26" s="30">
        <f t="shared" si="20"/>
        <v>39085.650139979392</v>
      </c>
      <c r="GH26" s="30">
        <f t="shared" si="20"/>
        <v>40903.0321314951</v>
      </c>
      <c r="GI26" s="30">
        <f t="shared" si="20"/>
        <v>39103.643249174223</v>
      </c>
      <c r="GJ26" s="30">
        <f t="shared" si="20"/>
        <v>28507.58689165477</v>
      </c>
      <c r="GK26" s="30">
        <f t="shared" si="20"/>
        <v>27532.604720870233</v>
      </c>
      <c r="GL26" s="30">
        <f t="shared" si="20"/>
        <v>30578.360876754399</v>
      </c>
      <c r="GM26" s="30">
        <f t="shared" si="20"/>
        <v>21928.781677092644</v>
      </c>
      <c r="GN26" s="30">
        <f t="shared" si="20"/>
        <v>21892.989180613378</v>
      </c>
      <c r="GO26" s="30">
        <f t="shared" ref="GO26:IH26" si="21">+GO25*$B$1</f>
        <v>29596.904419828861</v>
      </c>
      <c r="GP26" s="30">
        <f t="shared" si="21"/>
        <v>24715.211667772051</v>
      </c>
      <c r="GQ26" s="30">
        <f t="shared" si="21"/>
        <v>22190.844622766668</v>
      </c>
      <c r="GR26" s="30">
        <f t="shared" si="21"/>
        <v>32665.9068446112</v>
      </c>
      <c r="GS26" s="30">
        <f t="shared" si="21"/>
        <v>40258.219644178775</v>
      </c>
      <c r="GT26" s="30">
        <f t="shared" si="21"/>
        <v>42130.123095439951</v>
      </c>
      <c r="GU26" s="30">
        <f t="shared" si="21"/>
        <v>40276.752546649455</v>
      </c>
      <c r="GV26" s="30">
        <f t="shared" si="21"/>
        <v>29362.814498404416</v>
      </c>
      <c r="GW26" s="30">
        <f t="shared" si="21"/>
        <v>28358.582862496336</v>
      </c>
      <c r="GX26" s="30">
        <f t="shared" si="21"/>
        <v>31495.71170305703</v>
      </c>
      <c r="GY26" s="30">
        <f t="shared" si="21"/>
        <v>22586.645127405427</v>
      </c>
      <c r="GZ26" s="30">
        <f t="shared" si="21"/>
        <v>22549.778856031779</v>
      </c>
      <c r="HA26" s="30">
        <f t="shared" si="21"/>
        <v>30484.811552423722</v>
      </c>
      <c r="HB26" s="30">
        <f t="shared" si="21"/>
        <v>25456.668017805216</v>
      </c>
      <c r="HC26" s="30">
        <f t="shared" si="21"/>
        <v>22856.56996144967</v>
      </c>
      <c r="HD26" s="30">
        <f t="shared" si="21"/>
        <v>33645.884049949542</v>
      </c>
      <c r="HE26" s="30">
        <f t="shared" si="21"/>
        <v>41465.966233504136</v>
      </c>
      <c r="HF26" s="30">
        <f t="shared" si="21"/>
        <v>43394.026788303156</v>
      </c>
      <c r="HG26" s="30">
        <f t="shared" si="21"/>
        <v>41485.055123048936</v>
      </c>
      <c r="HH26" s="30">
        <f t="shared" si="21"/>
        <v>30243.698933356543</v>
      </c>
      <c r="HI26" s="30">
        <f t="shared" si="21"/>
        <v>29209.340348371225</v>
      </c>
      <c r="HJ26" s="30">
        <f t="shared" si="21"/>
        <v>32440.583054148745</v>
      </c>
      <c r="HK26" s="30">
        <f t="shared" si="21"/>
        <v>23264.24448122759</v>
      </c>
      <c r="HL26" s="30">
        <f t="shared" si="21"/>
        <v>23226.27222171273</v>
      </c>
      <c r="HM26" s="30">
        <f t="shared" si="21"/>
        <v>31399.355898996437</v>
      </c>
      <c r="HN26" s="30">
        <f t="shared" si="21"/>
        <v>26220.368058339373</v>
      </c>
      <c r="HO26" s="30">
        <f t="shared" si="21"/>
        <v>23542.267060293161</v>
      </c>
      <c r="HP26" s="30">
        <f t="shared" si="21"/>
        <v>34655.260571448023</v>
      </c>
      <c r="HQ26" s="30">
        <f t="shared" si="21"/>
        <v>42709.94522050926</v>
      </c>
      <c r="HR26" s="30">
        <f t="shared" si="21"/>
        <v>44695.847591952253</v>
      </c>
      <c r="HS26" s="30">
        <f t="shared" si="21"/>
        <v>42729.606776740409</v>
      </c>
      <c r="HT26" s="30">
        <f t="shared" si="21"/>
        <v>31151.00990135724</v>
      </c>
      <c r="HU26" s="30">
        <f t="shared" si="21"/>
        <v>30085.620558822367</v>
      </c>
      <c r="HV26" s="30">
        <f t="shared" si="21"/>
        <v>33413.8005457732</v>
      </c>
      <c r="HW26" s="30">
        <f t="shared" si="21"/>
        <v>23962.17181566442</v>
      </c>
      <c r="HX26" s="30">
        <f t="shared" si="21"/>
        <v>23923.060388364116</v>
      </c>
      <c r="HY26" s="30">
        <f t="shared" si="21"/>
        <v>32341.336575966328</v>
      </c>
      <c r="HZ26" s="30">
        <f t="shared" si="21"/>
        <v>27006.979100089549</v>
      </c>
      <c r="IA26" s="30">
        <f t="shared" si="21"/>
        <v>24248.535072101957</v>
      </c>
      <c r="IB26" s="30">
        <f t="shared" si="21"/>
        <v>35694.918388591461</v>
      </c>
      <c r="IC26" s="30">
        <f t="shared" si="21"/>
        <v>43991.243577124536</v>
      </c>
      <c r="ID26" s="30">
        <f t="shared" si="21"/>
        <v>46036.723019710829</v>
      </c>
      <c r="IE26" s="30">
        <f t="shared" si="21"/>
        <v>44011.494980042626</v>
      </c>
      <c r="IF26" s="30">
        <f t="shared" si="21"/>
        <v>32085.540198397957</v>
      </c>
      <c r="IG26" s="30">
        <f t="shared" si="21"/>
        <v>30988.189175587031</v>
      </c>
      <c r="IH26" s="30">
        <f t="shared" si="21"/>
        <v>34416.214562146393</v>
      </c>
    </row>
    <row r="27" spans="1:242" x14ac:dyDescent="0.3">
      <c r="A27" t="s">
        <v>771</v>
      </c>
      <c r="C27" s="30"/>
      <c r="D27" s="30">
        <f>+Producción!E14*C5</f>
        <v>0</v>
      </c>
      <c r="E27" s="30">
        <f>+Producción!F14*D5</f>
        <v>0</v>
      </c>
      <c r="F27" s="30">
        <f>+Producción!G14*E5</f>
        <v>0</v>
      </c>
      <c r="G27" s="30">
        <f>+Producción!H14*F5</f>
        <v>337780.16391359974</v>
      </c>
      <c r="H27" s="30">
        <f>+Producción!I14*G5</f>
        <v>235180.5042182398</v>
      </c>
      <c r="I27" s="30">
        <f>+Producción!J14*H5</f>
        <v>234445.03510995547</v>
      </c>
      <c r="J27" s="30">
        <f>+Producción!K14*I5</f>
        <v>75820.181701599591</v>
      </c>
      <c r="K27" s="30">
        <f>+Producción!L14*J5</f>
        <v>0</v>
      </c>
      <c r="L27" s="30">
        <f>+Producción!M14*K5</f>
        <v>0</v>
      </c>
      <c r="M27" s="30">
        <f>+Producción!N14*L5</f>
        <v>0</v>
      </c>
      <c r="N27" s="30">
        <f>+Producción!O14*M5</f>
        <v>0</v>
      </c>
      <c r="O27" s="30">
        <f>+Producción!P14*N5</f>
        <v>0</v>
      </c>
      <c r="P27" s="30">
        <f>+Producción!Q14*O5</f>
        <v>0</v>
      </c>
      <c r="Q27" s="30">
        <f>+Producción!R14*P5</f>
        <v>0</v>
      </c>
      <c r="R27" s="30">
        <f>+Producción!S14*Q5</f>
        <v>0</v>
      </c>
      <c r="S27" s="30">
        <f>+Producción!T14*R5</f>
        <v>296340.91229759972</v>
      </c>
      <c r="T27" s="30">
        <f>+Producción!U14*S5</f>
        <v>206335.1176393558</v>
      </c>
      <c r="U27" s="30">
        <f>+Producción!V14*T5</f>
        <v>205685.32086491352</v>
      </c>
      <c r="V27" s="30">
        <f>+Producción!W14*U5</f>
        <v>63964.086682799651</v>
      </c>
      <c r="W27" s="30">
        <f>+Producción!X14*V5</f>
        <v>0</v>
      </c>
      <c r="X27" s="30">
        <f>+Producción!Y14*W5</f>
        <v>0</v>
      </c>
      <c r="Y27" s="30">
        <f>+Producción!Z14*X5</f>
        <v>0</v>
      </c>
      <c r="Z27" s="30">
        <f>+Producción!AA14*Y5</f>
        <v>0</v>
      </c>
      <c r="AA27" s="30">
        <f>+Producción!AB14*Z5</f>
        <v>0</v>
      </c>
      <c r="AB27" s="30">
        <f>+Producción!AC14*AA5</f>
        <v>0</v>
      </c>
      <c r="AC27" s="30">
        <f>+Producción!AD14*AB5</f>
        <v>0</v>
      </c>
      <c r="AD27" s="30">
        <f>+Producción!AE14*AC5</f>
        <v>0</v>
      </c>
      <c r="AE27" s="30">
        <f>+Producción!AF14*AD5</f>
        <v>305231.13966652774</v>
      </c>
      <c r="AF27" s="30">
        <f>+Producción!AG14*AE5</f>
        <v>212525.1711685365</v>
      </c>
      <c r="AG27" s="30">
        <f>+Producción!AH14*AF5</f>
        <v>211855.88049086093</v>
      </c>
      <c r="AH27" s="30">
        <f>+Producción!AI14*AG5</f>
        <v>65883.009283283638</v>
      </c>
      <c r="AI27" s="30">
        <f>+Producción!AJ14*AH5</f>
        <v>0</v>
      </c>
      <c r="AJ27" s="30">
        <f>+Producción!AK14*AI5</f>
        <v>0</v>
      </c>
      <c r="AK27" s="30">
        <f>+Producción!AL14*AJ5</f>
        <v>0</v>
      </c>
      <c r="AL27" s="30">
        <f>+Producción!AM14*AK5</f>
        <v>0</v>
      </c>
      <c r="AM27" s="30">
        <f>+Producción!AN14*AL5</f>
        <v>0</v>
      </c>
      <c r="AN27" s="30">
        <f>+Producción!AO14*AM5</f>
        <v>0</v>
      </c>
      <c r="AO27" s="30">
        <f>+Producción!AP14*AN5</f>
        <v>0</v>
      </c>
      <c r="AP27" s="30">
        <f>+Producción!AQ14*AO5</f>
        <v>0</v>
      </c>
      <c r="AQ27" s="30">
        <f>+Producción!AR14*AP5</f>
        <v>314388.07385652361</v>
      </c>
      <c r="AR27" s="30">
        <f>+Producción!AS14*AQ5</f>
        <v>218900.9263035926</v>
      </c>
      <c r="AS27" s="30">
        <f>+Producción!AT14*AR5</f>
        <v>218211.55690558677</v>
      </c>
      <c r="AT27" s="30">
        <f>+Producción!AU14*AS5</f>
        <v>67859.499561782155</v>
      </c>
      <c r="AU27" s="30">
        <f>+Producción!AV14*AT5</f>
        <v>0</v>
      </c>
      <c r="AV27" s="30">
        <f>+Producción!AW14*AU5</f>
        <v>0</v>
      </c>
      <c r="AW27" s="30">
        <f>+Producción!AX14*AV5</f>
        <v>0</v>
      </c>
      <c r="AX27" s="30">
        <f>+Producción!AY14*AW5</f>
        <v>0</v>
      </c>
      <c r="AY27" s="30">
        <f>+Producción!AZ14*AX5</f>
        <v>0</v>
      </c>
      <c r="AZ27" s="30">
        <f>+Producción!BA14*AY5</f>
        <v>0</v>
      </c>
      <c r="BA27" s="30">
        <f>+Producción!BB14*AZ5</f>
        <v>0</v>
      </c>
      <c r="BB27" s="30">
        <f>+Producción!BC14*BA5</f>
        <v>0</v>
      </c>
      <c r="BC27" s="30">
        <f>+Producción!BD14*BB5</f>
        <v>323819.71607221931</v>
      </c>
      <c r="BD27" s="30">
        <f>+Producción!BE14*BC5</f>
        <v>225467.95409270038</v>
      </c>
      <c r="BE27" s="30">
        <f>+Producción!BF14*BD5</f>
        <v>224757.90361275439</v>
      </c>
      <c r="BF27" s="30">
        <f>+Producción!BG14*BE5</f>
        <v>69895.284548635624</v>
      </c>
      <c r="BG27" s="30">
        <f>+Producción!BH14*BF5</f>
        <v>0</v>
      </c>
      <c r="BH27" s="30">
        <f>+Producción!BI14*BG5</f>
        <v>0</v>
      </c>
      <c r="BI27" s="30">
        <f>+Producción!BJ14*BH5</f>
        <v>0</v>
      </c>
      <c r="BJ27" s="30">
        <f>+Producción!BK14*BI5</f>
        <v>0</v>
      </c>
      <c r="BK27" s="30">
        <f>+Producción!BL14*BJ5</f>
        <v>0</v>
      </c>
      <c r="BL27" s="30">
        <f>+Producción!BM14*BK5</f>
        <v>0</v>
      </c>
      <c r="BM27" s="30">
        <f>+Producción!BN14*BL5</f>
        <v>0</v>
      </c>
      <c r="BN27" s="30">
        <f>+Producción!BO14*BM5</f>
        <v>0</v>
      </c>
      <c r="BO27" s="30">
        <f>+Producción!BP14*BN5</f>
        <v>333534.30755438592</v>
      </c>
      <c r="BP27" s="30">
        <f>+Producción!BQ14*BO5</f>
        <v>232231.99271548141</v>
      </c>
      <c r="BQ27" s="30">
        <f>+Producción!BR14*BP5</f>
        <v>231500.64072113702</v>
      </c>
      <c r="BR27" s="30">
        <f>+Producción!BS14*BQ5</f>
        <v>71992.143085094693</v>
      </c>
      <c r="BS27" s="30">
        <f>+Producción!BT14*BR5</f>
        <v>0</v>
      </c>
      <c r="BT27" s="30">
        <f>+Producción!BU14*BS5</f>
        <v>0</v>
      </c>
      <c r="BU27" s="30">
        <f>+Producción!BV14*BT5</f>
        <v>0</v>
      </c>
      <c r="BV27" s="30">
        <f>+Producción!BW14*BU5</f>
        <v>0</v>
      </c>
      <c r="BW27" s="30">
        <f>+Producción!BX14*BV5</f>
        <v>0</v>
      </c>
      <c r="BX27" s="30">
        <f>+Producción!BY14*BW5</f>
        <v>0</v>
      </c>
      <c r="BY27" s="30">
        <f>+Producción!BZ14*BX5</f>
        <v>0</v>
      </c>
      <c r="BZ27" s="30">
        <f>+Producción!CA14*BY5</f>
        <v>0</v>
      </c>
      <c r="CA27" s="30">
        <f>+Producción!CB14*BZ5</f>
        <v>343540.33678101748</v>
      </c>
      <c r="CB27" s="30">
        <f>+Producción!CC14*CA5</f>
        <v>239198.95249694586</v>
      </c>
      <c r="CC27" s="30">
        <f>+Producción!CD14*CB5</f>
        <v>238445.65994277113</v>
      </c>
      <c r="CD27" s="30">
        <f>+Producción!CE14*CC5</f>
        <v>74151.907377647542</v>
      </c>
      <c r="CE27" s="30">
        <f>+Producción!CF14*CD5</f>
        <v>0</v>
      </c>
      <c r="CF27" s="30">
        <f>+Producción!CG14*CE5</f>
        <v>0</v>
      </c>
      <c r="CG27" s="30">
        <f>+Producción!CH14*CF5</f>
        <v>0</v>
      </c>
      <c r="CH27" s="30">
        <f>+Producción!CI14*CG5</f>
        <v>0</v>
      </c>
      <c r="CI27" s="30">
        <f>+Producción!CJ14*CH5</f>
        <v>0</v>
      </c>
      <c r="CJ27" s="30">
        <f>+Producción!CK14*CI5</f>
        <v>0</v>
      </c>
      <c r="CK27" s="30">
        <f>+Producción!CL14*CJ5</f>
        <v>0</v>
      </c>
      <c r="CL27" s="30">
        <f>+Producción!CM14*CK5</f>
        <v>0</v>
      </c>
      <c r="CM27" s="30">
        <f>+Producción!CN14*CL5</f>
        <v>353846.54688444803</v>
      </c>
      <c r="CN27" s="30">
        <f>+Producción!CO14*CM5</f>
        <v>246374.92107185425</v>
      </c>
      <c r="CO27" s="30">
        <f>+Producción!CP14*CN5</f>
        <v>245599.02974105428</v>
      </c>
      <c r="CP27" s="30">
        <f>+Producción!CQ14*CO5</f>
        <v>76376.464598976963</v>
      </c>
      <c r="CQ27" s="30">
        <f>+Producción!CR14*CP5</f>
        <v>0</v>
      </c>
      <c r="CR27" s="30">
        <f>+Producción!CS14*CQ5</f>
        <v>0</v>
      </c>
      <c r="CS27" s="30">
        <f>+Producción!CT14*CR5</f>
        <v>0</v>
      </c>
      <c r="CT27" s="30">
        <f>+Producción!CU14*CS5</f>
        <v>0</v>
      </c>
      <c r="CU27" s="30">
        <f>+Producción!CV14*CT5</f>
        <v>0</v>
      </c>
      <c r="CV27" s="30">
        <f>+Producción!CW14*CU5</f>
        <v>0</v>
      </c>
      <c r="CW27" s="30">
        <f>+Producción!CX14*CV5</f>
        <v>0</v>
      </c>
      <c r="CX27" s="30">
        <f>+Producción!CY14*CW5</f>
        <v>0</v>
      </c>
      <c r="CY27" s="30">
        <f>+Producción!CZ14*CX5</f>
        <v>364461.94329098152</v>
      </c>
      <c r="CZ27" s="30">
        <f>+Producción!DA14*CY5</f>
        <v>253766.16870400988</v>
      </c>
      <c r="DA27" s="30">
        <f>+Producción!DB14*CZ5</f>
        <v>252967.00063328593</v>
      </c>
      <c r="DB27" s="30">
        <f>+Producción!DC14*DA5</f>
        <v>78667.758536946276</v>
      </c>
      <c r="DC27" s="30">
        <f>+Producción!DD14*DB5</f>
        <v>0</v>
      </c>
      <c r="DD27" s="30">
        <f>+Producción!DE14*DC5</f>
        <v>0</v>
      </c>
      <c r="DE27" s="30">
        <f>+Producción!DF14*DD5</f>
        <v>0</v>
      </c>
      <c r="DF27" s="30">
        <f>+Producción!DG14*DE5</f>
        <v>0</v>
      </c>
      <c r="DG27" s="30">
        <f>+Producción!DH14*DF5</f>
        <v>0</v>
      </c>
      <c r="DH27" s="30">
        <f>+Producción!DI14*DG5</f>
        <v>0</v>
      </c>
      <c r="DI27" s="30">
        <f>+Producción!DJ14*DH5</f>
        <v>0</v>
      </c>
      <c r="DJ27" s="30">
        <f>+Producción!DK14*DI5</f>
        <v>0</v>
      </c>
      <c r="DK27" s="30">
        <f>+Producción!DL14*DJ5</f>
        <v>375395.80158971093</v>
      </c>
      <c r="DL27" s="30">
        <f>+Producción!DM14*DK5</f>
        <v>261379.15376513018</v>
      </c>
      <c r="DM27" s="30">
        <f>+Producción!DN14*DL5</f>
        <v>260556.01065228452</v>
      </c>
      <c r="DN27" s="30">
        <f>+Producción!DO14*DM5</f>
        <v>81027.791293054674</v>
      </c>
      <c r="DO27" s="30">
        <f>+Producción!DP14*DN5</f>
        <v>0</v>
      </c>
      <c r="DP27" s="30">
        <f>+Producción!DQ14*DO5</f>
        <v>0</v>
      </c>
      <c r="DQ27" s="30">
        <f>+Producción!DR14*DP5</f>
        <v>0</v>
      </c>
      <c r="DR27" s="30">
        <f>+Producción!DS14*DQ5</f>
        <v>0</v>
      </c>
      <c r="DS27" s="30">
        <f>+Producción!DT14*DR5</f>
        <v>0</v>
      </c>
      <c r="DT27" s="30">
        <f>+Producción!DU14*DS5</f>
        <v>0</v>
      </c>
      <c r="DU27" s="30">
        <f>+Producción!DV14*DT5</f>
        <v>0</v>
      </c>
      <c r="DV27" s="30">
        <f>+Producción!DW14*DU5</f>
        <v>0</v>
      </c>
      <c r="DW27" s="30">
        <f>+Producción!DX14*DV5</f>
        <v>386657.67563740228</v>
      </c>
      <c r="DX27" s="30">
        <f>+Producción!DY14*DW5</f>
        <v>269220.52837808407</v>
      </c>
      <c r="DY27" s="30">
        <f>+Producción!DZ14*DX5</f>
        <v>268372.69097185304</v>
      </c>
      <c r="DZ27" s="30">
        <f>+Producción!EA14*DY5</f>
        <v>83458.625031846299</v>
      </c>
      <c r="EA27" s="30">
        <f>+Producción!EB14*DZ5</f>
        <v>0</v>
      </c>
      <c r="EB27" s="30">
        <f>+Producción!EC14*EA5</f>
        <v>0</v>
      </c>
      <c r="EC27" s="30">
        <f>+Producción!ED14*EB5</f>
        <v>0</v>
      </c>
      <c r="ED27" s="30">
        <f>+Producción!EE14*EC5</f>
        <v>0</v>
      </c>
      <c r="EE27" s="30">
        <f>+Producción!EF14*ED5</f>
        <v>0</v>
      </c>
      <c r="EF27" s="30">
        <f>+Producción!EG14*EE5</f>
        <v>0</v>
      </c>
      <c r="EG27" s="30">
        <f>+Producción!EH14*EF5</f>
        <v>0</v>
      </c>
      <c r="EH27" s="30">
        <f>+Producción!EI14*EG5</f>
        <v>0</v>
      </c>
      <c r="EI27" s="30">
        <f>+Producción!EJ14*EH5</f>
        <v>398257.40590652433</v>
      </c>
      <c r="EJ27" s="30">
        <f>+Producción!EK14*EI5</f>
        <v>277297.14422942657</v>
      </c>
      <c r="EK27" s="30">
        <f>+Producción!EL14*EJ5</f>
        <v>276423.87170100864</v>
      </c>
      <c r="EL27" s="30">
        <f>+Producción!EM14*EK5</f>
        <v>85962.383782801699</v>
      </c>
      <c r="EM27" s="30">
        <f>+Producción!EN14*EL5</f>
        <v>0</v>
      </c>
      <c r="EN27" s="30">
        <f>+Producción!EO14*EM5</f>
        <v>0</v>
      </c>
      <c r="EO27" s="30">
        <f>+Producción!EP14*EN5</f>
        <v>0</v>
      </c>
      <c r="EP27" s="30">
        <f>+Producción!EQ14*EO5</f>
        <v>0</v>
      </c>
      <c r="EQ27" s="30">
        <f>+Producción!ER14*EP5</f>
        <v>0</v>
      </c>
      <c r="ER27" s="30">
        <f>+Producción!ES14*EQ5</f>
        <v>0</v>
      </c>
      <c r="ES27" s="30">
        <f>+Producción!ET14*ER5</f>
        <v>0</v>
      </c>
      <c r="ET27" s="30">
        <f>+Producción!EU14*ES5</f>
        <v>0</v>
      </c>
      <c r="EU27" s="30">
        <f>+Producción!EV14*ET5</f>
        <v>410205.1280837201</v>
      </c>
      <c r="EV27" s="30">
        <f>+Producción!EW14*EU5</f>
        <v>285616.05855630944</v>
      </c>
      <c r="EW27" s="30">
        <f>+Producción!EX14*EV5</f>
        <v>284716.58785203891</v>
      </c>
      <c r="EX27" s="30">
        <f>+Producción!EY14*EW5</f>
        <v>88541.255296285759</v>
      </c>
      <c r="EY27" s="30">
        <f>+Producción!EZ14*EX5</f>
        <v>0</v>
      </c>
      <c r="EZ27" s="30">
        <f>+Producción!FA14*EY5</f>
        <v>0</v>
      </c>
      <c r="FA27" s="30">
        <f>+Producción!FB14*EZ5</f>
        <v>0</v>
      </c>
      <c r="FB27" s="30">
        <f>+Producción!FC14*FA5</f>
        <v>0</v>
      </c>
      <c r="FC27" s="30">
        <f>+Producción!FD14*FB5</f>
        <v>0</v>
      </c>
      <c r="FD27" s="30">
        <f>+Producción!FE14*FC5</f>
        <v>0</v>
      </c>
      <c r="FE27" s="30">
        <f>+Producción!FF14*FD5</f>
        <v>0</v>
      </c>
      <c r="FF27" s="30">
        <f>+Producción!FG14*FE5</f>
        <v>0</v>
      </c>
      <c r="FG27" s="30">
        <f>+Producción!FH14*FF5</f>
        <v>422511.28192623163</v>
      </c>
      <c r="FH27" s="30">
        <f>+Producción!FI14*FG5</f>
        <v>294184.5403129987</v>
      </c>
      <c r="FI27" s="30">
        <f>+Producción!FJ14*FH5</f>
        <v>293258.08548760007</v>
      </c>
      <c r="FJ27" s="30">
        <f>+Producción!FK14*FI5</f>
        <v>91197.492955174326</v>
      </c>
      <c r="FK27" s="30">
        <f>+Producción!FL14*FJ5</f>
        <v>0</v>
      </c>
      <c r="FL27" s="30">
        <f>+Producción!FM14*FK5</f>
        <v>0</v>
      </c>
      <c r="FM27" s="30">
        <f>+Producción!FN14*FL5</f>
        <v>0</v>
      </c>
      <c r="FN27" s="30">
        <f>+Producción!FO14*FM5</f>
        <v>0</v>
      </c>
      <c r="FO27" s="30">
        <f>+Producción!FP14*FN5</f>
        <v>0</v>
      </c>
      <c r="FP27" s="30">
        <f>+Producción!FQ14*FO5</f>
        <v>0</v>
      </c>
      <c r="FQ27" s="30">
        <f>+Producción!FR14*FP5</f>
        <v>0</v>
      </c>
      <c r="FR27" s="30">
        <f>+Producción!FS14*FQ5</f>
        <v>0</v>
      </c>
      <c r="FS27" s="30">
        <f>+Producción!FT14*FR5</f>
        <v>435186.62038401858</v>
      </c>
      <c r="FT27" s="30">
        <f>+Producción!FU14*FS5</f>
        <v>303010.07652238861</v>
      </c>
      <c r="FU27" s="30">
        <f>+Producción!FV14*FT5</f>
        <v>302055.82805222803</v>
      </c>
      <c r="FV27" s="30">
        <f>+Producción!FW14*FU5</f>
        <v>93933.417743829545</v>
      </c>
      <c r="FW27" s="30">
        <f>+Producción!FX14*FV5</f>
        <v>0</v>
      </c>
      <c r="FX27" s="30">
        <f>+Producción!FY14*FW5</f>
        <v>0</v>
      </c>
      <c r="FY27" s="30">
        <f>+Producción!FZ14*FX5</f>
        <v>0</v>
      </c>
      <c r="FZ27" s="30">
        <f>+Producción!GA14*FY5</f>
        <v>0</v>
      </c>
      <c r="GA27" s="30">
        <f>+Producción!GB14*FZ5</f>
        <v>0</v>
      </c>
      <c r="GB27" s="30">
        <f>+Producción!GC14*GA5</f>
        <v>0</v>
      </c>
      <c r="GC27" s="30">
        <f>+Producción!GD14*GB5</f>
        <v>0</v>
      </c>
      <c r="GD27" s="30">
        <f>+Producción!GE14*GC5</f>
        <v>0</v>
      </c>
      <c r="GE27" s="30">
        <f>+Producción!GF14*GD5</f>
        <v>448242.21899553918</v>
      </c>
      <c r="GF27" s="30">
        <f>+Producción!GG14*GE5</f>
        <v>312100.37881806033</v>
      </c>
      <c r="GG27" s="30">
        <f>+Producción!GH14*GF5</f>
        <v>311117.50289379491</v>
      </c>
      <c r="GH27" s="30">
        <f>+Producción!GI14*GG5</f>
        <v>96751.420276144432</v>
      </c>
      <c r="GI27" s="30">
        <f>+Producción!GJ14*GH5</f>
        <v>0</v>
      </c>
      <c r="GJ27" s="30">
        <f>+Producción!GK14*GI5</f>
        <v>0</v>
      </c>
      <c r="GK27" s="30">
        <f>+Producción!GL14*GJ5</f>
        <v>0</v>
      </c>
      <c r="GL27" s="30">
        <f>+Producción!GM14*GK5</f>
        <v>0</v>
      </c>
      <c r="GM27" s="30">
        <f>+Producción!GN14*GL5</f>
        <v>0</v>
      </c>
      <c r="GN27" s="30">
        <f>+Producción!GO14*GM5</f>
        <v>0</v>
      </c>
      <c r="GO27" s="30">
        <f>+Producción!GP14*GN5</f>
        <v>0</v>
      </c>
      <c r="GP27" s="30">
        <f>+Producción!GQ14*GO5</f>
        <v>0</v>
      </c>
      <c r="GQ27" s="30">
        <f>+Producción!GR14*GP5</f>
        <v>461689.4855654054</v>
      </c>
      <c r="GR27" s="30">
        <f>+Producción!GS14*GQ5</f>
        <v>321463.39018260216</v>
      </c>
      <c r="GS27" s="30">
        <f>+Producción!GT14*GR5</f>
        <v>320451.02798060875</v>
      </c>
      <c r="GT27" s="30">
        <f>+Producción!GU14*GS5</f>
        <v>99653.96288442878</v>
      </c>
      <c r="GU27" s="30">
        <f>+Producción!GV14*GT5</f>
        <v>0</v>
      </c>
      <c r="GV27" s="30">
        <f>+Producción!GW14*GU5</f>
        <v>0</v>
      </c>
      <c r="GW27" s="30">
        <f>+Producción!GX14*GV5</f>
        <v>0</v>
      </c>
      <c r="GX27" s="30">
        <f>+Producción!GY14*GW5</f>
        <v>0</v>
      </c>
      <c r="GY27" s="30">
        <f>+Producción!GZ14*GX5</f>
        <v>0</v>
      </c>
      <c r="GZ27" s="30">
        <f>+Producción!HA14*GY5</f>
        <v>0</v>
      </c>
      <c r="HA27" s="30">
        <f>+Producción!HB14*GZ5</f>
        <v>0</v>
      </c>
      <c r="HB27" s="30">
        <f>+Producción!HC14*HA5</f>
        <v>0</v>
      </c>
      <c r="HC27" s="30">
        <f>+Producción!HD14*HB5</f>
        <v>475540.17013236758</v>
      </c>
      <c r="HD27" s="30">
        <f>+Producción!HE14*HC5</f>
        <v>331107.29188808025</v>
      </c>
      <c r="HE27" s="30">
        <f>+Producción!HF14*HD5</f>
        <v>330064.55882002704</v>
      </c>
      <c r="HF27" s="30">
        <f>+Producción!HG14*HE5</f>
        <v>102643.58177096165</v>
      </c>
      <c r="HG27" s="30">
        <f>+Producción!HH14*HF5</f>
        <v>0</v>
      </c>
      <c r="HH27" s="30">
        <f>+Producción!HI14*HG5</f>
        <v>0</v>
      </c>
      <c r="HI27" s="30">
        <f>+Producción!HJ14*HH5</f>
        <v>0</v>
      </c>
      <c r="HJ27" s="30">
        <f>+Producción!HK14*HI5</f>
        <v>0</v>
      </c>
      <c r="HK27" s="30">
        <f>+Producción!HL14*HJ5</f>
        <v>0</v>
      </c>
      <c r="HL27" s="30">
        <f>+Producción!HM14*HK5</f>
        <v>0</v>
      </c>
      <c r="HM27" s="30">
        <f>+Producción!HN14*HL5</f>
        <v>0</v>
      </c>
      <c r="HN27" s="30">
        <f>+Producción!HO14*HM5</f>
        <v>0</v>
      </c>
      <c r="HO27" s="30">
        <f>+Producción!HP14*HN5</f>
        <v>489806.37523633859</v>
      </c>
      <c r="HP27" s="30">
        <f>+Producción!HQ14*HO5</f>
        <v>341040.51064472261</v>
      </c>
      <c r="HQ27" s="30">
        <f>+Producción!HR14*HP5</f>
        <v>339966.4955846279</v>
      </c>
      <c r="HR27" s="30">
        <f>+Producción!HS14*HQ5</f>
        <v>105722.8892240905</v>
      </c>
      <c r="HS27" s="30">
        <f>+Producción!HT14*HR5</f>
        <v>0</v>
      </c>
      <c r="HT27" s="30">
        <f>+Producción!HU14*HS5</f>
        <v>0</v>
      </c>
      <c r="HU27" s="30">
        <f>+Producción!HV14*HT5</f>
        <v>0</v>
      </c>
      <c r="HV27" s="30">
        <f>+Producción!HW14*HU5</f>
        <v>0</v>
      </c>
      <c r="HW27" s="30">
        <f>+Producción!HX14*HV5</f>
        <v>0</v>
      </c>
      <c r="HX27" s="30">
        <f>+Producción!HY14*HW5</f>
        <v>0</v>
      </c>
      <c r="HY27" s="30">
        <f>+Producción!HZ14*HX5</f>
        <v>0</v>
      </c>
      <c r="HZ27" s="30">
        <f>+Producción!IA14*HY5</f>
        <v>0</v>
      </c>
      <c r="IA27" s="30">
        <f>+Producción!IB14*HZ5</f>
        <v>504500.56649342878</v>
      </c>
      <c r="IB27" s="30">
        <f>+Producción!IC14*IA5</f>
        <v>351271.72596406436</v>
      </c>
      <c r="IC27" s="30">
        <f>+Producción!ID14*IB5</f>
        <v>350165.4904521667</v>
      </c>
      <c r="ID27" s="30">
        <f>+Producción!IE14*IC5</f>
        <v>108894.57590081322</v>
      </c>
      <c r="IE27" s="30">
        <f>+Producción!IF14*ID5</f>
        <v>0</v>
      </c>
      <c r="IF27" s="30">
        <f>+Producción!IG14*IE5</f>
        <v>0</v>
      </c>
      <c r="IG27" s="30">
        <f>+Producción!IH14*IF5</f>
        <v>0</v>
      </c>
      <c r="IH27" s="30">
        <f>+Producción!II14*IG5</f>
        <v>0</v>
      </c>
    </row>
    <row r="28" spans="1:242" x14ac:dyDescent="0.3">
      <c r="A28" t="s">
        <v>917</v>
      </c>
      <c r="C28" s="30"/>
      <c r="D28" s="30">
        <f>+D27*$B$1</f>
        <v>0</v>
      </c>
      <c r="E28" s="30">
        <f t="shared" ref="E28:BP28" si="22">+E27*$B$1</f>
        <v>0</v>
      </c>
      <c r="F28" s="30">
        <f t="shared" si="22"/>
        <v>0</v>
      </c>
      <c r="G28" s="30">
        <f t="shared" si="22"/>
        <v>67556.032782719951</v>
      </c>
      <c r="H28" s="30">
        <f t="shared" si="22"/>
        <v>47036.100843647961</v>
      </c>
      <c r="I28" s="30">
        <f t="shared" si="22"/>
        <v>46889.007021991099</v>
      </c>
      <c r="J28" s="30">
        <f t="shared" si="22"/>
        <v>15164.036340319919</v>
      </c>
      <c r="K28" s="30">
        <f t="shared" si="22"/>
        <v>0</v>
      </c>
      <c r="L28" s="30">
        <f t="shared" si="22"/>
        <v>0</v>
      </c>
      <c r="M28" s="30">
        <f t="shared" si="22"/>
        <v>0</v>
      </c>
      <c r="N28" s="30">
        <f t="shared" si="22"/>
        <v>0</v>
      </c>
      <c r="O28" s="30">
        <f t="shared" si="22"/>
        <v>0</v>
      </c>
      <c r="P28" s="30">
        <f t="shared" si="22"/>
        <v>0</v>
      </c>
      <c r="Q28" s="30">
        <f t="shared" si="22"/>
        <v>0</v>
      </c>
      <c r="R28" s="30">
        <f t="shared" si="22"/>
        <v>0</v>
      </c>
      <c r="S28" s="30">
        <f t="shared" si="22"/>
        <v>59268.182459519943</v>
      </c>
      <c r="T28" s="30">
        <f t="shared" si="22"/>
        <v>41267.023527871163</v>
      </c>
      <c r="U28" s="30">
        <f t="shared" si="22"/>
        <v>41137.064172982704</v>
      </c>
      <c r="V28" s="30">
        <f t="shared" si="22"/>
        <v>12792.81733655993</v>
      </c>
      <c r="W28" s="30">
        <f t="shared" si="22"/>
        <v>0</v>
      </c>
      <c r="X28" s="30">
        <f t="shared" si="22"/>
        <v>0</v>
      </c>
      <c r="Y28" s="30">
        <f t="shared" si="22"/>
        <v>0</v>
      </c>
      <c r="Z28" s="30">
        <f t="shared" si="22"/>
        <v>0</v>
      </c>
      <c r="AA28" s="30">
        <f t="shared" si="22"/>
        <v>0</v>
      </c>
      <c r="AB28" s="30">
        <f t="shared" si="22"/>
        <v>0</v>
      </c>
      <c r="AC28" s="30">
        <f t="shared" si="22"/>
        <v>0</v>
      </c>
      <c r="AD28" s="30">
        <f t="shared" si="22"/>
        <v>0</v>
      </c>
      <c r="AE28" s="30">
        <f t="shared" si="22"/>
        <v>61046.227933305549</v>
      </c>
      <c r="AF28" s="30">
        <f t="shared" si="22"/>
        <v>42505.034233707302</v>
      </c>
      <c r="AG28" s="30">
        <f t="shared" si="22"/>
        <v>42371.176098172189</v>
      </c>
      <c r="AH28" s="30">
        <f t="shared" si="22"/>
        <v>13176.601856656729</v>
      </c>
      <c r="AI28" s="30">
        <f t="shared" si="22"/>
        <v>0</v>
      </c>
      <c r="AJ28" s="30">
        <f t="shared" si="22"/>
        <v>0</v>
      </c>
      <c r="AK28" s="30">
        <f t="shared" si="22"/>
        <v>0</v>
      </c>
      <c r="AL28" s="30">
        <f t="shared" si="22"/>
        <v>0</v>
      </c>
      <c r="AM28" s="30">
        <f t="shared" si="22"/>
        <v>0</v>
      </c>
      <c r="AN28" s="30">
        <f t="shared" si="22"/>
        <v>0</v>
      </c>
      <c r="AO28" s="30">
        <f t="shared" si="22"/>
        <v>0</v>
      </c>
      <c r="AP28" s="30">
        <f t="shared" si="22"/>
        <v>0</v>
      </c>
      <c r="AQ28" s="30">
        <f t="shared" si="22"/>
        <v>62877.614771304725</v>
      </c>
      <c r="AR28" s="30">
        <f t="shared" si="22"/>
        <v>43780.185260718521</v>
      </c>
      <c r="AS28" s="30">
        <f t="shared" si="22"/>
        <v>43642.311381117353</v>
      </c>
      <c r="AT28" s="30">
        <f t="shared" si="22"/>
        <v>13571.899912356432</v>
      </c>
      <c r="AU28" s="30">
        <f t="shared" si="22"/>
        <v>0</v>
      </c>
      <c r="AV28" s="30">
        <f t="shared" si="22"/>
        <v>0</v>
      </c>
      <c r="AW28" s="30">
        <f t="shared" si="22"/>
        <v>0</v>
      </c>
      <c r="AX28" s="30">
        <f t="shared" si="22"/>
        <v>0</v>
      </c>
      <c r="AY28" s="30">
        <f t="shared" si="22"/>
        <v>0</v>
      </c>
      <c r="AZ28" s="30">
        <f t="shared" si="22"/>
        <v>0</v>
      </c>
      <c r="BA28" s="30">
        <f t="shared" si="22"/>
        <v>0</v>
      </c>
      <c r="BB28" s="30">
        <f t="shared" si="22"/>
        <v>0</v>
      </c>
      <c r="BC28" s="30">
        <f t="shared" si="22"/>
        <v>64763.943214443862</v>
      </c>
      <c r="BD28" s="30">
        <f t="shared" si="22"/>
        <v>45093.590818540077</v>
      </c>
      <c r="BE28" s="30">
        <f t="shared" si="22"/>
        <v>44951.580722550883</v>
      </c>
      <c r="BF28" s="30">
        <f t="shared" si="22"/>
        <v>13979.056909727125</v>
      </c>
      <c r="BG28" s="30">
        <f t="shared" si="22"/>
        <v>0</v>
      </c>
      <c r="BH28" s="30">
        <f t="shared" si="22"/>
        <v>0</v>
      </c>
      <c r="BI28" s="30">
        <f t="shared" si="22"/>
        <v>0</v>
      </c>
      <c r="BJ28" s="30">
        <f t="shared" si="22"/>
        <v>0</v>
      </c>
      <c r="BK28" s="30">
        <f t="shared" si="22"/>
        <v>0</v>
      </c>
      <c r="BL28" s="30">
        <f t="shared" si="22"/>
        <v>0</v>
      </c>
      <c r="BM28" s="30">
        <f t="shared" si="22"/>
        <v>0</v>
      </c>
      <c r="BN28" s="30">
        <f t="shared" si="22"/>
        <v>0</v>
      </c>
      <c r="BO28" s="30">
        <f t="shared" si="22"/>
        <v>66706.861510877192</v>
      </c>
      <c r="BP28" s="30">
        <f t="shared" si="22"/>
        <v>46446.398543096286</v>
      </c>
      <c r="BQ28" s="30">
        <f t="shared" ref="BQ28:EB28" si="23">+BQ27*$B$1</f>
        <v>46300.128144227405</v>
      </c>
      <c r="BR28" s="30">
        <f t="shared" si="23"/>
        <v>14398.428617018939</v>
      </c>
      <c r="BS28" s="30">
        <f t="shared" si="23"/>
        <v>0</v>
      </c>
      <c r="BT28" s="30">
        <f t="shared" si="23"/>
        <v>0</v>
      </c>
      <c r="BU28" s="30">
        <f t="shared" si="23"/>
        <v>0</v>
      </c>
      <c r="BV28" s="30">
        <f t="shared" si="23"/>
        <v>0</v>
      </c>
      <c r="BW28" s="30">
        <f t="shared" si="23"/>
        <v>0</v>
      </c>
      <c r="BX28" s="30">
        <f t="shared" si="23"/>
        <v>0</v>
      </c>
      <c r="BY28" s="30">
        <f t="shared" si="23"/>
        <v>0</v>
      </c>
      <c r="BZ28" s="30">
        <f t="shared" si="23"/>
        <v>0</v>
      </c>
      <c r="CA28" s="30">
        <f t="shared" si="23"/>
        <v>68708.067356203494</v>
      </c>
      <c r="CB28" s="30">
        <f t="shared" si="23"/>
        <v>47839.790499389172</v>
      </c>
      <c r="CC28" s="30">
        <f t="shared" si="23"/>
        <v>47689.131988554233</v>
      </c>
      <c r="CD28" s="30">
        <f t="shared" si="23"/>
        <v>14830.38147552951</v>
      </c>
      <c r="CE28" s="30">
        <f t="shared" si="23"/>
        <v>0</v>
      </c>
      <c r="CF28" s="30">
        <f t="shared" si="23"/>
        <v>0</v>
      </c>
      <c r="CG28" s="30">
        <f t="shared" si="23"/>
        <v>0</v>
      </c>
      <c r="CH28" s="30">
        <f t="shared" si="23"/>
        <v>0</v>
      </c>
      <c r="CI28" s="30">
        <f t="shared" si="23"/>
        <v>0</v>
      </c>
      <c r="CJ28" s="30">
        <f t="shared" si="23"/>
        <v>0</v>
      </c>
      <c r="CK28" s="30">
        <f t="shared" si="23"/>
        <v>0</v>
      </c>
      <c r="CL28" s="30">
        <f t="shared" si="23"/>
        <v>0</v>
      </c>
      <c r="CM28" s="30">
        <f t="shared" si="23"/>
        <v>70769.309376889607</v>
      </c>
      <c r="CN28" s="30">
        <f t="shared" si="23"/>
        <v>49274.984214370852</v>
      </c>
      <c r="CO28" s="30">
        <f t="shared" si="23"/>
        <v>49119.805948210858</v>
      </c>
      <c r="CP28" s="30">
        <f t="shared" si="23"/>
        <v>15275.292919795393</v>
      </c>
      <c r="CQ28" s="30">
        <f t="shared" si="23"/>
        <v>0</v>
      </c>
      <c r="CR28" s="30">
        <f t="shared" si="23"/>
        <v>0</v>
      </c>
      <c r="CS28" s="30">
        <f t="shared" si="23"/>
        <v>0</v>
      </c>
      <c r="CT28" s="30">
        <f t="shared" si="23"/>
        <v>0</v>
      </c>
      <c r="CU28" s="30">
        <f t="shared" si="23"/>
        <v>0</v>
      </c>
      <c r="CV28" s="30">
        <f t="shared" si="23"/>
        <v>0</v>
      </c>
      <c r="CW28" s="30">
        <f t="shared" si="23"/>
        <v>0</v>
      </c>
      <c r="CX28" s="30">
        <f t="shared" si="23"/>
        <v>0</v>
      </c>
      <c r="CY28" s="30">
        <f t="shared" si="23"/>
        <v>72892.388658196302</v>
      </c>
      <c r="CZ28" s="30">
        <f t="shared" si="23"/>
        <v>50753.233740801981</v>
      </c>
      <c r="DA28" s="30">
        <f t="shared" si="23"/>
        <v>50593.400126657187</v>
      </c>
      <c r="DB28" s="30">
        <f t="shared" si="23"/>
        <v>15733.551707389255</v>
      </c>
      <c r="DC28" s="30">
        <f t="shared" si="23"/>
        <v>0</v>
      </c>
      <c r="DD28" s="30">
        <f t="shared" si="23"/>
        <v>0</v>
      </c>
      <c r="DE28" s="30">
        <f t="shared" si="23"/>
        <v>0</v>
      </c>
      <c r="DF28" s="30">
        <f t="shared" si="23"/>
        <v>0</v>
      </c>
      <c r="DG28" s="30">
        <f t="shared" si="23"/>
        <v>0</v>
      </c>
      <c r="DH28" s="30">
        <f t="shared" si="23"/>
        <v>0</v>
      </c>
      <c r="DI28" s="30">
        <f t="shared" si="23"/>
        <v>0</v>
      </c>
      <c r="DJ28" s="30">
        <f t="shared" si="23"/>
        <v>0</v>
      </c>
      <c r="DK28" s="30">
        <f t="shared" si="23"/>
        <v>75079.160317942195</v>
      </c>
      <c r="DL28" s="30">
        <f t="shared" si="23"/>
        <v>52275.830753026035</v>
      </c>
      <c r="DM28" s="30">
        <f t="shared" si="23"/>
        <v>52111.202130456906</v>
      </c>
      <c r="DN28" s="30">
        <f t="shared" si="23"/>
        <v>16205.558258610936</v>
      </c>
      <c r="DO28" s="30">
        <f t="shared" si="23"/>
        <v>0</v>
      </c>
      <c r="DP28" s="30">
        <f t="shared" si="23"/>
        <v>0</v>
      </c>
      <c r="DQ28" s="30">
        <f t="shared" si="23"/>
        <v>0</v>
      </c>
      <c r="DR28" s="30">
        <f t="shared" si="23"/>
        <v>0</v>
      </c>
      <c r="DS28" s="30">
        <f t="shared" si="23"/>
        <v>0</v>
      </c>
      <c r="DT28" s="30">
        <f t="shared" si="23"/>
        <v>0</v>
      </c>
      <c r="DU28" s="30">
        <f t="shared" si="23"/>
        <v>0</v>
      </c>
      <c r="DV28" s="30">
        <f t="shared" si="23"/>
        <v>0</v>
      </c>
      <c r="DW28" s="30">
        <f t="shared" si="23"/>
        <v>77331.535127480456</v>
      </c>
      <c r="DX28" s="30">
        <f t="shared" si="23"/>
        <v>53844.105675616818</v>
      </c>
      <c r="DY28" s="30">
        <f t="shared" si="23"/>
        <v>53674.538194370609</v>
      </c>
      <c r="DZ28" s="30">
        <f t="shared" si="23"/>
        <v>16691.725006369259</v>
      </c>
      <c r="EA28" s="30">
        <f t="shared" si="23"/>
        <v>0</v>
      </c>
      <c r="EB28" s="30">
        <f t="shared" si="23"/>
        <v>0</v>
      </c>
      <c r="EC28" s="30">
        <f t="shared" ref="EC28:GN28" si="24">+EC27*$B$1</f>
        <v>0</v>
      </c>
      <c r="ED28" s="30">
        <f t="shared" si="24"/>
        <v>0</v>
      </c>
      <c r="EE28" s="30">
        <f t="shared" si="24"/>
        <v>0</v>
      </c>
      <c r="EF28" s="30">
        <f t="shared" si="24"/>
        <v>0</v>
      </c>
      <c r="EG28" s="30">
        <f t="shared" si="24"/>
        <v>0</v>
      </c>
      <c r="EH28" s="30">
        <f t="shared" si="24"/>
        <v>0</v>
      </c>
      <c r="EI28" s="30">
        <f t="shared" si="24"/>
        <v>79651.481181304873</v>
      </c>
      <c r="EJ28" s="30">
        <f t="shared" si="24"/>
        <v>55459.428845885319</v>
      </c>
      <c r="EK28" s="30">
        <f t="shared" si="24"/>
        <v>55284.77434020173</v>
      </c>
      <c r="EL28" s="30">
        <f t="shared" si="24"/>
        <v>17192.47675656034</v>
      </c>
      <c r="EM28" s="30">
        <f t="shared" si="24"/>
        <v>0</v>
      </c>
      <c r="EN28" s="30">
        <f t="shared" si="24"/>
        <v>0</v>
      </c>
      <c r="EO28" s="30">
        <f t="shared" si="24"/>
        <v>0</v>
      </c>
      <c r="EP28" s="30">
        <f t="shared" si="24"/>
        <v>0</v>
      </c>
      <c r="EQ28" s="30">
        <f t="shared" si="24"/>
        <v>0</v>
      </c>
      <c r="ER28" s="30">
        <f t="shared" si="24"/>
        <v>0</v>
      </c>
      <c r="ES28" s="30">
        <f t="shared" si="24"/>
        <v>0</v>
      </c>
      <c r="ET28" s="30">
        <f t="shared" si="24"/>
        <v>0</v>
      </c>
      <c r="EU28" s="30">
        <f t="shared" si="24"/>
        <v>82041.025616744024</v>
      </c>
      <c r="EV28" s="30">
        <f t="shared" si="24"/>
        <v>57123.211711261887</v>
      </c>
      <c r="EW28" s="30">
        <f t="shared" si="24"/>
        <v>56943.317570407788</v>
      </c>
      <c r="EX28" s="30">
        <f t="shared" si="24"/>
        <v>17708.251059257153</v>
      </c>
      <c r="EY28" s="30">
        <f t="shared" si="24"/>
        <v>0</v>
      </c>
      <c r="EZ28" s="30">
        <f t="shared" si="24"/>
        <v>0</v>
      </c>
      <c r="FA28" s="30">
        <f t="shared" si="24"/>
        <v>0</v>
      </c>
      <c r="FB28" s="30">
        <f t="shared" si="24"/>
        <v>0</v>
      </c>
      <c r="FC28" s="30">
        <f t="shared" si="24"/>
        <v>0</v>
      </c>
      <c r="FD28" s="30">
        <f t="shared" si="24"/>
        <v>0</v>
      </c>
      <c r="FE28" s="30">
        <f t="shared" si="24"/>
        <v>0</v>
      </c>
      <c r="FF28" s="30">
        <f t="shared" si="24"/>
        <v>0</v>
      </c>
      <c r="FG28" s="30">
        <f t="shared" si="24"/>
        <v>84502.256385246335</v>
      </c>
      <c r="FH28" s="30">
        <f t="shared" si="24"/>
        <v>58836.908062599745</v>
      </c>
      <c r="FI28" s="30">
        <f t="shared" si="24"/>
        <v>58651.617097520015</v>
      </c>
      <c r="FJ28" s="30">
        <f t="shared" si="24"/>
        <v>18239.498591034866</v>
      </c>
      <c r="FK28" s="30">
        <f t="shared" si="24"/>
        <v>0</v>
      </c>
      <c r="FL28" s="30">
        <f t="shared" si="24"/>
        <v>0</v>
      </c>
      <c r="FM28" s="30">
        <f t="shared" si="24"/>
        <v>0</v>
      </c>
      <c r="FN28" s="30">
        <f t="shared" si="24"/>
        <v>0</v>
      </c>
      <c r="FO28" s="30">
        <f t="shared" si="24"/>
        <v>0</v>
      </c>
      <c r="FP28" s="30">
        <f t="shared" si="24"/>
        <v>0</v>
      </c>
      <c r="FQ28" s="30">
        <f t="shared" si="24"/>
        <v>0</v>
      </c>
      <c r="FR28" s="30">
        <f t="shared" si="24"/>
        <v>0</v>
      </c>
      <c r="FS28" s="30">
        <f t="shared" si="24"/>
        <v>87037.324076803721</v>
      </c>
      <c r="FT28" s="30">
        <f t="shared" si="24"/>
        <v>60602.015304477725</v>
      </c>
      <c r="FU28" s="30">
        <f t="shared" si="24"/>
        <v>60411.165610445605</v>
      </c>
      <c r="FV28" s="30">
        <f t="shared" si="24"/>
        <v>18786.683548765908</v>
      </c>
      <c r="FW28" s="30">
        <f t="shared" si="24"/>
        <v>0</v>
      </c>
      <c r="FX28" s="30">
        <f t="shared" si="24"/>
        <v>0</v>
      </c>
      <c r="FY28" s="30">
        <f t="shared" si="24"/>
        <v>0</v>
      </c>
      <c r="FZ28" s="30">
        <f t="shared" si="24"/>
        <v>0</v>
      </c>
      <c r="GA28" s="30">
        <f t="shared" si="24"/>
        <v>0</v>
      </c>
      <c r="GB28" s="30">
        <f t="shared" si="24"/>
        <v>0</v>
      </c>
      <c r="GC28" s="30">
        <f t="shared" si="24"/>
        <v>0</v>
      </c>
      <c r="GD28" s="30">
        <f t="shared" si="24"/>
        <v>0</v>
      </c>
      <c r="GE28" s="30">
        <f t="shared" si="24"/>
        <v>89648.443799107845</v>
      </c>
      <c r="GF28" s="30">
        <f t="shared" si="24"/>
        <v>62420.075763612069</v>
      </c>
      <c r="GG28" s="30">
        <f t="shared" si="24"/>
        <v>62223.500578758983</v>
      </c>
      <c r="GH28" s="30">
        <f t="shared" si="24"/>
        <v>19350.284055228887</v>
      </c>
      <c r="GI28" s="30">
        <f t="shared" si="24"/>
        <v>0</v>
      </c>
      <c r="GJ28" s="30">
        <f t="shared" si="24"/>
        <v>0</v>
      </c>
      <c r="GK28" s="30">
        <f t="shared" si="24"/>
        <v>0</v>
      </c>
      <c r="GL28" s="30">
        <f t="shared" si="24"/>
        <v>0</v>
      </c>
      <c r="GM28" s="30">
        <f t="shared" si="24"/>
        <v>0</v>
      </c>
      <c r="GN28" s="30">
        <f t="shared" si="24"/>
        <v>0</v>
      </c>
      <c r="GO28" s="30">
        <f t="shared" ref="GO28:IH28" si="25">+GO27*$B$1</f>
        <v>0</v>
      </c>
      <c r="GP28" s="30">
        <f t="shared" si="25"/>
        <v>0</v>
      </c>
      <c r="GQ28" s="30">
        <f t="shared" si="25"/>
        <v>92337.897113081082</v>
      </c>
      <c r="GR28" s="30">
        <f t="shared" si="25"/>
        <v>64292.678036520432</v>
      </c>
      <c r="GS28" s="30">
        <f t="shared" si="25"/>
        <v>64090.205596121756</v>
      </c>
      <c r="GT28" s="30">
        <f t="shared" si="25"/>
        <v>19930.792576885757</v>
      </c>
      <c r="GU28" s="30">
        <f t="shared" si="25"/>
        <v>0</v>
      </c>
      <c r="GV28" s="30">
        <f t="shared" si="25"/>
        <v>0</v>
      </c>
      <c r="GW28" s="30">
        <f t="shared" si="25"/>
        <v>0</v>
      </c>
      <c r="GX28" s="30">
        <f t="shared" si="25"/>
        <v>0</v>
      </c>
      <c r="GY28" s="30">
        <f t="shared" si="25"/>
        <v>0</v>
      </c>
      <c r="GZ28" s="30">
        <f t="shared" si="25"/>
        <v>0</v>
      </c>
      <c r="HA28" s="30">
        <f t="shared" si="25"/>
        <v>0</v>
      </c>
      <c r="HB28" s="30">
        <f t="shared" si="25"/>
        <v>0</v>
      </c>
      <c r="HC28" s="30">
        <f t="shared" si="25"/>
        <v>95108.034026473528</v>
      </c>
      <c r="HD28" s="30">
        <f t="shared" si="25"/>
        <v>66221.458377616058</v>
      </c>
      <c r="HE28" s="30">
        <f t="shared" si="25"/>
        <v>66012.911764005417</v>
      </c>
      <c r="HF28" s="30">
        <f t="shared" si="25"/>
        <v>20528.716354192333</v>
      </c>
      <c r="HG28" s="30">
        <f t="shared" si="25"/>
        <v>0</v>
      </c>
      <c r="HH28" s="30">
        <f t="shared" si="25"/>
        <v>0</v>
      </c>
      <c r="HI28" s="30">
        <f t="shared" si="25"/>
        <v>0</v>
      </c>
      <c r="HJ28" s="30">
        <f t="shared" si="25"/>
        <v>0</v>
      </c>
      <c r="HK28" s="30">
        <f t="shared" si="25"/>
        <v>0</v>
      </c>
      <c r="HL28" s="30">
        <f t="shared" si="25"/>
        <v>0</v>
      </c>
      <c r="HM28" s="30">
        <f t="shared" si="25"/>
        <v>0</v>
      </c>
      <c r="HN28" s="30">
        <f t="shared" si="25"/>
        <v>0</v>
      </c>
      <c r="HO28" s="30">
        <f t="shared" si="25"/>
        <v>97961.275047267729</v>
      </c>
      <c r="HP28" s="30">
        <f t="shared" si="25"/>
        <v>68208.10212894452</v>
      </c>
      <c r="HQ28" s="30">
        <f t="shared" si="25"/>
        <v>67993.299116925584</v>
      </c>
      <c r="HR28" s="30">
        <f t="shared" si="25"/>
        <v>21144.577844818101</v>
      </c>
      <c r="HS28" s="30">
        <f t="shared" si="25"/>
        <v>0</v>
      </c>
      <c r="HT28" s="30">
        <f t="shared" si="25"/>
        <v>0</v>
      </c>
      <c r="HU28" s="30">
        <f t="shared" si="25"/>
        <v>0</v>
      </c>
      <c r="HV28" s="30">
        <f t="shared" si="25"/>
        <v>0</v>
      </c>
      <c r="HW28" s="30">
        <f t="shared" si="25"/>
        <v>0</v>
      </c>
      <c r="HX28" s="30">
        <f t="shared" si="25"/>
        <v>0</v>
      </c>
      <c r="HY28" s="30">
        <f t="shared" si="25"/>
        <v>0</v>
      </c>
      <c r="HZ28" s="30">
        <f t="shared" si="25"/>
        <v>0</v>
      </c>
      <c r="IA28" s="30">
        <f t="shared" si="25"/>
        <v>100900.11329868576</v>
      </c>
      <c r="IB28" s="30">
        <f t="shared" si="25"/>
        <v>70254.345192812878</v>
      </c>
      <c r="IC28" s="30">
        <f t="shared" si="25"/>
        <v>70033.098090433341</v>
      </c>
      <c r="ID28" s="30">
        <f t="shared" si="25"/>
        <v>21778.915180162643</v>
      </c>
      <c r="IE28" s="30">
        <f t="shared" si="25"/>
        <v>0</v>
      </c>
      <c r="IF28" s="30">
        <f t="shared" si="25"/>
        <v>0</v>
      </c>
      <c r="IG28" s="30">
        <f t="shared" si="25"/>
        <v>0</v>
      </c>
      <c r="IH28" s="30">
        <f t="shared" si="25"/>
        <v>0</v>
      </c>
    </row>
    <row r="29" spans="1:242" x14ac:dyDescent="0.3">
      <c r="A29" t="s">
        <v>918</v>
      </c>
      <c r="B29" s="30"/>
      <c r="C29" s="30"/>
      <c r="D29" s="30">
        <f>Producción!E15*C8</f>
        <v>-478377.96194371453</v>
      </c>
      <c r="E29" s="30">
        <f>Producción!F15*D8</f>
        <v>-299257.84207094216</v>
      </c>
      <c r="F29" s="30">
        <f>Producción!G15*E8</f>
        <v>-264126.41018208337</v>
      </c>
      <c r="G29" s="30">
        <f>Producción!H15*F8</f>
        <v>0</v>
      </c>
      <c r="H29" s="30">
        <f>Producción!I15*G8</f>
        <v>0</v>
      </c>
      <c r="I29" s="30">
        <f>Producción!J15*H8</f>
        <v>0</v>
      </c>
      <c r="J29" s="30">
        <f>Producción!K15*I8</f>
        <v>0</v>
      </c>
      <c r="K29" s="30">
        <f>Producción!L15*J8</f>
        <v>-171931.85923999996</v>
      </c>
      <c r="L29" s="30">
        <f>Producción!M15*K8</f>
        <v>-282223.02759999991</v>
      </c>
      <c r="M29" s="30">
        <f>Producción!N15*L8</f>
        <v>-260519.88284000003</v>
      </c>
      <c r="N29" s="30">
        <f>Producción!O15*M8</f>
        <v>-195537.95008000016</v>
      </c>
      <c r="O29" s="30">
        <f>Producción!P15*N8</f>
        <v>-397234.61356000014</v>
      </c>
      <c r="P29" s="30">
        <f>Producción!Q15*O8</f>
        <v>-353039.97167405859</v>
      </c>
      <c r="Q29" s="30">
        <f>Producción!R15*P8</f>
        <v>-245639.37826247944</v>
      </c>
      <c r="R29" s="30">
        <f>Producción!S15*Q8</f>
        <v>-215977.52639558609</v>
      </c>
      <c r="S29" s="30">
        <f>Producción!T15*R8</f>
        <v>0</v>
      </c>
      <c r="T29" s="30">
        <f>Producción!U15*S8</f>
        <v>0</v>
      </c>
      <c r="U29" s="30">
        <f>Producción!V15*T8</f>
        <v>0</v>
      </c>
      <c r="V29" s="30">
        <f>Producción!W15*U8</f>
        <v>0</v>
      </c>
      <c r="W29" s="30">
        <f>Producción!X15*V8</f>
        <v>-173097.66407613215</v>
      </c>
      <c r="X29" s="30">
        <f>Producción!Y15*W8</f>
        <v>-280814.98989980709</v>
      </c>
      <c r="Y29" s="30">
        <f>Producción!Z15*X8</f>
        <v>-260519.88284000003</v>
      </c>
      <c r="Z29" s="30">
        <f>Producción!AA15*Y8</f>
        <v>-195537.95008000016</v>
      </c>
      <c r="AA29" s="30">
        <f>Producción!AB15*Z8</f>
        <v>-397234.61356000014</v>
      </c>
      <c r="AB29" s="30">
        <f>Producción!AC15*AA8</f>
        <v>-370691.97025776154</v>
      </c>
      <c r="AC29" s="30">
        <f>Producción!AD15*AB8</f>
        <v>-257921.34717560341</v>
      </c>
      <c r="AD29" s="30">
        <f>Producción!AE15*AC8</f>
        <v>-226776.40271536537</v>
      </c>
      <c r="AE29" s="30">
        <f>Producción!AF15*AD8</f>
        <v>0</v>
      </c>
      <c r="AF29" s="30">
        <f>Producción!AG15*AE8</f>
        <v>0</v>
      </c>
      <c r="AG29" s="30">
        <f>Producción!AH15*AF8</f>
        <v>0</v>
      </c>
      <c r="AH29" s="30">
        <f>Producción!AI15*AG8</f>
        <v>0</v>
      </c>
      <c r="AI29" s="30">
        <f>Producción!AJ15*AH8</f>
        <v>-181752.54727993876</v>
      </c>
      <c r="AJ29" s="30">
        <f>Producción!AK15*AI8</f>
        <v>-294855.73939479742</v>
      </c>
      <c r="AK29" s="30">
        <f>Producción!AL15*AJ8</f>
        <v>-260519.88284000003</v>
      </c>
      <c r="AL29" s="30">
        <f>Producción!AM15*AK8</f>
        <v>-195537.95008000016</v>
      </c>
      <c r="AM29" s="30">
        <f>Producción!AN15*AL8</f>
        <v>-397234.61356000014</v>
      </c>
      <c r="AN29" s="30">
        <f>Producción!AO15*AM8</f>
        <v>-389226.56877064961</v>
      </c>
      <c r="AO29" s="30">
        <f>Producción!AP15*AN8</f>
        <v>-270817.41453438357</v>
      </c>
      <c r="AP29" s="30">
        <f>Producción!AQ15*AO8</f>
        <v>-238115.22285113367</v>
      </c>
      <c r="AQ29" s="30">
        <f>Producción!AR15*AP8</f>
        <v>0</v>
      </c>
      <c r="AR29" s="30">
        <f>Producción!AS15*AQ8</f>
        <v>0</v>
      </c>
      <c r="AS29" s="30">
        <f>Producción!AT15*AR8</f>
        <v>0</v>
      </c>
      <c r="AT29" s="30">
        <f>Producción!AU15*AS8</f>
        <v>0</v>
      </c>
      <c r="AU29" s="30">
        <f>Producción!AV15*AT8</f>
        <v>-190840.17464393569</v>
      </c>
      <c r="AV29" s="30">
        <f>Producción!AW15*AU8</f>
        <v>-309598.52636453731</v>
      </c>
      <c r="AW29" s="30">
        <f>Producción!AX15*AV8</f>
        <v>-260519.88284000003</v>
      </c>
      <c r="AX29" s="30">
        <f>Producción!AY15*AW8</f>
        <v>-195537.95008000016</v>
      </c>
      <c r="AY29" s="30">
        <f>Producción!AZ15*AX8</f>
        <v>-397234.61356000014</v>
      </c>
      <c r="AZ29" s="30">
        <f>Producción!BA15*AY8</f>
        <v>-408687.89720918209</v>
      </c>
      <c r="BA29" s="30">
        <f>Producción!BB15*AZ8</f>
        <v>-284358.28526110278</v>
      </c>
      <c r="BB29" s="30">
        <f>Producción!BC15*BA8</f>
        <v>-250020.98399369037</v>
      </c>
      <c r="BC29" s="30">
        <f>Producción!BD15*BB8</f>
        <v>0</v>
      </c>
      <c r="BD29" s="30">
        <f>Producción!BE15*BC8</f>
        <v>0</v>
      </c>
      <c r="BE29" s="30">
        <f>Producción!BF15*BD8</f>
        <v>0</v>
      </c>
      <c r="BF29" s="30">
        <f>Producción!BG15*BE8</f>
        <v>0</v>
      </c>
      <c r="BG29" s="30">
        <f>Producción!BH15*BF8</f>
        <v>-200382.18337613251</v>
      </c>
      <c r="BH29" s="30">
        <f>Producción!BI15*BG8</f>
        <v>-325078.45268276421</v>
      </c>
      <c r="BI29" s="30">
        <f>Producción!BJ15*BH8</f>
        <v>-260519.88284000003</v>
      </c>
      <c r="BJ29" s="30">
        <f>Producción!BK15*BI8</f>
        <v>-195537.95008000016</v>
      </c>
      <c r="BK29" s="30">
        <f>Producción!BL15*BJ8</f>
        <v>-397234.61356000014</v>
      </c>
      <c r="BL29" s="30">
        <f>Producción!BM15*BK8</f>
        <v>-429122.29206964123</v>
      </c>
      <c r="BM29" s="30">
        <f>Producción!BN15*BL8</f>
        <v>-298576.19952415791</v>
      </c>
      <c r="BN29" s="30">
        <f>Producción!BO15*BM8</f>
        <v>-262522.03319337487</v>
      </c>
      <c r="BO29" s="30">
        <f>Producción!BP15*BN8</f>
        <v>0</v>
      </c>
      <c r="BP29" s="30">
        <f>Producción!BQ15*BO8</f>
        <v>0</v>
      </c>
      <c r="BQ29" s="30">
        <f>Producción!BR15*BP8</f>
        <v>0</v>
      </c>
      <c r="BR29" s="30">
        <f>Producción!BS15*BQ8</f>
        <v>0</v>
      </c>
      <c r="BS29" s="30">
        <f>Producción!BT15*BR8</f>
        <v>-210401.29254493915</v>
      </c>
      <c r="BT29" s="30">
        <f>Producción!BU15*BS8</f>
        <v>-341332.37531690247</v>
      </c>
      <c r="BU29" s="30">
        <f>Producción!BV15*BT8</f>
        <v>-271414.08828272438</v>
      </c>
      <c r="BV29" s="30">
        <f>Producción!BW15*BU8</f>
        <v>-195537.95008000016</v>
      </c>
      <c r="BW29" s="30">
        <f>Producción!BX15*BV8</f>
        <v>-397234.61356000014</v>
      </c>
      <c r="BX29" s="30">
        <f>Producción!BY15*BW8</f>
        <v>-450578.40667312336</v>
      </c>
      <c r="BY29" s="30">
        <f>Producción!BZ15*BX8</f>
        <v>-313505.00950036582</v>
      </c>
      <c r="BZ29" s="30">
        <f>Producción!CA15*BY8</f>
        <v>-275648.13485304365</v>
      </c>
      <c r="CA29" s="30">
        <f>Producción!CB15*BZ8</f>
        <v>0</v>
      </c>
      <c r="CB29" s="30">
        <f>Producción!CC15*CA8</f>
        <v>0</v>
      </c>
      <c r="CC29" s="30">
        <f>Producción!CD15*CB8</f>
        <v>0</v>
      </c>
      <c r="CD29" s="30">
        <f>Producción!CE15*CC8</f>
        <v>0</v>
      </c>
      <c r="CE29" s="30">
        <f>Producción!CF15*CD8</f>
        <v>-220921.35717218608</v>
      </c>
      <c r="CF29" s="30">
        <f>Producción!CG15*CE8</f>
        <v>-358398.99408274761</v>
      </c>
      <c r="CG29" s="30">
        <f>Producción!CH15*CF8</f>
        <v>-284984.79269686062</v>
      </c>
      <c r="CH29" s="30">
        <f>Producción!CI15*CG8</f>
        <v>-195537.95008000016</v>
      </c>
      <c r="CI29" s="30">
        <f>Producción!CJ15*CH8</f>
        <v>-412409.79606531136</v>
      </c>
      <c r="CJ29" s="30">
        <f>Producción!CK15*CI8</f>
        <v>-473107.32700677961</v>
      </c>
      <c r="CK29" s="30">
        <f>Producción!CL15*CJ8</f>
        <v>-171519.41599999997</v>
      </c>
      <c r="CL29" s="30">
        <f>Producción!CM15*CK8</f>
        <v>-143883.71980000005</v>
      </c>
      <c r="CM29" s="30">
        <f>Producción!CN15*CL8</f>
        <v>0</v>
      </c>
      <c r="CN29" s="30">
        <f>Producción!CO15*CM8</f>
        <v>0</v>
      </c>
      <c r="CO29" s="30">
        <f>Producción!CP15*CN8</f>
        <v>0</v>
      </c>
      <c r="CP29" s="30">
        <f>Producción!CQ15*CO8</f>
        <v>0</v>
      </c>
      <c r="CQ29" s="30">
        <f>Producción!CR15*CP8</f>
        <v>-231967.42503079539</v>
      </c>
      <c r="CR29" s="30">
        <f>Producción!CS15*CQ8</f>
        <v>-376318.94378688501</v>
      </c>
      <c r="CS29" s="30">
        <f>Producción!CT15*CR8</f>
        <v>-299234.0323317037</v>
      </c>
      <c r="CT29" s="30">
        <f>Producción!CU15*CS8</f>
        <v>-197739.42569938154</v>
      </c>
      <c r="CU29" s="30">
        <f>Producción!CV15*CT8</f>
        <v>-433030.28586857696</v>
      </c>
      <c r="CV29" s="30">
        <f>Producción!CW15*CU8</f>
        <v>-496762.69335711864</v>
      </c>
      <c r="CW29" s="30">
        <f>Producción!CX15*CV8</f>
        <v>-171519.41599999997</v>
      </c>
      <c r="CX29" s="30">
        <f>Producción!CY15*CW8</f>
        <v>-143883.71980000005</v>
      </c>
      <c r="CY29" s="30">
        <f>Producción!CZ15*CX8</f>
        <v>0</v>
      </c>
      <c r="CZ29" s="30">
        <f>Producción!DA15*CY8</f>
        <v>0</v>
      </c>
      <c r="DA29" s="30">
        <f>Producción!DB15*CZ8</f>
        <v>0</v>
      </c>
      <c r="DB29" s="30">
        <f>Producción!DC15*DA8</f>
        <v>0</v>
      </c>
      <c r="DC29" s="30">
        <f>Producción!DD15*DB8</f>
        <v>-243565.79628233518</v>
      </c>
      <c r="DD29" s="30">
        <f>Producción!DE15*DC8</f>
        <v>-395134.89097622928</v>
      </c>
      <c r="DE29" s="30">
        <f>Producción!DF15*DD8</f>
        <v>-314195.73394828883</v>
      </c>
      <c r="DF29" s="30">
        <f>Producción!DG15*DE8</f>
        <v>-207626.39698435063</v>
      </c>
      <c r="DG29" s="30">
        <f>Producción!DH15*DF8</f>
        <v>-454681.80016200576</v>
      </c>
      <c r="DH29" s="30">
        <f>Producción!DI15*DG8</f>
        <v>-521600.8280249745</v>
      </c>
      <c r="DI29" s="30">
        <f>Producción!DJ15*DH8</f>
        <v>-171519.41599999997</v>
      </c>
      <c r="DJ29" s="30">
        <f>Producción!DK15*DI8</f>
        <v>-143883.71980000005</v>
      </c>
      <c r="DK29" s="30">
        <f>Producción!DL15*DJ8</f>
        <v>0</v>
      </c>
      <c r="DL29" s="30">
        <f>Producción!DM15*DK8</f>
        <v>0</v>
      </c>
      <c r="DM29" s="30">
        <f>Producción!DN15*DL8</f>
        <v>0</v>
      </c>
      <c r="DN29" s="30">
        <f>Producción!DO15*DM8</f>
        <v>0</v>
      </c>
      <c r="DO29" s="30">
        <f>Producción!DP15*DN8</f>
        <v>-255744.08609645194</v>
      </c>
      <c r="DP29" s="30">
        <f>Producción!DQ15*DO8</f>
        <v>-414891.63552504079</v>
      </c>
      <c r="DQ29" s="30">
        <f>Producción!DR15*DP8</f>
        <v>-329905.52064570331</v>
      </c>
      <c r="DR29" s="30">
        <f>Producción!DS15*DQ8</f>
        <v>-218007.71683356815</v>
      </c>
      <c r="DS29" s="30">
        <f>Producción!DT15*DR8</f>
        <v>-477415.89017010608</v>
      </c>
      <c r="DT29" s="30">
        <f>Producción!DU15*DS8</f>
        <v>-547680.86942622333</v>
      </c>
      <c r="DU29" s="30">
        <f>Producción!DV15*DT8</f>
        <v>-171519.41599999997</v>
      </c>
      <c r="DV29" s="30">
        <f>Producción!DW15*DU8</f>
        <v>-143883.71980000005</v>
      </c>
      <c r="DW29" s="30">
        <f>Producción!DX15*DV8</f>
        <v>0</v>
      </c>
      <c r="DX29" s="30">
        <f>Producción!DY15*DW8</f>
        <v>0</v>
      </c>
      <c r="DY29" s="30">
        <f>Producción!DZ15*DX8</f>
        <v>0</v>
      </c>
      <c r="DZ29" s="30">
        <f>Producción!EA15*DY8</f>
        <v>0</v>
      </c>
      <c r="EA29" s="30">
        <f>Producción!EB15*DZ8</f>
        <v>-268531.29040127457</v>
      </c>
      <c r="EB29" s="30">
        <f>Producción!EC15*EA8</f>
        <v>-435636.21730129281</v>
      </c>
      <c r="EC29" s="30">
        <f>Producción!ED15*EB8</f>
        <v>-346400.79667798849</v>
      </c>
      <c r="ED29" s="30">
        <f>Producción!EE15*EC8</f>
        <v>-228908.10267524657</v>
      </c>
      <c r="EE29" s="30">
        <f>Producción!EF15*ED8</f>
        <v>-501286.68467861146</v>
      </c>
      <c r="EF29" s="30">
        <f>Producción!EG15*EE8</f>
        <v>-575064.91289753444</v>
      </c>
      <c r="EG29" s="30">
        <f>Producción!EH15*EF8</f>
        <v>-171519.41599999997</v>
      </c>
      <c r="EH29" s="30">
        <f>Producción!EI15*EG8</f>
        <v>-143883.71980000005</v>
      </c>
      <c r="EI29" s="30">
        <f>Producción!EJ15*EH8</f>
        <v>0</v>
      </c>
      <c r="EJ29" s="30">
        <f>Producción!EK15*EI8</f>
        <v>0</v>
      </c>
      <c r="EK29" s="30">
        <f>Producción!EL15*EJ8</f>
        <v>0</v>
      </c>
      <c r="EL29" s="30">
        <f>Producción!EM15*EK8</f>
        <v>0</v>
      </c>
      <c r="EM29" s="30">
        <f>Producción!EN15*EL8</f>
        <v>-281957.85492133832</v>
      </c>
      <c r="EN29" s="30">
        <f>Producción!EO15*EM8</f>
        <v>-457418.02816635754</v>
      </c>
      <c r="EO29" s="30">
        <f>Producción!EP15*EN8</f>
        <v>-363720.8365118879</v>
      </c>
      <c r="EP29" s="30">
        <f>Producción!EQ15*EO8</f>
        <v>-240353.50780900894</v>
      </c>
      <c r="EQ29" s="30">
        <f>Producción!ER15*EP8</f>
        <v>-526351.01891254203</v>
      </c>
      <c r="ER29" s="30">
        <f>Producción!ES15*EQ8</f>
        <v>-603818.15854241129</v>
      </c>
      <c r="ES29" s="30">
        <f>Producción!ET15*ER8</f>
        <v>-171519.41599999997</v>
      </c>
      <c r="ET29" s="30">
        <f>Producción!EU15*ES8</f>
        <v>-143883.71980000005</v>
      </c>
      <c r="EU29" s="30">
        <f>Producción!EV15*ET8</f>
        <v>0</v>
      </c>
      <c r="EV29" s="30">
        <f>Producción!EW15*EU8</f>
        <v>0</v>
      </c>
      <c r="EW29" s="30">
        <f>Producción!EX15*EV8</f>
        <v>0</v>
      </c>
      <c r="EX29" s="30">
        <f>Producción!EY15*EW8</f>
        <v>0</v>
      </c>
      <c r="EY29" s="30">
        <f>Producción!EZ15*EX8</f>
        <v>-214914.82404999994</v>
      </c>
      <c r="EZ29" s="30">
        <f>Producción!FA15*EY8</f>
        <v>-352778.78449999989</v>
      </c>
      <c r="FA29" s="30">
        <f>Producción!FB15*EZ8</f>
        <v>-325649.85355000006</v>
      </c>
      <c r="FB29" s="30">
        <f>Producción!FC15*FA8</f>
        <v>-244422.43760000018</v>
      </c>
      <c r="FC29" s="30">
        <f>Producción!FD15*FB8</f>
        <v>-496543.26695000019</v>
      </c>
      <c r="FD29" s="30">
        <f>Producción!FE15*FC8</f>
        <v>-417466.76990000001</v>
      </c>
      <c r="FE29" s="30">
        <f>Producción!FF15*FD8</f>
        <v>-171519.41599999997</v>
      </c>
      <c r="FF29" s="30">
        <f>Producción!FG15*FE8</f>
        <v>-143883.71980000005</v>
      </c>
      <c r="FG29" s="30">
        <f>Producción!FH15*FF8</f>
        <v>0</v>
      </c>
      <c r="FH29" s="30">
        <f>Producción!FI15*FG8</f>
        <v>0</v>
      </c>
      <c r="FI29" s="30">
        <f>Producción!FJ15*FH8</f>
        <v>0</v>
      </c>
      <c r="FJ29" s="30">
        <f>Producción!FK15*FI8</f>
        <v>0</v>
      </c>
      <c r="FK29" s="30">
        <f>Producción!FL15*FJ8</f>
        <v>-214914.82404999994</v>
      </c>
      <c r="FL29" s="30">
        <f>Producción!FM15*FK8</f>
        <v>-352778.78449999989</v>
      </c>
      <c r="FM29" s="30">
        <f>Producción!FN15*FL8</f>
        <v>-325649.85355000006</v>
      </c>
      <c r="FN29" s="30">
        <f>Producción!FO15*FM8</f>
        <v>-244422.43760000018</v>
      </c>
      <c r="FO29" s="30">
        <f>Producción!FP15*FN8</f>
        <v>-496543.26695000019</v>
      </c>
      <c r="FP29" s="30">
        <f>Producción!FQ15*FO8</f>
        <v>-417466.76990000001</v>
      </c>
      <c r="FQ29" s="30">
        <f>Producción!FR15*FP8</f>
        <v>-171519.41599999997</v>
      </c>
      <c r="FR29" s="30">
        <f>Producción!FS15*FQ8</f>
        <v>-143883.71980000005</v>
      </c>
      <c r="FS29" s="30">
        <f>Producción!FT15*FR8</f>
        <v>0</v>
      </c>
      <c r="FT29" s="30">
        <f>Producción!FU15*FS8</f>
        <v>0</v>
      </c>
      <c r="FU29" s="30">
        <f>Producción!FV15*FT8</f>
        <v>0</v>
      </c>
      <c r="FV29" s="30">
        <f>Producción!FW15*FU8</f>
        <v>0</v>
      </c>
      <c r="FW29" s="30">
        <f>Producción!FX15*FV8</f>
        <v>-214914.82404999994</v>
      </c>
      <c r="FX29" s="30">
        <f>Producción!FY15*FW8</f>
        <v>-352778.78449999989</v>
      </c>
      <c r="FY29" s="30">
        <f>Producción!FZ15*FX8</f>
        <v>-325649.85355000006</v>
      </c>
      <c r="FZ29" s="30">
        <f>Producción!GA15*FY8</f>
        <v>-244422.43760000018</v>
      </c>
      <c r="GA29" s="30">
        <f>Producción!GB15*FZ8</f>
        <v>-496543.26695000019</v>
      </c>
      <c r="GB29" s="30">
        <f>Producción!GC15*GA8</f>
        <v>-417466.76990000001</v>
      </c>
      <c r="GC29" s="30">
        <f>Producción!GD15*GB8</f>
        <v>-171519.41599999997</v>
      </c>
      <c r="GD29" s="30">
        <f>Producción!GE15*GC8</f>
        <v>-143883.71980000005</v>
      </c>
      <c r="GE29" s="30">
        <f>Producción!GF15*GD8</f>
        <v>0</v>
      </c>
      <c r="GF29" s="30">
        <f>Producción!GG15*GE8</f>
        <v>0</v>
      </c>
      <c r="GG29" s="30">
        <f>Producción!GH15*GF8</f>
        <v>0</v>
      </c>
      <c r="GH29" s="30">
        <f>Producción!GI15*GG8</f>
        <v>0</v>
      </c>
      <c r="GI29" s="30">
        <f>Producción!GJ15*GH8</f>
        <v>-214914.82404999994</v>
      </c>
      <c r="GJ29" s="30">
        <f>Producción!GK15*GI8</f>
        <v>-352778.78449999989</v>
      </c>
      <c r="GK29" s="30">
        <f>Producción!GL15*GJ8</f>
        <v>-325649.85355000006</v>
      </c>
      <c r="GL29" s="30">
        <f>Producción!GM15*GK8</f>
        <v>-244422.43760000018</v>
      </c>
      <c r="GM29" s="30">
        <f>Producción!GN15*GL8</f>
        <v>-496543.26695000019</v>
      </c>
      <c r="GN29" s="30">
        <f>Producción!GO15*GM8</f>
        <v>-417466.76990000001</v>
      </c>
      <c r="GO29" s="30">
        <f>Producción!GP15*GN8</f>
        <v>-171519.41599999997</v>
      </c>
      <c r="GP29" s="30">
        <f>Producción!GQ15*GO8</f>
        <v>-143883.71980000005</v>
      </c>
      <c r="GQ29" s="30">
        <f>Producción!GR15*GP8</f>
        <v>0</v>
      </c>
      <c r="GR29" s="30">
        <f>Producción!GS15*GQ8</f>
        <v>0</v>
      </c>
      <c r="GS29" s="30">
        <f>Producción!GT15*GR8</f>
        <v>0</v>
      </c>
      <c r="GT29" s="30">
        <f>Producción!GU15*GS8</f>
        <v>0</v>
      </c>
      <c r="GU29" s="30">
        <f>Producción!GV15*GT8</f>
        <v>-214914.82404999994</v>
      </c>
      <c r="GV29" s="30">
        <f>Producción!GW15*GU8</f>
        <v>-352778.78449999989</v>
      </c>
      <c r="GW29" s="30">
        <f>Producción!GX15*GV8</f>
        <v>-325649.85355000006</v>
      </c>
      <c r="GX29" s="30">
        <f>Producción!GY15*GW8</f>
        <v>-244422.43760000018</v>
      </c>
      <c r="GY29" s="30">
        <f>Producción!GZ15*GX8</f>
        <v>-496543.26695000019</v>
      </c>
      <c r="GZ29" s="30">
        <f>Producción!HA15*GY8</f>
        <v>-417466.76990000001</v>
      </c>
      <c r="HA29" s="30">
        <f>Producción!HB15*GZ8</f>
        <v>-171519.41599999997</v>
      </c>
      <c r="HB29" s="30">
        <f>Producción!HC15*HA8</f>
        <v>-143883.71980000005</v>
      </c>
      <c r="HC29" s="30">
        <f>Producción!HD15*HB8</f>
        <v>0</v>
      </c>
      <c r="HD29" s="30">
        <f>Producción!HE15*HC8</f>
        <v>0</v>
      </c>
      <c r="HE29" s="30">
        <f>Producción!HF15*HD8</f>
        <v>0</v>
      </c>
      <c r="HF29" s="30">
        <f>Producción!HG15*HE8</f>
        <v>0</v>
      </c>
      <c r="HG29" s="30">
        <f>Producción!HH15*HF8</f>
        <v>-214914.82404999994</v>
      </c>
      <c r="HH29" s="30">
        <f>Producción!HI15*HG8</f>
        <v>-352778.78449999989</v>
      </c>
      <c r="HI29" s="30">
        <f>Producción!HJ15*HH8</f>
        <v>-325649.85355000006</v>
      </c>
      <c r="HJ29" s="30">
        <f>Producción!HK15*HI8</f>
        <v>-244422.43760000018</v>
      </c>
      <c r="HK29" s="30">
        <f>Producción!HL15*HJ8</f>
        <v>-496543.26695000019</v>
      </c>
      <c r="HL29" s="30">
        <f>Producción!HM15*HK8</f>
        <v>-417466.76990000001</v>
      </c>
      <c r="HM29" s="30">
        <f>Producción!HN15*HL8</f>
        <v>-171519.41599999997</v>
      </c>
      <c r="HN29" s="30">
        <f>Producción!HO15*HM8</f>
        <v>-143883.71980000005</v>
      </c>
      <c r="HO29" s="30">
        <f>Producción!HP15*HN8</f>
        <v>0</v>
      </c>
      <c r="HP29" s="30">
        <f>Producción!HQ15*HO8</f>
        <v>0</v>
      </c>
      <c r="HQ29" s="30">
        <f>Producción!HR15*HP8</f>
        <v>0</v>
      </c>
      <c r="HR29" s="30">
        <f>Producción!HS15*HQ8</f>
        <v>0</v>
      </c>
      <c r="HS29" s="30">
        <f>Producción!HT15*HR8</f>
        <v>-214914.82404999994</v>
      </c>
      <c r="HT29" s="30">
        <f>Producción!HU15*HS8</f>
        <v>-352778.78449999989</v>
      </c>
      <c r="HU29" s="30">
        <f>Producción!HV15*HT8</f>
        <v>-325649.85355000006</v>
      </c>
      <c r="HV29" s="30">
        <f>Producción!HW15*HU8</f>
        <v>-244422.43760000018</v>
      </c>
      <c r="HW29" s="30">
        <f>Producción!HX15*HV8</f>
        <v>-496543.26695000019</v>
      </c>
      <c r="HX29" s="30">
        <f>Producción!HY15*HW8</f>
        <v>-417466.76990000001</v>
      </c>
      <c r="HY29" s="30">
        <f>Producción!HZ15*HX8</f>
        <v>-171519.41599999997</v>
      </c>
      <c r="HZ29" s="30">
        <f>Producción!IA15*HY8</f>
        <v>-143883.71980000005</v>
      </c>
      <c r="IA29" s="30">
        <f>Producción!IB15*HZ8</f>
        <v>0</v>
      </c>
      <c r="IB29" s="30">
        <f>Producción!IC15*IA8</f>
        <v>0</v>
      </c>
      <c r="IC29" s="30">
        <f>Producción!ID15*IB8</f>
        <v>0</v>
      </c>
      <c r="ID29" s="30">
        <f>Producción!IE15*IC8</f>
        <v>0</v>
      </c>
      <c r="IE29" s="30">
        <f>Producción!IF15*ID8</f>
        <v>-214914.82404999994</v>
      </c>
      <c r="IF29" s="30">
        <f>Producción!IG15*IE8</f>
        <v>-352778.78449999989</v>
      </c>
      <c r="IG29" s="30">
        <f>Producción!IH15*IF8</f>
        <v>-325649.85355000006</v>
      </c>
      <c r="IH29" s="30">
        <f>Producción!II15*IG8</f>
        <v>-244422.43760000018</v>
      </c>
    </row>
    <row r="30" spans="1:242" x14ac:dyDescent="0.3">
      <c r="A30" t="s">
        <v>919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</row>
    <row r="31" spans="1:242" x14ac:dyDescent="0.3">
      <c r="A31" t="s">
        <v>940</v>
      </c>
      <c r="B31" s="11"/>
      <c r="C31" s="30"/>
      <c r="D31" s="30">
        <f>+C14*C7</f>
        <v>0</v>
      </c>
      <c r="E31" s="30">
        <f t="shared" ref="E31:BP31" si="26">+D14*D7</f>
        <v>0</v>
      </c>
      <c r="F31" s="30">
        <f t="shared" si="26"/>
        <v>0</v>
      </c>
      <c r="G31" s="30">
        <f t="shared" si="26"/>
        <v>0</v>
      </c>
      <c r="H31" s="30">
        <f t="shared" si="26"/>
        <v>0</v>
      </c>
      <c r="I31" s="30">
        <f t="shared" ca="1" si="26"/>
        <v>253261.55428781005</v>
      </c>
      <c r="J31" s="30">
        <f t="shared" ca="1" si="26"/>
        <v>233483.89964738552</v>
      </c>
      <c r="K31" s="30">
        <f t="shared" ca="1" si="26"/>
        <v>278021.6345918703</v>
      </c>
      <c r="L31" s="30">
        <f t="shared" ca="1" si="26"/>
        <v>252552.48776191767</v>
      </c>
      <c r="M31" s="30">
        <f t="shared" ca="1" si="26"/>
        <v>244867.4362589386</v>
      </c>
      <c r="N31" s="30">
        <f t="shared" ca="1" si="26"/>
        <v>246135.54614909223</v>
      </c>
      <c r="O31" s="30">
        <f t="shared" ca="1" si="26"/>
        <v>261918.16683016066</v>
      </c>
      <c r="P31" s="30">
        <f t="shared" ca="1" si="26"/>
        <v>258074.98628871058</v>
      </c>
      <c r="Q31" s="30">
        <f t="shared" ca="1" si="26"/>
        <v>241516.47068493298</v>
      </c>
      <c r="R31" s="30">
        <f t="shared" ca="1" si="26"/>
        <v>217744.71900205518</v>
      </c>
      <c r="S31" s="30">
        <f t="shared" ca="1" si="26"/>
        <v>208097.43366792329</v>
      </c>
      <c r="T31" s="30">
        <f t="shared" ca="1" si="26"/>
        <v>219977.06364712282</v>
      </c>
      <c r="U31" s="30">
        <f t="shared" ca="1" si="26"/>
        <v>265381.92867158377</v>
      </c>
      <c r="V31" s="30">
        <f t="shared" ca="1" si="26"/>
        <v>244657.77198765328</v>
      </c>
      <c r="W31" s="30">
        <f t="shared" ca="1" si="26"/>
        <v>291326.95567590988</v>
      </c>
      <c r="X31" s="30">
        <f t="shared" ca="1" si="26"/>
        <v>264638.92824766663</v>
      </c>
      <c r="Y31" s="30">
        <f t="shared" ca="1" si="26"/>
        <v>256586.09213704494</v>
      </c>
      <c r="Z31" s="30">
        <f t="shared" ca="1" si="26"/>
        <v>257914.89014337026</v>
      </c>
      <c r="AA31" s="30">
        <f t="shared" ca="1" si="26"/>
        <v>274452.8219570326</v>
      </c>
      <c r="AB31" s="30">
        <f t="shared" ca="1" si="26"/>
        <v>270701.66123136372</v>
      </c>
      <c r="AC31" s="30">
        <f t="shared" ca="1" si="26"/>
        <v>253332.99739482463</v>
      </c>
      <c r="AD31" s="30">
        <f t="shared" ca="1" si="26"/>
        <v>228398.17994709444</v>
      </c>
      <c r="AE31" s="30">
        <f t="shared" ca="1" si="26"/>
        <v>218278.88786118521</v>
      </c>
      <c r="AF31" s="30">
        <f t="shared" ca="1" si="26"/>
        <v>230739.74513537929</v>
      </c>
      <c r="AG31" s="30">
        <f t="shared" ca="1" si="26"/>
        <v>278366.10585658922</v>
      </c>
      <c r="AH31" s="30">
        <f t="shared" ca="1" si="26"/>
        <v>256627.99119993264</v>
      </c>
      <c r="AI31" s="30">
        <f t="shared" ca="1" si="26"/>
        <v>305580.52912078949</v>
      </c>
      <c r="AJ31" s="30">
        <f t="shared" ca="1" si="26"/>
        <v>277586.75311131781</v>
      </c>
      <c r="AK31" s="30">
        <f t="shared" ca="1" si="26"/>
        <v>269139.92087810591</v>
      </c>
      <c r="AL31" s="30">
        <f t="shared" ca="1" si="26"/>
        <v>270533.73216112098</v>
      </c>
      <c r="AM31" s="30">
        <f t="shared" ca="1" si="26"/>
        <v>287880.8051172003</v>
      </c>
      <c r="AN31" s="30">
        <f t="shared" ca="1" si="26"/>
        <v>283945.8162025605</v>
      </c>
      <c r="AO31" s="30">
        <f t="shared" ca="1" si="26"/>
        <v>265727.38559899316</v>
      </c>
      <c r="AP31" s="30">
        <f t="shared" ca="1" si="26"/>
        <v>239572.62518913246</v>
      </c>
      <c r="AQ31" s="30">
        <f t="shared" ca="1" si="26"/>
        <v>228958.2438896035</v>
      </c>
      <c r="AR31" s="30">
        <f t="shared" ca="1" si="26"/>
        <v>242028.75211334362</v>
      </c>
      <c r="AS31" s="30">
        <f t="shared" ca="1" si="26"/>
        <v>286423.62220625591</v>
      </c>
      <c r="AT31" s="30">
        <f t="shared" ca="1" si="26"/>
        <v>273486.86294818606</v>
      </c>
      <c r="AU31" s="30">
        <f t="shared" ca="1" si="26"/>
        <v>314425.78742532985</v>
      </c>
      <c r="AV31" s="30">
        <f t="shared" ca="1" si="26"/>
        <v>285621.71050946321</v>
      </c>
      <c r="AW31" s="30">
        <f t="shared" ca="1" si="26"/>
        <v>276930.37836268404</v>
      </c>
      <c r="AX31" s="30">
        <f t="shared" ca="1" si="26"/>
        <v>278364.53456185438</v>
      </c>
      <c r="AY31" s="30">
        <f t="shared" ca="1" si="26"/>
        <v>296213.731594902</v>
      </c>
      <c r="AZ31" s="30">
        <f t="shared" ca="1" si="26"/>
        <v>292164.53475555469</v>
      </c>
      <c r="BA31" s="30">
        <f t="shared" ca="1" si="26"/>
        <v>273418.77765142306</v>
      </c>
      <c r="BB31" s="30">
        <f t="shared" ca="1" si="26"/>
        <v>246506.97627683016</v>
      </c>
      <c r="BC31" s="30">
        <f t="shared" ca="1" si="26"/>
        <v>235585.36519071137</v>
      </c>
      <c r="BD31" s="30">
        <f t="shared" ca="1" si="26"/>
        <v>249034.19498957516</v>
      </c>
      <c r="BE31" s="30">
        <f t="shared" ca="1" si="26"/>
        <v>300436.66314923618</v>
      </c>
      <c r="BF31" s="30">
        <f t="shared" ca="1" si="26"/>
        <v>276975.01859842264</v>
      </c>
      <c r="BG31" s="30">
        <f t="shared" ca="1" si="26"/>
        <v>329808.81134905887</v>
      </c>
      <c r="BH31" s="30">
        <f t="shared" ca="1" si="26"/>
        <v>299595.51857998263</v>
      </c>
      <c r="BI31" s="30">
        <f t="shared" ca="1" si="26"/>
        <v>290478.970131965</v>
      </c>
      <c r="BJ31" s="30">
        <f t="shared" ca="1" si="26"/>
        <v>291983.29124764184</v>
      </c>
      <c r="BK31" s="30">
        <f t="shared" ca="1" si="26"/>
        <v>310705.74561504181</v>
      </c>
      <c r="BL31" s="30">
        <f t="shared" ca="1" si="26"/>
        <v>305199.56784464867</v>
      </c>
      <c r="BM31" s="30">
        <f t="shared" ca="1" si="26"/>
        <v>285617.46157740965</v>
      </c>
      <c r="BN31" s="30">
        <f t="shared" ca="1" si="26"/>
        <v>257504.97983379647</v>
      </c>
      <c r="BO31" s="30">
        <f t="shared" ca="1" si="26"/>
        <v>246096.09686845081</v>
      </c>
      <c r="BP31" s="30">
        <f t="shared" ca="1" si="26"/>
        <v>260144.95138141775</v>
      </c>
      <c r="BQ31" s="30">
        <f t="shared" ref="BQ31:EB31" ca="1" si="27">+BP14*BP7</f>
        <v>307862.84118195053</v>
      </c>
      <c r="BR31" s="30">
        <f t="shared" ca="1" si="27"/>
        <v>283821.2729042914</v>
      </c>
      <c r="BS31" s="30">
        <f t="shared" ca="1" si="27"/>
        <v>337961.00863471255</v>
      </c>
      <c r="BT31" s="30">
        <f t="shared" ca="1" si="27"/>
        <v>307000.90524436987</v>
      </c>
      <c r="BU31" s="30">
        <f t="shared" ca="1" si="27"/>
        <v>297659.01441932953</v>
      </c>
      <c r="BV31" s="30">
        <f t="shared" ca="1" si="27"/>
        <v>299200.51926719892</v>
      </c>
      <c r="BW31" s="30">
        <f t="shared" ca="1" si="27"/>
        <v>318385.75430152647</v>
      </c>
      <c r="BX31" s="30">
        <f t="shared" ca="1" si="27"/>
        <v>312735.16542184388</v>
      </c>
      <c r="BY31" s="30">
        <f t="shared" ca="1" si="27"/>
        <v>292669.56281944981</v>
      </c>
      <c r="BZ31" s="30">
        <f t="shared" ca="1" si="27"/>
        <v>263862.96361422882</v>
      </c>
      <c r="CA31" s="30">
        <f t="shared" ca="1" si="27"/>
        <v>252172.38709525432</v>
      </c>
      <c r="CB31" s="30">
        <f t="shared" ca="1" si="27"/>
        <v>266568.11796449503</v>
      </c>
      <c r="CC31" s="30">
        <f t="shared" ca="1" si="27"/>
        <v>321589.71528619737</v>
      </c>
      <c r="CD31" s="30">
        <f t="shared" ca="1" si="27"/>
        <v>296476.1904848179</v>
      </c>
      <c r="CE31" s="30">
        <f t="shared" ca="1" si="27"/>
        <v>353029.88865888916</v>
      </c>
      <c r="CF31" s="30">
        <f t="shared" ca="1" si="27"/>
        <v>320689.34766892553</v>
      </c>
      <c r="CG31" s="30">
        <f t="shared" ca="1" si="27"/>
        <v>310930.92408287176</v>
      </c>
      <c r="CH31" s="30">
        <f t="shared" ca="1" si="27"/>
        <v>312541.16097679315</v>
      </c>
      <c r="CI31" s="30">
        <f t="shared" ca="1" si="27"/>
        <v>332581.82015053794</v>
      </c>
      <c r="CJ31" s="30">
        <f t="shared" ca="1" si="27"/>
        <v>326670.5147618847</v>
      </c>
      <c r="CK31" s="30">
        <f t="shared" ca="1" si="27"/>
        <v>305710.79722487612</v>
      </c>
      <c r="CL31" s="30">
        <f t="shared" ca="1" si="27"/>
        <v>275620.58789962978</v>
      </c>
      <c r="CM31" s="30">
        <f t="shared" ca="1" si="27"/>
        <v>263409.08413680451</v>
      </c>
      <c r="CN31" s="30">
        <f t="shared" ca="1" si="27"/>
        <v>278446.2828064363</v>
      </c>
      <c r="CO31" s="30">
        <f t="shared" ca="1" si="27"/>
        <v>335919.61969791399</v>
      </c>
      <c r="CP31" s="30">
        <f t="shared" ca="1" si="27"/>
        <v>320747.298306891</v>
      </c>
      <c r="CQ31" s="30">
        <f t="shared" ca="1" si="27"/>
        <v>368760.75416389672</v>
      </c>
      <c r="CR31" s="30">
        <f t="shared" ca="1" si="27"/>
        <v>334979.13207282592</v>
      </c>
      <c r="CS31" s="30">
        <f t="shared" ca="1" si="27"/>
        <v>324785.87717671995</v>
      </c>
      <c r="CT31" s="30">
        <f t="shared" ca="1" si="27"/>
        <v>326467.86555917881</v>
      </c>
      <c r="CU31" s="30">
        <f t="shared" ca="1" si="27"/>
        <v>347401.52819869661</v>
      </c>
      <c r="CV31" s="30">
        <f t="shared" ca="1" si="27"/>
        <v>341217.56112237478</v>
      </c>
      <c r="CW31" s="30">
        <f t="shared" ca="1" si="27"/>
        <v>319324.48116379633</v>
      </c>
      <c r="CX31" s="30">
        <f t="shared" ca="1" si="27"/>
        <v>287894.31720453524</v>
      </c>
      <c r="CY31" s="30">
        <f t="shared" ca="1" si="27"/>
        <v>275139.01991477166</v>
      </c>
      <c r="CZ31" s="30">
        <f t="shared" ca="1" si="27"/>
        <v>290845.84383766045</v>
      </c>
      <c r="DA31" s="30">
        <f t="shared" ca="1" si="27"/>
        <v>350878.54026258673</v>
      </c>
      <c r="DB31" s="30">
        <f t="shared" ca="1" si="27"/>
        <v>323477.79793687427</v>
      </c>
      <c r="DC31" s="30">
        <f t="shared" ca="1" si="27"/>
        <v>385182.1314977578</v>
      </c>
      <c r="DD31" s="30">
        <f t="shared" ca="1" si="27"/>
        <v>349896.1715479439</v>
      </c>
      <c r="DE31" s="30">
        <f t="shared" ca="1" si="27"/>
        <v>339248.99826974573</v>
      </c>
      <c r="DF31" s="30">
        <f t="shared" ca="1" si="27"/>
        <v>341005.88769736094</v>
      </c>
      <c r="DG31" s="30">
        <f t="shared" ca="1" si="27"/>
        <v>362871.75250129483</v>
      </c>
      <c r="DH31" s="30">
        <f t="shared" ca="1" si="27"/>
        <v>356402.63583200931</v>
      </c>
      <c r="DI31" s="30">
        <f t="shared" ca="1" si="27"/>
        <v>333535.25650354649</v>
      </c>
      <c r="DJ31" s="30">
        <f t="shared" ca="1" si="27"/>
        <v>300706.36797018204</v>
      </c>
      <c r="DK31" s="30">
        <f t="shared" ca="1" si="27"/>
        <v>287383.42656019342</v>
      </c>
      <c r="DL31" s="30">
        <f t="shared" ca="1" si="27"/>
        <v>303789.24526499084</v>
      </c>
      <c r="DM31" s="30">
        <f t="shared" ca="1" si="27"/>
        <v>366493.55383448192</v>
      </c>
      <c r="DN31" s="30">
        <f t="shared" ca="1" si="27"/>
        <v>337873.40674558334</v>
      </c>
      <c r="DO31" s="30">
        <f t="shared" ca="1" si="27"/>
        <v>402323.74467959517</v>
      </c>
      <c r="DP31" s="30">
        <f t="shared" ca="1" si="27"/>
        <v>365467.46714039176</v>
      </c>
      <c r="DQ31" s="30">
        <f t="shared" ca="1" si="27"/>
        <v>354346.46677913237</v>
      </c>
      <c r="DR31" s="30">
        <f t="shared" ca="1" si="27"/>
        <v>356181.54238546343</v>
      </c>
      <c r="DS31" s="30">
        <f t="shared" ca="1" si="27"/>
        <v>379020.49541365611</v>
      </c>
      <c r="DT31" s="30">
        <f t="shared" ca="1" si="27"/>
        <v>370283.58059599291</v>
      </c>
      <c r="DU31" s="30">
        <f t="shared" ca="1" si="27"/>
        <v>358076.42958733381</v>
      </c>
      <c r="DV31" s="30">
        <f t="shared" ca="1" si="27"/>
        <v>312418.08967007336</v>
      </c>
      <c r="DW31" s="30">
        <f t="shared" ca="1" si="27"/>
        <v>308528.79657762242</v>
      </c>
      <c r="DX31" s="30">
        <f t="shared" ca="1" si="27"/>
        <v>315621.03692267998</v>
      </c>
      <c r="DY31" s="30">
        <f t="shared" ca="1" si="27"/>
        <v>266537.25930973009</v>
      </c>
      <c r="DZ31" s="30">
        <f t="shared" ca="1" si="27"/>
        <v>245722.8807584458</v>
      </c>
      <c r="EA31" s="30">
        <f t="shared" ca="1" si="27"/>
        <v>292595.23705171817</v>
      </c>
      <c r="EB31" s="30">
        <f t="shared" ca="1" si="27"/>
        <v>265791.0242603122</v>
      </c>
      <c r="EC31" s="30">
        <f t="shared" ref="EC31:GN31" ca="1" si="28">+EB14*EB7</f>
        <v>257703.13041863422</v>
      </c>
      <c r="ED31" s="30">
        <f t="shared" ca="1" si="28"/>
        <v>259037.71329907019</v>
      </c>
      <c r="EE31" s="30">
        <f t="shared" ca="1" si="28"/>
        <v>275647.64240136318</v>
      </c>
      <c r="EF31" s="30">
        <f t="shared" ca="1" si="28"/>
        <v>269263.12927275622</v>
      </c>
      <c r="EG31" s="30">
        <f t="shared" ca="1" si="28"/>
        <v>260386.32281321488</v>
      </c>
      <c r="EH31" s="30">
        <f t="shared" ca="1" si="28"/>
        <v>227184.45233401979</v>
      </c>
      <c r="EI31" s="30">
        <f t="shared" ca="1" si="28"/>
        <v>224356.23287301464</v>
      </c>
      <c r="EJ31" s="30">
        <f t="shared" ca="1" si="28"/>
        <v>229513.57424308284</v>
      </c>
      <c r="EK31" s="30">
        <f t="shared" ca="1" si="28"/>
        <v>276886.84437867178</v>
      </c>
      <c r="EL31" s="30">
        <f t="shared" ca="1" si="28"/>
        <v>264380.8282202906</v>
      </c>
      <c r="EM31" s="30">
        <f t="shared" ca="1" si="28"/>
        <v>303956.6478521307</v>
      </c>
      <c r="EN31" s="30">
        <f t="shared" ca="1" si="28"/>
        <v>276111.63318105839</v>
      </c>
      <c r="EO31" s="30">
        <f t="shared" ca="1" si="28"/>
        <v>267709.68814233656</v>
      </c>
      <c r="EP31" s="30">
        <f t="shared" ca="1" si="28"/>
        <v>269096.09259206604</v>
      </c>
      <c r="EQ31" s="30">
        <f t="shared" ca="1" si="28"/>
        <v>286350.98170737352</v>
      </c>
      <c r="ER31" s="30">
        <f t="shared" ca="1" si="28"/>
        <v>279686.21814783069</v>
      </c>
      <c r="ES31" s="30">
        <f t="shared" ca="1" si="28"/>
        <v>270465.79337372648</v>
      </c>
      <c r="ET31" s="30">
        <f t="shared" ca="1" si="28"/>
        <v>235978.68919856253</v>
      </c>
      <c r="EU31" s="30">
        <f t="shared" ca="1" si="28"/>
        <v>233040.99027455071</v>
      </c>
      <c r="EV31" s="30">
        <f t="shared" ca="1" si="28"/>
        <v>238397.97066539575</v>
      </c>
      <c r="EW31" s="30">
        <f t="shared" ca="1" si="28"/>
        <v>287605.0448062332</v>
      </c>
      <c r="EX31" s="30">
        <f t="shared" ca="1" si="28"/>
        <v>265145.44463116123</v>
      </c>
      <c r="EY31" s="30">
        <f t="shared" ca="1" si="28"/>
        <v>315722.71163995512</v>
      </c>
      <c r="EZ31" s="30">
        <f t="shared" ca="1" si="28"/>
        <v>286799.8254332284</v>
      </c>
      <c r="FA31" s="30">
        <f t="shared" ca="1" si="28"/>
        <v>278072.64381236245</v>
      </c>
      <c r="FB31" s="30">
        <f t="shared" ca="1" si="28"/>
        <v>279512.71553111373</v>
      </c>
      <c r="FC31" s="30">
        <f t="shared" ca="1" si="28"/>
        <v>297435.53583798156</v>
      </c>
      <c r="FD31" s="30">
        <f t="shared" ca="1" si="28"/>
        <v>290478.45808723074</v>
      </c>
      <c r="FE31" s="30">
        <f t="shared" ca="1" si="28"/>
        <v>280902.24518325611</v>
      </c>
      <c r="FF31" s="30">
        <f t="shared" ca="1" si="28"/>
        <v>245084.38861872445</v>
      </c>
      <c r="FG31" s="30">
        <f t="shared" ca="1" si="28"/>
        <v>242033.33283405783</v>
      </c>
      <c r="FH31" s="30">
        <f t="shared" ca="1" si="28"/>
        <v>247597.02279433221</v>
      </c>
      <c r="FI31" s="30">
        <f t="shared" ca="1" si="28"/>
        <v>298702.84816560417</v>
      </c>
      <c r="FJ31" s="30">
        <f t="shared" ca="1" si="28"/>
        <v>275376.60037508112</v>
      </c>
      <c r="FK31" s="30">
        <f t="shared" ca="1" si="28"/>
        <v>327905.49018693162</v>
      </c>
      <c r="FL31" s="30">
        <f t="shared" ca="1" si="28"/>
        <v>297866.55782766279</v>
      </c>
      <c r="FM31" s="30">
        <f t="shared" ca="1" si="28"/>
        <v>288802.62082903518</v>
      </c>
      <c r="FN31" s="30">
        <f t="shared" ca="1" si="28"/>
        <v>290298.26053258608</v>
      </c>
      <c r="FO31" s="30">
        <f t="shared" ca="1" si="28"/>
        <v>308912.66792738193</v>
      </c>
      <c r="FP31" s="30">
        <f t="shared" ca="1" si="28"/>
        <v>301650.70647520112</v>
      </c>
      <c r="FQ31" s="30">
        <f t="shared" ca="1" si="28"/>
        <v>291706.17769030441</v>
      </c>
      <c r="FR31" s="30">
        <f t="shared" ca="1" si="28"/>
        <v>254510.71125790614</v>
      </c>
      <c r="FS31" s="30">
        <f t="shared" ca="1" si="28"/>
        <v>251342.30717382929</v>
      </c>
      <c r="FT31" s="30">
        <f t="shared" ca="1" si="28"/>
        <v>257119.9852094989</v>
      </c>
      <c r="FU31" s="30">
        <f t="shared" ca="1" si="28"/>
        <v>310191.41924889665</v>
      </c>
      <c r="FV31" s="30">
        <f t="shared" ca="1" si="28"/>
        <v>285968.00808181503</v>
      </c>
      <c r="FW31" s="30">
        <f t="shared" ca="1" si="28"/>
        <v>340517.23980950593</v>
      </c>
      <c r="FX31" s="30">
        <f t="shared" ca="1" si="28"/>
        <v>309322.96389795752</v>
      </c>
      <c r="FY31" s="30">
        <f t="shared" ca="1" si="28"/>
        <v>299910.41393784422</v>
      </c>
      <c r="FZ31" s="30">
        <f t="shared" ca="1" si="28"/>
        <v>301463.57824537787</v>
      </c>
      <c r="GA31" s="30">
        <f t="shared" ca="1" si="28"/>
        <v>320793.92438612739</v>
      </c>
      <c r="GB31" s="30">
        <f t="shared" ca="1" si="28"/>
        <v>313213.98355675058</v>
      </c>
      <c r="GC31" s="30">
        <f t="shared" ca="1" si="28"/>
        <v>302888.24783509941</v>
      </c>
      <c r="GD31" s="30">
        <f t="shared" ca="1" si="28"/>
        <v>264266.95518945926</v>
      </c>
      <c r="GE31" s="30">
        <f t="shared" ca="1" si="28"/>
        <v>260977.09561549276</v>
      </c>
      <c r="GF31" s="30">
        <f t="shared" ca="1" si="28"/>
        <v>266976.25130919635</v>
      </c>
      <c r="GG31" s="30">
        <f t="shared" ca="1" si="28"/>
        <v>322082.09032010438</v>
      </c>
      <c r="GH31" s="30">
        <f t="shared" ca="1" si="28"/>
        <v>307534.76202465181</v>
      </c>
      <c r="GI31" s="30">
        <f t="shared" ca="1" si="28"/>
        <v>353570.40066887031</v>
      </c>
      <c r="GJ31" s="30">
        <f t="shared" ca="1" si="28"/>
        <v>321180.34418071253</v>
      </c>
      <c r="GK31" s="30">
        <f t="shared" ca="1" si="28"/>
        <v>311406.9798054616</v>
      </c>
      <c r="GL31" s="30">
        <f t="shared" ca="1" si="28"/>
        <v>313019.68207811727</v>
      </c>
      <c r="GM31" s="30">
        <f t="shared" ca="1" si="28"/>
        <v>333091.02482092893</v>
      </c>
      <c r="GN31" s="30">
        <f t="shared" ca="1" si="28"/>
        <v>325179.46158026683</v>
      </c>
      <c r="GO31" s="30">
        <f t="shared" ref="GO31:IH31" ca="1" si="29">+GN14*GN7</f>
        <v>314459.2595501481</v>
      </c>
      <c r="GP31" s="30">
        <f t="shared" ca="1" si="29"/>
        <v>274362.54673602286</v>
      </c>
      <c r="GQ31" s="30">
        <f t="shared" ca="1" si="29"/>
        <v>270947.00713338796</v>
      </c>
      <c r="GR31" s="30">
        <f t="shared" ca="1" si="29"/>
        <v>277175.34405583981</v>
      </c>
      <c r="GS31" s="30">
        <f t="shared" ca="1" si="29"/>
        <v>334386.34995031054</v>
      </c>
      <c r="GT31" s="30">
        <f t="shared" ca="1" si="29"/>
        <v>308273.51271219651</v>
      </c>
      <c r="GU31" s="30">
        <f t="shared" ca="1" si="29"/>
        <v>367077.58451464731</v>
      </c>
      <c r="GV31" s="30">
        <f t="shared" ca="1" si="29"/>
        <v>333450.15508199815</v>
      </c>
      <c r="GW31" s="30">
        <f t="shared" ca="1" si="29"/>
        <v>323303.42622499604</v>
      </c>
      <c r="GX31" s="30">
        <f t="shared" ca="1" si="29"/>
        <v>324977.73734851729</v>
      </c>
      <c r="GY31" s="30">
        <f t="shared" ca="1" si="29"/>
        <v>345815.85048824531</v>
      </c>
      <c r="GZ31" s="30">
        <f t="shared" ca="1" si="29"/>
        <v>337558.45244724292</v>
      </c>
      <c r="HA31" s="30">
        <f t="shared" ca="1" si="29"/>
        <v>326430.15181711403</v>
      </c>
      <c r="HB31" s="30">
        <f t="shared" ca="1" si="29"/>
        <v>284807.03004926915</v>
      </c>
      <c r="HC31" s="30">
        <f t="shared" ca="1" si="29"/>
        <v>281261.46706403402</v>
      </c>
      <c r="HD31" s="30">
        <f t="shared" ca="1" si="29"/>
        <v>287726.90544887458</v>
      </c>
      <c r="HE31" s="30">
        <f t="shared" ca="1" si="29"/>
        <v>347115.83031773719</v>
      </c>
      <c r="HF31" s="30">
        <f t="shared" ca="1" si="29"/>
        <v>320008.9248438541</v>
      </c>
      <c r="HG31" s="30">
        <f t="shared" ca="1" si="29"/>
        <v>381051.56074332999</v>
      </c>
      <c r="HH31" s="30">
        <f t="shared" ca="1" si="29"/>
        <v>346143.99621296063</v>
      </c>
      <c r="HI31" s="30">
        <f t="shared" ca="1" si="29"/>
        <v>335610.99983697035</v>
      </c>
      <c r="HJ31" s="30">
        <f t="shared" ca="1" si="29"/>
        <v>337349.048940762</v>
      </c>
      <c r="HK31" s="30">
        <f t="shared" ca="1" si="29"/>
        <v>358980.43116024102</v>
      </c>
      <c r="HL31" s="30">
        <f t="shared" ca="1" si="29"/>
        <v>350362.39374696591</v>
      </c>
      <c r="HM31" s="30">
        <f t="shared" ca="1" si="29"/>
        <v>338811.98516190116</v>
      </c>
      <c r="HN31" s="30">
        <f t="shared" ca="1" si="29"/>
        <v>295610.0553270001</v>
      </c>
      <c r="HO31" s="30">
        <f t="shared" ca="1" si="29"/>
        <v>291930.00546991115</v>
      </c>
      <c r="HP31" s="30">
        <f t="shared" ca="1" si="29"/>
        <v>298640.68462107331</v>
      </c>
      <c r="HQ31" s="30">
        <f t="shared" ca="1" si="29"/>
        <v>360282.29284703074</v>
      </c>
      <c r="HR31" s="30">
        <f t="shared" ca="1" si="29"/>
        <v>332147.19440689677</v>
      </c>
      <c r="HS31" s="30">
        <f t="shared" ca="1" si="29"/>
        <v>395505.24063359422</v>
      </c>
      <c r="HT31" s="30">
        <f t="shared" ca="1" si="29"/>
        <v>359273.59606931434</v>
      </c>
      <c r="HU31" s="30">
        <f t="shared" ca="1" si="29"/>
        <v>348341.07224457961</v>
      </c>
      <c r="HV31" s="30">
        <f t="shared" ca="1" si="29"/>
        <v>350145.04734885989</v>
      </c>
      <c r="HW31" s="30">
        <f t="shared" ca="1" si="29"/>
        <v>372596.93027321569</v>
      </c>
      <c r="HX31" s="30">
        <f t="shared" ca="1" si="29"/>
        <v>363602.83304554317</v>
      </c>
      <c r="HY31" s="30">
        <f t="shared" ca="1" si="29"/>
        <v>351615.92646162416</v>
      </c>
      <c r="HZ31" s="30">
        <f t="shared" ca="1" si="29"/>
        <v>306781.36555738095</v>
      </c>
      <c r="IA31" s="30">
        <f t="shared" ca="1" si="29"/>
        <v>302962.24404871592</v>
      </c>
      <c r="IB31" s="30">
        <f t="shared" ca="1" si="29"/>
        <v>309926.52444686968</v>
      </c>
      <c r="IC31" s="30">
        <f t="shared" ca="1" si="29"/>
        <v>373897.61205345922</v>
      </c>
      <c r="ID31" s="30">
        <f t="shared" ca="1" si="29"/>
        <v>357009.95677892474</v>
      </c>
      <c r="IE31" s="30">
        <f t="shared" ca="1" si="29"/>
        <v>410451.65961102658</v>
      </c>
      <c r="IF31" s="30">
        <f t="shared" ca="1" si="29"/>
        <v>372850.79592077096</v>
      </c>
      <c r="IG31" s="30">
        <f t="shared" ca="1" si="29"/>
        <v>361505.12439335726</v>
      </c>
      <c r="IH31" s="30">
        <f t="shared" ca="1" si="29"/>
        <v>363377.27297541563</v>
      </c>
    </row>
    <row r="32" spans="1:242" x14ac:dyDescent="0.3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69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</row>
    <row r="33" spans="1:242" x14ac:dyDescent="0.3">
      <c r="A33" s="6" t="s">
        <v>920</v>
      </c>
      <c r="C33" s="31">
        <f t="shared" ref="C33:BN33" si="30">+SUM(C25:C31)</f>
        <v>0</v>
      </c>
      <c r="D33" s="31">
        <f>+SUM(D25:D31)</f>
        <v>-398353.05252871301</v>
      </c>
      <c r="E33" s="31">
        <f t="shared" si="30"/>
        <v>-188904.451780784</v>
      </c>
      <c r="F33" s="31">
        <f t="shared" si="30"/>
        <v>-157878.52582726814</v>
      </c>
      <c r="G33" s="31">
        <f t="shared" si="30"/>
        <v>504468.67264100624</v>
      </c>
      <c r="H33" s="31">
        <f t="shared" si="30"/>
        <v>404354.48417312215</v>
      </c>
      <c r="I33" s="31">
        <f t="shared" ca="1" si="30"/>
        <v>685121.14550444041</v>
      </c>
      <c r="J33" s="31">
        <f t="shared" ca="1" si="30"/>
        <v>481992.71683941671</v>
      </c>
      <c r="K33" s="31">
        <f t="shared" ca="1" si="30"/>
        <v>256684.61898919911</v>
      </c>
      <c r="L33" s="31">
        <f t="shared" ca="1" si="30"/>
        <v>80117.071589069732</v>
      </c>
      <c r="M33" s="31">
        <f ca="1">+SUM(M25:M31)</f>
        <v>90380.34111718947</v>
      </c>
      <c r="N33" s="31">
        <f t="shared" ca="1" si="30"/>
        <v>168360.11363241108</v>
      </c>
      <c r="O33" s="31">
        <f t="shared" ca="1" si="30"/>
        <v>-50864.943662062637</v>
      </c>
      <c r="P33" s="31">
        <f t="shared" ca="1" si="30"/>
        <v>-10651.325366525416</v>
      </c>
      <c r="Q33" s="31">
        <f t="shared" ca="1" si="30"/>
        <v>109859.85266940872</v>
      </c>
      <c r="R33" s="31">
        <f t="shared" ca="1" si="30"/>
        <v>96949.715954858548</v>
      </c>
      <c r="S33" s="31">
        <f t="shared" ca="1" si="30"/>
        <v>649167.28088872496</v>
      </c>
      <c r="T33" s="31">
        <f t="shared" ca="1" si="30"/>
        <v>593381.22029892122</v>
      </c>
      <c r="U33" s="31">
        <f t="shared" ca="1" si="30"/>
        <v>667245.6292667042</v>
      </c>
      <c r="V33" s="31">
        <f t="shared" ca="1" si="30"/>
        <v>483665.01313162787</v>
      </c>
      <c r="W33" s="31">
        <f t="shared" ca="1" si="30"/>
        <v>273341.98054622638</v>
      </c>
      <c r="X33" s="31">
        <f t="shared" ca="1" si="30"/>
        <v>96905.178117826086</v>
      </c>
      <c r="Y33" s="31">
        <f t="shared" ca="1" si="30"/>
        <v>105279.98062624334</v>
      </c>
      <c r="Z33" s="31">
        <f t="shared" ca="1" si="30"/>
        <v>183672.33315358867</v>
      </c>
      <c r="AA33" s="31">
        <f t="shared" ca="1" si="30"/>
        <v>-35796.743443157407</v>
      </c>
      <c r="AB33" s="31">
        <f t="shared" ca="1" si="30"/>
        <v>-13147.239207010542</v>
      </c>
      <c r="AC33" s="31">
        <f t="shared" ca="1" si="30"/>
        <v>112813.89327358504</v>
      </c>
      <c r="AD33" s="31">
        <f t="shared" ca="1" si="30"/>
        <v>99659.776280570208</v>
      </c>
      <c r="AE33" s="31">
        <f t="shared" ca="1" si="30"/>
        <v>672580.83049861086</v>
      </c>
      <c r="AF33" s="31">
        <f t="shared" ca="1" si="30"/>
        <v>615346.0264867316</v>
      </c>
      <c r="AG33" s="31">
        <f t="shared" ca="1" si="30"/>
        <v>692285.71746956324</v>
      </c>
      <c r="AH33" s="31">
        <f t="shared" ca="1" si="30"/>
        <v>502805.44957822643</v>
      </c>
      <c r="AI33" s="31">
        <f t="shared" ca="1" si="30"/>
        <v>283594.05145569285</v>
      </c>
      <c r="AJ33" s="31">
        <f t="shared" ca="1" si="30"/>
        <v>99204.69067958591</v>
      </c>
      <c r="AK33" s="31">
        <f t="shared" ca="1" si="30"/>
        <v>121110.22250718027</v>
      </c>
      <c r="AL33" s="31">
        <f t="shared" ca="1" si="30"/>
        <v>199930.03696404595</v>
      </c>
      <c r="AM33" s="31">
        <f t="shared" ca="1" si="30"/>
        <v>-19759.208838195365</v>
      </c>
      <c r="AN33" s="31">
        <f t="shared" ca="1" si="30"/>
        <v>-15832.390654120245</v>
      </c>
      <c r="AO33" s="31">
        <f t="shared" ca="1" si="30"/>
        <v>115834.28141060434</v>
      </c>
      <c r="AP33" s="31">
        <f t="shared" ca="1" si="30"/>
        <v>102436.54135830517</v>
      </c>
      <c r="AQ33" s="31">
        <f t="shared" ca="1" si="30"/>
        <v>696889.24480615195</v>
      </c>
      <c r="AR33" s="31">
        <f t="shared" ca="1" si="30"/>
        <v>638173.2219052366</v>
      </c>
      <c r="AS33" s="31">
        <f t="shared" ca="1" si="30"/>
        <v>712760.82216761925</v>
      </c>
      <c r="AT33" s="31">
        <f t="shared" ca="1" si="30"/>
        <v>527049.64507782867</v>
      </c>
      <c r="AU33" s="31">
        <f t="shared" ca="1" si="30"/>
        <v>288144.66448468156</v>
      </c>
      <c r="AV33" s="31">
        <f t="shared" ca="1" si="30"/>
        <v>95991.071416883409</v>
      </c>
      <c r="AW33" s="31">
        <f t="shared" ca="1" si="30"/>
        <v>132275.38552583064</v>
      </c>
      <c r="AX33" s="31">
        <f t="shared" ca="1" si="30"/>
        <v>211508.86701126711</v>
      </c>
      <c r="AY33" s="31">
        <f t="shared" ca="1" si="30"/>
        <v>-8738.4443723555887</v>
      </c>
      <c r="AZ33" s="31">
        <f t="shared" ca="1" si="30"/>
        <v>-24391.549682239478</v>
      </c>
      <c r="BA33" s="31">
        <f t="shared" ca="1" si="30"/>
        <v>113612.53204669489</v>
      </c>
      <c r="BB33" s="31">
        <f t="shared" ca="1" si="30"/>
        <v>100494.50547405536</v>
      </c>
      <c r="BC33" s="31">
        <f t="shared" ca="1" si="30"/>
        <v>717554.2961347563</v>
      </c>
      <c r="BD33" s="31">
        <f t="shared" ca="1" si="30"/>
        <v>657062.99887522496</v>
      </c>
      <c r="BE33" s="31">
        <f t="shared" ca="1" si="30"/>
        <v>739563.97910944046</v>
      </c>
      <c r="BF33" s="31">
        <f t="shared" ca="1" si="30"/>
        <v>538144.68419195455</v>
      </c>
      <c r="BG33" s="31">
        <f t="shared" ca="1" si="30"/>
        <v>298922.45122731238</v>
      </c>
      <c r="BH33" s="31">
        <f t="shared" ca="1" si="30"/>
        <v>98083.989787334634</v>
      </c>
      <c r="BI33" s="31">
        <f t="shared" ca="1" si="30"/>
        <v>149299.92399520602</v>
      </c>
      <c r="BJ33" s="31">
        <f t="shared" ca="1" si="30"/>
        <v>228988.092172937</v>
      </c>
      <c r="BK33" s="31">
        <f t="shared" ca="1" si="30"/>
        <v>8522.042775566515</v>
      </c>
      <c r="BL33" s="31">
        <f t="shared" ca="1" si="30"/>
        <v>-29026.957070462988</v>
      </c>
      <c r="BM33" s="31">
        <f t="shared" ca="1" si="30"/>
        <v>115329.86289931758</v>
      </c>
      <c r="BN33" s="31">
        <f t="shared" ca="1" si="30"/>
        <v>102111.71522706465</v>
      </c>
      <c r="BO33" s="31">
        <f t="shared" ref="BO33:DZ33" ca="1" si="31">+SUM(BO25:BO31)</f>
        <v>742524.09574081725</v>
      </c>
      <c r="BP33" s="31">
        <f t="shared" ca="1" si="31"/>
        <v>680414.61938363709</v>
      </c>
      <c r="BQ33" s="31">
        <f t="shared" ca="1" si="31"/>
        <v>760163.97662096086</v>
      </c>
      <c r="BR33" s="31">
        <f t="shared" ca="1" si="31"/>
        <v>552826.02846562932</v>
      </c>
      <c r="BS33" s="31">
        <f t="shared" ca="1" si="31"/>
        <v>302140.41404179099</v>
      </c>
      <c r="BT33" s="31">
        <f t="shared" ca="1" si="31"/>
        <v>92942.461534287111</v>
      </c>
      <c r="BU33" s="31">
        <f t="shared" ca="1" si="31"/>
        <v>149165.98794094342</v>
      </c>
      <c r="BV33" s="31">
        <f t="shared" ca="1" si="31"/>
        <v>240181.60272265295</v>
      </c>
      <c r="BW33" s="31">
        <f t="shared" ca="1" si="31"/>
        <v>19053.578783666948</v>
      </c>
      <c r="BX33" s="31">
        <f t="shared" ca="1" si="31"/>
        <v>-40100.601082113979</v>
      </c>
      <c r="BY33" s="31">
        <f t="shared" ca="1" si="31"/>
        <v>111301.81219053181</v>
      </c>
      <c r="BZ33" s="31">
        <f t="shared" ca="1" si="31"/>
        <v>98557.460405427526</v>
      </c>
      <c r="CA33" s="31">
        <f t="shared" ca="1" si="31"/>
        <v>763493.2259337916</v>
      </c>
      <c r="CB33" s="31">
        <f t="shared" ca="1" si="31"/>
        <v>699445.87600678089</v>
      </c>
      <c r="CC33" s="31">
        <f t="shared" ca="1" si="31"/>
        <v>787459.88478837803</v>
      </c>
      <c r="CD33" s="31">
        <f t="shared" ca="1" si="31"/>
        <v>573551.08871299587</v>
      </c>
      <c r="CE33" s="31">
        <f t="shared" ca="1" si="31"/>
        <v>311926.65037728124</v>
      </c>
      <c r="CF33" s="31">
        <f t="shared" ca="1" si="31"/>
        <v>93382.503141202265</v>
      </c>
      <c r="CG33" s="31">
        <f t="shared" ca="1" si="31"/>
        <v>152554.82504447957</v>
      </c>
      <c r="CH33" s="31">
        <f t="shared" ca="1" si="31"/>
        <v>257617.81543831079</v>
      </c>
      <c r="CI33" s="31">
        <f t="shared" ca="1" si="31"/>
        <v>21011.535268631415</v>
      </c>
      <c r="CJ33" s="31">
        <f t="shared" ca="1" si="31"/>
        <v>-45761.892870654468</v>
      </c>
      <c r="CK33" s="31">
        <f t="shared" ca="1" si="31"/>
        <v>270292.75786246744</v>
      </c>
      <c r="CL33" s="31">
        <f t="shared" ca="1" si="31"/>
        <v>245389.77869319936</v>
      </c>
      <c r="CM33" s="31">
        <f t="shared" ca="1" si="31"/>
        <v>790069.54814049811</v>
      </c>
      <c r="CN33" s="31">
        <f t="shared" ca="1" si="31"/>
        <v>724310.37358999066</v>
      </c>
      <c r="CO33" s="31">
        <f t="shared" ca="1" si="31"/>
        <v>815765.89428516012</v>
      </c>
      <c r="CP33" s="31">
        <f t="shared" ca="1" si="31"/>
        <v>606134.44348191435</v>
      </c>
      <c r="CQ33" s="31">
        <f t="shared" ca="1" si="31"/>
        <v>322005.99159039685</v>
      </c>
      <c r="CR33" s="31">
        <f t="shared" ca="1" si="31"/>
        <v>93685.102327615954</v>
      </c>
      <c r="CS33" s="31">
        <f t="shared" ca="1" si="31"/>
        <v>155958.79931323873</v>
      </c>
      <c r="CT33" s="31">
        <f t="shared" ca="1" si="31"/>
        <v>273561.48253756063</v>
      </c>
      <c r="CU33" s="31">
        <f t="shared" ca="1" si="31"/>
        <v>18235.938849026628</v>
      </c>
      <c r="CV33" s="31">
        <f t="shared" ca="1" si="31"/>
        <v>-51849.965279276192</v>
      </c>
      <c r="CW33" s="31">
        <f t="shared" ca="1" si="31"/>
        <v>287989.48310051532</v>
      </c>
      <c r="CX33" s="31">
        <f t="shared" ca="1" si="31"/>
        <v>261073.09531591189</v>
      </c>
      <c r="CY33" s="31">
        <f t="shared" ca="1" si="31"/>
        <v>817599.29783857602</v>
      </c>
      <c r="CZ33" s="31">
        <f t="shared" ca="1" si="31"/>
        <v>750085.85734472156</v>
      </c>
      <c r="DA33" s="31">
        <f t="shared" ca="1" si="31"/>
        <v>845120.20308745024</v>
      </c>
      <c r="DB33" s="31">
        <f t="shared" ca="1" si="31"/>
        <v>617426.55746714841</v>
      </c>
      <c r="DC33" s="31">
        <f t="shared" ca="1" si="31"/>
        <v>332385.37754643697</v>
      </c>
      <c r="DD33" s="31">
        <f t="shared" ca="1" si="31"/>
        <v>93836.942034639942</v>
      </c>
      <c r="DE33" s="31">
        <f t="shared" ca="1" si="31"/>
        <v>159372.42742372607</v>
      </c>
      <c r="DF33" s="31">
        <f t="shared" ca="1" si="31"/>
        <v>282557.52467110654</v>
      </c>
      <c r="DG33" s="31">
        <f t="shared" ca="1" si="31"/>
        <v>15170.589753763226</v>
      </c>
      <c r="DH33" s="31">
        <f t="shared" ca="1" si="31"/>
        <v>-58392.170228833507</v>
      </c>
      <c r="DI33" s="31">
        <f t="shared" ca="1" si="31"/>
        <v>306405.79097836709</v>
      </c>
      <c r="DJ33" s="31">
        <f t="shared" ca="1" si="31"/>
        <v>277397.02101889998</v>
      </c>
      <c r="DK33" s="31">
        <f t="shared" ca="1" si="31"/>
        <v>846117.51282171183</v>
      </c>
      <c r="DL33" s="31">
        <f t="shared" ca="1" si="31"/>
        <v>776806.45917726378</v>
      </c>
      <c r="DM33" s="31">
        <f t="shared" ca="1" si="31"/>
        <v>875562.46654409147</v>
      </c>
      <c r="DN33" s="31">
        <f t="shared" ca="1" si="31"/>
        <v>640640.62906176574</v>
      </c>
      <c r="DO33" s="31">
        <f t="shared" ca="1" si="31"/>
        <v>343071.77218408801</v>
      </c>
      <c r="DP33" s="31">
        <f t="shared" ca="1" si="31"/>
        <v>93823.762922164053</v>
      </c>
      <c r="DQ33" s="31">
        <f t="shared" ca="1" si="31"/>
        <v>162789.6841287663</v>
      </c>
      <c r="DR33" s="31">
        <f t="shared" ca="1" si="31"/>
        <v>291827.20052873442</v>
      </c>
      <c r="DS33" s="31">
        <f t="shared" ca="1" si="31"/>
        <v>11794.661780458409</v>
      </c>
      <c r="DT33" s="31">
        <f t="shared" ca="1" si="31"/>
        <v>-67387.086207174754</v>
      </c>
      <c r="DU33" s="31">
        <f t="shared" ca="1" si="31"/>
        <v>335278.66257639905</v>
      </c>
      <c r="DV33" s="31">
        <f t="shared" ca="1" si="31"/>
        <v>292725.97390425287</v>
      </c>
      <c r="DW33" s="31">
        <f t="shared" ca="1" si="31"/>
        <v>884024.9054269864</v>
      </c>
      <c r="DX33" s="31">
        <f t="shared" ca="1" si="31"/>
        <v>802828.76725232112</v>
      </c>
      <c r="DY33" s="31">
        <f t="shared" ca="1" si="31"/>
        <v>790878.23940062779</v>
      </c>
      <c r="DZ33" s="31">
        <f t="shared" ca="1" si="31"/>
        <v>557573.11974411365</v>
      </c>
      <c r="EA33" s="31">
        <f t="shared" ref="EA33:GL33" ca="1" si="32">+SUM(EA25:EA31)</f>
        <v>226450.82365941675</v>
      </c>
      <c r="EB33" s="31">
        <f t="shared" ca="1" si="32"/>
        <v>-22299.823794963129</v>
      </c>
      <c r="EC33" s="31">
        <f t="shared" ca="1" si="32"/>
        <v>53801.533875843073</v>
      </c>
      <c r="ED33" s="31">
        <f t="shared" ca="1" si="32"/>
        <v>188392.58684996792</v>
      </c>
      <c r="EE33" s="31">
        <f t="shared" ca="1" si="32"/>
        <v>-112143.28404423263</v>
      </c>
      <c r="EF33" s="31">
        <f t="shared" ca="1" si="32"/>
        <v>-192491.27492303087</v>
      </c>
      <c r="EG33" s="31">
        <f t="shared" ca="1" si="32"/>
        <v>242050.20527195209</v>
      </c>
      <c r="EH33" s="31">
        <f t="shared" ca="1" si="32"/>
        <v>211218.08468922466</v>
      </c>
      <c r="EI33" s="31">
        <f t="shared" ca="1" si="32"/>
        <v>817117.22498785949</v>
      </c>
      <c r="EJ33" s="31">
        <f t="shared" ca="1" si="32"/>
        <v>731337.53648261307</v>
      </c>
      <c r="EK33" s="31">
        <f t="shared" ca="1" si="32"/>
        <v>816958.05387229659</v>
      </c>
      <c r="EL33" s="31">
        <f t="shared" ca="1" si="32"/>
        <v>585586.57437552838</v>
      </c>
      <c r="EM33" s="31">
        <f t="shared" ca="1" si="32"/>
        <v>230457.27625003472</v>
      </c>
      <c r="EN33" s="31">
        <f t="shared" ca="1" si="32"/>
        <v>-29334.66466190113</v>
      </c>
      <c r="EO33" s="31">
        <f t="shared" ca="1" si="32"/>
        <v>50763.027769701905</v>
      </c>
      <c r="EP33" s="31">
        <f t="shared" ca="1" si="32"/>
        <v>191753.45029598576</v>
      </c>
      <c r="EQ33" s="31">
        <f t="shared" ca="1" si="32"/>
        <v>-123099.40622516238</v>
      </c>
      <c r="ER33" s="31">
        <f t="shared" ca="1" si="32"/>
        <v>-207422.11643178086</v>
      </c>
      <c r="ES33" s="31">
        <f t="shared" ca="1" si="32"/>
        <v>256725.17478622578</v>
      </c>
      <c r="ET33" s="31">
        <f t="shared" ca="1" si="32"/>
        <v>223849.84211842358</v>
      </c>
      <c r="EU33" s="31">
        <f t="shared" ca="1" si="32"/>
        <v>843584.81215284101</v>
      </c>
      <c r="EV33" s="31">
        <f t="shared" ca="1" si="32"/>
        <v>755276.651772112</v>
      </c>
      <c r="EW33" s="31">
        <f t="shared" ca="1" si="32"/>
        <v>843878.39058466651</v>
      </c>
      <c r="EX33" s="31">
        <f t="shared" ca="1" si="32"/>
        <v>595987.36317105626</v>
      </c>
      <c r="EY33" s="31">
        <f t="shared" ca="1" si="32"/>
        <v>315520.12540877482</v>
      </c>
      <c r="EZ33" s="31">
        <f t="shared" ca="1" si="32"/>
        <v>90551.923166328459</v>
      </c>
      <c r="FA33" s="31">
        <f t="shared" ca="1" si="32"/>
        <v>103600.19168579328</v>
      </c>
      <c r="FB33" s="31">
        <f t="shared" ca="1" si="32"/>
        <v>202991.46940943005</v>
      </c>
      <c r="FC33" s="31">
        <f t="shared" ca="1" si="32"/>
        <v>-78700.081202612317</v>
      </c>
      <c r="FD33" s="31">
        <f t="shared" ca="1" si="32"/>
        <v>-6777.1931310855434</v>
      </c>
      <c r="FE33" s="31">
        <f t="shared" ca="1" si="32"/>
        <v>271894.99051813036</v>
      </c>
      <c r="FF33" s="31">
        <f t="shared" ca="1" si="32"/>
        <v>236908.1877201813</v>
      </c>
      <c r="FG33" s="31">
        <f t="shared" ca="1" si="32"/>
        <v>870893.46936869679</v>
      </c>
      <c r="FH33" s="31">
        <f t="shared" ca="1" si="32"/>
        <v>779982.06433425006</v>
      </c>
      <c r="FI33" s="31">
        <f t="shared" ca="1" si="32"/>
        <v>871664.39431739063</v>
      </c>
      <c r="FJ33" s="31">
        <f t="shared" ca="1" si="32"/>
        <v>616143.77647117293</v>
      </c>
      <c r="FK33" s="31">
        <f t="shared" ca="1" si="32"/>
        <v>334144.27109031589</v>
      </c>
      <c r="FL33" s="31">
        <f t="shared" ca="1" si="32"/>
        <v>106314.58202775585</v>
      </c>
      <c r="FM33" s="31">
        <f t="shared" ca="1" si="32"/>
        <v>118865.49074516894</v>
      </c>
      <c r="FN33" s="31">
        <f t="shared" ca="1" si="32"/>
        <v>218814.0501552519</v>
      </c>
      <c r="FO33" s="31">
        <f t="shared" ca="1" si="32"/>
        <v>-63610.71961592976</v>
      </c>
      <c r="FP33" s="31">
        <f t="shared" ca="1" si="32"/>
        <v>8001.3888173354208</v>
      </c>
      <c r="FQ33" s="31">
        <f t="shared" ca="1" si="32"/>
        <v>287574.28786522493</v>
      </c>
      <c r="FR33" s="31">
        <f t="shared" ca="1" si="32"/>
        <v>250405.73592640672</v>
      </c>
      <c r="FS33" s="31">
        <f t="shared" ca="1" si="32"/>
        <v>899068.24780450738</v>
      </c>
      <c r="FT33" s="31">
        <f t="shared" ca="1" si="32"/>
        <v>805476.57799561415</v>
      </c>
      <c r="FU33" s="31">
        <f t="shared" ca="1" si="32"/>
        <v>900341.8117852367</v>
      </c>
      <c r="FV33" s="31">
        <f t="shared" ca="1" si="32"/>
        <v>636958.19946078968</v>
      </c>
      <c r="FW33" s="31">
        <f t="shared" ca="1" si="32"/>
        <v>353390.62886149174</v>
      </c>
      <c r="FX33" s="31">
        <f t="shared" ca="1" si="32"/>
        <v>122607.79235905336</v>
      </c>
      <c r="FY33" s="31">
        <f t="shared" ca="1" si="32"/>
        <v>134644.66555796203</v>
      </c>
      <c r="FZ33" s="31">
        <f t="shared" ca="1" si="32"/>
        <v>235167.51468472369</v>
      </c>
      <c r="GA33" s="31">
        <f t="shared" ca="1" si="32"/>
        <v>-48008.866774983646</v>
      </c>
      <c r="GB33" s="31">
        <f t="shared" ca="1" si="32"/>
        <v>23279.189466148848</v>
      </c>
      <c r="GC33" s="31">
        <f t="shared" ca="1" si="32"/>
        <v>303777.98379526753</v>
      </c>
      <c r="GD33" s="31">
        <f t="shared" ca="1" si="32"/>
        <v>264355.34219201485</v>
      </c>
      <c r="GE33" s="31">
        <f t="shared" ca="1" si="32"/>
        <v>928134.81446509121</v>
      </c>
      <c r="GF33" s="31">
        <f t="shared" ca="1" si="32"/>
        <v>831783.54187889514</v>
      </c>
      <c r="GG33" s="31">
        <f t="shared" ca="1" si="32"/>
        <v>929936.99463253457</v>
      </c>
      <c r="GH33" s="31">
        <f t="shared" ca="1" si="32"/>
        <v>669054.65914499573</v>
      </c>
      <c r="GI33" s="31">
        <f t="shared" ca="1" si="32"/>
        <v>373277.43611391576</v>
      </c>
      <c r="GJ33" s="31">
        <f t="shared" ca="1" si="32"/>
        <v>139447.08103064125</v>
      </c>
      <c r="GK33" s="31">
        <f t="shared" ca="1" si="32"/>
        <v>150952.75458068293</v>
      </c>
      <c r="GL33" s="31">
        <f t="shared" ca="1" si="32"/>
        <v>252067.40973864347</v>
      </c>
      <c r="GM33" s="31">
        <f t="shared" ref="GM33:IH33" ca="1" si="33">+SUM(GM25:GM31)</f>
        <v>-31879.552066515433</v>
      </c>
      <c r="GN33" s="31">
        <f t="shared" ca="1" si="33"/>
        <v>39070.626763947075</v>
      </c>
      <c r="GO33" s="31">
        <f t="shared" ca="1" si="33"/>
        <v>320521.27006912127</v>
      </c>
      <c r="GP33" s="31">
        <f t="shared" ca="1" si="33"/>
        <v>278770.09694265516</v>
      </c>
      <c r="GQ33" s="31">
        <f t="shared" ca="1" si="33"/>
        <v>958119.45754847443</v>
      </c>
      <c r="GR33" s="31">
        <f t="shared" ca="1" si="33"/>
        <v>858926.8533426295</v>
      </c>
      <c r="GS33" s="31">
        <f t="shared" ca="1" si="33"/>
        <v>960476.90139211365</v>
      </c>
      <c r="GT33" s="31">
        <f t="shared" ca="1" si="33"/>
        <v>680639.00674615079</v>
      </c>
      <c r="GU33" s="31">
        <f t="shared" ca="1" si="33"/>
        <v>393823.27574454411</v>
      </c>
      <c r="GV33" s="31">
        <f t="shared" ca="1" si="33"/>
        <v>156848.25757242474</v>
      </c>
      <c r="GW33" s="31">
        <f t="shared" ca="1" si="33"/>
        <v>167805.06984997401</v>
      </c>
      <c r="GX33" s="31">
        <f t="shared" ca="1" si="33"/>
        <v>269529.5699668593</v>
      </c>
      <c r="GY33" s="31">
        <f t="shared" ca="1" si="33"/>
        <v>-15207.545697322348</v>
      </c>
      <c r="GZ33" s="31">
        <f t="shared" ca="1" si="33"/>
        <v>55390.35568343359</v>
      </c>
      <c r="HA33" s="31">
        <f t="shared" ca="1" si="33"/>
        <v>337819.6051316564</v>
      </c>
      <c r="HB33" s="31">
        <f t="shared" ca="1" si="33"/>
        <v>293663.31835610035</v>
      </c>
      <c r="HC33" s="31">
        <f t="shared" ca="1" si="33"/>
        <v>989049.09099157318</v>
      </c>
      <c r="HD33" s="31">
        <f t="shared" ca="1" si="33"/>
        <v>886930.96001426806</v>
      </c>
      <c r="HE33" s="31">
        <f t="shared" ca="1" si="33"/>
        <v>991989.0983027945</v>
      </c>
      <c r="HF33" s="31">
        <f t="shared" ca="1" si="33"/>
        <v>703545.383698827</v>
      </c>
      <c r="HG33" s="31">
        <f t="shared" ca="1" si="33"/>
        <v>415047.06743162364</v>
      </c>
      <c r="HH33" s="31">
        <f t="shared" ca="1" si="33"/>
        <v>174827.40531309997</v>
      </c>
      <c r="HI33" s="31">
        <f t="shared" ca="1" si="33"/>
        <v>185217.18837719763</v>
      </c>
      <c r="HJ33" s="31">
        <f t="shared" ca="1" si="33"/>
        <v>287570.10966565425</v>
      </c>
      <c r="HK33" s="31">
        <f t="shared" ca="1" si="33"/>
        <v>2022.6310976063833</v>
      </c>
      <c r="HL33" s="31">
        <f t="shared" ca="1" si="33"/>
        <v>72253.257177242311</v>
      </c>
      <c r="HM33" s="31">
        <f t="shared" ca="1" si="33"/>
        <v>355688.70455587981</v>
      </c>
      <c r="HN33" s="31">
        <f t="shared" ca="1" si="33"/>
        <v>309048.54387703631</v>
      </c>
      <c r="HO33" s="31">
        <f t="shared" ca="1" si="33"/>
        <v>1020951.2581152763</v>
      </c>
      <c r="HP33" s="31">
        <f t="shared" ca="1" si="33"/>
        <v>915820.86082342849</v>
      </c>
      <c r="HQ33" s="31">
        <f t="shared" ca="1" si="33"/>
        <v>1024501.7588716398</v>
      </c>
      <c r="HR33" s="31">
        <f t="shared" ca="1" si="33"/>
        <v>727189.74702751893</v>
      </c>
      <c r="HS33" s="31">
        <f t="shared" ca="1" si="33"/>
        <v>436968.0572440367</v>
      </c>
      <c r="HT33" s="31">
        <f t="shared" ca="1" si="33"/>
        <v>193400.87097745787</v>
      </c>
      <c r="HU33" s="31">
        <f t="shared" ca="1" si="33"/>
        <v>203204.94204751373</v>
      </c>
      <c r="HV33" s="31">
        <f t="shared" ca="1" si="33"/>
        <v>306205.41302349896</v>
      </c>
      <c r="HW33" s="31">
        <f t="shared" ca="1" si="33"/>
        <v>19826.694217202021</v>
      </c>
      <c r="HX33" s="31">
        <f t="shared" ca="1" si="33"/>
        <v>89674.425475727825</v>
      </c>
      <c r="HY33" s="31">
        <f t="shared" ca="1" si="33"/>
        <v>374144.52991742216</v>
      </c>
      <c r="HZ33" s="31">
        <f t="shared" ca="1" si="33"/>
        <v>324939.52035791823</v>
      </c>
      <c r="IA33" s="31">
        <f t="shared" ca="1" si="33"/>
        <v>1053854.1342734422</v>
      </c>
      <c r="IB33" s="31">
        <f t="shared" ca="1" si="33"/>
        <v>945622.10593529558</v>
      </c>
      <c r="IC33" s="31">
        <f t="shared" ca="1" si="33"/>
        <v>1058043.6620588065</v>
      </c>
      <c r="ID33" s="31">
        <f t="shared" ca="1" si="33"/>
        <v>763903.78597816546</v>
      </c>
      <c r="IE33" s="31">
        <f t="shared" ca="1" si="33"/>
        <v>459605.8054412824</v>
      </c>
      <c r="IF33" s="31">
        <f t="shared" ca="1" si="33"/>
        <v>212585.25261115882</v>
      </c>
      <c r="IG33" s="31">
        <f t="shared" ca="1" si="33"/>
        <v>221784.40589687938</v>
      </c>
      <c r="IH33" s="31">
        <f t="shared" ca="1" si="33"/>
        <v>325452.1227482938</v>
      </c>
    </row>
    <row r="34" spans="1:242" x14ac:dyDescent="0.3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</row>
    <row r="35" spans="1:242" x14ac:dyDescent="0.3">
      <c r="C35">
        <v>2024</v>
      </c>
      <c r="D35">
        <v>2025</v>
      </c>
      <c r="E35">
        <v>2026</v>
      </c>
      <c r="F35">
        <v>2027</v>
      </c>
      <c r="G35">
        <v>2028</v>
      </c>
      <c r="H35">
        <v>2029</v>
      </c>
      <c r="I35">
        <v>2030</v>
      </c>
      <c r="J35">
        <v>2031</v>
      </c>
      <c r="K35">
        <v>2032</v>
      </c>
      <c r="L35">
        <v>2033</v>
      </c>
      <c r="M35">
        <v>2034</v>
      </c>
      <c r="N35">
        <v>2035</v>
      </c>
      <c r="O35">
        <v>2036</v>
      </c>
      <c r="P35">
        <v>2037</v>
      </c>
      <c r="Q35">
        <v>2038</v>
      </c>
      <c r="R35">
        <v>2039</v>
      </c>
      <c r="S35">
        <v>2040</v>
      </c>
      <c r="T35">
        <v>2041</v>
      </c>
      <c r="U35">
        <v>2042</v>
      </c>
      <c r="V35">
        <v>2043</v>
      </c>
      <c r="W35">
        <v>2044</v>
      </c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</row>
    <row r="36" spans="1:242" x14ac:dyDescent="0.3">
      <c r="A36" s="6" t="s">
        <v>921</v>
      </c>
      <c r="C36" s="31">
        <f t="shared" ref="C36:W36" si="34">+SUMIFS(33:33,12:12,C35)</f>
        <v>-240667.35749575897</v>
      </c>
      <c r="D36" s="31">
        <f t="shared" ca="1" si="34"/>
        <v>2961471.0723292525</v>
      </c>
      <c r="E36" s="31">
        <f t="shared" ca="1" si="34"/>
        <v>3239601.8525437359</v>
      </c>
      <c r="F36" s="31">
        <f t="shared" ca="1" si="34"/>
        <v>3393844.6632237718</v>
      </c>
      <c r="G36" s="31">
        <f t="shared" ca="1" si="34"/>
        <v>3504435.0171902585</v>
      </c>
      <c r="H36" s="31">
        <f t="shared" ca="1" si="34"/>
        <v>3649526.8789317133</v>
      </c>
      <c r="I36" s="31">
        <f t="shared" ca="1" si="34"/>
        <v>3730140.5669412049</v>
      </c>
      <c r="J36" s="31">
        <f t="shared" ca="1" si="34"/>
        <v>4156940.3706035698</v>
      </c>
      <c r="K36" s="31">
        <f t="shared" ca="1" si="34"/>
        <v>4324469.9369506314</v>
      </c>
      <c r="L36" s="31">
        <f t="shared" ca="1" si="34"/>
        <v>4467483.6339191385</v>
      </c>
      <c r="M36" s="31">
        <f t="shared" ca="1" si="34"/>
        <v>4640959.0920277955</v>
      </c>
      <c r="N36" s="31">
        <f t="shared" ca="1" si="34"/>
        <v>3563376.2029690994</v>
      </c>
      <c r="O36" s="31">
        <f t="shared" ca="1" si="34"/>
        <v>3571159.5607848065</v>
      </c>
      <c r="P36" s="31">
        <f t="shared" ca="1" si="34"/>
        <v>4202025.4884714726</v>
      </c>
      <c r="Q36" s="31">
        <f t="shared" ca="1" si="34"/>
        <v>4427367.5699388506</v>
      </c>
      <c r="R36" s="31">
        <f t="shared" ca="1" si="34"/>
        <v>4660125.6538484097</v>
      </c>
      <c r="S36" s="31">
        <f t="shared" ca="1" si="34"/>
        <v>4911121.7763779918</v>
      </c>
      <c r="T36" s="31">
        <f t="shared" ca="1" si="34"/>
        <v>5148763.7590801371</v>
      </c>
      <c r="U36" s="31">
        <f t="shared" ca="1" si="34"/>
        <v>5405091.6076265071</v>
      </c>
      <c r="V36" s="31">
        <f t="shared" ca="1" si="34"/>
        <v>5669730.9542568065</v>
      </c>
      <c r="W36" s="31">
        <f t="shared" ca="1" si="34"/>
        <v>3986997.1406698818</v>
      </c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</row>
    <row r="38" spans="1:242" x14ac:dyDescent="0.3">
      <c r="A38" t="s">
        <v>922</v>
      </c>
      <c r="C38" s="31">
        <f t="shared" ref="C38:BN38" si="35">+C19-C33</f>
        <v>0</v>
      </c>
      <c r="D38" s="31">
        <f t="shared" si="35"/>
        <v>1716802.7485287129</v>
      </c>
      <c r="E38" s="31">
        <f t="shared" si="35"/>
        <v>1945498.6277807839</v>
      </c>
      <c r="F38" s="31">
        <f t="shared" si="35"/>
        <v>1763268.0458272682</v>
      </c>
      <c r="G38" s="31">
        <f t="shared" si="35"/>
        <v>1828563.9953589938</v>
      </c>
      <c r="H38" s="31">
        <f t="shared" si="35"/>
        <v>1915537.3558268782</v>
      </c>
      <c r="I38" s="31">
        <f t="shared" ca="1" si="35"/>
        <v>1937470.4304955595</v>
      </c>
      <c r="J38" s="31">
        <f t="shared" ca="1" si="35"/>
        <v>1853636.8591605832</v>
      </c>
      <c r="K38" s="31">
        <f t="shared" ca="1" si="35"/>
        <v>1929593.581010801</v>
      </c>
      <c r="L38" s="31">
        <f t="shared" ca="1" si="35"/>
        <v>1549049.6564109302</v>
      </c>
      <c r="M38" s="31">
        <f t="shared" ca="1" si="35"/>
        <v>1526332.7148828106</v>
      </c>
      <c r="N38" s="31">
        <f t="shared" ca="1" si="35"/>
        <v>1590126.9903675888</v>
      </c>
      <c r="O38" s="31">
        <f t="shared" ca="1" si="35"/>
        <v>1359235.7556620627</v>
      </c>
      <c r="P38" s="31">
        <f t="shared" ca="1" si="35"/>
        <v>1457176.5653665254</v>
      </c>
      <c r="Q38" s="31">
        <f t="shared" ca="1" si="35"/>
        <v>1523388.1473305912</v>
      </c>
      <c r="R38" s="31">
        <f t="shared" ca="1" si="35"/>
        <v>1396060.2840451414</v>
      </c>
      <c r="S38" s="31">
        <f t="shared" ca="1" si="35"/>
        <v>1397646.3071112749</v>
      </c>
      <c r="T38" s="31">
        <f t="shared" ca="1" si="35"/>
        <v>1441970.9757010788</v>
      </c>
      <c r="U38" s="31">
        <f t="shared" ca="1" si="35"/>
        <v>1633628.8147332959</v>
      </c>
      <c r="V38" s="31">
        <f t="shared" ca="1" si="35"/>
        <v>1486739.2948683719</v>
      </c>
      <c r="W38" s="31">
        <f t="shared" ca="1" si="35"/>
        <v>1978524.5654537738</v>
      </c>
      <c r="X38" s="31">
        <f t="shared" ca="1" si="35"/>
        <v>1581136.551722174</v>
      </c>
      <c r="Y38" s="31">
        <f t="shared" ca="1" si="35"/>
        <v>1559934.4670537566</v>
      </c>
      <c r="Z38" s="31">
        <f t="shared" ca="1" si="35"/>
        <v>1627569.3839664112</v>
      </c>
      <c r="AA38" s="31">
        <f t="shared" ca="1" si="35"/>
        <v>1383418.6798031577</v>
      </c>
      <c r="AB38" s="31">
        <f t="shared" ca="1" si="35"/>
        <v>1503068.2364070106</v>
      </c>
      <c r="AC38" s="31">
        <f t="shared" ca="1" si="35"/>
        <v>1569431.5467264149</v>
      </c>
      <c r="AD38" s="31">
        <f t="shared" ca="1" si="35"/>
        <v>1438140.5237194297</v>
      </c>
      <c r="AE38" s="31">
        <f t="shared" ca="1" si="35"/>
        <v>1435637.1651413895</v>
      </c>
      <c r="AF38" s="31">
        <f t="shared" ca="1" si="35"/>
        <v>1481066.7353932685</v>
      </c>
      <c r="AG38" s="31">
        <f t="shared" ca="1" si="35"/>
        <v>1677614.9598504365</v>
      </c>
      <c r="AH38" s="31">
        <f t="shared" ca="1" si="35"/>
        <v>1526710.9876617738</v>
      </c>
      <c r="AI38" s="31">
        <f t="shared" ca="1" si="35"/>
        <v>2035828.4909243076</v>
      </c>
      <c r="AJ38" s="31">
        <f t="shared" ca="1" si="35"/>
        <v>1629178.2910556141</v>
      </c>
      <c r="AK38" s="31">
        <f t="shared" ca="1" si="35"/>
        <v>1594060.65860322</v>
      </c>
      <c r="AL38" s="31">
        <f t="shared" ca="1" si="35"/>
        <v>1665648.9316695542</v>
      </c>
      <c r="AM38" s="31">
        <f t="shared" ca="1" si="35"/>
        <v>1407809.8032889955</v>
      </c>
      <c r="AN38" s="31">
        <f t="shared" ca="1" si="35"/>
        <v>1550451.0177701204</v>
      </c>
      <c r="AO38" s="31">
        <f t="shared" ca="1" si="35"/>
        <v>1616878.5217893959</v>
      </c>
      <c r="AP38" s="31">
        <f t="shared" ca="1" si="35"/>
        <v>1481497.767641695</v>
      </c>
      <c r="AQ38" s="31">
        <f t="shared" ca="1" si="35"/>
        <v>1474575.2907030485</v>
      </c>
      <c r="AR38" s="31">
        <f t="shared" ca="1" si="35"/>
        <v>1521131.9228311633</v>
      </c>
      <c r="AS38" s="31">
        <f t="shared" ca="1" si="35"/>
        <v>1728236.8754719812</v>
      </c>
      <c r="AT38" s="31">
        <f t="shared" ca="1" si="35"/>
        <v>1563352.2852793713</v>
      </c>
      <c r="AU38" s="31">
        <f t="shared" ca="1" si="35"/>
        <v>2100860.5541667189</v>
      </c>
      <c r="AV38" s="31">
        <f t="shared" ca="1" si="35"/>
        <v>1684243.3997703728</v>
      </c>
      <c r="AW38" s="31">
        <f t="shared" ca="1" si="35"/>
        <v>1634350.6220178816</v>
      </c>
      <c r="AX38" s="31">
        <f t="shared" ca="1" si="35"/>
        <v>1710037.4706813409</v>
      </c>
      <c r="AY38" s="31">
        <f t="shared" ca="1" si="35"/>
        <v>1438430.5566566796</v>
      </c>
      <c r="AZ38" s="31">
        <f t="shared" ca="1" si="35"/>
        <v>1605048.73561172</v>
      </c>
      <c r="BA38" s="31">
        <f t="shared" ca="1" si="35"/>
        <v>1671081.6552493051</v>
      </c>
      <c r="BB38" s="31">
        <f t="shared" ca="1" si="35"/>
        <v>1530957.8327959448</v>
      </c>
      <c r="BC38" s="31">
        <f t="shared" ca="1" si="35"/>
        <v>1519054.1754397196</v>
      </c>
      <c r="BD38" s="31">
        <f t="shared" ca="1" si="35"/>
        <v>1567021.300203267</v>
      </c>
      <c r="BE38" s="31">
        <f t="shared" ca="1" si="35"/>
        <v>1774663.6494593481</v>
      </c>
      <c r="BF38" s="31">
        <f t="shared" ca="1" si="35"/>
        <v>1614969.3040759617</v>
      </c>
      <c r="BG38" s="31">
        <f t="shared" ca="1" si="35"/>
        <v>2161752.9239836303</v>
      </c>
      <c r="BH38" s="31">
        <f t="shared" ca="1" si="35"/>
        <v>1735557.5155355395</v>
      </c>
      <c r="BI38" s="31">
        <f t="shared" ca="1" si="35"/>
        <v>1670324.8637748179</v>
      </c>
      <c r="BJ38" s="31">
        <f t="shared" ca="1" si="35"/>
        <v>1750204.6356504492</v>
      </c>
      <c r="BK38" s="31">
        <f t="shared" ca="1" si="35"/>
        <v>1464060.8328772876</v>
      </c>
      <c r="BL38" s="31">
        <f t="shared" ca="1" si="35"/>
        <v>1657103.8585778275</v>
      </c>
      <c r="BM38" s="31">
        <f t="shared" ca="1" si="35"/>
        <v>1722905.1500155623</v>
      </c>
      <c r="BN38" s="31">
        <f t="shared" ca="1" si="35"/>
        <v>1578284.1931910352</v>
      </c>
      <c r="BO38" s="31">
        <f t="shared" ref="BO38:DZ38" ca="1" si="36">+BO19-BO33</f>
        <v>1561182.6299808931</v>
      </c>
      <c r="BP38" s="31">
        <f t="shared" ca="1" si="36"/>
        <v>1610392.2086672101</v>
      </c>
      <c r="BQ38" s="31">
        <f t="shared" ca="1" si="36"/>
        <v>1829490.4808048913</v>
      </c>
      <c r="BR38" s="31">
        <f t="shared" ca="1" si="36"/>
        <v>1664881.3794503242</v>
      </c>
      <c r="BS38" s="31">
        <f t="shared" ca="1" si="36"/>
        <v>2232355.2224254799</v>
      </c>
      <c r="BT38" s="31">
        <f t="shared" ca="1" si="36"/>
        <v>1795708.2889482731</v>
      </c>
      <c r="BU38" s="31">
        <f t="shared" ca="1" si="36"/>
        <v>1725047.543462181</v>
      </c>
      <c r="BV38" s="31">
        <f t="shared" ca="1" si="36"/>
        <v>1798386.9069354346</v>
      </c>
      <c r="BW38" s="31">
        <f t="shared" ca="1" si="36"/>
        <v>1497706.7831387727</v>
      </c>
      <c r="BX38" s="31">
        <f t="shared" ca="1" si="36"/>
        <v>1717019.8096346997</v>
      </c>
      <c r="BY38" s="31">
        <f t="shared" ca="1" si="36"/>
        <v>1782080.2511117947</v>
      </c>
      <c r="BZ38" s="31">
        <f t="shared" ca="1" si="36"/>
        <v>1632250.3252652155</v>
      </c>
      <c r="CA38" s="31">
        <f t="shared" ca="1" si="36"/>
        <v>1609324.7015595702</v>
      </c>
      <c r="CB38" s="31">
        <f t="shared" ca="1" si="36"/>
        <v>1660085.1568855916</v>
      </c>
      <c r="CC38" s="31">
        <f t="shared" ca="1" si="36"/>
        <v>1879884.2063602493</v>
      </c>
      <c r="CD38" s="31">
        <f t="shared" ca="1" si="36"/>
        <v>1710687.5414404366</v>
      </c>
      <c r="CE38" s="31">
        <f t="shared" ca="1" si="36"/>
        <v>2298603.8551840074</v>
      </c>
      <c r="CF38" s="31">
        <f t="shared" ca="1" si="36"/>
        <v>1851927.7698558348</v>
      </c>
      <c r="CG38" s="31">
        <f t="shared" ca="1" si="36"/>
        <v>1777885.1123007387</v>
      </c>
      <c r="CH38" s="31">
        <f t="shared" ca="1" si="36"/>
        <v>1842107.7495095197</v>
      </c>
      <c r="CI38" s="31">
        <f t="shared" ca="1" si="36"/>
        <v>1541251.6375114815</v>
      </c>
      <c r="CJ38" s="31">
        <f t="shared" ca="1" si="36"/>
        <v>1772988.6776798177</v>
      </c>
      <c r="CK38" s="31">
        <f t="shared" ca="1" si="36"/>
        <v>1679890.7673389292</v>
      </c>
      <c r="CL38" s="31">
        <f t="shared" ca="1" si="36"/>
        <v>1537342.2405475632</v>
      </c>
      <c r="CM38" s="31">
        <f t="shared" ca="1" si="36"/>
        <v>1653932.9171776648</v>
      </c>
      <c r="CN38" s="31">
        <f t="shared" ca="1" si="36"/>
        <v>1706006.5902891532</v>
      </c>
      <c r="CO38" s="31">
        <f t="shared" ca="1" si="36"/>
        <v>1931598.5195979266</v>
      </c>
      <c r="CP38" s="31">
        <f t="shared" ca="1" si="36"/>
        <v>1746631.345576121</v>
      </c>
      <c r="CQ38" s="31">
        <f t="shared" ca="1" si="36"/>
        <v>2366840.4291377305</v>
      </c>
      <c r="CR38" s="31">
        <f t="shared" ca="1" si="36"/>
        <v>1909984.4788593324</v>
      </c>
      <c r="CS38" s="31">
        <f t="shared" ca="1" si="36"/>
        <v>1832394.3361523359</v>
      </c>
      <c r="CT38" s="31">
        <f t="shared" ca="1" si="36"/>
        <v>1889155.8493587049</v>
      </c>
      <c r="CU38" s="31">
        <f t="shared" ca="1" si="36"/>
        <v>1590895.1291144898</v>
      </c>
      <c r="CV38" s="31">
        <f t="shared" ca="1" si="36"/>
        <v>1830893.5536327148</v>
      </c>
      <c r="CW38" s="31">
        <f t="shared" ca="1" si="36"/>
        <v>1720699.5478569232</v>
      </c>
      <c r="CX38" s="31">
        <f t="shared" ca="1" si="36"/>
        <v>1575140.8845020737</v>
      </c>
      <c r="CY38" s="31">
        <f t="shared" ca="1" si="36"/>
        <v>1699723.2414391316</v>
      </c>
      <c r="CZ38" s="31">
        <f t="shared" ca="1" si="36"/>
        <v>1753140.6154507967</v>
      </c>
      <c r="DA38" s="31">
        <f t="shared" ca="1" si="36"/>
        <v>1984665.1432121291</v>
      </c>
      <c r="DB38" s="31">
        <f t="shared" ca="1" si="36"/>
        <v>1805922.2052626282</v>
      </c>
      <c r="DC38" s="31">
        <f t="shared" ca="1" si="36"/>
        <v>2437126.435803534</v>
      </c>
      <c r="DD38" s="31">
        <f t="shared" ca="1" si="36"/>
        <v>1969942.726587917</v>
      </c>
      <c r="DE38" s="31">
        <f t="shared" ca="1" si="36"/>
        <v>1888631.3021058161</v>
      </c>
      <c r="DF38" s="31">
        <f t="shared" ca="1" si="36"/>
        <v>1945041.3271820471</v>
      </c>
      <c r="DG38" s="31">
        <f t="shared" ca="1" si="36"/>
        <v>1642234.4102486586</v>
      </c>
      <c r="DH38" s="31">
        <f t="shared" ca="1" si="36"/>
        <v>1890807.0662328752</v>
      </c>
      <c r="DI38" s="31">
        <f t="shared" ca="1" si="36"/>
        <v>1762543.9109077947</v>
      </c>
      <c r="DJ38" s="31">
        <f t="shared" ca="1" si="36"/>
        <v>1613903.378193625</v>
      </c>
      <c r="DK38" s="31">
        <f t="shared" ca="1" si="36"/>
        <v>1746724.7026343273</v>
      </c>
      <c r="DL38" s="31">
        <f t="shared" ca="1" si="36"/>
        <v>1801516.8078021205</v>
      </c>
      <c r="DM38" s="31">
        <f t="shared" ca="1" si="36"/>
        <v>2039116.4401444753</v>
      </c>
      <c r="DN38" s="31">
        <f t="shared" ca="1" si="36"/>
        <v>1855408.5965499042</v>
      </c>
      <c r="DO38" s="31">
        <f t="shared" ca="1" si="36"/>
        <v>2509525.3955663829</v>
      </c>
      <c r="DP38" s="31">
        <f t="shared" ca="1" si="36"/>
        <v>2031869.2957590697</v>
      </c>
      <c r="DQ38" s="31">
        <f t="shared" ca="1" si="36"/>
        <v>1946654.1572866621</v>
      </c>
      <c r="DR38" s="31">
        <f t="shared" ca="1" si="36"/>
        <v>2002599.6168800136</v>
      </c>
      <c r="DS38" s="31">
        <f t="shared" ca="1" si="36"/>
        <v>1695332.4882220363</v>
      </c>
      <c r="DT38" s="31">
        <f t="shared" ca="1" si="36"/>
        <v>1954774.4290913376</v>
      </c>
      <c r="DU38" s="31">
        <f t="shared" ca="1" si="36"/>
        <v>1795739.5303663479</v>
      </c>
      <c r="DV38" s="31">
        <f t="shared" ca="1" si="36"/>
        <v>1655313.4372846484</v>
      </c>
      <c r="DW38" s="31">
        <f t="shared" ca="1" si="36"/>
        <v>1786602.5764927333</v>
      </c>
      <c r="DX38" s="31">
        <f t="shared" ca="1" si="36"/>
        <v>1852844.1977364437</v>
      </c>
      <c r="DY38" s="31">
        <f t="shared" ca="1" si="36"/>
        <v>2211241.034488596</v>
      </c>
      <c r="DZ38" s="31">
        <f t="shared" ca="1" si="36"/>
        <v>2013357.5826359065</v>
      </c>
      <c r="EA38" s="31">
        <f t="shared" ref="EA38:GL38" ca="1" si="37">+EA19-EA33</f>
        <v>2711724.259123568</v>
      </c>
      <c r="EB38" s="31">
        <f t="shared" ca="1" si="37"/>
        <v>2211763.6742366338</v>
      </c>
      <c r="EC38" s="31">
        <f t="shared" ca="1" si="37"/>
        <v>2118925.6227820483</v>
      </c>
      <c r="ED38" s="31">
        <f t="shared" ca="1" si="37"/>
        <v>2174867.0350810429</v>
      </c>
      <c r="EE38" s="31">
        <f t="shared" ca="1" si="37"/>
        <v>1870484.248546802</v>
      </c>
      <c r="EF38" s="31">
        <f t="shared" ca="1" si="37"/>
        <v>2136500.2380937184</v>
      </c>
      <c r="EG38" s="31">
        <f t="shared" ca="1" si="37"/>
        <v>1952898.5334590774</v>
      </c>
      <c r="EH38" s="31">
        <f t="shared" ca="1" si="37"/>
        <v>1795262.5088353434</v>
      </c>
      <c r="EI38" s="31">
        <f t="shared" ca="1" si="37"/>
        <v>1933629.0813894528</v>
      </c>
      <c r="EJ38" s="31">
        <f t="shared" ca="1" si="37"/>
        <v>2004005.6174558154</v>
      </c>
      <c r="EK38" s="31">
        <f t="shared" ca="1" si="37"/>
        <v>2275224.7982336041</v>
      </c>
      <c r="EL38" s="31">
        <f t="shared" ca="1" si="37"/>
        <v>2062472.0490758922</v>
      </c>
      <c r="EM38" s="31">
        <f t="shared" ca="1" si="37"/>
        <v>2795863.0590164396</v>
      </c>
      <c r="EN38" s="31">
        <f t="shared" ca="1" si="37"/>
        <v>2284482.4306168216</v>
      </c>
      <c r="EO38" s="31">
        <f t="shared" ca="1" si="37"/>
        <v>2187145.9435879258</v>
      </c>
      <c r="EP38" s="31">
        <f t="shared" ca="1" si="37"/>
        <v>2242403.9602929554</v>
      </c>
      <c r="EQ38" s="31">
        <f t="shared" ca="1" si="37"/>
        <v>1934190.5996628087</v>
      </c>
      <c r="ER38" s="31">
        <f t="shared" ca="1" si="37"/>
        <v>2209751.3484975891</v>
      </c>
      <c r="ES38" s="31">
        <f t="shared" ca="1" si="37"/>
        <v>2004072.0261067343</v>
      </c>
      <c r="ET38" s="31">
        <f t="shared" ca="1" si="37"/>
        <v>1842825.1692118815</v>
      </c>
      <c r="EU38" s="31">
        <f t="shared" ca="1" si="37"/>
        <v>1989683.8834157903</v>
      </c>
      <c r="EV38" s="31">
        <f t="shared" ca="1" si="37"/>
        <v>2062126.7967844689</v>
      </c>
      <c r="EW38" s="31">
        <f t="shared" ca="1" si="37"/>
        <v>2341069.947084411</v>
      </c>
      <c r="EX38" s="31">
        <f t="shared" ca="1" si="37"/>
        <v>2131513.0189839071</v>
      </c>
      <c r="EY38" s="31">
        <f t="shared" ca="1" si="37"/>
        <v>2801589.8199156937</v>
      </c>
      <c r="EZ38" s="31">
        <f t="shared" ca="1" si="37"/>
        <v>2232250.2757672397</v>
      </c>
      <c r="FA38" s="31">
        <f t="shared" ca="1" si="37"/>
        <v>2201446.0488125635</v>
      </c>
      <c r="FB38" s="31">
        <f t="shared" ca="1" si="37"/>
        <v>2304190.6634971797</v>
      </c>
      <c r="FC38" s="31">
        <f t="shared" ca="1" si="37"/>
        <v>1944124.010443388</v>
      </c>
      <c r="FD38" s="31">
        <f t="shared" ca="1" si="37"/>
        <v>2069176.3021588686</v>
      </c>
      <c r="FE38" s="31">
        <f t="shared" ca="1" si="37"/>
        <v>2056726.1264016186</v>
      </c>
      <c r="FF38" s="31">
        <f t="shared" ca="1" si="37"/>
        <v>1891767.0739500332</v>
      </c>
      <c r="FG38" s="31">
        <f t="shared" ca="1" si="37"/>
        <v>2047373.2870669938</v>
      </c>
      <c r="FH38" s="31">
        <f t="shared" ca="1" si="37"/>
        <v>2121943.4876790289</v>
      </c>
      <c r="FI38" s="31">
        <f t="shared" ca="1" si="37"/>
        <v>2408832.3934817584</v>
      </c>
      <c r="FJ38" s="31">
        <f t="shared" ca="1" si="37"/>
        <v>2193181.6171484389</v>
      </c>
      <c r="FK38" s="31">
        <f t="shared" ca="1" si="37"/>
        <v>2876478.9725938868</v>
      </c>
      <c r="FL38" s="31">
        <f t="shared" ca="1" si="37"/>
        <v>2286171.68287382</v>
      </c>
      <c r="FM38" s="31">
        <f t="shared" ca="1" si="37"/>
        <v>2255332.1369681386</v>
      </c>
      <c r="FN38" s="31">
        <f t="shared" ca="1" si="37"/>
        <v>2363583.5467385561</v>
      </c>
      <c r="FO38" s="31">
        <f t="shared" ca="1" si="37"/>
        <v>1984997.3667339289</v>
      </c>
      <c r="FP38" s="31">
        <f t="shared" ca="1" si="37"/>
        <v>2116269.6934812814</v>
      </c>
      <c r="FQ38" s="31">
        <f t="shared" ca="1" si="37"/>
        <v>2110905.4625621168</v>
      </c>
      <c r="FR38" s="31">
        <f t="shared" ca="1" si="37"/>
        <v>1942129.7835939142</v>
      </c>
      <c r="FS38" s="31">
        <f t="shared" ca="1" si="37"/>
        <v>2106746.5113242539</v>
      </c>
      <c r="FT38" s="31">
        <f t="shared" ca="1" si="37"/>
        <v>2183506.7405780628</v>
      </c>
      <c r="FU38" s="31">
        <f t="shared" ca="1" si="37"/>
        <v>2478569.8796478873</v>
      </c>
      <c r="FV38" s="31">
        <f t="shared" ca="1" si="37"/>
        <v>2256646.9559674109</v>
      </c>
      <c r="FW38" s="31">
        <f t="shared" ca="1" si="37"/>
        <v>2953551.3121332373</v>
      </c>
      <c r="FX38" s="31">
        <f t="shared" ca="1" si="37"/>
        <v>2341653.0604895693</v>
      </c>
      <c r="FY38" s="31">
        <f t="shared" ca="1" si="37"/>
        <v>2310778.8909867452</v>
      </c>
      <c r="FZ38" s="31">
        <f t="shared" ca="1" si="37"/>
        <v>2424702.0101158987</v>
      </c>
      <c r="GA38" s="31">
        <f t="shared" ca="1" si="37"/>
        <v>2027037.1133065228</v>
      </c>
      <c r="GB38" s="31">
        <f t="shared" ca="1" si="37"/>
        <v>2164720.0253014266</v>
      </c>
      <c r="GC38" s="31">
        <f t="shared" ca="1" si="37"/>
        <v>2166656.1591448947</v>
      </c>
      <c r="GD38" s="31">
        <f t="shared" ca="1" si="37"/>
        <v>1993956.242913916</v>
      </c>
      <c r="GE38" s="31">
        <f t="shared" ca="1" si="37"/>
        <v>2167854.3874375327</v>
      </c>
      <c r="GF38" s="31">
        <f t="shared" ca="1" si="37"/>
        <v>2246869.2762519922</v>
      </c>
      <c r="GG38" s="31">
        <f t="shared" ca="1" si="37"/>
        <v>2550342.0475435834</v>
      </c>
      <c r="GH38" s="31">
        <f t="shared" ca="1" si="37"/>
        <v>2311358.6509460509</v>
      </c>
      <c r="GI38" s="31">
        <f t="shared" ca="1" si="37"/>
        <v>3032872.7631106549</v>
      </c>
      <c r="GJ38" s="31">
        <f t="shared" ca="1" si="37"/>
        <v>2398741.5974034402</v>
      </c>
      <c r="GK38" s="31">
        <f t="shared" ca="1" si="37"/>
        <v>2367833.5086603649</v>
      </c>
      <c r="GL38" s="31">
        <f t="shared" ca="1" si="37"/>
        <v>2487598.2008059979</v>
      </c>
      <c r="GM38" s="31">
        <f t="shared" ref="GM38:IH38" ca="1" si="38">+GM19-GM33</f>
        <v>2070278.6459940008</v>
      </c>
      <c r="GN38" s="31">
        <f t="shared" ca="1" si="38"/>
        <v>2214568.5644466551</v>
      </c>
      <c r="GO38" s="31">
        <f t="shared" ca="1" si="38"/>
        <v>2224025.8971592453</v>
      </c>
      <c r="GP38" s="31">
        <f t="shared" ca="1" si="38"/>
        <v>2047290.8357164534</v>
      </c>
      <c r="GQ38" s="31">
        <f t="shared" ca="1" si="38"/>
        <v>2230749.4204112287</v>
      </c>
      <c r="GR38" s="31">
        <f t="shared" ca="1" si="38"/>
        <v>2312085.5493321847</v>
      </c>
      <c r="GS38" s="31">
        <f t="shared" ca="1" si="38"/>
        <v>2624210.5120492876</v>
      </c>
      <c r="GT38" s="31">
        <f t="shared" ca="1" si="38"/>
        <v>2389186.7026476273</v>
      </c>
      <c r="GU38" s="31">
        <f t="shared" ca="1" si="38"/>
        <v>3114511.4294567639</v>
      </c>
      <c r="GV38" s="31">
        <f t="shared" ca="1" si="38"/>
        <v>2457486.0812146789</v>
      </c>
      <c r="GW38" s="31">
        <f t="shared" ca="1" si="38"/>
        <v>2426544.7812883053</v>
      </c>
      <c r="GX38" s="31">
        <f t="shared" ca="1" si="38"/>
        <v>2552326.0088941213</v>
      </c>
      <c r="GY38" s="31">
        <f t="shared" ca="1" si="38"/>
        <v>2114758.6124426322</v>
      </c>
      <c r="GZ38" s="31">
        <f t="shared" ca="1" si="38"/>
        <v>2265858.0112634869</v>
      </c>
      <c r="HA38" s="31">
        <f t="shared" ca="1" si="38"/>
        <v>2283063.9771135612</v>
      </c>
      <c r="HB38" s="31">
        <f t="shared" ca="1" si="38"/>
        <v>2102179.4422827815</v>
      </c>
      <c r="HC38" s="31">
        <f t="shared" ca="1" si="38"/>
        <v>2295485.8533069203</v>
      </c>
      <c r="HD38" s="31">
        <f t="shared" ca="1" si="38"/>
        <v>2379211.814740791</v>
      </c>
      <c r="HE38" s="31">
        <f t="shared" ca="1" si="38"/>
        <v>2700238.937541849</v>
      </c>
      <c r="HF38" s="31">
        <f t="shared" ca="1" si="38"/>
        <v>2458375.0969767645</v>
      </c>
      <c r="HG38" s="31">
        <f t="shared" ca="1" si="38"/>
        <v>3198537.6789257238</v>
      </c>
      <c r="HH38" s="31">
        <f t="shared" ca="1" si="38"/>
        <v>2517936.9636376165</v>
      </c>
      <c r="HI38" s="31">
        <f t="shared" ca="1" si="38"/>
        <v>2486963.15829523</v>
      </c>
      <c r="HJ38" s="31">
        <f t="shared" ca="1" si="38"/>
        <v>2618941.1365611558</v>
      </c>
      <c r="HK38" s="31">
        <f t="shared" ca="1" si="38"/>
        <v>2160514.9676500629</v>
      </c>
      <c r="HL38" s="31">
        <f t="shared" ca="1" si="38"/>
        <v>2318632.5607780861</v>
      </c>
      <c r="HM38" s="31">
        <f t="shared" ca="1" si="38"/>
        <v>2343821.3851566948</v>
      </c>
      <c r="HN38" s="31">
        <f t="shared" ca="1" si="38"/>
        <v>2158669.4995810124</v>
      </c>
      <c r="HO38" s="31">
        <f t="shared" ca="1" si="38"/>
        <v>2362119.7345121731</v>
      </c>
      <c r="HP38" s="31">
        <f t="shared" ca="1" si="38"/>
        <v>2448306.1971742818</v>
      </c>
      <c r="HQ38" s="31">
        <f t="shared" ca="1" si="38"/>
        <v>2778493.1180483438</v>
      </c>
      <c r="HR38" s="31">
        <f t="shared" ca="1" si="38"/>
        <v>2529588.3480683407</v>
      </c>
      <c r="HS38" s="31">
        <f t="shared" ca="1" si="38"/>
        <v>3285024.2315040305</v>
      </c>
      <c r="HT38" s="31">
        <f t="shared" ca="1" si="38"/>
        <v>2580146.4290417805</v>
      </c>
      <c r="HU38" s="31">
        <f t="shared" ca="1" si="38"/>
        <v>2549140.815025087</v>
      </c>
      <c r="HV38" s="31">
        <f t="shared" ca="1" si="38"/>
        <v>2687501.1705901157</v>
      </c>
      <c r="HW38" s="31">
        <f t="shared" ca="1" si="38"/>
        <v>2207587.0324928975</v>
      </c>
      <c r="HX38" s="31">
        <f t="shared" ca="1" si="38"/>
        <v>2372937.9670182606</v>
      </c>
      <c r="HY38" s="31">
        <f t="shared" ca="1" si="38"/>
        <v>2406350.8624865296</v>
      </c>
      <c r="HZ38" s="31">
        <f t="shared" ca="1" si="38"/>
        <v>2216810.064403872</v>
      </c>
      <c r="IA38" s="31">
        <f t="shared" ca="1" si="38"/>
        <v>2430708.9881328298</v>
      </c>
      <c r="IB38" s="31">
        <f t="shared" ca="1" si="38"/>
        <v>2519428.7638023463</v>
      </c>
      <c r="IC38" s="31">
        <f t="shared" ca="1" si="38"/>
        <v>2859041.0611687764</v>
      </c>
      <c r="ID38" s="31">
        <f t="shared" ca="1" si="38"/>
        <v>2590577.65197057</v>
      </c>
      <c r="IE38" s="31">
        <f t="shared" ca="1" si="38"/>
        <v>3374046.2519692276</v>
      </c>
      <c r="IF38" s="31">
        <f t="shared" ca="1" si="38"/>
        <v>2644168.4664086564</v>
      </c>
      <c r="IG38" s="31">
        <f t="shared" ca="1" si="38"/>
        <v>2613131.7238878994</v>
      </c>
      <c r="IH38" s="31">
        <f t="shared" ca="1" si="38"/>
        <v>2758065.6583737293</v>
      </c>
    </row>
    <row r="39" spans="1:242" x14ac:dyDescent="0.3">
      <c r="A39" t="s">
        <v>923</v>
      </c>
      <c r="C39" s="31">
        <f>+C38</f>
        <v>0</v>
      </c>
      <c r="D39" s="31">
        <f>+D38+C39</f>
        <v>1716802.7485287129</v>
      </c>
      <c r="E39" s="31">
        <f>+D39+E38</f>
        <v>3662301.3763094968</v>
      </c>
      <c r="F39" s="31">
        <f t="shared" ref="F39:BQ39" si="39">+E39+F38</f>
        <v>5425569.422136765</v>
      </c>
      <c r="G39" s="31">
        <f t="shared" si="39"/>
        <v>7254133.4174957592</v>
      </c>
      <c r="H39" s="31">
        <f t="shared" si="39"/>
        <v>9169670.7733226381</v>
      </c>
      <c r="I39" s="31">
        <f t="shared" ca="1" si="39"/>
        <v>11107141.203818198</v>
      </c>
      <c r="J39" s="31">
        <f t="shared" ca="1" si="39"/>
        <v>12960778.062978782</v>
      </c>
      <c r="K39" s="31">
        <f t="shared" ca="1" si="39"/>
        <v>14890371.643989583</v>
      </c>
      <c r="L39" s="31">
        <f t="shared" ca="1" si="39"/>
        <v>16439421.300400514</v>
      </c>
      <c r="M39" s="31">
        <f t="shared" ca="1" si="39"/>
        <v>17965754.015283324</v>
      </c>
      <c r="N39" s="31">
        <f t="shared" ca="1" si="39"/>
        <v>19555881.005650911</v>
      </c>
      <c r="O39" s="31">
        <f t="shared" ca="1" si="39"/>
        <v>20915116.761312973</v>
      </c>
      <c r="P39" s="31">
        <f t="shared" ca="1" si="39"/>
        <v>22372293.326679498</v>
      </c>
      <c r="Q39" s="31">
        <f t="shared" ca="1" si="39"/>
        <v>23895681.474010088</v>
      </c>
      <c r="R39" s="31">
        <f t="shared" ca="1" si="39"/>
        <v>25291741.758055229</v>
      </c>
      <c r="S39" s="31">
        <f t="shared" ca="1" si="39"/>
        <v>26689388.065166503</v>
      </c>
      <c r="T39" s="31">
        <f t="shared" ca="1" si="39"/>
        <v>28131359.040867582</v>
      </c>
      <c r="U39" s="31">
        <f t="shared" ca="1" si="39"/>
        <v>29764987.855600879</v>
      </c>
      <c r="V39" s="31">
        <f t="shared" ca="1" si="39"/>
        <v>31251727.150469251</v>
      </c>
      <c r="W39" s="31">
        <f t="shared" ca="1" si="39"/>
        <v>33230251.715923026</v>
      </c>
      <c r="X39" s="31">
        <f t="shared" ca="1" si="39"/>
        <v>34811388.267645203</v>
      </c>
      <c r="Y39" s="31">
        <f t="shared" ca="1" si="39"/>
        <v>36371322.734698959</v>
      </c>
      <c r="Z39" s="31">
        <f t="shared" ca="1" si="39"/>
        <v>37998892.118665367</v>
      </c>
      <c r="AA39" s="31">
        <f t="shared" ca="1" si="39"/>
        <v>39382310.798468523</v>
      </c>
      <c r="AB39" s="31">
        <f t="shared" ca="1" si="39"/>
        <v>40885379.034875534</v>
      </c>
      <c r="AC39" s="31">
        <f t="shared" ca="1" si="39"/>
        <v>42454810.581601948</v>
      </c>
      <c r="AD39" s="31">
        <f t="shared" ca="1" si="39"/>
        <v>43892951.105321378</v>
      </c>
      <c r="AE39" s="31">
        <f t="shared" ca="1" si="39"/>
        <v>45328588.270462766</v>
      </c>
      <c r="AF39" s="31">
        <f t="shared" ca="1" si="39"/>
        <v>46809655.005856037</v>
      </c>
      <c r="AG39" s="31">
        <f t="shared" ca="1" si="39"/>
        <v>48487269.965706475</v>
      </c>
      <c r="AH39" s="31">
        <f t="shared" ca="1" si="39"/>
        <v>50013980.953368247</v>
      </c>
      <c r="AI39" s="31">
        <f t="shared" ca="1" si="39"/>
        <v>52049809.444292553</v>
      </c>
      <c r="AJ39" s="31">
        <f t="shared" ca="1" si="39"/>
        <v>53678987.735348165</v>
      </c>
      <c r="AK39" s="31">
        <f t="shared" ca="1" si="39"/>
        <v>55273048.393951386</v>
      </c>
      <c r="AL39" s="31">
        <f t="shared" ca="1" si="39"/>
        <v>56938697.325620942</v>
      </c>
      <c r="AM39" s="31">
        <f t="shared" ca="1" si="39"/>
        <v>58346507.128909938</v>
      </c>
      <c r="AN39" s="31">
        <f t="shared" ca="1" si="39"/>
        <v>59896958.146680057</v>
      </c>
      <c r="AO39" s="31">
        <f t="shared" ca="1" si="39"/>
        <v>61513836.668469451</v>
      </c>
      <c r="AP39" s="31">
        <f t="shared" ca="1" si="39"/>
        <v>62995334.436111145</v>
      </c>
      <c r="AQ39" s="31">
        <f t="shared" ca="1" si="39"/>
        <v>64469909.726814196</v>
      </c>
      <c r="AR39" s="31">
        <f t="shared" ca="1" si="39"/>
        <v>65991041.649645358</v>
      </c>
      <c r="AS39" s="31">
        <f t="shared" ca="1" si="39"/>
        <v>67719278.525117338</v>
      </c>
      <c r="AT39" s="31">
        <f t="shared" ca="1" si="39"/>
        <v>69282630.810396716</v>
      </c>
      <c r="AU39" s="31">
        <f t="shared" ca="1" si="39"/>
        <v>71383491.364563435</v>
      </c>
      <c r="AV39" s="31">
        <f t="shared" ca="1" si="39"/>
        <v>73067734.764333814</v>
      </c>
      <c r="AW39" s="31">
        <f t="shared" ca="1" si="39"/>
        <v>74702085.38635169</v>
      </c>
      <c r="AX39" s="31">
        <f t="shared" ca="1" si="39"/>
        <v>76412122.857033029</v>
      </c>
      <c r="AY39" s="31">
        <f t="shared" ca="1" si="39"/>
        <v>77850553.413689703</v>
      </c>
      <c r="AZ39" s="31">
        <f t="shared" ca="1" si="39"/>
        <v>79455602.149301425</v>
      </c>
      <c r="BA39" s="31">
        <f t="shared" ca="1" si="39"/>
        <v>81126683.804550737</v>
      </c>
      <c r="BB39" s="31">
        <f t="shared" ca="1" si="39"/>
        <v>82657641.637346685</v>
      </c>
      <c r="BC39" s="31">
        <f t="shared" ca="1" si="39"/>
        <v>84176695.8127864</v>
      </c>
      <c r="BD39" s="31">
        <f t="shared" ca="1" si="39"/>
        <v>85743717.112989664</v>
      </c>
      <c r="BE39" s="31">
        <f t="shared" ca="1" si="39"/>
        <v>87518380.762449011</v>
      </c>
      <c r="BF39" s="31">
        <f t="shared" ca="1" si="39"/>
        <v>89133350.066524968</v>
      </c>
      <c r="BG39" s="31">
        <f t="shared" ca="1" si="39"/>
        <v>91295102.990508601</v>
      </c>
      <c r="BH39" s="31">
        <f t="shared" ca="1" si="39"/>
        <v>93030660.506044134</v>
      </c>
      <c r="BI39" s="31">
        <f t="shared" ca="1" si="39"/>
        <v>94700985.369818956</v>
      </c>
      <c r="BJ39" s="31">
        <f t="shared" ca="1" si="39"/>
        <v>96451190.005469412</v>
      </c>
      <c r="BK39" s="31">
        <f t="shared" ca="1" si="39"/>
        <v>97915250.838346705</v>
      </c>
      <c r="BL39" s="31">
        <f t="shared" ca="1" si="39"/>
        <v>99572354.696924537</v>
      </c>
      <c r="BM39" s="31">
        <f t="shared" ca="1" si="39"/>
        <v>101295259.8469401</v>
      </c>
      <c r="BN39" s="31">
        <f t="shared" ca="1" si="39"/>
        <v>102873544.04013114</v>
      </c>
      <c r="BO39" s="31">
        <f t="shared" ca="1" si="39"/>
        <v>104434726.67011203</v>
      </c>
      <c r="BP39" s="31">
        <f t="shared" ca="1" si="39"/>
        <v>106045118.87877923</v>
      </c>
      <c r="BQ39" s="31">
        <f t="shared" ca="1" si="39"/>
        <v>107874609.35958412</v>
      </c>
      <c r="BR39" s="31">
        <f t="shared" ref="BR39:EC39" ca="1" si="40">+BQ39+BR38</f>
        <v>109539490.73903444</v>
      </c>
      <c r="BS39" s="31">
        <f t="shared" ca="1" si="40"/>
        <v>111771845.96145992</v>
      </c>
      <c r="BT39" s="31">
        <f t="shared" ca="1" si="40"/>
        <v>113567554.25040819</v>
      </c>
      <c r="BU39" s="31">
        <f t="shared" ca="1" si="40"/>
        <v>115292601.79387037</v>
      </c>
      <c r="BV39" s="31">
        <f t="shared" ca="1" si="40"/>
        <v>117090988.70080581</v>
      </c>
      <c r="BW39" s="31">
        <f t="shared" ca="1" si="40"/>
        <v>118588695.48394458</v>
      </c>
      <c r="BX39" s="31">
        <f t="shared" ca="1" si="40"/>
        <v>120305715.29357928</v>
      </c>
      <c r="BY39" s="31">
        <f t="shared" ca="1" si="40"/>
        <v>122087795.54469107</v>
      </c>
      <c r="BZ39" s="31">
        <f t="shared" ca="1" si="40"/>
        <v>123720045.86995628</v>
      </c>
      <c r="CA39" s="31">
        <f t="shared" ca="1" si="40"/>
        <v>125329370.57151586</v>
      </c>
      <c r="CB39" s="31">
        <f t="shared" ca="1" si="40"/>
        <v>126989455.72840145</v>
      </c>
      <c r="CC39" s="31">
        <f t="shared" ca="1" si="40"/>
        <v>128869339.9347617</v>
      </c>
      <c r="CD39" s="31">
        <f t="shared" ca="1" si="40"/>
        <v>130580027.47620215</v>
      </c>
      <c r="CE39" s="31">
        <f t="shared" ca="1" si="40"/>
        <v>132878631.33138615</v>
      </c>
      <c r="CF39" s="31">
        <f t="shared" ca="1" si="40"/>
        <v>134730559.10124198</v>
      </c>
      <c r="CG39" s="31">
        <f t="shared" ca="1" si="40"/>
        <v>136508444.2135427</v>
      </c>
      <c r="CH39" s="31">
        <f t="shared" ca="1" si="40"/>
        <v>138350551.96305221</v>
      </c>
      <c r="CI39" s="31">
        <f t="shared" ca="1" si="40"/>
        <v>139891803.6005637</v>
      </c>
      <c r="CJ39" s="31">
        <f t="shared" ca="1" si="40"/>
        <v>141664792.27824351</v>
      </c>
      <c r="CK39" s="31">
        <f t="shared" ca="1" si="40"/>
        <v>143344683.04558244</v>
      </c>
      <c r="CL39" s="31">
        <f t="shared" ca="1" si="40"/>
        <v>144882025.28613001</v>
      </c>
      <c r="CM39" s="31">
        <f t="shared" ca="1" si="40"/>
        <v>146535958.20330769</v>
      </c>
      <c r="CN39" s="31">
        <f t="shared" ca="1" si="40"/>
        <v>148241964.79359683</v>
      </c>
      <c r="CO39" s="31">
        <f t="shared" ca="1" si="40"/>
        <v>150173563.31319475</v>
      </c>
      <c r="CP39" s="31">
        <f t="shared" ca="1" si="40"/>
        <v>151920194.65877086</v>
      </c>
      <c r="CQ39" s="31">
        <f t="shared" ca="1" si="40"/>
        <v>154287035.0879086</v>
      </c>
      <c r="CR39" s="31">
        <f t="shared" ca="1" si="40"/>
        <v>156197019.56676793</v>
      </c>
      <c r="CS39" s="31">
        <f t="shared" ca="1" si="40"/>
        <v>158029413.90292028</v>
      </c>
      <c r="CT39" s="31">
        <f t="shared" ca="1" si="40"/>
        <v>159918569.75227898</v>
      </c>
      <c r="CU39" s="31">
        <f t="shared" ca="1" si="40"/>
        <v>161509464.88139346</v>
      </c>
      <c r="CV39" s="31">
        <f t="shared" ca="1" si="40"/>
        <v>163340358.43502617</v>
      </c>
      <c r="CW39" s="31">
        <f t="shared" ca="1" si="40"/>
        <v>165061057.9828831</v>
      </c>
      <c r="CX39" s="31">
        <f t="shared" ca="1" si="40"/>
        <v>166636198.86738518</v>
      </c>
      <c r="CY39" s="31">
        <f t="shared" ca="1" si="40"/>
        <v>168335922.10882431</v>
      </c>
      <c r="CZ39" s="31">
        <f t="shared" ca="1" si="40"/>
        <v>170089062.72427511</v>
      </c>
      <c r="DA39" s="31">
        <f t="shared" ca="1" si="40"/>
        <v>172073727.86748725</v>
      </c>
      <c r="DB39" s="31">
        <f t="shared" ca="1" si="40"/>
        <v>173879650.07274988</v>
      </c>
      <c r="DC39" s="31">
        <f t="shared" ca="1" si="40"/>
        <v>176316776.50855342</v>
      </c>
      <c r="DD39" s="31">
        <f t="shared" ca="1" si="40"/>
        <v>178286719.23514134</v>
      </c>
      <c r="DE39" s="31">
        <f t="shared" ca="1" si="40"/>
        <v>180175350.53724715</v>
      </c>
      <c r="DF39" s="31">
        <f t="shared" ca="1" si="40"/>
        <v>182120391.86442921</v>
      </c>
      <c r="DG39" s="31">
        <f t="shared" ca="1" si="40"/>
        <v>183762626.27467787</v>
      </c>
      <c r="DH39" s="31">
        <f t="shared" ca="1" si="40"/>
        <v>185653433.34091076</v>
      </c>
      <c r="DI39" s="31">
        <f t="shared" ca="1" si="40"/>
        <v>187415977.25181857</v>
      </c>
      <c r="DJ39" s="31">
        <f t="shared" ca="1" si="40"/>
        <v>189029880.63001218</v>
      </c>
      <c r="DK39" s="31">
        <f t="shared" ca="1" si="40"/>
        <v>190776605.33264652</v>
      </c>
      <c r="DL39" s="31">
        <f t="shared" ca="1" si="40"/>
        <v>192578122.14044863</v>
      </c>
      <c r="DM39" s="31">
        <f t="shared" ca="1" si="40"/>
        <v>194617238.58059311</v>
      </c>
      <c r="DN39" s="31">
        <f t="shared" ca="1" si="40"/>
        <v>196472647.17714301</v>
      </c>
      <c r="DO39" s="31">
        <f t="shared" ca="1" si="40"/>
        <v>198982172.57270938</v>
      </c>
      <c r="DP39" s="31">
        <f t="shared" ca="1" si="40"/>
        <v>201014041.86846846</v>
      </c>
      <c r="DQ39" s="31">
        <f t="shared" ca="1" si="40"/>
        <v>202960696.02575514</v>
      </c>
      <c r="DR39" s="31">
        <f t="shared" ca="1" si="40"/>
        <v>204963295.64263514</v>
      </c>
      <c r="DS39" s="31">
        <f t="shared" ca="1" si="40"/>
        <v>206658628.13085717</v>
      </c>
      <c r="DT39" s="31">
        <f t="shared" ca="1" si="40"/>
        <v>208613402.5599485</v>
      </c>
      <c r="DU39" s="31">
        <f t="shared" ca="1" si="40"/>
        <v>210409142.09031487</v>
      </c>
      <c r="DV39" s="31">
        <f t="shared" ca="1" si="40"/>
        <v>212064455.52759951</v>
      </c>
      <c r="DW39" s="31">
        <f t="shared" ca="1" si="40"/>
        <v>213851058.10409224</v>
      </c>
      <c r="DX39" s="31">
        <f t="shared" ca="1" si="40"/>
        <v>215703902.30182868</v>
      </c>
      <c r="DY39" s="31">
        <f t="shared" ca="1" si="40"/>
        <v>217915143.33631727</v>
      </c>
      <c r="DZ39" s="31">
        <f t="shared" ca="1" si="40"/>
        <v>219928500.91895318</v>
      </c>
      <c r="EA39" s="31">
        <f t="shared" ca="1" si="40"/>
        <v>222640225.17807674</v>
      </c>
      <c r="EB39" s="31">
        <f t="shared" ca="1" si="40"/>
        <v>224851988.85231337</v>
      </c>
      <c r="EC39" s="31">
        <f t="shared" ca="1" si="40"/>
        <v>226970914.47509542</v>
      </c>
      <c r="ED39" s="31">
        <f t="shared" ref="ED39:GO39" ca="1" si="41">+EC39+ED38</f>
        <v>229145781.51017645</v>
      </c>
      <c r="EE39" s="31">
        <f t="shared" ca="1" si="41"/>
        <v>231016265.75872326</v>
      </c>
      <c r="EF39" s="31">
        <f t="shared" ca="1" si="41"/>
        <v>233152765.99681696</v>
      </c>
      <c r="EG39" s="31">
        <f t="shared" ca="1" si="41"/>
        <v>235105664.53027603</v>
      </c>
      <c r="EH39" s="31">
        <f t="shared" ca="1" si="41"/>
        <v>236900927.03911138</v>
      </c>
      <c r="EI39" s="31">
        <f t="shared" ca="1" si="41"/>
        <v>238834556.12050083</v>
      </c>
      <c r="EJ39" s="31">
        <f t="shared" ca="1" si="41"/>
        <v>240838561.73795664</v>
      </c>
      <c r="EK39" s="31">
        <f t="shared" ca="1" si="41"/>
        <v>243113786.53619024</v>
      </c>
      <c r="EL39" s="31">
        <f t="shared" ca="1" si="41"/>
        <v>245176258.58526614</v>
      </c>
      <c r="EM39" s="31">
        <f t="shared" ca="1" si="41"/>
        <v>247972121.64428258</v>
      </c>
      <c r="EN39" s="31">
        <f t="shared" ca="1" si="41"/>
        <v>250256604.07489941</v>
      </c>
      <c r="EO39" s="31">
        <f t="shared" ca="1" si="41"/>
        <v>252443750.01848733</v>
      </c>
      <c r="EP39" s="31">
        <f t="shared" ca="1" si="41"/>
        <v>254686153.9787803</v>
      </c>
      <c r="EQ39" s="31">
        <f t="shared" ca="1" si="41"/>
        <v>256620344.57844311</v>
      </c>
      <c r="ER39" s="31">
        <f t="shared" ca="1" si="41"/>
        <v>258830095.92694071</v>
      </c>
      <c r="ES39" s="31">
        <f t="shared" ca="1" si="41"/>
        <v>260834167.95304745</v>
      </c>
      <c r="ET39" s="31">
        <f t="shared" ca="1" si="41"/>
        <v>262676993.12225935</v>
      </c>
      <c r="EU39" s="31">
        <f t="shared" ca="1" si="41"/>
        <v>264666677.00567514</v>
      </c>
      <c r="EV39" s="31">
        <f t="shared" ca="1" si="41"/>
        <v>266728803.8024596</v>
      </c>
      <c r="EW39" s="31">
        <f t="shared" ca="1" si="41"/>
        <v>269069873.74954402</v>
      </c>
      <c r="EX39" s="31">
        <f t="shared" ca="1" si="41"/>
        <v>271201386.76852793</v>
      </c>
      <c r="EY39" s="31">
        <f t="shared" ca="1" si="41"/>
        <v>274002976.58844364</v>
      </c>
      <c r="EZ39" s="31">
        <f t="shared" ca="1" si="41"/>
        <v>276235226.8642109</v>
      </c>
      <c r="FA39" s="31">
        <f t="shared" ca="1" si="41"/>
        <v>278436672.91302347</v>
      </c>
      <c r="FB39" s="31">
        <f t="shared" ca="1" si="41"/>
        <v>280740863.57652068</v>
      </c>
      <c r="FC39" s="31">
        <f t="shared" ca="1" si="41"/>
        <v>282684987.58696407</v>
      </c>
      <c r="FD39" s="31">
        <f t="shared" ca="1" si="41"/>
        <v>284754163.88912296</v>
      </c>
      <c r="FE39" s="31">
        <f t="shared" ca="1" si="41"/>
        <v>286810890.01552457</v>
      </c>
      <c r="FF39" s="31">
        <f t="shared" ca="1" si="41"/>
        <v>288702657.08947462</v>
      </c>
      <c r="FG39" s="31">
        <f t="shared" ca="1" si="41"/>
        <v>290750030.37654161</v>
      </c>
      <c r="FH39" s="31">
        <f t="shared" ca="1" si="41"/>
        <v>292871973.86422062</v>
      </c>
      <c r="FI39" s="31">
        <f t="shared" ca="1" si="41"/>
        <v>295280806.25770235</v>
      </c>
      <c r="FJ39" s="31">
        <f t="shared" ca="1" si="41"/>
        <v>297473987.87485081</v>
      </c>
      <c r="FK39" s="31">
        <f t="shared" ca="1" si="41"/>
        <v>300350466.84744471</v>
      </c>
      <c r="FL39" s="31">
        <f t="shared" ca="1" si="41"/>
        <v>302636638.53031856</v>
      </c>
      <c r="FM39" s="31">
        <f t="shared" ca="1" si="41"/>
        <v>304891970.66728669</v>
      </c>
      <c r="FN39" s="31">
        <f t="shared" ca="1" si="41"/>
        <v>307255554.21402526</v>
      </c>
      <c r="FO39" s="31">
        <f t="shared" ca="1" si="41"/>
        <v>309240551.58075917</v>
      </c>
      <c r="FP39" s="31">
        <f t="shared" ca="1" si="41"/>
        <v>311356821.27424043</v>
      </c>
      <c r="FQ39" s="31">
        <f t="shared" ca="1" si="41"/>
        <v>313467726.73680258</v>
      </c>
      <c r="FR39" s="31">
        <f t="shared" ca="1" si="41"/>
        <v>315409856.52039647</v>
      </c>
      <c r="FS39" s="31">
        <f t="shared" ca="1" si="41"/>
        <v>317516603.0317207</v>
      </c>
      <c r="FT39" s="31">
        <f t="shared" ca="1" si="41"/>
        <v>319700109.77229875</v>
      </c>
      <c r="FU39" s="31">
        <f t="shared" ca="1" si="41"/>
        <v>322178679.65194666</v>
      </c>
      <c r="FV39" s="31">
        <f t="shared" ca="1" si="41"/>
        <v>324435326.60791409</v>
      </c>
      <c r="FW39" s="31">
        <f t="shared" ca="1" si="41"/>
        <v>327388877.92004734</v>
      </c>
      <c r="FX39" s="31">
        <f t="shared" ca="1" si="41"/>
        <v>329730530.98053694</v>
      </c>
      <c r="FY39" s="31">
        <f t="shared" ca="1" si="41"/>
        <v>332041309.87152368</v>
      </c>
      <c r="FZ39" s="31">
        <f t="shared" ca="1" si="41"/>
        <v>334466011.8816396</v>
      </c>
      <c r="GA39" s="31">
        <f t="shared" ca="1" si="41"/>
        <v>336493048.99494612</v>
      </c>
      <c r="GB39" s="31">
        <f t="shared" ca="1" si="41"/>
        <v>338657769.02024758</v>
      </c>
      <c r="GC39" s="31">
        <f t="shared" ca="1" si="41"/>
        <v>340824425.17939246</v>
      </c>
      <c r="GD39" s="31">
        <f t="shared" ca="1" si="41"/>
        <v>342818381.42230636</v>
      </c>
      <c r="GE39" s="31">
        <f t="shared" ca="1" si="41"/>
        <v>344986235.80974388</v>
      </c>
      <c r="GF39" s="31">
        <f t="shared" ca="1" si="41"/>
        <v>347233105.08599585</v>
      </c>
      <c r="GG39" s="31">
        <f t="shared" ca="1" si="41"/>
        <v>349783447.13353944</v>
      </c>
      <c r="GH39" s="31">
        <f t="shared" ca="1" si="41"/>
        <v>352094805.78448546</v>
      </c>
      <c r="GI39" s="31">
        <f t="shared" ca="1" si="41"/>
        <v>355127678.5475961</v>
      </c>
      <c r="GJ39" s="31">
        <f t="shared" ca="1" si="41"/>
        <v>357526420.14499956</v>
      </c>
      <c r="GK39" s="31">
        <f t="shared" ca="1" si="41"/>
        <v>359894253.65365994</v>
      </c>
      <c r="GL39" s="31">
        <f t="shared" ca="1" si="41"/>
        <v>362381851.85446596</v>
      </c>
      <c r="GM39" s="31">
        <f t="shared" ca="1" si="41"/>
        <v>364452130.50045997</v>
      </c>
      <c r="GN39" s="31">
        <f t="shared" ca="1" si="41"/>
        <v>366666699.0649066</v>
      </c>
      <c r="GO39" s="31">
        <f t="shared" ca="1" si="41"/>
        <v>368890724.96206582</v>
      </c>
      <c r="GP39" s="31">
        <f t="shared" ref="GP39:IH39" ca="1" si="42">+GO39+GP38</f>
        <v>370938015.79778224</v>
      </c>
      <c r="GQ39" s="31">
        <f t="shared" ca="1" si="42"/>
        <v>373168765.21819347</v>
      </c>
      <c r="GR39" s="31">
        <f t="shared" ca="1" si="42"/>
        <v>375480850.76752567</v>
      </c>
      <c r="GS39" s="31">
        <f t="shared" ca="1" si="42"/>
        <v>378105061.27957499</v>
      </c>
      <c r="GT39" s="31">
        <f t="shared" ca="1" si="42"/>
        <v>380494247.98222262</v>
      </c>
      <c r="GU39" s="31">
        <f t="shared" ca="1" si="42"/>
        <v>383608759.41167939</v>
      </c>
      <c r="GV39" s="31">
        <f t="shared" ca="1" si="42"/>
        <v>386066245.49289405</v>
      </c>
      <c r="GW39" s="31">
        <f t="shared" ca="1" si="42"/>
        <v>388492790.27418238</v>
      </c>
      <c r="GX39" s="31">
        <f t="shared" ca="1" si="42"/>
        <v>391045116.28307652</v>
      </c>
      <c r="GY39" s="31">
        <f t="shared" ca="1" si="42"/>
        <v>393159874.89551914</v>
      </c>
      <c r="GZ39" s="31">
        <f t="shared" ca="1" si="42"/>
        <v>395425732.90678263</v>
      </c>
      <c r="HA39" s="31">
        <f t="shared" ca="1" si="42"/>
        <v>397708796.88389617</v>
      </c>
      <c r="HB39" s="31">
        <f t="shared" ca="1" si="42"/>
        <v>399810976.32617897</v>
      </c>
      <c r="HC39" s="31">
        <f t="shared" ca="1" si="42"/>
        <v>402106462.17948592</v>
      </c>
      <c r="HD39" s="31">
        <f t="shared" ca="1" si="42"/>
        <v>404485673.99422669</v>
      </c>
      <c r="HE39" s="31">
        <f t="shared" ca="1" si="42"/>
        <v>407185912.93176854</v>
      </c>
      <c r="HF39" s="31">
        <f t="shared" ca="1" si="42"/>
        <v>409644288.02874529</v>
      </c>
      <c r="HG39" s="31">
        <f t="shared" ca="1" si="42"/>
        <v>412842825.70767105</v>
      </c>
      <c r="HH39" s="31">
        <f t="shared" ca="1" si="42"/>
        <v>415360762.67130864</v>
      </c>
      <c r="HI39" s="31">
        <f t="shared" ca="1" si="42"/>
        <v>417847725.82960385</v>
      </c>
      <c r="HJ39" s="31">
        <f t="shared" ca="1" si="42"/>
        <v>420466666.96616501</v>
      </c>
      <c r="HK39" s="31">
        <f t="shared" ca="1" si="42"/>
        <v>422627181.93381506</v>
      </c>
      <c r="HL39" s="31">
        <f t="shared" ca="1" si="42"/>
        <v>424945814.49459314</v>
      </c>
      <c r="HM39" s="31">
        <f t="shared" ca="1" si="42"/>
        <v>427289635.87974983</v>
      </c>
      <c r="HN39" s="31">
        <f t="shared" ca="1" si="42"/>
        <v>429448305.37933087</v>
      </c>
      <c r="HO39" s="31">
        <f t="shared" ca="1" si="42"/>
        <v>431810425.11384302</v>
      </c>
      <c r="HP39" s="31">
        <f t="shared" ca="1" si="42"/>
        <v>434258731.31101733</v>
      </c>
      <c r="HQ39" s="31">
        <f t="shared" ca="1" si="42"/>
        <v>437037224.4290657</v>
      </c>
      <c r="HR39" s="31">
        <f t="shared" ca="1" si="42"/>
        <v>439566812.77713406</v>
      </c>
      <c r="HS39" s="31">
        <f t="shared" ca="1" si="42"/>
        <v>442851837.00863808</v>
      </c>
      <c r="HT39" s="31">
        <f t="shared" ca="1" si="42"/>
        <v>445431983.43767989</v>
      </c>
      <c r="HU39" s="31">
        <f t="shared" ca="1" si="42"/>
        <v>447981124.25270498</v>
      </c>
      <c r="HV39" s="31">
        <f t="shared" ca="1" si="42"/>
        <v>450668625.42329508</v>
      </c>
      <c r="HW39" s="31">
        <f t="shared" ca="1" si="42"/>
        <v>452876212.45578796</v>
      </c>
      <c r="HX39" s="31">
        <f t="shared" ca="1" si="42"/>
        <v>455249150.4228062</v>
      </c>
      <c r="HY39" s="31">
        <f t="shared" ca="1" si="42"/>
        <v>457655501.28529274</v>
      </c>
      <c r="HZ39" s="31">
        <f t="shared" ca="1" si="42"/>
        <v>459872311.34969664</v>
      </c>
      <c r="IA39" s="31">
        <f t="shared" ca="1" si="42"/>
        <v>462303020.33782947</v>
      </c>
      <c r="IB39" s="31">
        <f t="shared" ca="1" si="42"/>
        <v>464822449.10163182</v>
      </c>
      <c r="IC39" s="31">
        <f t="shared" ca="1" si="42"/>
        <v>467681490.16280061</v>
      </c>
      <c r="ID39" s="31">
        <f t="shared" ca="1" si="42"/>
        <v>470272067.81477118</v>
      </c>
      <c r="IE39" s="31">
        <f t="shared" ca="1" si="42"/>
        <v>473646114.06674039</v>
      </c>
      <c r="IF39" s="31">
        <f t="shared" ca="1" si="42"/>
        <v>476290282.53314906</v>
      </c>
      <c r="IG39" s="31">
        <f t="shared" ca="1" si="42"/>
        <v>478903414.25703698</v>
      </c>
      <c r="IH39" s="31">
        <f t="shared" ca="1" si="42"/>
        <v>481661479.9154107</v>
      </c>
    </row>
    <row r="41" spans="1:242" x14ac:dyDescent="0.3">
      <c r="B41" s="32"/>
      <c r="C41">
        <v>2024</v>
      </c>
      <c r="D41">
        <v>2025</v>
      </c>
      <c r="E41">
        <v>2026</v>
      </c>
      <c r="F41">
        <v>2027</v>
      </c>
      <c r="G41">
        <v>2028</v>
      </c>
      <c r="H41">
        <v>2029</v>
      </c>
      <c r="I41">
        <v>2030</v>
      </c>
      <c r="J41">
        <v>2031</v>
      </c>
      <c r="K41">
        <v>2032</v>
      </c>
      <c r="L41">
        <v>2033</v>
      </c>
      <c r="M41">
        <v>2034</v>
      </c>
      <c r="N41">
        <v>2035</v>
      </c>
      <c r="O41">
        <v>2036</v>
      </c>
      <c r="P41">
        <v>2037</v>
      </c>
      <c r="Q41">
        <v>2038</v>
      </c>
      <c r="R41">
        <v>2039</v>
      </c>
      <c r="S41">
        <v>2040</v>
      </c>
      <c r="T41">
        <v>2041</v>
      </c>
      <c r="U41">
        <v>2042</v>
      </c>
      <c r="V41">
        <v>2043</v>
      </c>
      <c r="W41">
        <v>2044</v>
      </c>
    </row>
    <row r="42" spans="1:242" x14ac:dyDescent="0.3">
      <c r="A42" t="s">
        <v>924</v>
      </c>
      <c r="B42" s="32"/>
      <c r="C42" s="30">
        <f t="shared" ref="C42:W42" si="43">+SUMIFS(38:38,12:12,C41)</f>
        <v>7254133.4174957592</v>
      </c>
      <c r="D42" s="30">
        <f t="shared" ca="1" si="43"/>
        <v>19435254.64767075</v>
      </c>
      <c r="E42" s="30">
        <f t="shared" ca="1" si="43"/>
        <v>18639200.205296259</v>
      </c>
      <c r="F42" s="30">
        <f t="shared" ca="1" si="43"/>
        <v>19141321.456351429</v>
      </c>
      <c r="G42" s="30">
        <f t="shared" ca="1" si="43"/>
        <v>19706786.085972197</v>
      </c>
      <c r="H42" s="30">
        <f t="shared" ca="1" si="43"/>
        <v>20258030.857325617</v>
      </c>
      <c r="I42" s="69">
        <f t="shared" ca="1" si="43"/>
        <v>20894643.901403848</v>
      </c>
      <c r="J42" s="30">
        <f t="shared" ca="1" si="43"/>
        <v>21206587.631791834</v>
      </c>
      <c r="K42" s="30">
        <f t="shared" ca="1" si="43"/>
        <v>21799963.905516636</v>
      </c>
      <c r="L42" s="30">
        <f t="shared" ca="1" si="43"/>
        <v>22440683.223822147</v>
      </c>
      <c r="M42" s="30">
        <f t="shared" ca="1" si="43"/>
        <v>23074452.771445733</v>
      </c>
      <c r="N42" s="30">
        <f t="shared" ca="1" si="43"/>
        <v>24983498.016408633</v>
      </c>
      <c r="O42" s="30">
        <f t="shared" ca="1" si="43"/>
        <v>25832120.88517426</v>
      </c>
      <c r="P42" s="30">
        <f t="shared" ca="1" si="43"/>
        <v>26083353.370866369</v>
      </c>
      <c r="Q42" s="30">
        <f t="shared" ca="1" si="43"/>
        <v>26766572.655179124</v>
      </c>
      <c r="R42" s="30">
        <f t="shared" ca="1" si="43"/>
        <v>27469632.778023105</v>
      </c>
      <c r="S42" s="30">
        <f t="shared" ca="1" si="43"/>
        <v>28182529.408449665</v>
      </c>
      <c r="T42" s="30">
        <f t="shared" ca="1" si="43"/>
        <v>28937696.961292349</v>
      </c>
      <c r="U42" s="30">
        <f t="shared" ca="1" si="43"/>
        <v>29703962.934357159</v>
      </c>
      <c r="V42" s="30">
        <f t="shared" ca="1" si="43"/>
        <v>30492595.223986376</v>
      </c>
      <c r="W42" s="30">
        <f t="shared" ca="1" si="43"/>
        <v>19358459.577581204</v>
      </c>
    </row>
    <row r="43" spans="1:242" x14ac:dyDescent="0.3">
      <c r="A43" t="s">
        <v>925</v>
      </c>
      <c r="B43" s="35"/>
      <c r="C43" s="33">
        <f>+C42</f>
        <v>7254133.4174957592</v>
      </c>
      <c r="D43" s="33">
        <f ca="1">+C43+D42</f>
        <v>26689388.065166511</v>
      </c>
      <c r="E43" s="33">
        <f t="shared" ref="E43:W43" ca="1" si="44">+D43+E42</f>
        <v>45328588.270462766</v>
      </c>
      <c r="F43" s="33">
        <f t="shared" ca="1" si="44"/>
        <v>64469909.726814196</v>
      </c>
      <c r="G43" s="33">
        <f t="shared" ca="1" si="44"/>
        <v>84176695.8127864</v>
      </c>
      <c r="H43" s="33">
        <f t="shared" ca="1" si="44"/>
        <v>104434726.67011201</v>
      </c>
      <c r="I43" s="33">
        <f t="shared" ca="1" si="44"/>
        <v>125329370.57151586</v>
      </c>
      <c r="J43" s="33">
        <f t="shared" ca="1" si="44"/>
        <v>146535958.20330769</v>
      </c>
      <c r="K43" s="33">
        <f t="shared" ca="1" si="44"/>
        <v>168335922.10882431</v>
      </c>
      <c r="L43" s="33">
        <f t="shared" ca="1" si="44"/>
        <v>190776605.33264646</v>
      </c>
      <c r="M43" s="33">
        <f t="shared" ca="1" si="44"/>
        <v>213851058.10409218</v>
      </c>
      <c r="N43" s="33">
        <f t="shared" ca="1" si="44"/>
        <v>238834556.1205008</v>
      </c>
      <c r="O43" s="33">
        <f t="shared" ca="1" si="44"/>
        <v>264666677.00567508</v>
      </c>
      <c r="P43" s="33">
        <f t="shared" ca="1" si="44"/>
        <v>290750030.37654144</v>
      </c>
      <c r="Q43" s="33">
        <f t="shared" ca="1" si="44"/>
        <v>317516603.03172058</v>
      </c>
      <c r="R43" s="33">
        <f t="shared" ca="1" si="44"/>
        <v>344986235.8097437</v>
      </c>
      <c r="S43" s="33">
        <f t="shared" ca="1" si="44"/>
        <v>373168765.21819335</v>
      </c>
      <c r="T43" s="33">
        <f t="shared" ca="1" si="44"/>
        <v>402106462.17948568</v>
      </c>
      <c r="U43" s="33">
        <f t="shared" ca="1" si="44"/>
        <v>431810425.11384284</v>
      </c>
      <c r="V43" s="33">
        <f t="shared" ca="1" si="44"/>
        <v>462303020.33782923</v>
      </c>
      <c r="W43" s="33">
        <f t="shared" ca="1" si="44"/>
        <v>481661479.91541046</v>
      </c>
    </row>
    <row r="44" spans="1:242" x14ac:dyDescent="0.3">
      <c r="B44" s="35"/>
    </row>
    <row r="45" spans="1:242" x14ac:dyDescent="0.3">
      <c r="B45" s="35"/>
    </row>
    <row r="46" spans="1:242" x14ac:dyDescent="0.3">
      <c r="A46" s="6" t="s">
        <v>926</v>
      </c>
      <c r="B46" s="43" t="s">
        <v>927</v>
      </c>
      <c r="C46" s="43" t="s">
        <v>928</v>
      </c>
      <c r="D46" s="43"/>
      <c r="E46" s="43"/>
    </row>
    <row r="47" spans="1:242" x14ac:dyDescent="0.3">
      <c r="A47" t="s">
        <v>929</v>
      </c>
      <c r="B47" s="35">
        <f>+NPV(15%,C22:H22)</f>
        <v>72180006.419122919</v>
      </c>
      <c r="C47" s="35">
        <f>+NPV(15%,C22:M22)</f>
        <v>109763479.13492785</v>
      </c>
      <c r="D47" s="35"/>
      <c r="E47" s="35"/>
    </row>
    <row r="48" spans="1:242" x14ac:dyDescent="0.3">
      <c r="A48" t="s">
        <v>941</v>
      </c>
      <c r="B48" s="35">
        <f ca="1">+NPV(15%,C36:H36)</f>
        <v>9420668.8827804439</v>
      </c>
      <c r="C48" s="35">
        <f ca="1">+NPV(15%,C36:M36)</f>
        <v>15512998.654891033</v>
      </c>
      <c r="D48" s="35"/>
      <c r="E48" s="35"/>
    </row>
    <row r="49" spans="1:122" x14ac:dyDescent="0.3">
      <c r="A49" t="s">
        <v>854</v>
      </c>
      <c r="B49" s="35">
        <f ca="1">+B47-B48</f>
        <v>62759337.536342472</v>
      </c>
      <c r="C49" s="35">
        <f ca="1">+C47-C48</f>
        <v>94250480.480036825</v>
      </c>
      <c r="D49" s="35"/>
      <c r="E49" s="35"/>
    </row>
    <row r="50" spans="1:122" hidden="1" x14ac:dyDescent="0.3">
      <c r="A50" t="s">
        <v>932</v>
      </c>
      <c r="B50" s="35">
        <f ca="1">+NPV(15%,C42:H42)</f>
        <v>62759337.536342472</v>
      </c>
      <c r="C50" s="35">
        <f ca="1">+NPV(15%,C42:M42)</f>
        <v>94250480.48003681</v>
      </c>
      <c r="D50" s="35"/>
      <c r="E50" s="35"/>
    </row>
    <row r="51" spans="1:122" x14ac:dyDescent="0.3">
      <c r="A51" t="s">
        <v>942</v>
      </c>
      <c r="B51" s="38">
        <f ca="1">+B49/B47</f>
        <v>0.86948367906649848</v>
      </c>
      <c r="C51" s="38">
        <f ca="1">+C49/C47</f>
        <v>0.85866885072200094</v>
      </c>
      <c r="D51" s="38"/>
      <c r="E51" s="38"/>
    </row>
    <row r="52" spans="1:122" x14ac:dyDescent="0.3">
      <c r="B52" s="38"/>
      <c r="C52" s="38"/>
      <c r="D52" s="38"/>
      <c r="E52" s="38"/>
    </row>
    <row r="53" spans="1:122" x14ac:dyDescent="0.3">
      <c r="A53" s="6"/>
    </row>
    <row r="54" spans="1:122" x14ac:dyDescent="0.3">
      <c r="A54" s="6" t="s">
        <v>935</v>
      </c>
      <c r="B54" s="6" t="s">
        <v>788</v>
      </c>
      <c r="C54" s="6" t="s">
        <v>936</v>
      </c>
    </row>
    <row r="55" spans="1:122" x14ac:dyDescent="0.3">
      <c r="A55" t="s">
        <v>929</v>
      </c>
      <c r="B55" s="31">
        <f>+SUM(C22:H22)</f>
        <v>120942938.79683499</v>
      </c>
      <c r="C55" s="31">
        <f>+SUM(C22:M22)</f>
        <v>251679263.83125755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</row>
    <row r="56" spans="1:122" x14ac:dyDescent="0.3">
      <c r="A56" t="s">
        <v>937</v>
      </c>
      <c r="B56" s="31">
        <f ca="1">+SUM(C36:H36)</f>
        <v>16508212.126722973</v>
      </c>
      <c r="C56" s="31">
        <f ca="1">+SUM(C36:M36)</f>
        <v>37828205.727165312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</row>
    <row r="57" spans="1:122" x14ac:dyDescent="0.3">
      <c r="A57" t="s">
        <v>854</v>
      </c>
      <c r="B57" s="31">
        <f ca="1">+B55-B56</f>
        <v>104434726.67011201</v>
      </c>
      <c r="C57" s="31">
        <f ca="1">+C55-C56</f>
        <v>213851058.10409224</v>
      </c>
      <c r="D57" s="30"/>
      <c r="E57" s="30"/>
      <c r="F57" s="30"/>
      <c r="G57" s="30"/>
      <c r="H57" s="30"/>
      <c r="I57" s="6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</row>
    <row r="58" spans="1:122" x14ac:dyDescent="0.3">
      <c r="A58" t="s">
        <v>938</v>
      </c>
      <c r="B58" s="38">
        <f ca="1">+B57/B55</f>
        <v>0.86350412607011173</v>
      </c>
      <c r="C58" s="38">
        <f ca="1">+C57/C55</f>
        <v>0.84969677218808204</v>
      </c>
      <c r="D58" s="30"/>
      <c r="E58" s="30"/>
      <c r="F58" s="30"/>
      <c r="G58" s="30"/>
      <c r="H58" s="30"/>
      <c r="I58" s="6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</row>
    <row r="59" spans="1:122" x14ac:dyDescent="0.3"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</row>
    <row r="60" spans="1:122" x14ac:dyDescent="0.3"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</row>
    <row r="61" spans="1:122" x14ac:dyDescent="0.3"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</row>
    <row r="62" spans="1:122" x14ac:dyDescent="0.3">
      <c r="C62" s="30"/>
      <c r="D62" s="30"/>
      <c r="E62" s="30"/>
      <c r="F62" s="30"/>
      <c r="G62" s="30"/>
      <c r="H62" s="30"/>
      <c r="I62" s="6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</row>
    <row r="63" spans="1:122" x14ac:dyDescent="0.3"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</row>
    <row r="65" spans="1:122" x14ac:dyDescent="0.3">
      <c r="A65" s="6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</row>
    <row r="66" spans="1:122" x14ac:dyDescent="0.3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</row>
    <row r="67" spans="1:122" x14ac:dyDescent="0.3"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</row>
    <row r="68" spans="1:122" x14ac:dyDescent="0.3">
      <c r="A68" s="6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</row>
    <row r="70" spans="1:122" x14ac:dyDescent="0.3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</row>
    <row r="71" spans="1:122" x14ac:dyDescent="0.3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</row>
    <row r="74" spans="1:122" x14ac:dyDescent="0.3">
      <c r="C74" s="30"/>
      <c r="D74" s="30"/>
      <c r="E74" s="30"/>
      <c r="F74" s="30"/>
      <c r="G74" s="30"/>
      <c r="H74" s="30"/>
      <c r="I74" s="69"/>
      <c r="J74" s="30"/>
      <c r="K74" s="30"/>
      <c r="L74" s="30"/>
      <c r="M74" s="30"/>
    </row>
    <row r="75" spans="1:122" x14ac:dyDescent="0.3">
      <c r="B75" s="35"/>
      <c r="C75" s="30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8" spans="1:122" x14ac:dyDescent="0.3">
      <c r="A78" s="6"/>
      <c r="B78" s="43"/>
      <c r="C78" s="43"/>
    </row>
    <row r="79" spans="1:122" x14ac:dyDescent="0.3">
      <c r="B79" s="35"/>
      <c r="C79" s="35"/>
    </row>
    <row r="80" spans="1:122" x14ac:dyDescent="0.3">
      <c r="B80" s="35"/>
      <c r="C80" s="35"/>
    </row>
    <row r="81" spans="2:3" x14ac:dyDescent="0.3">
      <c r="B81" s="35"/>
      <c r="C81" s="35"/>
    </row>
    <row r="82" spans="2:3" x14ac:dyDescent="0.3">
      <c r="B82" s="35"/>
      <c r="C82" s="35"/>
    </row>
    <row r="83" spans="2:3" x14ac:dyDescent="0.3">
      <c r="B83" s="38"/>
      <c r="C83" s="38"/>
    </row>
    <row r="84" spans="2:3" x14ac:dyDescent="0.3">
      <c r="B84" s="35"/>
    </row>
    <row r="86" spans="2:3" x14ac:dyDescent="0.3">
      <c r="B86" s="38"/>
      <c r="C86" s="38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87F7-978A-4E44-8E00-6951F7F7ED48}">
  <dimension ref="A1:IH86"/>
  <sheetViews>
    <sheetView topLeftCell="A35" workbookViewId="0">
      <selection activeCell="F55" sqref="F55"/>
    </sheetView>
  </sheetViews>
  <sheetFormatPr baseColWidth="10" defaultColWidth="11.44140625" defaultRowHeight="14.4" x14ac:dyDescent="0.3"/>
  <cols>
    <col min="1" max="1" width="30.44140625" bestFit="1" customWidth="1"/>
    <col min="2" max="2" width="12.5546875" bestFit="1" customWidth="1"/>
    <col min="3" max="4" width="14" bestFit="1" customWidth="1"/>
    <col min="5" max="7" width="12.5546875" bestFit="1" customWidth="1"/>
    <col min="8" max="23" width="13.5546875" bestFit="1" customWidth="1"/>
    <col min="24" max="65" width="11.5546875" bestFit="1" customWidth="1"/>
    <col min="66" max="242" width="12.5546875" bestFit="1" customWidth="1"/>
  </cols>
  <sheetData>
    <row r="1" spans="1:242" x14ac:dyDescent="0.3">
      <c r="A1" t="s">
        <v>905</v>
      </c>
      <c r="B1" s="9">
        <v>0.2</v>
      </c>
    </row>
    <row r="2" spans="1:242" x14ac:dyDescent="0.3">
      <c r="A2" s="6" t="s">
        <v>906</v>
      </c>
    </row>
    <row r="4" spans="1:242" x14ac:dyDescent="0.3">
      <c r="C4" s="14">
        <f>+Tarifas!S6</f>
        <v>45505</v>
      </c>
      <c r="D4" s="14">
        <f>+Tarifas!T6</f>
        <v>45536</v>
      </c>
      <c r="E4" s="14">
        <f>+Tarifas!U6</f>
        <v>45566</v>
      </c>
      <c r="F4" s="14">
        <f>+Tarifas!V6</f>
        <v>45597</v>
      </c>
      <c r="G4" s="14">
        <f>+Tarifas!W6</f>
        <v>45627</v>
      </c>
      <c r="H4" s="14">
        <f>+Tarifas!X6</f>
        <v>45658</v>
      </c>
      <c r="I4" s="14">
        <f>+Tarifas!Y6</f>
        <v>45689</v>
      </c>
      <c r="J4" s="14">
        <f>+Tarifas!Z6</f>
        <v>45717</v>
      </c>
      <c r="K4" s="14">
        <f>+Tarifas!AA6</f>
        <v>45748</v>
      </c>
      <c r="L4" s="14">
        <f>+Tarifas!AB6</f>
        <v>45778</v>
      </c>
      <c r="M4" s="14">
        <f>+Tarifas!AC6</f>
        <v>45809</v>
      </c>
      <c r="N4" s="14">
        <f>+Tarifas!AD6</f>
        <v>45839</v>
      </c>
      <c r="O4" s="14">
        <f>+Tarifas!AE6</f>
        <v>45870</v>
      </c>
      <c r="P4" s="14">
        <f>+Tarifas!AF6</f>
        <v>45901</v>
      </c>
      <c r="Q4" s="14">
        <f>+Tarifas!AG6</f>
        <v>45931</v>
      </c>
      <c r="R4" s="14">
        <f>+Tarifas!AH6</f>
        <v>45962</v>
      </c>
      <c r="S4" s="14">
        <f>+Tarifas!AI6</f>
        <v>45992</v>
      </c>
      <c r="T4" s="14">
        <f>+Tarifas!AJ6</f>
        <v>46023</v>
      </c>
      <c r="U4" s="14">
        <f>+Tarifas!AK6</f>
        <v>46054</v>
      </c>
      <c r="V4" s="14">
        <f>+Tarifas!AL6</f>
        <v>46082</v>
      </c>
      <c r="W4" s="14">
        <f>+Tarifas!AM6</f>
        <v>46113</v>
      </c>
      <c r="X4" s="14">
        <f>+Tarifas!AN6</f>
        <v>46143</v>
      </c>
      <c r="Y4" s="14">
        <f>+Tarifas!AO6</f>
        <v>46174</v>
      </c>
      <c r="Z4" s="14">
        <f>+Tarifas!AP6</f>
        <v>46204</v>
      </c>
      <c r="AA4" s="14">
        <f>+Tarifas!AQ6</f>
        <v>46235</v>
      </c>
      <c r="AB4" s="14">
        <f>+Tarifas!AR6</f>
        <v>46266</v>
      </c>
      <c r="AC4" s="14">
        <f>+Tarifas!AS6</f>
        <v>46296</v>
      </c>
      <c r="AD4" s="14">
        <f>+Tarifas!AT6</f>
        <v>46327</v>
      </c>
      <c r="AE4" s="14">
        <f>+Tarifas!AU6</f>
        <v>46357</v>
      </c>
      <c r="AF4" s="14">
        <f>+Tarifas!AV6</f>
        <v>46388</v>
      </c>
      <c r="AG4" s="14">
        <f>+Tarifas!AW6</f>
        <v>46419</v>
      </c>
      <c r="AH4" s="14">
        <f>+Tarifas!AX6</f>
        <v>46447</v>
      </c>
      <c r="AI4" s="14">
        <f>+Tarifas!AY6</f>
        <v>46478</v>
      </c>
      <c r="AJ4" s="14">
        <f>+Tarifas!AZ6</f>
        <v>46508</v>
      </c>
      <c r="AK4" s="14">
        <f>+Tarifas!BA6</f>
        <v>46539</v>
      </c>
      <c r="AL4" s="14">
        <f>+Tarifas!BB6</f>
        <v>46569</v>
      </c>
      <c r="AM4" s="14">
        <f>+Tarifas!BC6</f>
        <v>46600</v>
      </c>
      <c r="AN4" s="14">
        <f>+Tarifas!BD6</f>
        <v>46631</v>
      </c>
      <c r="AO4" s="14">
        <f>+Tarifas!BE6</f>
        <v>46661</v>
      </c>
      <c r="AP4" s="14">
        <f>+Tarifas!BF6</f>
        <v>46692</v>
      </c>
      <c r="AQ4" s="14">
        <f>+Tarifas!BG6</f>
        <v>46722</v>
      </c>
      <c r="AR4" s="14">
        <f>+Tarifas!BH6</f>
        <v>46753</v>
      </c>
      <c r="AS4" s="14">
        <f>+Tarifas!BI6</f>
        <v>46784</v>
      </c>
      <c r="AT4" s="14">
        <f>+Tarifas!BJ6</f>
        <v>46813</v>
      </c>
      <c r="AU4" s="14">
        <f>+Tarifas!BK6</f>
        <v>46844</v>
      </c>
      <c r="AV4" s="14">
        <f>+Tarifas!BL6</f>
        <v>46874</v>
      </c>
      <c r="AW4" s="14">
        <f>+Tarifas!BM6</f>
        <v>46905</v>
      </c>
      <c r="AX4" s="14">
        <f>+Tarifas!BN6</f>
        <v>46935</v>
      </c>
      <c r="AY4" s="14">
        <f>+Tarifas!BO6</f>
        <v>46966</v>
      </c>
      <c r="AZ4" s="14">
        <f>+Tarifas!BP6</f>
        <v>46997</v>
      </c>
      <c r="BA4" s="14">
        <f>+Tarifas!BQ6</f>
        <v>47027</v>
      </c>
      <c r="BB4" s="14">
        <f>+Tarifas!BR6</f>
        <v>47058</v>
      </c>
      <c r="BC4" s="14">
        <f>+Tarifas!BS6</f>
        <v>47088</v>
      </c>
      <c r="BD4" s="14">
        <f>+Tarifas!BT6</f>
        <v>47119</v>
      </c>
      <c r="BE4" s="14">
        <f>+Tarifas!BU6</f>
        <v>47150</v>
      </c>
      <c r="BF4" s="14">
        <f>+Tarifas!BV6</f>
        <v>47178</v>
      </c>
      <c r="BG4" s="14">
        <f>+Tarifas!BW6</f>
        <v>47209</v>
      </c>
      <c r="BH4" s="14">
        <f>+Tarifas!BX6</f>
        <v>47239</v>
      </c>
      <c r="BI4" s="14">
        <f>+Tarifas!BY6</f>
        <v>47270</v>
      </c>
      <c r="BJ4" s="14">
        <f>+Tarifas!BZ6</f>
        <v>47300</v>
      </c>
      <c r="BK4" s="14">
        <f>+Tarifas!CA6</f>
        <v>47331</v>
      </c>
      <c r="BL4" s="14">
        <f>+Tarifas!CB6</f>
        <v>47362</v>
      </c>
      <c r="BM4" s="14">
        <f>+Tarifas!CC6</f>
        <v>47392</v>
      </c>
      <c r="BN4" s="14">
        <f>+Tarifas!CD6</f>
        <v>47423</v>
      </c>
      <c r="BO4" s="14">
        <f>+Tarifas!CE6</f>
        <v>47453</v>
      </c>
      <c r="BP4" s="14">
        <f>+Tarifas!CF6</f>
        <v>47484</v>
      </c>
      <c r="BQ4" s="14">
        <f>+Tarifas!CG6</f>
        <v>47515</v>
      </c>
      <c r="BR4" s="14">
        <f>+Tarifas!CH6</f>
        <v>47543</v>
      </c>
      <c r="BS4" s="14">
        <f>+Tarifas!CI6</f>
        <v>47574</v>
      </c>
      <c r="BT4" s="14">
        <f>+Tarifas!CJ6</f>
        <v>47604</v>
      </c>
      <c r="BU4" s="14">
        <f>+Tarifas!CK6</f>
        <v>47635</v>
      </c>
      <c r="BV4" s="14">
        <f>+Tarifas!CL6</f>
        <v>47665</v>
      </c>
      <c r="BW4" s="14">
        <f>+Tarifas!CM6</f>
        <v>47696</v>
      </c>
      <c r="BX4" s="14">
        <f>+Tarifas!CN6</f>
        <v>47727</v>
      </c>
      <c r="BY4" s="14">
        <f>+Tarifas!CO6</f>
        <v>47757</v>
      </c>
      <c r="BZ4" s="14">
        <f>+Tarifas!CP6</f>
        <v>47788</v>
      </c>
      <c r="CA4" s="14">
        <f>+Tarifas!CQ6</f>
        <v>47818</v>
      </c>
      <c r="CB4" s="14">
        <f>+Tarifas!CR6</f>
        <v>47849</v>
      </c>
      <c r="CC4" s="14">
        <f>+Tarifas!CS6</f>
        <v>47880</v>
      </c>
      <c r="CD4" s="14">
        <f>+Tarifas!CT6</f>
        <v>47908</v>
      </c>
      <c r="CE4" s="14">
        <f>+Tarifas!CU6</f>
        <v>47939</v>
      </c>
      <c r="CF4" s="14">
        <f>+Tarifas!CV6</f>
        <v>47969</v>
      </c>
      <c r="CG4" s="14">
        <f>+Tarifas!CW6</f>
        <v>48000</v>
      </c>
      <c r="CH4" s="14">
        <f>+Tarifas!CX6</f>
        <v>48030</v>
      </c>
      <c r="CI4" s="14">
        <f>+Tarifas!CY6</f>
        <v>48061</v>
      </c>
      <c r="CJ4" s="14">
        <f>+Tarifas!CZ6</f>
        <v>48092</v>
      </c>
      <c r="CK4" s="14">
        <f>+Tarifas!DA6</f>
        <v>48122</v>
      </c>
      <c r="CL4" s="14">
        <f>+Tarifas!DB6</f>
        <v>48153</v>
      </c>
      <c r="CM4" s="14">
        <f>+Tarifas!DC6</f>
        <v>48183</v>
      </c>
      <c r="CN4" s="14">
        <f>+Tarifas!DD6</f>
        <v>48214</v>
      </c>
      <c r="CO4" s="14">
        <f>+Tarifas!DE6</f>
        <v>48245</v>
      </c>
      <c r="CP4" s="14">
        <f>+Tarifas!DF6</f>
        <v>48274</v>
      </c>
      <c r="CQ4" s="14">
        <f>+Tarifas!DG6</f>
        <v>48305</v>
      </c>
      <c r="CR4" s="14">
        <f>+Tarifas!DH6</f>
        <v>48335</v>
      </c>
      <c r="CS4" s="14">
        <f>+Tarifas!DI6</f>
        <v>48366</v>
      </c>
      <c r="CT4" s="14">
        <f>+Tarifas!DJ6</f>
        <v>48396</v>
      </c>
      <c r="CU4" s="14">
        <f>+Tarifas!DK6</f>
        <v>48427</v>
      </c>
      <c r="CV4" s="14">
        <f>+Tarifas!DL6</f>
        <v>48458</v>
      </c>
      <c r="CW4" s="14">
        <f>+Tarifas!DM6</f>
        <v>48488</v>
      </c>
      <c r="CX4" s="14">
        <f>+Tarifas!DN6</f>
        <v>48519</v>
      </c>
      <c r="CY4" s="14">
        <f>+Tarifas!DO6</f>
        <v>48549</v>
      </c>
      <c r="CZ4" s="14">
        <f>+Tarifas!DP6</f>
        <v>48580</v>
      </c>
      <c r="DA4" s="14">
        <f>+Tarifas!DQ6</f>
        <v>48611</v>
      </c>
      <c r="DB4" s="14">
        <f>+Tarifas!DR6</f>
        <v>48639</v>
      </c>
      <c r="DC4" s="14">
        <f>+Tarifas!DS6</f>
        <v>48670</v>
      </c>
      <c r="DD4" s="14">
        <f>+Tarifas!DT6</f>
        <v>48700</v>
      </c>
      <c r="DE4" s="14">
        <f>+Tarifas!DU6</f>
        <v>48731</v>
      </c>
      <c r="DF4" s="14">
        <f>+Tarifas!DV6</f>
        <v>48761</v>
      </c>
      <c r="DG4" s="14">
        <f>+Tarifas!DW6</f>
        <v>48792</v>
      </c>
      <c r="DH4" s="14">
        <f>+Tarifas!DX6</f>
        <v>48823</v>
      </c>
      <c r="DI4" s="14">
        <f>+Tarifas!DY6</f>
        <v>48853</v>
      </c>
      <c r="DJ4" s="14">
        <f>+Tarifas!DZ6</f>
        <v>48884</v>
      </c>
      <c r="DK4" s="14">
        <f>+Tarifas!EA6</f>
        <v>48914</v>
      </c>
      <c r="DL4" s="14">
        <f>+Tarifas!EB6</f>
        <v>48945</v>
      </c>
      <c r="DM4" s="14">
        <f>+Tarifas!EC6</f>
        <v>48976</v>
      </c>
      <c r="DN4" s="14">
        <f>+Tarifas!ED6</f>
        <v>49004</v>
      </c>
      <c r="DO4" s="14">
        <f>+Tarifas!EE6</f>
        <v>49035</v>
      </c>
      <c r="DP4" s="14">
        <f>+Tarifas!EF6</f>
        <v>49065</v>
      </c>
      <c r="DQ4" s="14">
        <f>+Tarifas!EG6</f>
        <v>49096</v>
      </c>
      <c r="DR4" s="14">
        <f>+Tarifas!EH6</f>
        <v>49126</v>
      </c>
      <c r="DS4" s="14">
        <f>+Tarifas!EI6</f>
        <v>49157</v>
      </c>
      <c r="DT4" s="14">
        <f>+Tarifas!EJ6</f>
        <v>49188</v>
      </c>
      <c r="DU4" s="14">
        <f>+Tarifas!EK6</f>
        <v>49218</v>
      </c>
      <c r="DV4" s="14">
        <f>+Tarifas!EL6</f>
        <v>49249</v>
      </c>
      <c r="DW4" s="14">
        <f>+Tarifas!EM6</f>
        <v>49279</v>
      </c>
      <c r="DX4" s="14">
        <f>+Tarifas!EN6</f>
        <v>49310</v>
      </c>
      <c r="DY4" s="14">
        <f>+Tarifas!EO6</f>
        <v>49341</v>
      </c>
      <c r="DZ4" s="14">
        <f>+Tarifas!EP6</f>
        <v>49369</v>
      </c>
      <c r="EA4" s="14">
        <f>+Tarifas!EQ6</f>
        <v>49400</v>
      </c>
      <c r="EB4" s="14">
        <f>+Tarifas!ER6</f>
        <v>49430</v>
      </c>
      <c r="EC4" s="14">
        <f>+Tarifas!ES6</f>
        <v>49461</v>
      </c>
      <c r="ED4" s="14">
        <f>+Tarifas!ET6</f>
        <v>49491</v>
      </c>
      <c r="EE4" s="14">
        <f>+Tarifas!EU6</f>
        <v>49522</v>
      </c>
      <c r="EF4" s="14">
        <f>+Tarifas!EV6</f>
        <v>49553</v>
      </c>
      <c r="EG4" s="14">
        <f>+Tarifas!EW6</f>
        <v>49583</v>
      </c>
      <c r="EH4" s="14">
        <f>+Tarifas!EX6</f>
        <v>49614</v>
      </c>
      <c r="EI4" s="14">
        <f>+Tarifas!EY6</f>
        <v>49644</v>
      </c>
      <c r="EJ4" s="14">
        <f>+Tarifas!EZ6</f>
        <v>49675</v>
      </c>
      <c r="EK4" s="14">
        <f>+Tarifas!FA6</f>
        <v>49706</v>
      </c>
      <c r="EL4" s="14">
        <f>+Tarifas!FB6</f>
        <v>49735</v>
      </c>
      <c r="EM4" s="14">
        <f>+Tarifas!FC6</f>
        <v>49766</v>
      </c>
      <c r="EN4" s="14">
        <f>+Tarifas!FD6</f>
        <v>49796</v>
      </c>
      <c r="EO4" s="14">
        <f>+Tarifas!FE6</f>
        <v>49827</v>
      </c>
      <c r="EP4" s="14">
        <f>+Tarifas!FF6</f>
        <v>49857</v>
      </c>
      <c r="EQ4" s="14">
        <f>+Tarifas!FG6</f>
        <v>49888</v>
      </c>
      <c r="ER4" s="14">
        <f>+Tarifas!FH6</f>
        <v>49919</v>
      </c>
      <c r="ES4" s="14">
        <f>+Tarifas!FI6</f>
        <v>49949</v>
      </c>
      <c r="ET4" s="14">
        <f>+Tarifas!FJ6</f>
        <v>49980</v>
      </c>
      <c r="EU4" s="14">
        <f>+Tarifas!FK6</f>
        <v>50010</v>
      </c>
      <c r="EV4" s="14">
        <f>+Tarifas!FL6</f>
        <v>50041</v>
      </c>
      <c r="EW4" s="14">
        <f>+Tarifas!FM6</f>
        <v>50072</v>
      </c>
      <c r="EX4" s="14">
        <f>+Tarifas!FN6</f>
        <v>50100</v>
      </c>
      <c r="EY4" s="14">
        <f>+Tarifas!FO6</f>
        <v>50131</v>
      </c>
      <c r="EZ4" s="14">
        <f>+Tarifas!FP6</f>
        <v>50161</v>
      </c>
      <c r="FA4" s="14">
        <f>+Tarifas!FQ6</f>
        <v>50192</v>
      </c>
      <c r="FB4" s="14">
        <f>+Tarifas!FR6</f>
        <v>50222</v>
      </c>
      <c r="FC4" s="14">
        <f>+Tarifas!FS6</f>
        <v>50253</v>
      </c>
      <c r="FD4" s="14">
        <f>+Tarifas!FT6</f>
        <v>50284</v>
      </c>
      <c r="FE4" s="14">
        <f>+Tarifas!FU6</f>
        <v>50314</v>
      </c>
      <c r="FF4" s="14">
        <f>+Tarifas!FV6</f>
        <v>50345</v>
      </c>
      <c r="FG4" s="14">
        <f>+Tarifas!FW6</f>
        <v>50375</v>
      </c>
      <c r="FH4" s="14">
        <f>+Tarifas!FX6</f>
        <v>50406</v>
      </c>
      <c r="FI4" s="14">
        <f>+Tarifas!FY6</f>
        <v>50437</v>
      </c>
      <c r="FJ4" s="14">
        <f>+Tarifas!FZ6</f>
        <v>50465</v>
      </c>
      <c r="FK4" s="14">
        <f>+Tarifas!GA6</f>
        <v>50496</v>
      </c>
      <c r="FL4" s="14">
        <f>+Tarifas!GB6</f>
        <v>50526</v>
      </c>
      <c r="FM4" s="14">
        <f>+Tarifas!GC6</f>
        <v>50557</v>
      </c>
      <c r="FN4" s="14">
        <f>+Tarifas!GD6</f>
        <v>50587</v>
      </c>
      <c r="FO4" s="14">
        <f>+Tarifas!GE6</f>
        <v>50618</v>
      </c>
      <c r="FP4" s="14">
        <f>+Tarifas!GF6</f>
        <v>50649</v>
      </c>
      <c r="FQ4" s="14">
        <f>+Tarifas!GG6</f>
        <v>50679</v>
      </c>
      <c r="FR4" s="14">
        <f>+Tarifas!GH6</f>
        <v>50710</v>
      </c>
      <c r="FS4" s="14">
        <f>+Tarifas!GI6</f>
        <v>50740</v>
      </c>
      <c r="FT4" s="14">
        <f>+Tarifas!GJ6</f>
        <v>50771</v>
      </c>
      <c r="FU4" s="14">
        <f>+Tarifas!GK6</f>
        <v>50802</v>
      </c>
      <c r="FV4" s="14">
        <f>+Tarifas!GL6</f>
        <v>50830</v>
      </c>
      <c r="FW4" s="14">
        <f>+Tarifas!GM6</f>
        <v>50861</v>
      </c>
      <c r="FX4" s="14">
        <f>+Tarifas!GN6</f>
        <v>50891</v>
      </c>
      <c r="FY4" s="14">
        <f>+Tarifas!GO6</f>
        <v>50922</v>
      </c>
      <c r="FZ4" s="14">
        <f>+Tarifas!GP6</f>
        <v>50952</v>
      </c>
      <c r="GA4" s="14">
        <f>+Tarifas!GQ6</f>
        <v>50983</v>
      </c>
      <c r="GB4" s="14">
        <f>+Tarifas!GR6</f>
        <v>51014</v>
      </c>
      <c r="GC4" s="14">
        <f>+Tarifas!GS6</f>
        <v>51044</v>
      </c>
      <c r="GD4" s="14">
        <f>+Tarifas!GT6</f>
        <v>51075</v>
      </c>
      <c r="GE4" s="14">
        <f>+Tarifas!GU6</f>
        <v>51105</v>
      </c>
      <c r="GF4" s="14">
        <f>+Tarifas!GV6</f>
        <v>51136</v>
      </c>
      <c r="GG4" s="14">
        <f>+Tarifas!GW6</f>
        <v>51167</v>
      </c>
      <c r="GH4" s="14">
        <f>+Tarifas!GX6</f>
        <v>51196</v>
      </c>
      <c r="GI4" s="14">
        <f>+Tarifas!GY6</f>
        <v>51227</v>
      </c>
      <c r="GJ4" s="14">
        <f>+Tarifas!GZ6</f>
        <v>51257</v>
      </c>
      <c r="GK4" s="14">
        <f>+Tarifas!HA6</f>
        <v>51288</v>
      </c>
      <c r="GL4" s="14">
        <f>+Tarifas!HB6</f>
        <v>51318</v>
      </c>
      <c r="GM4" s="14">
        <f>+Tarifas!HC6</f>
        <v>51349</v>
      </c>
      <c r="GN4" s="14">
        <f>+Tarifas!HD6</f>
        <v>51380</v>
      </c>
      <c r="GO4" s="14">
        <f>+Tarifas!HE6</f>
        <v>51410</v>
      </c>
      <c r="GP4" s="14">
        <f>+Tarifas!HF6</f>
        <v>51441</v>
      </c>
      <c r="GQ4" s="14">
        <f>+Tarifas!HG6</f>
        <v>51471</v>
      </c>
      <c r="GR4" s="14">
        <f>+Tarifas!HH6</f>
        <v>51502</v>
      </c>
      <c r="GS4" s="14">
        <f>+Tarifas!HI6</f>
        <v>51533</v>
      </c>
      <c r="GT4" s="14">
        <f>+Tarifas!HJ6</f>
        <v>51561</v>
      </c>
      <c r="GU4" s="14">
        <f>+Tarifas!HK6</f>
        <v>51592</v>
      </c>
      <c r="GV4" s="14">
        <f>+Tarifas!HL6</f>
        <v>51622</v>
      </c>
      <c r="GW4" s="14">
        <f>+Tarifas!HM6</f>
        <v>51653</v>
      </c>
      <c r="GX4" s="14">
        <f>+Tarifas!HN6</f>
        <v>51683</v>
      </c>
      <c r="GY4" s="14">
        <f>+Tarifas!HO6</f>
        <v>51714</v>
      </c>
      <c r="GZ4" s="14">
        <f>+Tarifas!HP6</f>
        <v>51745</v>
      </c>
      <c r="HA4" s="14">
        <f>+Tarifas!HQ6</f>
        <v>51775</v>
      </c>
      <c r="HB4" s="14">
        <f>+Tarifas!HR6</f>
        <v>51806</v>
      </c>
      <c r="HC4" s="14">
        <f>+Tarifas!HS6</f>
        <v>51836</v>
      </c>
      <c r="HD4" s="14">
        <f>+Tarifas!HT6</f>
        <v>51867</v>
      </c>
      <c r="HE4" s="14">
        <f>+Tarifas!HU6</f>
        <v>51898</v>
      </c>
      <c r="HF4" s="14">
        <f>+Tarifas!HV6</f>
        <v>51926</v>
      </c>
      <c r="HG4" s="14">
        <f>+Tarifas!HW6</f>
        <v>51957</v>
      </c>
      <c r="HH4" s="14">
        <f>+Tarifas!HX6</f>
        <v>51987</v>
      </c>
      <c r="HI4" s="14">
        <f>+Tarifas!HY6</f>
        <v>52018</v>
      </c>
      <c r="HJ4" s="14">
        <f>+Tarifas!HZ6</f>
        <v>52048</v>
      </c>
      <c r="HK4" s="14">
        <f>+Tarifas!IA6</f>
        <v>52079</v>
      </c>
      <c r="HL4" s="14">
        <f>+Tarifas!IB6</f>
        <v>52110</v>
      </c>
      <c r="HM4" s="14">
        <f>+Tarifas!IC6</f>
        <v>52140</v>
      </c>
      <c r="HN4" s="14">
        <f>+Tarifas!ID6</f>
        <v>52171</v>
      </c>
      <c r="HO4" s="14">
        <f>+Tarifas!IE6</f>
        <v>52201</v>
      </c>
      <c r="HP4" s="14">
        <f>+Tarifas!IF6</f>
        <v>52232</v>
      </c>
      <c r="HQ4" s="14">
        <f>+Tarifas!IG6</f>
        <v>52263</v>
      </c>
      <c r="HR4" s="14">
        <f>+Tarifas!IH6</f>
        <v>52291</v>
      </c>
      <c r="HS4" s="14">
        <f>+Tarifas!II6</f>
        <v>52322</v>
      </c>
      <c r="HT4" s="14">
        <f>+Tarifas!IJ6</f>
        <v>52352</v>
      </c>
      <c r="HU4" s="14">
        <f>+Tarifas!IK6</f>
        <v>52383</v>
      </c>
      <c r="HV4" s="14">
        <f>+Tarifas!IL6</f>
        <v>52413</v>
      </c>
      <c r="HW4" s="14">
        <f>+Tarifas!IM6</f>
        <v>52444</v>
      </c>
      <c r="HX4" s="14">
        <f>+Tarifas!IN6</f>
        <v>52475</v>
      </c>
      <c r="HY4" s="14">
        <f>+Tarifas!IO6</f>
        <v>52505</v>
      </c>
      <c r="HZ4" s="14">
        <f>+Tarifas!IP6</f>
        <v>52536</v>
      </c>
      <c r="IA4" s="14">
        <f>+Tarifas!IQ6</f>
        <v>52566</v>
      </c>
      <c r="IB4" s="14">
        <f>+Tarifas!IR6</f>
        <v>52597</v>
      </c>
      <c r="IC4" s="14">
        <f>+Tarifas!IS6</f>
        <v>52628</v>
      </c>
      <c r="ID4" s="14">
        <f>+Tarifas!IT6</f>
        <v>52657</v>
      </c>
      <c r="IE4" s="14">
        <f>+Tarifas!IU6</f>
        <v>52688</v>
      </c>
      <c r="IF4" s="14">
        <f>+Tarifas!IV6</f>
        <v>52718</v>
      </c>
      <c r="IG4" s="14">
        <f>+Tarifas!IW6</f>
        <v>52749</v>
      </c>
      <c r="IH4" s="14">
        <f>+Tarifas!IX6</f>
        <v>52779</v>
      </c>
    </row>
    <row r="5" spans="1:242" x14ac:dyDescent="0.3">
      <c r="A5" t="s">
        <v>888</v>
      </c>
      <c r="C5" s="30">
        <f>+Tarifas!S7</f>
        <v>807.28</v>
      </c>
      <c r="D5" s="30">
        <f>+Tarifas!T7</f>
        <v>855.04</v>
      </c>
      <c r="E5" s="30">
        <f>+Tarifas!U7</f>
        <v>854.84</v>
      </c>
      <c r="F5" s="30">
        <f>+Tarifas!V7</f>
        <v>907.23</v>
      </c>
      <c r="G5" s="30">
        <f>+Tarifas!W7</f>
        <v>907.2</v>
      </c>
      <c r="H5" s="30">
        <f>+Tarifas!X7</f>
        <v>907.22</v>
      </c>
      <c r="I5" s="69">
        <f>+Tarifas!Y7</f>
        <v>943.46</v>
      </c>
      <c r="J5" s="30">
        <f>+Tarifas!Z7</f>
        <v>943.5</v>
      </c>
      <c r="K5" s="30">
        <f>+Tarifas!AA7</f>
        <v>943.46</v>
      </c>
      <c r="L5" s="30">
        <f>+Tarifas!AB7</f>
        <v>943.46</v>
      </c>
      <c r="M5" s="30">
        <f>+Tarifas!AC7</f>
        <v>938.16</v>
      </c>
      <c r="N5" s="30">
        <f>+Tarifas!AD7</f>
        <v>885.71</v>
      </c>
      <c r="O5" s="30">
        <f>+Tarifas!AE7</f>
        <v>885.7</v>
      </c>
      <c r="P5" s="30">
        <f>+Tarifas!AF7</f>
        <v>795</v>
      </c>
      <c r="Q5" s="30">
        <f>+Tarifas!AG7</f>
        <v>795</v>
      </c>
      <c r="R5" s="30">
        <f>+Tarifas!AH7</f>
        <v>795.93</v>
      </c>
      <c r="S5" s="30">
        <f>+Tarifas!AI7</f>
        <v>795.93</v>
      </c>
      <c r="T5" s="30">
        <f>+Tarifas!AJ7</f>
        <v>795.93</v>
      </c>
      <c r="U5" s="30">
        <f>+Tarifas!AK7</f>
        <v>795.93</v>
      </c>
      <c r="V5" s="30">
        <f>+Tarifas!AL7</f>
        <v>971.80500000000006</v>
      </c>
      <c r="W5" s="30">
        <f>+Tarifas!AM7</f>
        <v>971.76380000000006</v>
      </c>
      <c r="X5" s="30">
        <f>+Tarifas!AN7</f>
        <v>971.76380000000006</v>
      </c>
      <c r="Y5" s="30">
        <f>+Tarifas!AO7</f>
        <v>966.3048</v>
      </c>
      <c r="Z5" s="30">
        <f>+Tarifas!AP7</f>
        <v>912.2813000000001</v>
      </c>
      <c r="AA5" s="30">
        <f>+Tarifas!AQ7</f>
        <v>912.27100000000007</v>
      </c>
      <c r="AB5" s="30">
        <f>+Tarifas!AR7</f>
        <v>818.85</v>
      </c>
      <c r="AC5" s="30">
        <f>+Tarifas!AS7</f>
        <v>818.85</v>
      </c>
      <c r="AD5" s="30">
        <f>+Tarifas!AT7</f>
        <v>819.80790000000002</v>
      </c>
      <c r="AE5" s="30">
        <f>+Tarifas!AU7</f>
        <v>819.80790000000002</v>
      </c>
      <c r="AF5" s="30">
        <f>+Tarifas!AV7</f>
        <v>819.80790000000002</v>
      </c>
      <c r="AG5" s="30">
        <f>+Tarifas!AW7</f>
        <v>819.80790000000002</v>
      </c>
      <c r="AH5" s="30">
        <f>+Tarifas!AX7</f>
        <v>1000.9591500000001</v>
      </c>
      <c r="AI5" s="30">
        <f>+Tarifas!AY7</f>
        <v>1000.9167140000001</v>
      </c>
      <c r="AJ5" s="30">
        <f>+Tarifas!AZ7</f>
        <v>1000.9167140000001</v>
      </c>
      <c r="AK5" s="30">
        <f>+Tarifas!BA7</f>
        <v>995.29394400000001</v>
      </c>
      <c r="AL5" s="30">
        <f>+Tarifas!BB7</f>
        <v>939.64973900000018</v>
      </c>
      <c r="AM5" s="30">
        <f>+Tarifas!BC7</f>
        <v>939.63913000000014</v>
      </c>
      <c r="AN5" s="30">
        <f>+Tarifas!BD7</f>
        <v>843.41550000000007</v>
      </c>
      <c r="AO5" s="30">
        <f>+Tarifas!BE7</f>
        <v>843.41550000000007</v>
      </c>
      <c r="AP5" s="30">
        <f>+Tarifas!BF7</f>
        <v>844.40213700000004</v>
      </c>
      <c r="AQ5" s="30">
        <f>+Tarifas!BG7</f>
        <v>844.40213700000004</v>
      </c>
      <c r="AR5" s="30">
        <f>+Tarifas!BH7</f>
        <v>844.40213700000004</v>
      </c>
      <c r="AS5" s="30">
        <f>+Tarifas!BI7</f>
        <v>844.40213700000004</v>
      </c>
      <c r="AT5" s="30">
        <f>+Tarifas!BJ7</f>
        <v>1030.9879245000002</v>
      </c>
      <c r="AU5" s="30">
        <f>+Tarifas!BK7</f>
        <v>1030.9442154200001</v>
      </c>
      <c r="AV5" s="30">
        <f>+Tarifas!BL7</f>
        <v>1030.9442154200001</v>
      </c>
      <c r="AW5" s="30">
        <f>+Tarifas!BM7</f>
        <v>1025.15276232</v>
      </c>
      <c r="AX5" s="30">
        <f>+Tarifas!BN7</f>
        <v>967.83923117000018</v>
      </c>
      <c r="AY5" s="30">
        <f>+Tarifas!BO7</f>
        <v>967.82830390000015</v>
      </c>
      <c r="AZ5" s="30">
        <f>+Tarifas!BP7</f>
        <v>868.71796500000005</v>
      </c>
      <c r="BA5" s="30">
        <f>+Tarifas!BQ7</f>
        <v>868.71796500000005</v>
      </c>
      <c r="BB5" s="30">
        <f>+Tarifas!BR7</f>
        <v>869.73420111000007</v>
      </c>
      <c r="BC5" s="30">
        <f>+Tarifas!BS7</f>
        <v>869.73420111000007</v>
      </c>
      <c r="BD5" s="30">
        <f>+Tarifas!BT7</f>
        <v>869.73420111000007</v>
      </c>
      <c r="BE5" s="30">
        <f>+Tarifas!BU7</f>
        <v>869.73420111000007</v>
      </c>
      <c r="BF5" s="30">
        <f>+Tarifas!BV7</f>
        <v>1061.9175622350003</v>
      </c>
      <c r="BG5" s="30">
        <f>+Tarifas!BW7</f>
        <v>1061.8725418826002</v>
      </c>
      <c r="BH5" s="30">
        <f>+Tarifas!BX7</f>
        <v>1061.8725418826002</v>
      </c>
      <c r="BI5" s="30">
        <f>+Tarifas!BY7</f>
        <v>1055.9073451895999</v>
      </c>
      <c r="BJ5" s="30">
        <f>+Tarifas!BZ7</f>
        <v>996.8744081051002</v>
      </c>
      <c r="BK5" s="30">
        <f>+Tarifas!CA7</f>
        <v>996.86315301700017</v>
      </c>
      <c r="BL5" s="30">
        <f>+Tarifas!CB7</f>
        <v>894.77950395000005</v>
      </c>
      <c r="BM5" s="30">
        <f>+Tarifas!CC7</f>
        <v>894.77950395000005</v>
      </c>
      <c r="BN5" s="30">
        <f>+Tarifas!CD7</f>
        <v>895.82622714330012</v>
      </c>
      <c r="BO5" s="30">
        <f>+Tarifas!CE7</f>
        <v>895.82622714330012</v>
      </c>
      <c r="BP5" s="30">
        <f>+Tarifas!CF7</f>
        <v>895.82622714330012</v>
      </c>
      <c r="BQ5" s="30">
        <f>+Tarifas!CG7</f>
        <v>895.82622714330012</v>
      </c>
      <c r="BR5" s="30">
        <f>+Tarifas!CH7</f>
        <v>1093.7750891020503</v>
      </c>
      <c r="BS5" s="30">
        <f>+Tarifas!CI7</f>
        <v>1093.7287181390782</v>
      </c>
      <c r="BT5" s="30">
        <f>+Tarifas!CJ7</f>
        <v>1093.7287181390782</v>
      </c>
      <c r="BU5" s="30">
        <f>+Tarifas!CK7</f>
        <v>1087.5845655452879</v>
      </c>
      <c r="BV5" s="30">
        <f>+Tarifas!CL7</f>
        <v>1026.7806403482532</v>
      </c>
      <c r="BW5" s="30">
        <f>+Tarifas!CM7</f>
        <v>1026.7690476075102</v>
      </c>
      <c r="BX5" s="30">
        <f>+Tarifas!CN7</f>
        <v>921.62288906850006</v>
      </c>
      <c r="BY5" s="30">
        <f>+Tarifas!CO7</f>
        <v>921.62288906850006</v>
      </c>
      <c r="BZ5" s="30">
        <f>+Tarifas!CP7</f>
        <v>922.70101395759912</v>
      </c>
      <c r="CA5" s="30">
        <f>+Tarifas!CQ7</f>
        <v>922.70101395759912</v>
      </c>
      <c r="CB5" s="30">
        <f>+Tarifas!CR7</f>
        <v>922.70101395759912</v>
      </c>
      <c r="CC5" s="30">
        <f>+Tarifas!CS7</f>
        <v>922.70101395759912</v>
      </c>
      <c r="CD5" s="30">
        <f>+Tarifas!CT7</f>
        <v>1126.5883417751118</v>
      </c>
      <c r="CE5" s="30">
        <f>+Tarifas!CU7</f>
        <v>1126.5405796832506</v>
      </c>
      <c r="CF5" s="30">
        <f>+Tarifas!CV7</f>
        <v>1126.5405796832506</v>
      </c>
      <c r="CG5" s="30">
        <f>+Tarifas!CW7</f>
        <v>1120.2121025116467</v>
      </c>
      <c r="CH5" s="30">
        <f>+Tarifas!CX7</f>
        <v>1057.5840595587008</v>
      </c>
      <c r="CI5" s="30">
        <f>+Tarifas!CY7</f>
        <v>1057.5721190357356</v>
      </c>
      <c r="CJ5" s="30">
        <f>+Tarifas!CZ7</f>
        <v>949.27157574055514</v>
      </c>
      <c r="CK5" s="30">
        <f>+Tarifas!DA7</f>
        <v>949.27157574055514</v>
      </c>
      <c r="CL5" s="30">
        <f>+Tarifas!DB7</f>
        <v>950.38204437632714</v>
      </c>
      <c r="CM5" s="30">
        <f>+Tarifas!DC7</f>
        <v>950.38204437632714</v>
      </c>
      <c r="CN5" s="30">
        <f>+Tarifas!DD7</f>
        <v>950.38204437632714</v>
      </c>
      <c r="CO5" s="30">
        <f>+Tarifas!DE7</f>
        <v>950.38204437632714</v>
      </c>
      <c r="CP5" s="30">
        <f>+Tarifas!DF7</f>
        <v>1160.3859920283651</v>
      </c>
      <c r="CQ5" s="30">
        <f>+Tarifas!DG7</f>
        <v>1160.3367970737481</v>
      </c>
      <c r="CR5" s="30">
        <f>+Tarifas!DH7</f>
        <v>1160.3367970737481</v>
      </c>
      <c r="CS5" s="30">
        <f>+Tarifas!DI7</f>
        <v>1153.8184655869961</v>
      </c>
      <c r="CT5" s="30">
        <f>+Tarifas!DJ7</f>
        <v>1089.3115813454619</v>
      </c>
      <c r="CU5" s="30">
        <f>+Tarifas!DK7</f>
        <v>1089.2992826068078</v>
      </c>
      <c r="CV5" s="30">
        <f>+Tarifas!DL7</f>
        <v>977.74972301277182</v>
      </c>
      <c r="CW5" s="30">
        <f>+Tarifas!DM7</f>
        <v>977.74972301277182</v>
      </c>
      <c r="CX5" s="30">
        <f>+Tarifas!DN7</f>
        <v>978.89350570761701</v>
      </c>
      <c r="CY5" s="30">
        <f>+Tarifas!DO7</f>
        <v>978.89350570761701</v>
      </c>
      <c r="CZ5" s="30">
        <f>+Tarifas!DP7</f>
        <v>978.89350570761701</v>
      </c>
      <c r="DA5" s="30">
        <f>+Tarifas!DQ7</f>
        <v>978.89350570761701</v>
      </c>
      <c r="DB5" s="30">
        <f>+Tarifas!DR7</f>
        <v>1195.197571789216</v>
      </c>
      <c r="DC5" s="30">
        <f>+Tarifas!DS7</f>
        <v>1195.1469009859607</v>
      </c>
      <c r="DD5" s="30">
        <f>+Tarifas!DT7</f>
        <v>1195.1469009859607</v>
      </c>
      <c r="DE5" s="30">
        <f>+Tarifas!DU7</f>
        <v>1188.4330195546061</v>
      </c>
      <c r="DF5" s="30">
        <f>+Tarifas!DV7</f>
        <v>1121.9909287858259</v>
      </c>
      <c r="DG5" s="30">
        <f>+Tarifas!DW7</f>
        <v>1121.978261085012</v>
      </c>
      <c r="DH5" s="30">
        <f>+Tarifas!DX7</f>
        <v>1007.082214703155</v>
      </c>
      <c r="DI5" s="30">
        <f>+Tarifas!DY7</f>
        <v>1007.082214703155</v>
      </c>
      <c r="DJ5" s="30">
        <f>+Tarifas!DZ7</f>
        <v>1008.2603108788455</v>
      </c>
      <c r="DK5" s="30">
        <f>+Tarifas!EA7</f>
        <v>1008.2603108788455</v>
      </c>
      <c r="DL5" s="30">
        <f>+Tarifas!EB7</f>
        <v>1008.2603108788455</v>
      </c>
      <c r="DM5" s="30">
        <f>+Tarifas!EC7</f>
        <v>1008.2603108788455</v>
      </c>
      <c r="DN5" s="30">
        <f>+Tarifas!ED7</f>
        <v>1231.0534989428925</v>
      </c>
      <c r="DO5" s="30">
        <f>+Tarifas!EE7</f>
        <v>1231.0013080155395</v>
      </c>
      <c r="DP5" s="30">
        <f>+Tarifas!EF7</f>
        <v>1231.0013080155395</v>
      </c>
      <c r="DQ5" s="30">
        <f>+Tarifas!EG7</f>
        <v>1224.0860101412443</v>
      </c>
      <c r="DR5" s="30">
        <f>+Tarifas!EH7</f>
        <v>1155.6506566494006</v>
      </c>
      <c r="DS5" s="30">
        <f>+Tarifas!EI7</f>
        <v>1155.6376089175624</v>
      </c>
      <c r="DT5" s="30">
        <f>+Tarifas!EJ7</f>
        <v>1037.2946811442498</v>
      </c>
      <c r="DU5" s="30">
        <f>+Tarifas!EK7</f>
        <v>1037.2946811442498</v>
      </c>
      <c r="DV5" s="30">
        <f>+Tarifas!EL7</f>
        <v>1038.5081202052108</v>
      </c>
      <c r="DW5" s="30">
        <f>+Tarifas!EM7</f>
        <v>1038.5081202052108</v>
      </c>
      <c r="DX5" s="30">
        <f>+Tarifas!EN7</f>
        <v>1038.5081202052108</v>
      </c>
      <c r="DY5" s="30">
        <f>+Tarifas!EO7</f>
        <v>1038.5081202052108</v>
      </c>
      <c r="DZ5" s="30">
        <f>+Tarifas!EP7</f>
        <v>1267.9851039111793</v>
      </c>
      <c r="EA5" s="30">
        <f>+Tarifas!EQ7</f>
        <v>1267.9313472560057</v>
      </c>
      <c r="EB5" s="30">
        <f>+Tarifas!ER7</f>
        <v>1267.9313472560057</v>
      </c>
      <c r="EC5" s="30">
        <f>+Tarifas!ES7</f>
        <v>1260.8085904454817</v>
      </c>
      <c r="ED5" s="30">
        <f>+Tarifas!ET7</f>
        <v>1190.3201763488826</v>
      </c>
      <c r="EE5" s="30">
        <f>+Tarifas!EU7</f>
        <v>1190.3067371850893</v>
      </c>
      <c r="EF5" s="30">
        <f>+Tarifas!EV7</f>
        <v>1068.4135215785773</v>
      </c>
      <c r="EG5" s="30">
        <f>+Tarifas!EW7</f>
        <v>1068.4135215785773</v>
      </c>
      <c r="EH5" s="30">
        <f>+Tarifas!EX7</f>
        <v>1069.6633638113672</v>
      </c>
      <c r="EI5" s="30">
        <f>+Tarifas!EY7</f>
        <v>1069.6633638113672</v>
      </c>
      <c r="EJ5" s="30">
        <f>+Tarifas!EZ7</f>
        <v>1069.6633638113672</v>
      </c>
      <c r="EK5" s="30">
        <f>+Tarifas!FA7</f>
        <v>1069.6633638113672</v>
      </c>
      <c r="EL5" s="30">
        <f>+Tarifas!FB7</f>
        <v>1306.0246570285146</v>
      </c>
      <c r="EM5" s="30">
        <f>+Tarifas!FC7</f>
        <v>1305.9692876736858</v>
      </c>
      <c r="EN5" s="30">
        <f>+Tarifas!FD7</f>
        <v>1305.9692876736858</v>
      </c>
      <c r="EO5" s="30">
        <f>+Tarifas!FE7</f>
        <v>1298.6328481588462</v>
      </c>
      <c r="EP5" s="30">
        <f>+Tarifas!FF7</f>
        <v>1226.029781639349</v>
      </c>
      <c r="EQ5" s="30">
        <f>+Tarifas!FG7</f>
        <v>1226.015939300642</v>
      </c>
      <c r="ER5" s="30">
        <f>+Tarifas!FH7</f>
        <v>1100.4659272259346</v>
      </c>
      <c r="ES5" s="30">
        <f>+Tarifas!FI7</f>
        <v>1100.4659272259346</v>
      </c>
      <c r="ET5" s="30">
        <f>+Tarifas!FJ7</f>
        <v>1101.7532647257083</v>
      </c>
      <c r="EU5" s="30">
        <f>+Tarifas!FK7</f>
        <v>1101.7532647257083</v>
      </c>
      <c r="EV5" s="30">
        <f>+Tarifas!FL7</f>
        <v>1101.7532647257083</v>
      </c>
      <c r="EW5" s="30">
        <f>+Tarifas!FM7</f>
        <v>1101.7532647257083</v>
      </c>
      <c r="EX5" s="30">
        <f>+Tarifas!FN7</f>
        <v>1345.2053967393701</v>
      </c>
      <c r="EY5" s="30">
        <f>+Tarifas!FO7</f>
        <v>1345.1483663038964</v>
      </c>
      <c r="EZ5" s="30">
        <f>+Tarifas!FP7</f>
        <v>1345.1483663038964</v>
      </c>
      <c r="FA5" s="30">
        <f>+Tarifas!FQ7</f>
        <v>1337.5918336036116</v>
      </c>
      <c r="FB5" s="30">
        <f>+Tarifas!FR7</f>
        <v>1262.8106750885295</v>
      </c>
      <c r="FC5" s="30">
        <f>+Tarifas!FS7</f>
        <v>1262.7964174796614</v>
      </c>
      <c r="FD5" s="30">
        <f>+Tarifas!FT7</f>
        <v>1133.4799050427127</v>
      </c>
      <c r="FE5" s="30">
        <f>+Tarifas!FU7</f>
        <v>1133.4799050427127</v>
      </c>
      <c r="FF5" s="30">
        <f>+Tarifas!FV7</f>
        <v>1134.8058626674795</v>
      </c>
      <c r="FG5" s="30">
        <f>+Tarifas!FW7</f>
        <v>1134.8058626674795</v>
      </c>
      <c r="FH5" s="30">
        <f>+Tarifas!FX7</f>
        <v>1134.8058626674795</v>
      </c>
      <c r="FI5" s="30">
        <f>+Tarifas!FY7</f>
        <v>1134.8058626674795</v>
      </c>
      <c r="FJ5" s="30">
        <f>+Tarifas!FZ7</f>
        <v>1385.5615586415513</v>
      </c>
      <c r="FK5" s="30">
        <f>+Tarifas!GA7</f>
        <v>1385.5028172930133</v>
      </c>
      <c r="FL5" s="30">
        <f>+Tarifas!GB7</f>
        <v>1385.5028172930133</v>
      </c>
      <c r="FM5" s="30">
        <f>+Tarifas!GC7</f>
        <v>1377.7195886117199</v>
      </c>
      <c r="FN5" s="30">
        <f>+Tarifas!GD7</f>
        <v>1300.6949953411854</v>
      </c>
      <c r="FO5" s="30">
        <f>+Tarifas!GE7</f>
        <v>1300.6803100040513</v>
      </c>
      <c r="FP5" s="30">
        <f>+Tarifas!GF7</f>
        <v>1167.4843021939942</v>
      </c>
      <c r="FQ5" s="30">
        <f>+Tarifas!GG7</f>
        <v>1167.4843021939942</v>
      </c>
      <c r="FR5" s="30">
        <f>+Tarifas!GH7</f>
        <v>1168.8500385475038</v>
      </c>
      <c r="FS5" s="30">
        <f>+Tarifas!GI7</f>
        <v>1168.8500385475038</v>
      </c>
      <c r="FT5" s="30">
        <f>+Tarifas!GJ7</f>
        <v>1168.8500385475038</v>
      </c>
      <c r="FU5" s="30">
        <f>+Tarifas!GK7</f>
        <v>1168.8500385475038</v>
      </c>
      <c r="FV5" s="30">
        <f>+Tarifas!GL7</f>
        <v>1427.1284054007979</v>
      </c>
      <c r="FW5" s="30">
        <f>+Tarifas!GM7</f>
        <v>1427.0679018118037</v>
      </c>
      <c r="FX5" s="30">
        <f>+Tarifas!GN7</f>
        <v>1427.0679018118037</v>
      </c>
      <c r="FY5" s="30">
        <f>+Tarifas!GO7</f>
        <v>1419.0511762700717</v>
      </c>
      <c r="FZ5" s="30">
        <f>+Tarifas!GP7</f>
        <v>1339.715845201421</v>
      </c>
      <c r="GA5" s="30">
        <f>+Tarifas!GQ7</f>
        <v>1339.7007193041729</v>
      </c>
      <c r="GB5" s="30">
        <f>+Tarifas!GR7</f>
        <v>1202.5088312598141</v>
      </c>
      <c r="GC5" s="30">
        <f>+Tarifas!GS7</f>
        <v>1202.5088312598141</v>
      </c>
      <c r="GD5" s="30">
        <f>+Tarifas!GT7</f>
        <v>1203.915539703929</v>
      </c>
      <c r="GE5" s="30">
        <f>+Tarifas!GU7</f>
        <v>1203.915539703929</v>
      </c>
      <c r="GF5" s="30">
        <f>+Tarifas!GV7</f>
        <v>1203.915539703929</v>
      </c>
      <c r="GG5" s="30">
        <f>+Tarifas!GW7</f>
        <v>1203.915539703929</v>
      </c>
      <c r="GH5" s="30">
        <f>+Tarifas!GX7</f>
        <v>1469.9422575628219</v>
      </c>
      <c r="GI5" s="30">
        <f>+Tarifas!GY7</f>
        <v>1469.8799388661578</v>
      </c>
      <c r="GJ5" s="30">
        <f>+Tarifas!GZ7</f>
        <v>1469.8799388661578</v>
      </c>
      <c r="GK5" s="30">
        <f>+Tarifas!HA7</f>
        <v>1461.6227115581739</v>
      </c>
      <c r="GL5" s="30">
        <f>+Tarifas!HB7</f>
        <v>1379.9073205574637</v>
      </c>
      <c r="GM5" s="30">
        <f>+Tarifas!HC7</f>
        <v>1379.8917408832981</v>
      </c>
      <c r="GN5" s="30">
        <f>+Tarifas!HD7</f>
        <v>1238.5840961976085</v>
      </c>
      <c r="GO5" s="30">
        <f>+Tarifas!HE7</f>
        <v>1238.5840961976085</v>
      </c>
      <c r="GP5" s="30">
        <f>+Tarifas!HF7</f>
        <v>1240.0330058950469</v>
      </c>
      <c r="GQ5" s="30">
        <f>+Tarifas!HG7</f>
        <v>1240.0330058950469</v>
      </c>
      <c r="GR5" s="30">
        <f>+Tarifas!HH7</f>
        <v>1240.0330058950469</v>
      </c>
      <c r="GS5" s="30">
        <f>+Tarifas!HI7</f>
        <v>1240.0330058950469</v>
      </c>
      <c r="GT5" s="30">
        <f>+Tarifas!HJ7</f>
        <v>1514.0405252897065</v>
      </c>
      <c r="GU5" s="30">
        <f>+Tarifas!HK7</f>
        <v>1513.9763370321425</v>
      </c>
      <c r="GV5" s="30">
        <f>+Tarifas!HL7</f>
        <v>1513.9763370321425</v>
      </c>
      <c r="GW5" s="30">
        <f>+Tarifas!HM7</f>
        <v>1505.4713929049192</v>
      </c>
      <c r="GX5" s="30">
        <f>+Tarifas!HN7</f>
        <v>1421.3045401741877</v>
      </c>
      <c r="GY5" s="30">
        <f>+Tarifas!HO7</f>
        <v>1421.2884931097972</v>
      </c>
      <c r="GZ5" s="30">
        <f>+Tarifas!HP7</f>
        <v>1275.7416190835368</v>
      </c>
      <c r="HA5" s="30">
        <f>+Tarifas!HQ7</f>
        <v>1275.7416190835368</v>
      </c>
      <c r="HB5" s="30">
        <f>+Tarifas!HR7</f>
        <v>1277.2339960718984</v>
      </c>
      <c r="HC5" s="30">
        <f>+Tarifas!HS7</f>
        <v>1277.2339960718984</v>
      </c>
      <c r="HD5" s="30">
        <f>+Tarifas!HT7</f>
        <v>1277.2339960718984</v>
      </c>
      <c r="HE5" s="30">
        <f>+Tarifas!HU7</f>
        <v>1277.2339960718984</v>
      </c>
      <c r="HF5" s="30">
        <f>+Tarifas!HV7</f>
        <v>1559.4617410483977</v>
      </c>
      <c r="HG5" s="30">
        <f>+Tarifas!HW7</f>
        <v>1559.3956271431068</v>
      </c>
      <c r="HH5" s="30">
        <f>+Tarifas!HX7</f>
        <v>1559.3956271431068</v>
      </c>
      <c r="HI5" s="30">
        <f>+Tarifas!HY7</f>
        <v>1550.6355346920668</v>
      </c>
      <c r="HJ5" s="30">
        <f>+Tarifas!HZ7</f>
        <v>1463.9436763794133</v>
      </c>
      <c r="HK5" s="30">
        <f>+Tarifas!IA7</f>
        <v>1463.9271479030911</v>
      </c>
      <c r="HL5" s="30">
        <f>+Tarifas!IB7</f>
        <v>1314.013867656043</v>
      </c>
      <c r="HM5" s="30">
        <f>+Tarifas!IC7</f>
        <v>1314.013867656043</v>
      </c>
      <c r="HN5" s="30">
        <f>+Tarifas!ID7</f>
        <v>1315.5510159540554</v>
      </c>
      <c r="HO5" s="30">
        <f>+Tarifas!IE7</f>
        <v>1315.5510159540554</v>
      </c>
      <c r="HP5" s="30">
        <f>+Tarifas!IF7</f>
        <v>1315.5510159540554</v>
      </c>
      <c r="HQ5" s="30">
        <f>+Tarifas!IG7</f>
        <v>1315.5510159540554</v>
      </c>
      <c r="HR5" s="30">
        <f>+Tarifas!IH7</f>
        <v>1606.2455932798496</v>
      </c>
      <c r="HS5" s="30">
        <f>+Tarifas!II7</f>
        <v>1606.1774959574</v>
      </c>
      <c r="HT5" s="30">
        <f>+Tarifas!IJ7</f>
        <v>1606.1774959574</v>
      </c>
      <c r="HU5" s="30">
        <f>+Tarifas!IK7</f>
        <v>1597.1546007328288</v>
      </c>
      <c r="HV5" s="30">
        <f>+Tarifas!IL7</f>
        <v>1507.8619866707957</v>
      </c>
      <c r="HW5" s="30">
        <f>+Tarifas!IM7</f>
        <v>1507.8449623401839</v>
      </c>
      <c r="HX5" s="30">
        <f>+Tarifas!IN7</f>
        <v>1353.4342836857243</v>
      </c>
      <c r="HY5" s="30">
        <f>+Tarifas!IO7</f>
        <v>1353.4342836857243</v>
      </c>
      <c r="HZ5" s="30">
        <f>+Tarifas!IP7</f>
        <v>1355.0175464326771</v>
      </c>
      <c r="IA5" s="30">
        <f>+Tarifas!IQ7</f>
        <v>1355.0175464326771</v>
      </c>
      <c r="IB5" s="30">
        <f>+Tarifas!IR7</f>
        <v>1355.0175464326771</v>
      </c>
      <c r="IC5" s="30">
        <f>+Tarifas!IS7</f>
        <v>1355.0175464326771</v>
      </c>
      <c r="ID5" s="30">
        <f>+Tarifas!IT7</f>
        <v>1654.4329610782452</v>
      </c>
      <c r="IE5" s="30">
        <f>+Tarifas!IU7</f>
        <v>1654.362820836122</v>
      </c>
      <c r="IF5" s="30">
        <f>+Tarifas!IV7</f>
        <v>1654.362820836122</v>
      </c>
      <c r="IG5" s="30">
        <f>+Tarifas!IW7</f>
        <v>1645.0692387548138</v>
      </c>
      <c r="IH5" s="30">
        <f>+Tarifas!IX7</f>
        <v>1553.0978462709195</v>
      </c>
    </row>
    <row r="6" spans="1:242" x14ac:dyDescent="0.3">
      <c r="A6" t="s">
        <v>885</v>
      </c>
      <c r="C6" s="30">
        <f>+Tarifas!S8</f>
        <v>125.95</v>
      </c>
      <c r="D6" s="30">
        <f>+Tarifas!T8</f>
        <v>128.91999999999999</v>
      </c>
      <c r="E6" s="30">
        <f>+Tarifas!U8</f>
        <v>135.29</v>
      </c>
      <c r="F6" s="30">
        <f>+Tarifas!V8</f>
        <v>139</v>
      </c>
      <c r="G6" s="30">
        <f>+Tarifas!W8</f>
        <v>147.13</v>
      </c>
      <c r="H6" s="30">
        <f>+Tarifas!X8</f>
        <v>154.19999999999999</v>
      </c>
      <c r="I6" s="69">
        <f>+Tarifas!Y8</f>
        <v>159.19</v>
      </c>
      <c r="J6" s="30">
        <f>+Tarifas!Z8</f>
        <v>156.6</v>
      </c>
      <c r="K6" s="30">
        <f>+Tarifas!AA8</f>
        <v>160.06</v>
      </c>
      <c r="L6" s="30">
        <f>+Tarifas!AB8</f>
        <v>154.88999999999999</v>
      </c>
      <c r="M6" s="30">
        <f>+Tarifas!AC8</f>
        <v>153.61000000000001</v>
      </c>
      <c r="N6" s="30">
        <f>+Tarifas!AD8</f>
        <v>151.97</v>
      </c>
      <c r="O6" s="30">
        <f>+Tarifas!AE8</f>
        <v>132.69999999999999</v>
      </c>
      <c r="P6" s="30">
        <f>+Tarifas!AF8</f>
        <v>133.16</v>
      </c>
      <c r="Q6" s="30">
        <f>+Tarifas!AG8</f>
        <v>121.2</v>
      </c>
      <c r="R6" s="30">
        <f>+Tarifas!AH8</f>
        <v>119.83</v>
      </c>
      <c r="S6" s="30">
        <f>+Tarifas!AI8</f>
        <v>151.54390000000001</v>
      </c>
      <c r="T6" s="30">
        <f>+Tarifas!AJ8</f>
        <v>158.82599999999999</v>
      </c>
      <c r="U6" s="30">
        <f>+Tarifas!AK8</f>
        <v>163.9657</v>
      </c>
      <c r="V6" s="30">
        <f>+Tarifas!AL8</f>
        <v>161.298</v>
      </c>
      <c r="W6" s="30">
        <f>+Tarifas!AM8</f>
        <v>164.86180000000002</v>
      </c>
      <c r="X6" s="30">
        <f>+Tarifas!AN8</f>
        <v>159.5367</v>
      </c>
      <c r="Y6" s="30">
        <f>+Tarifas!AO8</f>
        <v>158.21830000000003</v>
      </c>
      <c r="Z6" s="30">
        <f>+Tarifas!AP8</f>
        <v>156.5291</v>
      </c>
      <c r="AA6" s="30">
        <f>+Tarifas!AQ8</f>
        <v>136.68099999999998</v>
      </c>
      <c r="AB6" s="30">
        <f>+Tarifas!AR8</f>
        <v>137.15479999999999</v>
      </c>
      <c r="AC6" s="30">
        <f>+Tarifas!AS8</f>
        <v>124.83600000000001</v>
      </c>
      <c r="AD6" s="30">
        <f>+Tarifas!AT8</f>
        <v>123.42490000000001</v>
      </c>
      <c r="AE6" s="30">
        <f>+Tarifas!AU8</f>
        <v>156.09021700000002</v>
      </c>
      <c r="AF6" s="30">
        <f>+Tarifas!AV8</f>
        <v>163.59078</v>
      </c>
      <c r="AG6" s="30">
        <f>+Tarifas!AW8</f>
        <v>168.884671</v>
      </c>
      <c r="AH6" s="30">
        <f>+Tarifas!AX8</f>
        <v>166.13694000000001</v>
      </c>
      <c r="AI6" s="30">
        <f>+Tarifas!AY8</f>
        <v>169.80765400000001</v>
      </c>
      <c r="AJ6" s="30">
        <f>+Tarifas!AZ8</f>
        <v>164.322801</v>
      </c>
      <c r="AK6" s="30">
        <f>+Tarifas!BA8</f>
        <v>162.96484900000004</v>
      </c>
      <c r="AL6" s="30">
        <f>+Tarifas!BB8</f>
        <v>161.22497300000001</v>
      </c>
      <c r="AM6" s="30">
        <f>+Tarifas!BC8</f>
        <v>140.78143</v>
      </c>
      <c r="AN6" s="30">
        <f>+Tarifas!BD8</f>
        <v>141.26944399999999</v>
      </c>
      <c r="AO6" s="30">
        <f>+Tarifas!BE8</f>
        <v>128.58108000000001</v>
      </c>
      <c r="AP6" s="30">
        <f>+Tarifas!BF8</f>
        <v>127.12764700000001</v>
      </c>
      <c r="AQ6" s="30">
        <f>+Tarifas!BG8</f>
        <v>160.77292351000003</v>
      </c>
      <c r="AR6" s="30">
        <f>+Tarifas!BH8</f>
        <v>168.4985034</v>
      </c>
      <c r="AS6" s="30">
        <f>+Tarifas!BI8</f>
        <v>173.95121112999999</v>
      </c>
      <c r="AT6" s="30">
        <f>+Tarifas!BJ8</f>
        <v>171.12104820000002</v>
      </c>
      <c r="AU6" s="30">
        <f>+Tarifas!BK8</f>
        <v>174.90188362000001</v>
      </c>
      <c r="AV6" s="30">
        <f>+Tarifas!BL8</f>
        <v>169.25248503</v>
      </c>
      <c r="AW6" s="30">
        <f>+Tarifas!BM8</f>
        <v>167.85379447000005</v>
      </c>
      <c r="AX6" s="30">
        <f>+Tarifas!BN8</f>
        <v>166.06172219000001</v>
      </c>
      <c r="AY6" s="30">
        <f>+Tarifas!BO8</f>
        <v>145.00487290000001</v>
      </c>
      <c r="AZ6" s="30">
        <f>+Tarifas!BP8</f>
        <v>145.50752732000001</v>
      </c>
      <c r="BA6" s="30">
        <f>+Tarifas!BQ8</f>
        <v>132.43851240000001</v>
      </c>
      <c r="BB6" s="30">
        <f>+Tarifas!BR8</f>
        <v>130.94147641000001</v>
      </c>
      <c r="BC6" s="30">
        <f>+Tarifas!BS8</f>
        <v>165.59611121530003</v>
      </c>
      <c r="BD6" s="30">
        <f>+Tarifas!BT8</f>
        <v>173.55345850200001</v>
      </c>
      <c r="BE6" s="30">
        <f>+Tarifas!BU8</f>
        <v>179.16974746389999</v>
      </c>
      <c r="BF6" s="30">
        <f>+Tarifas!BV8</f>
        <v>176.25467964600003</v>
      </c>
      <c r="BG6" s="30">
        <f>+Tarifas!BW8</f>
        <v>180.1489401286</v>
      </c>
      <c r="BH6" s="30">
        <f>+Tarifas!BX8</f>
        <v>174.33005958090001</v>
      </c>
      <c r="BI6" s="30">
        <f>+Tarifas!BY8</f>
        <v>172.88940830410007</v>
      </c>
      <c r="BJ6" s="30">
        <f>+Tarifas!BZ8</f>
        <v>171.0435738557</v>
      </c>
      <c r="BK6" s="30">
        <f>+Tarifas!CA8</f>
        <v>149.35501908700002</v>
      </c>
      <c r="BL6" s="30">
        <f>+Tarifas!CB8</f>
        <v>149.87275313960001</v>
      </c>
      <c r="BM6" s="30">
        <f>+Tarifas!CC8</f>
        <v>136.41166777200002</v>
      </c>
      <c r="BN6" s="30">
        <f>+Tarifas!CD8</f>
        <v>134.86972070230001</v>
      </c>
      <c r="BO6" s="30">
        <f>+Tarifas!CE8</f>
        <v>170.56399455175904</v>
      </c>
      <c r="BP6" s="30">
        <f>+Tarifas!CF8</f>
        <v>178.76006225706001</v>
      </c>
      <c r="BQ6" s="30">
        <f>+Tarifas!CG8</f>
        <v>184.54483988781701</v>
      </c>
      <c r="BR6" s="30">
        <f>+Tarifas!CH8</f>
        <v>181.54232003538004</v>
      </c>
      <c r="BS6" s="30">
        <f>+Tarifas!CI8</f>
        <v>185.55340833245802</v>
      </c>
      <c r="BT6" s="30">
        <f>+Tarifas!CJ8</f>
        <v>179.55996136832701</v>
      </c>
      <c r="BU6" s="30">
        <f>+Tarifas!CK8</f>
        <v>178.07609055322308</v>
      </c>
      <c r="BV6" s="30">
        <f>+Tarifas!CL8</f>
        <v>176.174881071371</v>
      </c>
      <c r="BW6" s="30">
        <f>+Tarifas!CM8</f>
        <v>153.83566965961003</v>
      </c>
      <c r="BX6" s="30">
        <f>+Tarifas!CN8</f>
        <v>154.36893573378802</v>
      </c>
      <c r="BY6" s="30">
        <f>+Tarifas!CO8</f>
        <v>140.50401780516003</v>
      </c>
      <c r="BZ6" s="30">
        <f>+Tarifas!CP8</f>
        <v>138.91581232336901</v>
      </c>
      <c r="CA6" s="30">
        <f>+Tarifas!CQ8</f>
        <v>175.68091438831181</v>
      </c>
      <c r="CB6" s="30">
        <f>+Tarifas!CR8</f>
        <v>184.12286412477181</v>
      </c>
      <c r="CC6" s="30">
        <f>+Tarifas!CS8</f>
        <v>190.08118508445153</v>
      </c>
      <c r="CD6" s="30">
        <f>+Tarifas!CT8</f>
        <v>186.98858963644145</v>
      </c>
      <c r="CE6" s="30">
        <f>+Tarifas!CU8</f>
        <v>191.12001058243177</v>
      </c>
      <c r="CF6" s="30">
        <f>+Tarifas!CV8</f>
        <v>184.94676020937683</v>
      </c>
      <c r="CG6" s="30">
        <f>+Tarifas!CW8</f>
        <v>183.41837326981977</v>
      </c>
      <c r="CH6" s="30">
        <f>+Tarifas!CX8</f>
        <v>181.46012750351213</v>
      </c>
      <c r="CI6" s="30">
        <f>+Tarifas!CY8</f>
        <v>158.45073974939834</v>
      </c>
      <c r="CJ6" s="30">
        <f>+Tarifas!CZ8</f>
        <v>159.00000380580167</v>
      </c>
      <c r="CK6" s="30">
        <f>+Tarifas!DA8</f>
        <v>144.71913833931484</v>
      </c>
      <c r="CL6" s="30">
        <f>+Tarifas!DB8</f>
        <v>143.08328669307008</v>
      </c>
      <c r="CM6" s="30">
        <f>+Tarifas!DC8</f>
        <v>180.95134181996116</v>
      </c>
      <c r="CN6" s="30">
        <f>+Tarifas!DD8</f>
        <v>189.64655004851497</v>
      </c>
      <c r="CO6" s="30">
        <f>+Tarifas!DE8</f>
        <v>195.78362063698509</v>
      </c>
      <c r="CP6" s="30">
        <f>+Tarifas!DF8</f>
        <v>192.59824732553469</v>
      </c>
      <c r="CQ6" s="30">
        <f>+Tarifas!DG8</f>
        <v>196.85361089990474</v>
      </c>
      <c r="CR6" s="30">
        <f>+Tarifas!DH8</f>
        <v>190.49516301565814</v>
      </c>
      <c r="CS6" s="30">
        <f>+Tarifas!DI8</f>
        <v>188.92092446791438</v>
      </c>
      <c r="CT6" s="30">
        <f>+Tarifas!DJ8</f>
        <v>186.90393132861749</v>
      </c>
      <c r="CU6" s="30">
        <f>+Tarifas!DK8</f>
        <v>163.2042619418803</v>
      </c>
      <c r="CV6" s="30">
        <f>+Tarifas!DL8</f>
        <v>163.77000391997572</v>
      </c>
      <c r="CW6" s="30">
        <f>+Tarifas!DM8</f>
        <v>149.06071248949428</v>
      </c>
      <c r="CX6" s="30">
        <f>+Tarifas!DN8</f>
        <v>147.37578529386218</v>
      </c>
      <c r="CY6" s="30">
        <f>+Tarifas!DO8</f>
        <v>186.37988207455999</v>
      </c>
      <c r="CZ6" s="30">
        <f>+Tarifas!DP8</f>
        <v>195.33594654997043</v>
      </c>
      <c r="DA6" s="30">
        <f>+Tarifas!DQ8</f>
        <v>201.65712925609466</v>
      </c>
      <c r="DB6" s="30">
        <f>+Tarifas!DR8</f>
        <v>198.37619474530072</v>
      </c>
      <c r="DC6" s="30">
        <f>+Tarifas!DS8</f>
        <v>202.75921922690188</v>
      </c>
      <c r="DD6" s="30">
        <f>+Tarifas!DT8</f>
        <v>196.21001790612789</v>
      </c>
      <c r="DE6" s="30">
        <f>+Tarifas!DU8</f>
        <v>194.58855220195181</v>
      </c>
      <c r="DF6" s="30">
        <f>+Tarifas!DV8</f>
        <v>192.51104926847603</v>
      </c>
      <c r="DG6" s="30">
        <f>+Tarifas!DW8</f>
        <v>168.10038980013672</v>
      </c>
      <c r="DH6" s="30">
        <f>+Tarifas!DX8</f>
        <v>168.68310403757499</v>
      </c>
      <c r="DI6" s="30">
        <f>+Tarifas!DY8</f>
        <v>153.5325338641791</v>
      </c>
      <c r="DJ6" s="30">
        <f>+Tarifas!DZ8</f>
        <v>151.79705885267805</v>
      </c>
      <c r="DK6" s="30">
        <f>+Tarifas!EA8</f>
        <v>191.9712785367968</v>
      </c>
      <c r="DL6" s="30">
        <f>+Tarifas!EB8</f>
        <v>201.19602494646955</v>
      </c>
      <c r="DM6" s="30">
        <f>+Tarifas!EC8</f>
        <v>207.70684313377751</v>
      </c>
      <c r="DN6" s="30">
        <f>+Tarifas!ED8</f>
        <v>204.32748058765975</v>
      </c>
      <c r="DO6" s="30">
        <f>+Tarifas!EE8</f>
        <v>208.84199580370893</v>
      </c>
      <c r="DP6" s="30">
        <f>+Tarifas!EF8</f>
        <v>202.09631844331173</v>
      </c>
      <c r="DQ6" s="30">
        <f>+Tarifas!EG8</f>
        <v>200.42620876801038</v>
      </c>
      <c r="DR6" s="30">
        <f>+Tarifas!EH8</f>
        <v>198.28638074653031</v>
      </c>
      <c r="DS6" s="30">
        <f>+Tarifas!EI8</f>
        <v>173.14340149414082</v>
      </c>
      <c r="DT6" s="30">
        <f>+Tarifas!EJ8</f>
        <v>173.74359715870224</v>
      </c>
      <c r="DU6" s="30">
        <f>+Tarifas!EK8</f>
        <v>158.13850988010446</v>
      </c>
      <c r="DV6" s="30">
        <f>+Tarifas!EL8</f>
        <v>156.3509706182584</v>
      </c>
      <c r="DW6" s="30">
        <f>+Tarifas!EM8</f>
        <v>197.73041689290071</v>
      </c>
      <c r="DX6" s="30">
        <f>+Tarifas!EN8</f>
        <v>207.23190569486363</v>
      </c>
      <c r="DY6" s="30">
        <f>+Tarifas!EO8</f>
        <v>213.93804842779085</v>
      </c>
      <c r="DZ6" s="30">
        <f>+Tarifas!EP8</f>
        <v>210.45730500528956</v>
      </c>
      <c r="EA6" s="30">
        <f>+Tarifas!EQ8</f>
        <v>215.10725567782021</v>
      </c>
      <c r="EB6" s="30">
        <f>+Tarifas!ER8</f>
        <v>208.15920799661109</v>
      </c>
      <c r="EC6" s="30">
        <f>+Tarifas!ES8</f>
        <v>206.43899503105069</v>
      </c>
      <c r="ED6" s="30">
        <f>+Tarifas!ET8</f>
        <v>204.23497216892622</v>
      </c>
      <c r="EE6" s="30">
        <f>+Tarifas!EU8</f>
        <v>178.33770353896506</v>
      </c>
      <c r="EF6" s="30">
        <f>+Tarifas!EV8</f>
        <v>178.95590507346333</v>
      </c>
      <c r="EG6" s="30">
        <f>+Tarifas!EW8</f>
        <v>162.8826651765076</v>
      </c>
      <c r="EH6" s="30">
        <f>+Tarifas!EX8</f>
        <v>161.04149973680614</v>
      </c>
      <c r="EI6" s="30">
        <f>+Tarifas!EY8</f>
        <v>203.66232939968774</v>
      </c>
      <c r="EJ6" s="30">
        <f>+Tarifas!EZ8</f>
        <v>213.44886286570954</v>
      </c>
      <c r="EK6" s="30">
        <f>+Tarifas!FA8</f>
        <v>220.35618988062458</v>
      </c>
      <c r="EL6" s="30">
        <f>+Tarifas!FB8</f>
        <v>216.77102415544826</v>
      </c>
      <c r="EM6" s="30">
        <f>+Tarifas!FC8</f>
        <v>221.56047334815483</v>
      </c>
      <c r="EN6" s="30">
        <f>+Tarifas!FD8</f>
        <v>214.40398423650942</v>
      </c>
      <c r="EO6" s="30">
        <f>+Tarifas!FE8</f>
        <v>212.63216488198222</v>
      </c>
      <c r="EP6" s="30">
        <f>+Tarifas!FF8</f>
        <v>210.36202133399402</v>
      </c>
      <c r="EQ6" s="30">
        <f>+Tarifas!FG8</f>
        <v>183.68783464513402</v>
      </c>
      <c r="ER6" s="30">
        <f>+Tarifas!FH8</f>
        <v>184.32458222566723</v>
      </c>
      <c r="ES6" s="30">
        <f>+Tarifas!FI8</f>
        <v>167.76914513180284</v>
      </c>
      <c r="ET6" s="30">
        <f>+Tarifas!FJ8</f>
        <v>165.87274472891033</v>
      </c>
      <c r="EU6" s="30">
        <f>+Tarifas!FK8</f>
        <v>209.77219928167838</v>
      </c>
      <c r="EV6" s="30">
        <f>+Tarifas!FL8</f>
        <v>219.85232875168083</v>
      </c>
      <c r="EW6" s="30">
        <f>+Tarifas!FM8</f>
        <v>226.96687557704334</v>
      </c>
      <c r="EX6" s="30">
        <f>+Tarifas!FN8</f>
        <v>223.27415488011172</v>
      </c>
      <c r="EY6" s="30">
        <f>+Tarifas!FO8</f>
        <v>228.20728754859948</v>
      </c>
      <c r="EZ6" s="30">
        <f>+Tarifas!FP8</f>
        <v>220.83610376360471</v>
      </c>
      <c r="FA6" s="30">
        <f>+Tarifas!FQ8</f>
        <v>219.01112982844168</v>
      </c>
      <c r="FB6" s="30">
        <f>+Tarifas!FR8</f>
        <v>216.67288197401385</v>
      </c>
      <c r="FC6" s="30">
        <f>+Tarifas!FS8</f>
        <v>189.19846968448803</v>
      </c>
      <c r="FD6" s="30">
        <f>+Tarifas!FT8</f>
        <v>189.85431969243726</v>
      </c>
      <c r="FE6" s="30">
        <f>+Tarifas!FU8</f>
        <v>172.80221948575692</v>
      </c>
      <c r="FF6" s="30">
        <f>+Tarifas!FV8</f>
        <v>170.84892707077765</v>
      </c>
      <c r="FG6" s="30">
        <f>+Tarifas!FW8</f>
        <v>216.06536526012874</v>
      </c>
      <c r="FH6" s="30">
        <f>+Tarifas!FX8</f>
        <v>226.44789861423126</v>
      </c>
      <c r="FI6" s="30">
        <f>+Tarifas!FY8</f>
        <v>233.77588184435464</v>
      </c>
      <c r="FJ6" s="30">
        <f>+Tarifas!FZ8</f>
        <v>229.97237952651508</v>
      </c>
      <c r="FK6" s="30">
        <f>+Tarifas!GA8</f>
        <v>235.05350617505746</v>
      </c>
      <c r="FL6" s="30">
        <f>+Tarifas!GB8</f>
        <v>227.46118687651287</v>
      </c>
      <c r="FM6" s="30">
        <f>+Tarifas!GC8</f>
        <v>225.58146372329495</v>
      </c>
      <c r="FN6" s="30">
        <f>+Tarifas!GD8</f>
        <v>223.17306843323428</v>
      </c>
      <c r="FO6" s="30">
        <f>+Tarifas!GE8</f>
        <v>194.87442377502268</v>
      </c>
      <c r="FP6" s="30">
        <f>+Tarifas!GF8</f>
        <v>195.54994928321037</v>
      </c>
      <c r="FQ6" s="30">
        <f>+Tarifas!GG8</f>
        <v>177.98628607032964</v>
      </c>
      <c r="FR6" s="30">
        <f>+Tarifas!GH8</f>
        <v>175.97439488290098</v>
      </c>
      <c r="FS6" s="30">
        <f>+Tarifas!GI8</f>
        <v>222.54732621793261</v>
      </c>
      <c r="FT6" s="30">
        <f>+Tarifas!GJ8</f>
        <v>233.24133557265822</v>
      </c>
      <c r="FU6" s="30">
        <f>+Tarifas!GK8</f>
        <v>240.78915829968528</v>
      </c>
      <c r="FV6" s="30">
        <f>+Tarifas!GL8</f>
        <v>236.87155091231054</v>
      </c>
      <c r="FW6" s="30">
        <f>+Tarifas!GM8</f>
        <v>242.10511136030919</v>
      </c>
      <c r="FX6" s="30">
        <f>+Tarifas!GN8</f>
        <v>234.28502248280827</v>
      </c>
      <c r="FY6" s="30">
        <f>+Tarifas!GO8</f>
        <v>232.34890763499379</v>
      </c>
      <c r="FZ6" s="30">
        <f>+Tarifas!GP8</f>
        <v>229.86826048623132</v>
      </c>
      <c r="GA6" s="30">
        <f>+Tarifas!GQ8</f>
        <v>200.72065648827336</v>
      </c>
      <c r="GB6" s="30">
        <f>+Tarifas!GR8</f>
        <v>201.41644776170668</v>
      </c>
      <c r="GC6" s="30">
        <f>+Tarifas!GS8</f>
        <v>183.32587465243952</v>
      </c>
      <c r="GD6" s="30">
        <f>+Tarifas!GT8</f>
        <v>181.253626729388</v>
      </c>
      <c r="GE6" s="30">
        <f>+Tarifas!GU8</f>
        <v>229.2237460044706</v>
      </c>
      <c r="GF6" s="30">
        <f>+Tarifas!GV8</f>
        <v>240.23857563983796</v>
      </c>
      <c r="GG6" s="30">
        <f>+Tarifas!GW8</f>
        <v>248.01283304867584</v>
      </c>
      <c r="GH6" s="30">
        <f>+Tarifas!GX8</f>
        <v>243.97769743967987</v>
      </c>
      <c r="GI6" s="30">
        <f>+Tarifas!GY8</f>
        <v>249.36826470111848</v>
      </c>
      <c r="GJ6" s="30">
        <f>+Tarifas!GZ8</f>
        <v>241.31357315729252</v>
      </c>
      <c r="GK6" s="30">
        <f>+Tarifas!HA8</f>
        <v>239.31937486404362</v>
      </c>
      <c r="GL6" s="30">
        <f>+Tarifas!HB8</f>
        <v>236.76430830081827</v>
      </c>
      <c r="GM6" s="30">
        <f>+Tarifas!HC8</f>
        <v>206.74227618292156</v>
      </c>
      <c r="GN6" s="30">
        <f>+Tarifas!HD8</f>
        <v>207.45894119455789</v>
      </c>
      <c r="GO6" s="30">
        <f>+Tarifas!HE8</f>
        <v>188.8256508920127</v>
      </c>
      <c r="GP6" s="30">
        <f>+Tarifas!HF8</f>
        <v>186.69123553126965</v>
      </c>
      <c r="GQ6" s="30">
        <f>+Tarifas!HG8</f>
        <v>236.10045838460474</v>
      </c>
      <c r="GR6" s="30">
        <f>+Tarifas!HH8</f>
        <v>247.4457329090331</v>
      </c>
      <c r="GS6" s="30">
        <f>+Tarifas!HI8</f>
        <v>255.45321804013614</v>
      </c>
      <c r="GT6" s="30">
        <f>+Tarifas!HJ8</f>
        <v>251.29702836287026</v>
      </c>
      <c r="GU6" s="30">
        <f>+Tarifas!HK8</f>
        <v>256.84931264215203</v>
      </c>
      <c r="GV6" s="30">
        <f>+Tarifas!HL8</f>
        <v>248.5529803520113</v>
      </c>
      <c r="GW6" s="30">
        <f>+Tarifas!HM8</f>
        <v>246.49895610996495</v>
      </c>
      <c r="GX6" s="30">
        <f>+Tarifas!HN8</f>
        <v>243.86723754984283</v>
      </c>
      <c r="GY6" s="30">
        <f>+Tarifas!HO8</f>
        <v>212.94454446840922</v>
      </c>
      <c r="GZ6" s="30">
        <f>+Tarifas!HP8</f>
        <v>213.68270943039462</v>
      </c>
      <c r="HA6" s="30">
        <f>+Tarifas!HQ8</f>
        <v>194.49042041877308</v>
      </c>
      <c r="HB6" s="30">
        <f>+Tarifas!HR8</f>
        <v>192.29197259720775</v>
      </c>
      <c r="HC6" s="30">
        <f>+Tarifas!HS8</f>
        <v>243.18347213614288</v>
      </c>
      <c r="HD6" s="30">
        <f>+Tarifas!HT8</f>
        <v>254.86910489630409</v>
      </c>
      <c r="HE6" s="30">
        <f>+Tarifas!HU8</f>
        <v>263.11681458134024</v>
      </c>
      <c r="HF6" s="30">
        <f>+Tarifas!HV8</f>
        <v>258.83593921375638</v>
      </c>
      <c r="HG6" s="30">
        <f>+Tarifas!HW8</f>
        <v>264.55479202141657</v>
      </c>
      <c r="HH6" s="30">
        <f>+Tarifas!HX8</f>
        <v>256.00956976257163</v>
      </c>
      <c r="HI6" s="30">
        <f>+Tarifas!HY8</f>
        <v>253.89392479326389</v>
      </c>
      <c r="HJ6" s="30">
        <f>+Tarifas!HZ8</f>
        <v>251.18325467633812</v>
      </c>
      <c r="HK6" s="30">
        <f>+Tarifas!IA8</f>
        <v>219.33288080246149</v>
      </c>
      <c r="HL6" s="30">
        <f>+Tarifas!IB8</f>
        <v>220.09319071330646</v>
      </c>
      <c r="HM6" s="30">
        <f>+Tarifas!IC8</f>
        <v>200.32513303133629</v>
      </c>
      <c r="HN6" s="30">
        <f>+Tarifas!ID8</f>
        <v>198.060731775124</v>
      </c>
      <c r="HO6" s="30">
        <f>+Tarifas!IE8</f>
        <v>250.47897630022717</v>
      </c>
      <c r="HP6" s="30">
        <f>+Tarifas!IF8</f>
        <v>262.5151780431932</v>
      </c>
      <c r="HQ6" s="30">
        <f>+Tarifas!IG8</f>
        <v>271.01031901878048</v>
      </c>
      <c r="HR6" s="30">
        <f>+Tarifas!IH8</f>
        <v>266.60101739016909</v>
      </c>
      <c r="HS6" s="30">
        <f>+Tarifas!II8</f>
        <v>272.49143578205906</v>
      </c>
      <c r="HT6" s="30">
        <f>+Tarifas!IJ8</f>
        <v>263.6898568554488</v>
      </c>
      <c r="HU6" s="30">
        <f>+Tarifas!IK8</f>
        <v>261.51074253706179</v>
      </c>
      <c r="HV6" s="30">
        <f>+Tarifas!IL8</f>
        <v>258.7187523166283</v>
      </c>
      <c r="HW6" s="30">
        <f>+Tarifas!IM8</f>
        <v>225.91286722653533</v>
      </c>
      <c r="HX6" s="30">
        <f>+Tarifas!IN8</f>
        <v>226.69598643470565</v>
      </c>
      <c r="HY6" s="30">
        <f>+Tarifas!IO8</f>
        <v>206.33488702227638</v>
      </c>
      <c r="HZ6" s="30">
        <f>+Tarifas!IP8</f>
        <v>204.00255372837773</v>
      </c>
      <c r="IA6" s="30">
        <f>+Tarifas!IQ8</f>
        <v>257.99334558923397</v>
      </c>
      <c r="IB6" s="30">
        <f>+Tarifas!IR8</f>
        <v>270.39063338448898</v>
      </c>
      <c r="IC6" s="30">
        <f>+Tarifas!IS8</f>
        <v>279.14062858934392</v>
      </c>
      <c r="ID6" s="30">
        <f>+Tarifas!IT8</f>
        <v>274.59904791187415</v>
      </c>
      <c r="IE6" s="30">
        <f>+Tarifas!IU8</f>
        <v>280.66617885552085</v>
      </c>
      <c r="IF6" s="30">
        <f>+Tarifas!IV8</f>
        <v>271.60055256111224</v>
      </c>
      <c r="IG6" s="30">
        <f>+Tarifas!IW8</f>
        <v>269.35606481317365</v>
      </c>
      <c r="IH6" s="30">
        <f>+Tarifas!IX8</f>
        <v>266.48031488612713</v>
      </c>
    </row>
    <row r="7" spans="1:242" x14ac:dyDescent="0.3">
      <c r="A7" t="s">
        <v>907</v>
      </c>
      <c r="C7" s="30">
        <f>+Tarifas!U69</f>
        <v>0</v>
      </c>
      <c r="D7" s="30">
        <f>+Tarifas!V69</f>
        <v>0</v>
      </c>
      <c r="E7" s="30">
        <f>+Tarifas!W69</f>
        <v>0</v>
      </c>
      <c r="F7" s="30">
        <f>+Tarifas!X69</f>
        <v>0</v>
      </c>
      <c r="G7" s="30">
        <f>+Tarifas!Y69</f>
        <v>0</v>
      </c>
      <c r="H7" s="30">
        <f ca="1">+Tarifas!Z69</f>
        <v>98.972189850194397</v>
      </c>
      <c r="I7" s="30">
        <f ca="1">+Tarifas!AA69</f>
        <v>98.972189850194397</v>
      </c>
      <c r="J7" s="30">
        <f ca="1">+Tarifas!AB69</f>
        <v>98.972189850194397</v>
      </c>
      <c r="K7" s="30">
        <f ca="1">+Tarifas!AC69</f>
        <v>98.972189850194397</v>
      </c>
      <c r="L7" s="30">
        <f ca="1">+Tarifas!AD69</f>
        <v>98.972189850194397</v>
      </c>
      <c r="M7" s="30">
        <f ca="1">+Tarifas!AE69</f>
        <v>98.972189850194397</v>
      </c>
      <c r="N7" s="30">
        <f ca="1">+Tarifas!AF69</f>
        <v>98.972189850194397</v>
      </c>
      <c r="O7" s="30">
        <f ca="1">+Tarifas!AG69</f>
        <v>98.972189850194397</v>
      </c>
      <c r="P7" s="30">
        <f ca="1">+Tarifas!AH69</f>
        <v>98.972189850194397</v>
      </c>
      <c r="Q7" s="30">
        <f ca="1">+Tarifas!AI69</f>
        <v>98.972189850194397</v>
      </c>
      <c r="R7" s="30">
        <f ca="1">+Tarifas!AJ69</f>
        <v>98.972189850194397</v>
      </c>
      <c r="S7" s="30">
        <f ca="1">+Tarifas!AK69</f>
        <v>98.972189850194397</v>
      </c>
      <c r="T7" s="30">
        <f ca="1">+Tarifas!AL69</f>
        <v>103.92079934270411</v>
      </c>
      <c r="U7" s="30">
        <f ca="1">+Tarifas!AM69</f>
        <v>103.92079934270411</v>
      </c>
      <c r="V7" s="30">
        <f ca="1">+Tarifas!AN69</f>
        <v>103.92079934270411</v>
      </c>
      <c r="W7" s="30">
        <f ca="1">+Tarifas!AO69</f>
        <v>103.92079934270411</v>
      </c>
      <c r="X7" s="30">
        <f ca="1">+Tarifas!AP69</f>
        <v>103.92079934270411</v>
      </c>
      <c r="Y7" s="30">
        <f ca="1">+Tarifas!AQ69</f>
        <v>103.92079934270411</v>
      </c>
      <c r="Z7" s="30">
        <f ca="1">+Tarifas!AR69</f>
        <v>103.92079934270411</v>
      </c>
      <c r="AA7" s="30">
        <f ca="1">+Tarifas!AS69</f>
        <v>103.92079934270411</v>
      </c>
      <c r="AB7" s="30">
        <f ca="1">+Tarifas!AT69</f>
        <v>103.92079934270411</v>
      </c>
      <c r="AC7" s="30">
        <f ca="1">+Tarifas!AU69</f>
        <v>103.92079934270411</v>
      </c>
      <c r="AD7" s="30">
        <f ca="1">+Tarifas!AV69</f>
        <v>103.92079934270411</v>
      </c>
      <c r="AE7" s="30">
        <f ca="1">+Tarifas!AW69</f>
        <v>103.92079934270411</v>
      </c>
      <c r="AF7" s="30">
        <f ca="1">+Tarifas!AX69</f>
        <v>109.11683930983932</v>
      </c>
      <c r="AG7" s="30">
        <f ca="1">+Tarifas!AY69</f>
        <v>109.11683930983932</v>
      </c>
      <c r="AH7" s="30">
        <f ca="1">+Tarifas!AZ69</f>
        <v>109.11683930983932</v>
      </c>
      <c r="AI7" s="30">
        <f ca="1">+Tarifas!BA69</f>
        <v>109.11683930983932</v>
      </c>
      <c r="AJ7" s="30">
        <f ca="1">+Tarifas!BB69</f>
        <v>109.11683930983932</v>
      </c>
      <c r="AK7" s="30">
        <f ca="1">+Tarifas!BC69</f>
        <v>109.11683930983932</v>
      </c>
      <c r="AL7" s="30">
        <f ca="1">+Tarifas!BD69</f>
        <v>109.11683930983932</v>
      </c>
      <c r="AM7" s="30">
        <f ca="1">+Tarifas!BE69</f>
        <v>109.11683930983932</v>
      </c>
      <c r="AN7" s="30">
        <f ca="1">+Tarifas!BF69</f>
        <v>109.11683930983932</v>
      </c>
      <c r="AO7" s="30">
        <f ca="1">+Tarifas!BG69</f>
        <v>109.11683930983932</v>
      </c>
      <c r="AP7" s="30">
        <f ca="1">+Tarifas!BH69</f>
        <v>109.11683930983932</v>
      </c>
      <c r="AQ7" s="30">
        <f ca="1">+Tarifas!BI69</f>
        <v>109.11683930983932</v>
      </c>
      <c r="AR7" s="30">
        <f ca="1">+Tarifas!BJ69</f>
        <v>112.39034448913451</v>
      </c>
      <c r="AS7" s="30">
        <f ca="1">+Tarifas!BK69</f>
        <v>112.39034448913451</v>
      </c>
      <c r="AT7" s="30">
        <f ca="1">+Tarifas!BL69</f>
        <v>112.39034448913451</v>
      </c>
      <c r="AU7" s="30">
        <f ca="1">+Tarifas!BM69</f>
        <v>112.39034448913451</v>
      </c>
      <c r="AV7" s="30">
        <f ca="1">+Tarifas!BN69</f>
        <v>112.39034448913451</v>
      </c>
      <c r="AW7" s="30">
        <f ca="1">+Tarifas!BO69</f>
        <v>112.39034448913451</v>
      </c>
      <c r="AX7" s="30">
        <f ca="1">+Tarifas!BP69</f>
        <v>112.39034448913451</v>
      </c>
      <c r="AY7" s="30">
        <f ca="1">+Tarifas!BQ69</f>
        <v>112.39034448913451</v>
      </c>
      <c r="AZ7" s="30">
        <f ca="1">+Tarifas!BR69</f>
        <v>112.39034448913451</v>
      </c>
      <c r="BA7" s="30">
        <f ca="1">+Tarifas!BS69</f>
        <v>112.39034448913451</v>
      </c>
      <c r="BB7" s="30">
        <f ca="1">+Tarifas!BT69</f>
        <v>112.39034448913451</v>
      </c>
      <c r="BC7" s="30">
        <f ca="1">+Tarifas!BU69</f>
        <v>112.39034448913451</v>
      </c>
      <c r="BD7" s="30">
        <f ca="1">+Tarifas!BV69</f>
        <v>118.00986171359123</v>
      </c>
      <c r="BE7" s="30">
        <f ca="1">+Tarifas!BW69</f>
        <v>118.00986171359123</v>
      </c>
      <c r="BF7" s="30">
        <f ca="1">+Tarifas!BX69</f>
        <v>118.00986171359123</v>
      </c>
      <c r="BG7" s="30">
        <f ca="1">+Tarifas!BY69</f>
        <v>118.00986171359123</v>
      </c>
      <c r="BH7" s="30">
        <f ca="1">+Tarifas!BZ69</f>
        <v>118.00986171359123</v>
      </c>
      <c r="BI7" s="30">
        <f ca="1">+Tarifas!CA69</f>
        <v>118.00986171359123</v>
      </c>
      <c r="BJ7" s="30">
        <f ca="1">+Tarifas!CB69</f>
        <v>118.00986171359123</v>
      </c>
      <c r="BK7" s="30">
        <f ca="1">+Tarifas!CC69</f>
        <v>118.00986171359123</v>
      </c>
      <c r="BL7" s="30">
        <f ca="1">+Tarifas!CD69</f>
        <v>118.00986171359123</v>
      </c>
      <c r="BM7" s="30">
        <f ca="1">+Tarifas!CE69</f>
        <v>118.00986171359123</v>
      </c>
      <c r="BN7" s="30">
        <f ca="1">+Tarifas!CF69</f>
        <v>118.00986171359123</v>
      </c>
      <c r="BO7" s="30">
        <f ca="1">+Tarifas!CG69</f>
        <v>118.00986171359123</v>
      </c>
      <c r="BP7" s="30">
        <f ca="1">+Tarifas!CH69</f>
        <v>121.55015756499897</v>
      </c>
      <c r="BQ7" s="30">
        <f ca="1">+Tarifas!CI69</f>
        <v>121.55015756499897</v>
      </c>
      <c r="BR7" s="30">
        <f ca="1">+Tarifas!CJ69</f>
        <v>121.55015756499897</v>
      </c>
      <c r="BS7" s="30">
        <f ca="1">+Tarifas!CK69</f>
        <v>121.55015756499897</v>
      </c>
      <c r="BT7" s="30">
        <f ca="1">+Tarifas!CL69</f>
        <v>121.55015756499897</v>
      </c>
      <c r="BU7" s="30">
        <f ca="1">+Tarifas!CM69</f>
        <v>121.55015756499897</v>
      </c>
      <c r="BV7" s="30">
        <f ca="1">+Tarifas!CN69</f>
        <v>121.55015756499897</v>
      </c>
      <c r="BW7" s="30">
        <f ca="1">+Tarifas!CO69</f>
        <v>121.55015756499897</v>
      </c>
      <c r="BX7" s="30">
        <f ca="1">+Tarifas!CP69</f>
        <v>121.55015756499897</v>
      </c>
      <c r="BY7" s="30">
        <f ca="1">+Tarifas!CQ69</f>
        <v>121.55015756499897</v>
      </c>
      <c r="BZ7" s="30">
        <f ca="1">+Tarifas!CR69</f>
        <v>121.55015756499897</v>
      </c>
      <c r="CA7" s="30">
        <f ca="1">+Tarifas!CS69</f>
        <v>121.55015756499897</v>
      </c>
      <c r="CB7" s="30">
        <f ca="1">+Tarifas!CT69</f>
        <v>127.62766544324893</v>
      </c>
      <c r="CC7" s="30">
        <f ca="1">+Tarifas!CU69</f>
        <v>127.62766544324893</v>
      </c>
      <c r="CD7" s="30">
        <f ca="1">+Tarifas!CV69</f>
        <v>127.62766544324893</v>
      </c>
      <c r="CE7" s="30">
        <f ca="1">+Tarifas!CW69</f>
        <v>127.62766544324893</v>
      </c>
      <c r="CF7" s="30">
        <f ca="1">+Tarifas!CX69</f>
        <v>127.62766544324893</v>
      </c>
      <c r="CG7" s="30">
        <f ca="1">+Tarifas!CY69</f>
        <v>127.62766544324893</v>
      </c>
      <c r="CH7" s="30">
        <f ca="1">+Tarifas!CZ69</f>
        <v>127.62766544324893</v>
      </c>
      <c r="CI7" s="30">
        <f ca="1">+Tarifas!DA69</f>
        <v>127.62766544324893</v>
      </c>
      <c r="CJ7" s="30">
        <f ca="1">+Tarifas!DB69</f>
        <v>127.62766544324893</v>
      </c>
      <c r="CK7" s="30">
        <f ca="1">+Tarifas!DC69</f>
        <v>127.62766544324893</v>
      </c>
      <c r="CL7" s="30">
        <f ca="1">+Tarifas!DD69</f>
        <v>127.62766544324893</v>
      </c>
      <c r="CM7" s="30">
        <f ca="1">+Tarifas!DE69</f>
        <v>127.62766544324893</v>
      </c>
      <c r="CN7" s="30">
        <f ca="1">+Tarifas!DF69</f>
        <v>134.00904871541138</v>
      </c>
      <c r="CO7" s="30">
        <f ca="1">+Tarifas!DG69</f>
        <v>134.00904871541138</v>
      </c>
      <c r="CP7" s="30">
        <f ca="1">+Tarifas!DH69</f>
        <v>134.00904871541138</v>
      </c>
      <c r="CQ7" s="30">
        <f ca="1">+Tarifas!DI69</f>
        <v>134.00904871541138</v>
      </c>
      <c r="CR7" s="30">
        <f ca="1">+Tarifas!DJ69</f>
        <v>134.00904871541138</v>
      </c>
      <c r="CS7" s="30">
        <f ca="1">+Tarifas!DK69</f>
        <v>134.00904871541138</v>
      </c>
      <c r="CT7" s="30">
        <f ca="1">+Tarifas!DL69</f>
        <v>134.00904871541138</v>
      </c>
      <c r="CU7" s="30">
        <f ca="1">+Tarifas!DM69</f>
        <v>134.00904871541138</v>
      </c>
      <c r="CV7" s="30">
        <f ca="1">+Tarifas!DN69</f>
        <v>134.00904871541138</v>
      </c>
      <c r="CW7" s="30">
        <f ca="1">+Tarifas!DO69</f>
        <v>134.00904871541138</v>
      </c>
      <c r="CX7" s="30">
        <f ca="1">+Tarifas!DP69</f>
        <v>134.00904871541138</v>
      </c>
      <c r="CY7" s="30">
        <f ca="1">+Tarifas!DQ69</f>
        <v>134.00904871541138</v>
      </c>
      <c r="CZ7" s="30">
        <f ca="1">+Tarifas!DR69</f>
        <v>140.70950115118197</v>
      </c>
      <c r="DA7" s="30">
        <f ca="1">+Tarifas!DS69</f>
        <v>140.70950115118197</v>
      </c>
      <c r="DB7" s="30">
        <f ca="1">+Tarifas!DT69</f>
        <v>140.70950115118197</v>
      </c>
      <c r="DC7" s="30">
        <f ca="1">+Tarifas!DU69</f>
        <v>140.70950115118197</v>
      </c>
      <c r="DD7" s="30">
        <f ca="1">+Tarifas!DV69</f>
        <v>140.70950115118197</v>
      </c>
      <c r="DE7" s="30">
        <f ca="1">+Tarifas!DW69</f>
        <v>140.70950115118197</v>
      </c>
      <c r="DF7" s="30">
        <f ca="1">+Tarifas!DX69</f>
        <v>140.70950115118197</v>
      </c>
      <c r="DG7" s="30">
        <f ca="1">+Tarifas!DY69</f>
        <v>140.70950115118197</v>
      </c>
      <c r="DH7" s="30">
        <f ca="1">+Tarifas!DZ69</f>
        <v>140.70950115118197</v>
      </c>
      <c r="DI7" s="30">
        <f ca="1">+Tarifas!EA69</f>
        <v>140.70950115118197</v>
      </c>
      <c r="DJ7" s="30">
        <f ca="1">+Tarifas!EB69</f>
        <v>140.70950115118197</v>
      </c>
      <c r="DK7" s="30">
        <f ca="1">+Tarifas!EC69</f>
        <v>140.70950115118197</v>
      </c>
      <c r="DL7" s="30">
        <f ca="1">+Tarifas!ED69</f>
        <v>147.74497620874106</v>
      </c>
      <c r="DM7" s="30">
        <f ca="1">+Tarifas!EE69</f>
        <v>147.74497620874106</v>
      </c>
      <c r="DN7" s="30">
        <f ca="1">+Tarifas!EF69</f>
        <v>147.74497620874106</v>
      </c>
      <c r="DO7" s="30">
        <f ca="1">+Tarifas!EG69</f>
        <v>147.74497620874106</v>
      </c>
      <c r="DP7" s="30">
        <f ca="1">+Tarifas!EH69</f>
        <v>147.74497620874106</v>
      </c>
      <c r="DQ7" s="30">
        <f ca="1">+Tarifas!EI69</f>
        <v>147.74497620874106</v>
      </c>
      <c r="DR7" s="30">
        <f ca="1">+Tarifas!EJ69</f>
        <v>147.74497620874106</v>
      </c>
      <c r="DS7" s="30">
        <f ca="1">+Tarifas!EK69</f>
        <v>147.74497620874106</v>
      </c>
      <c r="DT7" s="30">
        <f ca="1">+Tarifas!EL69</f>
        <v>147.74497620874106</v>
      </c>
      <c r="DU7" s="30">
        <f ca="1">+Tarifas!EM69</f>
        <v>147.74497620874106</v>
      </c>
      <c r="DV7" s="30">
        <f ca="1">+Tarifas!EN69</f>
        <v>147.74497620874106</v>
      </c>
      <c r="DW7" s="30">
        <f ca="1">+Tarifas!EO69</f>
        <v>147.74497620874106</v>
      </c>
      <c r="DX7" s="30">
        <f ca="1">+Tarifas!EP69</f>
        <v>155.13222501917812</v>
      </c>
      <c r="DY7" s="30">
        <f ca="1">+Tarifas!EQ69</f>
        <v>155.13222501917812</v>
      </c>
      <c r="DZ7" s="30">
        <f ca="1">+Tarifas!ER69</f>
        <v>155.13222501917812</v>
      </c>
      <c r="EA7" s="30">
        <f ca="1">+Tarifas!ES69</f>
        <v>155.13222501917812</v>
      </c>
      <c r="EB7" s="30">
        <f ca="1">+Tarifas!ET69</f>
        <v>155.13222501917812</v>
      </c>
      <c r="EC7" s="30">
        <f ca="1">+Tarifas!EU69</f>
        <v>155.13222501917812</v>
      </c>
      <c r="ED7" s="30">
        <f ca="1">+Tarifas!EV69</f>
        <v>155.13222501917812</v>
      </c>
      <c r="EE7" s="30">
        <f ca="1">+Tarifas!EW69</f>
        <v>155.13222501917812</v>
      </c>
      <c r="EF7" s="30">
        <f ca="1">+Tarifas!EX69</f>
        <v>155.13222501917812</v>
      </c>
      <c r="EG7" s="30">
        <f ca="1">+Tarifas!EY69</f>
        <v>155.13222501917812</v>
      </c>
      <c r="EH7" s="30">
        <f ca="1">+Tarifas!EZ69</f>
        <v>155.13222501917812</v>
      </c>
      <c r="EI7" s="30">
        <f ca="1">+Tarifas!FA69</f>
        <v>155.13222501917812</v>
      </c>
      <c r="EJ7" s="30">
        <f ca="1">+Tarifas!FB69</f>
        <v>162.88883627013703</v>
      </c>
      <c r="EK7" s="30">
        <f ca="1">+Tarifas!FC69</f>
        <v>162.88883627013703</v>
      </c>
      <c r="EL7" s="30">
        <f ca="1">+Tarifas!FD69</f>
        <v>162.88883627013703</v>
      </c>
      <c r="EM7" s="30">
        <f ca="1">+Tarifas!FE69</f>
        <v>162.88883627013703</v>
      </c>
      <c r="EN7" s="30">
        <f ca="1">+Tarifas!FF69</f>
        <v>162.88883627013703</v>
      </c>
      <c r="EO7" s="30">
        <f ca="1">+Tarifas!FG69</f>
        <v>162.88883627013703</v>
      </c>
      <c r="EP7" s="30">
        <f ca="1">+Tarifas!FH69</f>
        <v>162.88883627013703</v>
      </c>
      <c r="EQ7" s="30">
        <f ca="1">+Tarifas!FI69</f>
        <v>162.88883627013703</v>
      </c>
      <c r="ER7" s="30">
        <f ca="1">+Tarifas!FJ69</f>
        <v>162.88883627013703</v>
      </c>
      <c r="ES7" s="30">
        <f ca="1">+Tarifas!FK69</f>
        <v>162.88883627013703</v>
      </c>
      <c r="ET7" s="30">
        <f ca="1">+Tarifas!FL69</f>
        <v>162.88883627013703</v>
      </c>
      <c r="EU7" s="30">
        <f ca="1">+Tarifas!FM69</f>
        <v>162.88883627013703</v>
      </c>
      <c r="EV7" s="30">
        <f ca="1">+Tarifas!FN69</f>
        <v>171.03327808364389</v>
      </c>
      <c r="EW7" s="30">
        <f ca="1">+Tarifas!FO69</f>
        <v>171.03327808364389</v>
      </c>
      <c r="EX7" s="30">
        <f ca="1">+Tarifas!FP69</f>
        <v>171.03327808364389</v>
      </c>
      <c r="EY7" s="30">
        <f ca="1">+Tarifas!FQ69</f>
        <v>171.03327808364389</v>
      </c>
      <c r="EZ7" s="30">
        <f ca="1">+Tarifas!FR69</f>
        <v>171.03327808364389</v>
      </c>
      <c r="FA7" s="30">
        <f ca="1">+Tarifas!FS69</f>
        <v>171.03327808364389</v>
      </c>
      <c r="FB7" s="30">
        <f ca="1">+Tarifas!FT69</f>
        <v>171.03327808364389</v>
      </c>
      <c r="FC7" s="30">
        <f ca="1">+Tarifas!FU69</f>
        <v>171.03327808364389</v>
      </c>
      <c r="FD7" s="30">
        <f ca="1">+Tarifas!FV69</f>
        <v>171.03327808364389</v>
      </c>
      <c r="FE7" s="30">
        <f ca="1">+Tarifas!FW69</f>
        <v>171.03327808364389</v>
      </c>
      <c r="FF7" s="30">
        <f ca="1">+Tarifas!FX69</f>
        <v>171.03327808364389</v>
      </c>
      <c r="FG7" s="30">
        <f ca="1">+Tarifas!FY69</f>
        <v>171.03327808364389</v>
      </c>
      <c r="FH7" s="30">
        <f ca="1">+Tarifas!FZ69</f>
        <v>179.58494198782608</v>
      </c>
      <c r="FI7" s="30">
        <f ca="1">+Tarifas!GA69</f>
        <v>179.58494198782608</v>
      </c>
      <c r="FJ7" s="30">
        <f ca="1">+Tarifas!GB69</f>
        <v>179.58494198782608</v>
      </c>
      <c r="FK7" s="30">
        <f ca="1">+Tarifas!GC69</f>
        <v>179.58494198782608</v>
      </c>
      <c r="FL7" s="30">
        <f ca="1">+Tarifas!GD69</f>
        <v>179.58494198782608</v>
      </c>
      <c r="FM7" s="30">
        <f ca="1">+Tarifas!GE69</f>
        <v>179.58494198782608</v>
      </c>
      <c r="FN7" s="30">
        <f ca="1">+Tarifas!GF69</f>
        <v>179.58494198782608</v>
      </c>
      <c r="FO7" s="30">
        <f ca="1">+Tarifas!GG69</f>
        <v>179.58494198782608</v>
      </c>
      <c r="FP7" s="30">
        <f ca="1">+Tarifas!GH69</f>
        <v>179.58494198782608</v>
      </c>
      <c r="FQ7" s="30">
        <f ca="1">+Tarifas!GI69</f>
        <v>179.58494198782608</v>
      </c>
      <c r="FR7" s="30">
        <f ca="1">+Tarifas!GJ69</f>
        <v>179.58494198782608</v>
      </c>
      <c r="FS7" s="30">
        <f ca="1">+Tarifas!GK69</f>
        <v>179.58494198782608</v>
      </c>
      <c r="FT7" s="30">
        <f ca="1">+Tarifas!GL69</f>
        <v>188.56418908721739</v>
      </c>
      <c r="FU7" s="30">
        <f ca="1">+Tarifas!GM69</f>
        <v>188.56418908721739</v>
      </c>
      <c r="FV7" s="30">
        <f ca="1">+Tarifas!GN69</f>
        <v>188.56418908721739</v>
      </c>
      <c r="FW7" s="30">
        <f ca="1">+Tarifas!GO69</f>
        <v>188.56418908721739</v>
      </c>
      <c r="FX7" s="30">
        <f ca="1">+Tarifas!GP69</f>
        <v>188.56418908721739</v>
      </c>
      <c r="FY7" s="30">
        <f ca="1">+Tarifas!GQ69</f>
        <v>188.56418908721739</v>
      </c>
      <c r="FZ7" s="30">
        <f ca="1">+Tarifas!GR69</f>
        <v>188.56418908721739</v>
      </c>
      <c r="GA7" s="30">
        <f ca="1">+Tarifas!GS69</f>
        <v>188.56418908721739</v>
      </c>
      <c r="GB7" s="30">
        <f ca="1">+Tarifas!GT69</f>
        <v>188.56418908721739</v>
      </c>
      <c r="GC7" s="30">
        <f ca="1">+Tarifas!GU69</f>
        <v>188.56418908721739</v>
      </c>
      <c r="GD7" s="30">
        <f ca="1">+Tarifas!GV69</f>
        <v>188.56418908721739</v>
      </c>
      <c r="GE7" s="30">
        <f ca="1">+Tarifas!GW69</f>
        <v>188.56418908721739</v>
      </c>
      <c r="GF7" s="30">
        <f ca="1">+Tarifas!GX69</f>
        <v>197.99239854157827</v>
      </c>
      <c r="GG7" s="30">
        <f ca="1">+Tarifas!GY69</f>
        <v>197.99239854157827</v>
      </c>
      <c r="GH7" s="30">
        <f ca="1">+Tarifas!GZ69</f>
        <v>197.99239854157827</v>
      </c>
      <c r="GI7" s="30">
        <f ca="1">+Tarifas!HA69</f>
        <v>197.99239854157827</v>
      </c>
      <c r="GJ7" s="30">
        <f ca="1">+Tarifas!HB69</f>
        <v>197.99239854157827</v>
      </c>
      <c r="GK7" s="30">
        <f ca="1">+Tarifas!HC69</f>
        <v>197.99239854157827</v>
      </c>
      <c r="GL7" s="30">
        <f ca="1">+Tarifas!HD69</f>
        <v>197.99239854157827</v>
      </c>
      <c r="GM7" s="30">
        <f ca="1">+Tarifas!HE69</f>
        <v>197.99239854157827</v>
      </c>
      <c r="GN7" s="30">
        <f ca="1">+Tarifas!HF69</f>
        <v>197.99239854157827</v>
      </c>
      <c r="GO7" s="30">
        <f ca="1">+Tarifas!HG69</f>
        <v>197.99239854157827</v>
      </c>
      <c r="GP7" s="30">
        <f ca="1">+Tarifas!HH69</f>
        <v>197.99239854157827</v>
      </c>
      <c r="GQ7" s="30">
        <f ca="1">+Tarifas!HI69</f>
        <v>197.99239854157827</v>
      </c>
      <c r="GR7" s="30">
        <f ca="1">+Tarifas!HJ69</f>
        <v>207.8920184686572</v>
      </c>
      <c r="GS7" s="30">
        <f ca="1">+Tarifas!HK69</f>
        <v>207.8920184686572</v>
      </c>
      <c r="GT7" s="30">
        <f ca="1">+Tarifas!HL69</f>
        <v>207.8920184686572</v>
      </c>
      <c r="GU7" s="30">
        <f ca="1">+Tarifas!HM69</f>
        <v>207.8920184686572</v>
      </c>
      <c r="GV7" s="30">
        <f ca="1">+Tarifas!HN69</f>
        <v>207.8920184686572</v>
      </c>
      <c r="GW7" s="30">
        <f ca="1">+Tarifas!HO69</f>
        <v>207.8920184686572</v>
      </c>
      <c r="GX7" s="30">
        <f ca="1">+Tarifas!HP69</f>
        <v>207.8920184686572</v>
      </c>
      <c r="GY7" s="30">
        <f ca="1">+Tarifas!HQ69</f>
        <v>207.8920184686572</v>
      </c>
      <c r="GZ7" s="30">
        <f ca="1">+Tarifas!HR69</f>
        <v>207.8920184686572</v>
      </c>
      <c r="HA7" s="30">
        <f ca="1">+Tarifas!HS69</f>
        <v>207.8920184686572</v>
      </c>
      <c r="HB7" s="30">
        <f ca="1">+Tarifas!HT69</f>
        <v>207.8920184686572</v>
      </c>
      <c r="HC7" s="30">
        <f ca="1">+Tarifas!HU69</f>
        <v>207.8920184686572</v>
      </c>
      <c r="HD7" s="30">
        <f ca="1">+Tarifas!HV69</f>
        <v>218.28661939209007</v>
      </c>
      <c r="HE7" s="30">
        <f ca="1">+Tarifas!HW69</f>
        <v>218.28661939209007</v>
      </c>
      <c r="HF7" s="30">
        <f ca="1">+Tarifas!HX69</f>
        <v>218.28661939209007</v>
      </c>
      <c r="HG7" s="30">
        <f ca="1">+Tarifas!HY69</f>
        <v>218.28661939209007</v>
      </c>
      <c r="HH7" s="30">
        <f ca="1">+Tarifas!HZ69</f>
        <v>218.28661939209007</v>
      </c>
      <c r="HI7" s="30">
        <f ca="1">+Tarifas!IA69</f>
        <v>218.28661939209007</v>
      </c>
      <c r="HJ7" s="30">
        <f ca="1">+Tarifas!IB69</f>
        <v>218.28661939209007</v>
      </c>
      <c r="HK7" s="30">
        <f ca="1">+Tarifas!IC69</f>
        <v>218.28661939209007</v>
      </c>
      <c r="HL7" s="30">
        <f ca="1">+Tarifas!ID69</f>
        <v>218.28661939209007</v>
      </c>
      <c r="HM7" s="30">
        <f ca="1">+Tarifas!IE69</f>
        <v>218.28661939209007</v>
      </c>
      <c r="HN7" s="30">
        <f ca="1">+Tarifas!IF69</f>
        <v>218.28661939209007</v>
      </c>
      <c r="HO7" s="30">
        <f ca="1">+Tarifas!IG69</f>
        <v>218.28661939209007</v>
      </c>
      <c r="HP7" s="30">
        <f ca="1">+Tarifas!IH69</f>
        <v>229.20095036169459</v>
      </c>
      <c r="HQ7" s="30">
        <f ca="1">+Tarifas!II69</f>
        <v>229.20095036169459</v>
      </c>
      <c r="HR7" s="30">
        <f ca="1">+Tarifas!IJ69</f>
        <v>229.20095036169459</v>
      </c>
      <c r="HS7" s="30">
        <f ca="1">+Tarifas!IK69</f>
        <v>229.20095036169459</v>
      </c>
      <c r="HT7" s="30">
        <f ca="1">+Tarifas!IL69</f>
        <v>229.20095036169459</v>
      </c>
      <c r="HU7" s="30">
        <f ca="1">+Tarifas!IM69</f>
        <v>229.20095036169459</v>
      </c>
      <c r="HV7" s="30">
        <f ca="1">+Tarifas!IN69</f>
        <v>229.20095036169459</v>
      </c>
      <c r="HW7" s="30">
        <f ca="1">+Tarifas!IO69</f>
        <v>229.20095036169459</v>
      </c>
      <c r="HX7" s="30">
        <f ca="1">+Tarifas!IP69</f>
        <v>229.20095036169459</v>
      </c>
      <c r="HY7" s="30">
        <f ca="1">+Tarifas!IQ69</f>
        <v>229.20095036169459</v>
      </c>
      <c r="HZ7" s="30">
        <f ca="1">+Tarifas!IR69</f>
        <v>229.20095036169459</v>
      </c>
      <c r="IA7" s="30">
        <f ca="1">+Tarifas!IS69</f>
        <v>229.20095036169459</v>
      </c>
      <c r="IB7" s="30">
        <f ca="1">+Tarifas!IT69</f>
        <v>240.66099787977933</v>
      </c>
      <c r="IC7" s="30">
        <f ca="1">+Tarifas!IU69</f>
        <v>240.66099787977933</v>
      </c>
      <c r="ID7" s="30">
        <f ca="1">+Tarifas!IV69</f>
        <v>240.66099787977933</v>
      </c>
      <c r="IE7" s="30">
        <f ca="1">+Tarifas!IW69</f>
        <v>240.66099787977933</v>
      </c>
      <c r="IF7" s="30">
        <f ca="1">+Tarifas!IX69</f>
        <v>240.66099787977933</v>
      </c>
      <c r="IG7" s="30">
        <f ca="1">+Tarifas!IY69</f>
        <v>240.66099787977933</v>
      </c>
      <c r="IH7" s="30">
        <f ca="1">+Tarifas!IZ69</f>
        <v>240.66099787977933</v>
      </c>
    </row>
    <row r="8" spans="1:242" x14ac:dyDescent="0.3">
      <c r="A8" t="s">
        <v>847</v>
      </c>
      <c r="C8" s="30">
        <f>+Tarifas!U11</f>
        <v>572.95334196097235</v>
      </c>
      <c r="D8" s="30">
        <f>+Tarifas!V11</f>
        <v>872.37307894909748</v>
      </c>
      <c r="E8" s="30">
        <f>+Tarifas!W11</f>
        <v>917.84675343819993</v>
      </c>
      <c r="F8" s="30">
        <f>+Tarifas!X11</f>
        <v>918.48700596730043</v>
      </c>
      <c r="G8" s="30">
        <f>+Tarifas!Y11</f>
        <v>759.5353879713183</v>
      </c>
      <c r="H8" s="30">
        <f>+Tarifas!Z11</f>
        <v>410.97074948300434</v>
      </c>
      <c r="I8" s="69">
        <f>+Tarifas!AA11</f>
        <v>502.7327297681133</v>
      </c>
      <c r="J8" s="30">
        <f>+Tarifas!AB11</f>
        <v>400</v>
      </c>
      <c r="K8" s="30">
        <f>+Tarifas!AC11</f>
        <v>400</v>
      </c>
      <c r="L8" s="30">
        <f>+Tarifas!AD11</f>
        <v>400</v>
      </c>
      <c r="M8" s="30">
        <f>+Tarifas!AE11</f>
        <v>400</v>
      </c>
      <c r="N8" s="30">
        <f>+Tarifas!AF11</f>
        <v>400</v>
      </c>
      <c r="O8" s="30">
        <f>+Tarifas!AG11</f>
        <v>422.83601609611441</v>
      </c>
      <c r="P8" s="30">
        <f>+Tarifas!AH11</f>
        <v>716.06872268758036</v>
      </c>
      <c r="Q8" s="30">
        <f>+Tarifas!AI11</f>
        <v>750.52801906913862</v>
      </c>
      <c r="R8" s="30">
        <f>+Tarifas!AJ11</f>
        <v>543.45884359233014</v>
      </c>
      <c r="S8" s="30">
        <f>+Tarifas!AK11</f>
        <v>589.60375384170311</v>
      </c>
      <c r="T8" s="30">
        <f>+Tarifas!AL11</f>
        <v>431.51928695715458</v>
      </c>
      <c r="U8" s="30">
        <f>+Tarifas!AM11</f>
        <v>527.86936625651902</v>
      </c>
      <c r="V8" s="30">
        <f>+Tarifas!AN11</f>
        <v>402.71224854145231</v>
      </c>
      <c r="W8" s="30">
        <f>+Tarifas!AO11</f>
        <v>398.00436171042924</v>
      </c>
      <c r="X8" s="30">
        <f>+Tarifas!AP11</f>
        <v>400</v>
      </c>
      <c r="Y8" s="30">
        <f>+Tarifas!AQ11</f>
        <v>400</v>
      </c>
      <c r="Z8" s="30">
        <f>+Tarifas!AR11</f>
        <v>400</v>
      </c>
      <c r="AA8" s="30">
        <f>+Tarifas!AS11</f>
        <v>443.97781690092012</v>
      </c>
      <c r="AB8" s="30">
        <f>+Tarifas!AT11</f>
        <v>751.87215882195937</v>
      </c>
      <c r="AC8" s="30">
        <f>+Tarifas!AU11</f>
        <v>788.05442002259554</v>
      </c>
      <c r="AD8" s="30">
        <f>+Tarifas!AV11</f>
        <v>570.63178577194662</v>
      </c>
      <c r="AE8" s="30">
        <f>+Tarifas!AW11</f>
        <v>619.08394153378833</v>
      </c>
      <c r="AF8" s="30">
        <f>+Tarifas!AX11</f>
        <v>453.09525130501231</v>
      </c>
      <c r="AG8" s="30">
        <f>+Tarifas!AY11</f>
        <v>554.26283456934505</v>
      </c>
      <c r="AH8" s="30">
        <f>+Tarifas!AZ11</f>
        <v>422.84786096852497</v>
      </c>
      <c r="AI8" s="30">
        <f>+Tarifas!BA11</f>
        <v>417.90457979595072</v>
      </c>
      <c r="AJ8" s="30">
        <f>+Tarifas!BB11</f>
        <v>400</v>
      </c>
      <c r="AK8" s="30">
        <f>+Tarifas!BC11</f>
        <v>400</v>
      </c>
      <c r="AL8" s="30">
        <f>+Tarifas!BD11</f>
        <v>400</v>
      </c>
      <c r="AM8" s="30">
        <f>+Tarifas!BE11</f>
        <v>466.17670774596616</v>
      </c>
      <c r="AN8" s="30">
        <f>+Tarifas!BF11</f>
        <v>789.46576676305733</v>
      </c>
      <c r="AO8" s="30">
        <f>+Tarifas!BG11</f>
        <v>827.4571410237254</v>
      </c>
      <c r="AP8" s="30">
        <f>+Tarifas!BH11</f>
        <v>599.16337506054401</v>
      </c>
      <c r="AQ8" s="30">
        <f>+Tarifas!BI11</f>
        <v>650.03813861047774</v>
      </c>
      <c r="AR8" s="30">
        <f>+Tarifas!BJ11</f>
        <v>475.75001387026293</v>
      </c>
      <c r="AS8" s="30">
        <f>+Tarifas!BK11</f>
        <v>581.97597629781228</v>
      </c>
      <c r="AT8" s="30">
        <f>+Tarifas!BL11</f>
        <v>443.99025401695121</v>
      </c>
      <c r="AU8" s="30">
        <f>+Tarifas!BM11</f>
        <v>438.79980878574827</v>
      </c>
      <c r="AV8" s="30">
        <f>+Tarifas!BN11</f>
        <v>400</v>
      </c>
      <c r="AW8" s="30">
        <f>+Tarifas!BO11</f>
        <v>400</v>
      </c>
      <c r="AX8" s="30">
        <f>+Tarifas!BP11</f>
        <v>400</v>
      </c>
      <c r="AY8" s="30">
        <f>+Tarifas!BQ11</f>
        <v>489.48554313326446</v>
      </c>
      <c r="AZ8" s="30">
        <f>+Tarifas!BR11</f>
        <v>828.93905510121022</v>
      </c>
      <c r="BA8" s="30">
        <f>+Tarifas!BS11</f>
        <v>868.82999807491171</v>
      </c>
      <c r="BB8" s="30">
        <f>+Tarifas!BT11</f>
        <v>629.12154381357129</v>
      </c>
      <c r="BC8" s="30">
        <f>+Tarifas!BU11</f>
        <v>682.54004554100163</v>
      </c>
      <c r="BD8" s="30">
        <f>+Tarifas!BV11</f>
        <v>499.53751456377609</v>
      </c>
      <c r="BE8" s="30">
        <f>+Tarifas!BW11</f>
        <v>611.07477511270292</v>
      </c>
      <c r="BF8" s="30">
        <f>+Tarifas!BX11</f>
        <v>466.18976671779882</v>
      </c>
      <c r="BG8" s="30">
        <f>+Tarifas!BY11</f>
        <v>460.73979922503571</v>
      </c>
      <c r="BH8" s="30">
        <f>+Tarifas!BZ11</f>
        <v>400</v>
      </c>
      <c r="BI8" s="30">
        <f>+Tarifas!CA11</f>
        <v>400</v>
      </c>
      <c r="BJ8" s="30">
        <f>+Tarifas!CB11</f>
        <v>400</v>
      </c>
      <c r="BK8" s="30">
        <f>+Tarifas!CC11</f>
        <v>513.95982028992773</v>
      </c>
      <c r="BL8" s="30">
        <f>+Tarifas!CD11</f>
        <v>870.38600785627079</v>
      </c>
      <c r="BM8" s="30">
        <f>+Tarifas!CE11</f>
        <v>912.27149797865729</v>
      </c>
      <c r="BN8" s="30">
        <f>+Tarifas!CF11</f>
        <v>660.57762100424986</v>
      </c>
      <c r="BO8" s="30">
        <f>+Tarifas!CG11</f>
        <v>716.66704781805174</v>
      </c>
      <c r="BP8" s="30">
        <f>+Tarifas!CH11</f>
        <v>524.5143902919649</v>
      </c>
      <c r="BQ8" s="30">
        <f>+Tarifas!CI11</f>
        <v>641.62851386833813</v>
      </c>
      <c r="BR8" s="30">
        <f>+Tarifas!CJ11</f>
        <v>489.49925505368878</v>
      </c>
      <c r="BS8" s="30">
        <f>+Tarifas!CK11</f>
        <v>483.77678918628754</v>
      </c>
      <c r="BT8" s="30">
        <f>+Tarifas!CL11</f>
        <v>416.72686986338789</v>
      </c>
      <c r="BU8" s="30">
        <f>+Tarifas!CM11</f>
        <v>400</v>
      </c>
      <c r="BV8" s="30">
        <f>+Tarifas!CN11</f>
        <v>400</v>
      </c>
      <c r="BW8" s="30">
        <f>+Tarifas!CO11</f>
        <v>539.65781130442417</v>
      </c>
      <c r="BX8" s="30">
        <f>+Tarifas!CP11</f>
        <v>913.90530824908433</v>
      </c>
      <c r="BY8" s="30">
        <f>+Tarifas!CQ11</f>
        <v>957.88507287759023</v>
      </c>
      <c r="BZ8" s="30">
        <f>+Tarifas!CR11</f>
        <v>693.60650205446234</v>
      </c>
      <c r="CA8" s="30">
        <f>+Tarifas!CS11</f>
        <v>752.50040020895437</v>
      </c>
      <c r="CB8" s="30">
        <f>+Tarifas!CT11</f>
        <v>550.74010980656317</v>
      </c>
      <c r="CC8" s="30">
        <f>+Tarifas!CU11</f>
        <v>673.70993956175505</v>
      </c>
      <c r="CD8" s="30">
        <f>+Tarifas!CV11</f>
        <v>513.97421780637319</v>
      </c>
      <c r="CE8" s="30">
        <f>+Tarifas!CW11</f>
        <v>507.96562864560195</v>
      </c>
      <c r="CF8" s="30">
        <f>+Tarifas!CX11</f>
        <v>437.5632133565573</v>
      </c>
      <c r="CG8" s="30">
        <f>+Tarifas!CY11</f>
        <v>400</v>
      </c>
      <c r="CH8" s="30">
        <f>+Tarifas!CZ11</f>
        <v>415.28082597768793</v>
      </c>
      <c r="CI8" s="30">
        <f>+Tarifas!DA11</f>
        <v>566.64070186964545</v>
      </c>
      <c r="CJ8" s="30">
        <f>+Tarifas!DB11</f>
        <v>500</v>
      </c>
      <c r="CK8" s="30">
        <f>+Tarifas!DC11</f>
        <v>500</v>
      </c>
      <c r="CL8" s="30">
        <f>+Tarifas!DD11</f>
        <v>728.28682715718548</v>
      </c>
      <c r="CM8" s="30">
        <f>+Tarifas!DE11</f>
        <v>790.12542021940214</v>
      </c>
      <c r="CN8" s="30">
        <f>+Tarifas!DF11</f>
        <v>578.27711529689134</v>
      </c>
      <c r="CO8" s="30">
        <f>+Tarifas!DG11</f>
        <v>707.39543653984288</v>
      </c>
      <c r="CP8" s="30">
        <f>+Tarifas!DH11</f>
        <v>539.67292869669188</v>
      </c>
      <c r="CQ8" s="30">
        <f>+Tarifas!DI11</f>
        <v>533.36391007788211</v>
      </c>
      <c r="CR8" s="30">
        <f>+Tarifas!DJ11</f>
        <v>459.4413740243852</v>
      </c>
      <c r="CS8" s="30">
        <f>+Tarifas!DK11</f>
        <v>404.50342374660408</v>
      </c>
      <c r="CT8" s="30">
        <f>+Tarifas!DL11</f>
        <v>436.04486727657235</v>
      </c>
      <c r="CU8" s="30">
        <f>+Tarifas!DM11</f>
        <v>594.97273696312777</v>
      </c>
      <c r="CV8" s="30">
        <f>+Tarifas!DN11</f>
        <v>500</v>
      </c>
      <c r="CW8" s="30">
        <f>+Tarifas!DO11</f>
        <v>500</v>
      </c>
      <c r="CX8" s="30">
        <f>+Tarifas!DP11</f>
        <v>764.70116851504474</v>
      </c>
      <c r="CY8" s="30">
        <f>+Tarifas!DQ11</f>
        <v>829.63169123037233</v>
      </c>
      <c r="CZ8" s="30">
        <f>+Tarifas!DR11</f>
        <v>607.19097106173592</v>
      </c>
      <c r="DA8" s="30">
        <f>+Tarifas!DS11</f>
        <v>742.76520836683505</v>
      </c>
      <c r="DB8" s="30">
        <f>+Tarifas!DT11</f>
        <v>566.65657513152655</v>
      </c>
      <c r="DC8" s="30">
        <f>+Tarifas!DU11</f>
        <v>560.03210558177625</v>
      </c>
      <c r="DD8" s="30">
        <f>+Tarifas!DV11</f>
        <v>482.41344272560445</v>
      </c>
      <c r="DE8" s="30">
        <f>+Tarifas!DW11</f>
        <v>424.72859493393429</v>
      </c>
      <c r="DF8" s="30">
        <f>+Tarifas!DX11</f>
        <v>457.84711064040096</v>
      </c>
      <c r="DG8" s="30">
        <f>+Tarifas!DY11</f>
        <v>624.72137381128414</v>
      </c>
      <c r="DH8" s="30">
        <f>+Tarifas!DZ11</f>
        <v>500</v>
      </c>
      <c r="DI8" s="30">
        <f>+Tarifas!EA11</f>
        <v>500</v>
      </c>
      <c r="DJ8" s="30">
        <f>+Tarifas!EB11</f>
        <v>802.93622694079704</v>
      </c>
      <c r="DK8" s="30">
        <f>+Tarifas!EC11</f>
        <v>871.11327579189094</v>
      </c>
      <c r="DL8" s="30">
        <f>+Tarifas!ED11</f>
        <v>637.55051961482275</v>
      </c>
      <c r="DM8" s="30">
        <f>+Tarifas!EE11</f>
        <v>779.90346878517687</v>
      </c>
      <c r="DN8" s="30">
        <f>+Tarifas!EF11</f>
        <v>594.98940388810286</v>
      </c>
      <c r="DO8" s="30">
        <f>+Tarifas!EG11</f>
        <v>588.03371086086509</v>
      </c>
      <c r="DP8" s="30">
        <f>+Tarifas!EH11</f>
        <v>506.53411486188469</v>
      </c>
      <c r="DQ8" s="30">
        <f>+Tarifas!EI11</f>
        <v>445.96502468063102</v>
      </c>
      <c r="DR8" s="30">
        <f>+Tarifas!EJ11</f>
        <v>480.73946617242103</v>
      </c>
      <c r="DS8" s="30">
        <f>+Tarifas!EK11</f>
        <v>655.95744250184839</v>
      </c>
      <c r="DT8" s="30">
        <f>+Tarifas!EL11</f>
        <v>500</v>
      </c>
      <c r="DU8" s="30">
        <f>+Tarifas!EM11</f>
        <v>500</v>
      </c>
      <c r="DV8" s="30">
        <f>+Tarifas!EN11</f>
        <v>843.08303828783698</v>
      </c>
      <c r="DW8" s="30">
        <f>+Tarifas!EO11</f>
        <v>914.66893958148557</v>
      </c>
      <c r="DX8" s="30">
        <f>+Tarifas!EP11</f>
        <v>669.42804559556396</v>
      </c>
      <c r="DY8" s="30">
        <f>+Tarifas!EQ11</f>
        <v>818.89864222443578</v>
      </c>
      <c r="DZ8" s="30">
        <f>+Tarifas!ER11</f>
        <v>624.738874082508</v>
      </c>
      <c r="EA8" s="30">
        <f>+Tarifas!ES11</f>
        <v>617.43539640390838</v>
      </c>
      <c r="EB8" s="30">
        <f>+Tarifas!ET11</f>
        <v>531.86082060497893</v>
      </c>
      <c r="EC8" s="30">
        <f>+Tarifas!EU11</f>
        <v>468.26327591466259</v>
      </c>
      <c r="ED8" s="30">
        <f>+Tarifas!EV11</f>
        <v>504.77643948104213</v>
      </c>
      <c r="EE8" s="30">
        <f>+Tarifas!EW11</f>
        <v>688.75531462694084</v>
      </c>
      <c r="EF8" s="30">
        <f>+Tarifas!EX11</f>
        <v>500</v>
      </c>
      <c r="EG8" s="30">
        <f>+Tarifas!EY11</f>
        <v>500</v>
      </c>
      <c r="EH8" s="30">
        <f>+Tarifas!EZ11</f>
        <v>885.23719020222882</v>
      </c>
      <c r="EI8" s="30">
        <f>+Tarifas!FA11</f>
        <v>500</v>
      </c>
      <c r="EJ8" s="30">
        <f>+Tarifas!FB11</f>
        <v>702.89944787534216</v>
      </c>
      <c r="EK8" s="30">
        <f>+Tarifas!FC11</f>
        <v>859.84357433565765</v>
      </c>
      <c r="EL8" s="30">
        <f>+Tarifas!FD11</f>
        <v>655.97581778663346</v>
      </c>
      <c r="EM8" s="30">
        <f>+Tarifas!FE11</f>
        <v>648.30716622410387</v>
      </c>
      <c r="EN8" s="30">
        <f>+Tarifas!FF11</f>
        <v>558.4538616352279</v>
      </c>
      <c r="EO8" s="30">
        <f>+Tarifas!FG11</f>
        <v>491.67643971039575</v>
      </c>
      <c r="EP8" s="30">
        <f>+Tarifas!FH11</f>
        <v>530.01526145509422</v>
      </c>
      <c r="EQ8" s="30">
        <f>+Tarifas!FI11</f>
        <v>723.19308035828794</v>
      </c>
      <c r="ER8" s="30">
        <f>+Tarifas!FJ11</f>
        <v>500</v>
      </c>
      <c r="ES8" s="30">
        <f>+Tarifas!FK11</f>
        <v>500</v>
      </c>
      <c r="ET8" s="30">
        <f>+Tarifas!FL11</f>
        <v>500</v>
      </c>
      <c r="EU8" s="30">
        <f>+Tarifas!FM11</f>
        <v>500</v>
      </c>
      <c r="EV8" s="30">
        <f>+Tarifas!FN11</f>
        <v>500</v>
      </c>
      <c r="EW8" s="30">
        <f>+Tarifas!FO11</f>
        <v>500</v>
      </c>
      <c r="EX8" s="30">
        <f>+Tarifas!FP11</f>
        <v>500</v>
      </c>
      <c r="EY8" s="30">
        <f>+Tarifas!FQ11</f>
        <v>500</v>
      </c>
      <c r="EZ8" s="30">
        <f>+Tarifas!FR11</f>
        <v>500</v>
      </c>
      <c r="FA8" s="30">
        <f>+Tarifas!FS11</f>
        <v>500</v>
      </c>
      <c r="FB8" s="30">
        <f>+Tarifas!FT11</f>
        <v>500</v>
      </c>
      <c r="FC8" s="30">
        <f>+Tarifas!FU11</f>
        <v>500</v>
      </c>
      <c r="FD8" s="30">
        <f>+Tarifas!FV11</f>
        <v>500</v>
      </c>
      <c r="FE8" s="30">
        <f>+Tarifas!FW11</f>
        <v>500</v>
      </c>
      <c r="FF8" s="30">
        <f>+Tarifas!FX11</f>
        <v>500</v>
      </c>
      <c r="FG8" s="30">
        <f>+Tarifas!FY11</f>
        <v>500</v>
      </c>
      <c r="FH8" s="30">
        <f>+Tarifas!FZ11</f>
        <v>500</v>
      </c>
      <c r="FI8" s="30">
        <f>+Tarifas!GA11</f>
        <v>500</v>
      </c>
      <c r="FJ8" s="30">
        <f>+Tarifas!GB11</f>
        <v>500</v>
      </c>
      <c r="FK8" s="30">
        <f>+Tarifas!GC11</f>
        <v>500</v>
      </c>
      <c r="FL8" s="30">
        <f>+Tarifas!GD11</f>
        <v>500</v>
      </c>
      <c r="FM8" s="30">
        <f>+Tarifas!GE11</f>
        <v>500</v>
      </c>
      <c r="FN8" s="30">
        <f>+Tarifas!GF11</f>
        <v>500</v>
      </c>
      <c r="FO8" s="30">
        <f>+Tarifas!GG11</f>
        <v>500</v>
      </c>
      <c r="FP8" s="30">
        <f>+Tarifas!GH11</f>
        <v>500</v>
      </c>
      <c r="FQ8" s="30">
        <f>+Tarifas!GI11</f>
        <v>500</v>
      </c>
      <c r="FR8" s="30">
        <f>+Tarifas!GJ11</f>
        <v>500</v>
      </c>
      <c r="FS8" s="30">
        <f>+Tarifas!GK11</f>
        <v>500</v>
      </c>
      <c r="FT8" s="30">
        <f>+Tarifas!GL11</f>
        <v>500</v>
      </c>
      <c r="FU8" s="30">
        <f>+Tarifas!GM11</f>
        <v>500</v>
      </c>
      <c r="FV8" s="30">
        <f>+Tarifas!GN11</f>
        <v>500</v>
      </c>
      <c r="FW8" s="30">
        <f>+Tarifas!GO11</f>
        <v>500</v>
      </c>
      <c r="FX8" s="30">
        <f>+Tarifas!GP11</f>
        <v>500</v>
      </c>
      <c r="FY8" s="30">
        <f>+Tarifas!GQ11</f>
        <v>500</v>
      </c>
      <c r="FZ8" s="30">
        <f>+Tarifas!GR11</f>
        <v>500</v>
      </c>
      <c r="GA8" s="30">
        <f>+Tarifas!GS11</f>
        <v>500</v>
      </c>
      <c r="GB8" s="30">
        <f>+Tarifas!GT11</f>
        <v>500</v>
      </c>
      <c r="GC8" s="30">
        <f>+Tarifas!GU11</f>
        <v>500</v>
      </c>
      <c r="GD8" s="30">
        <f>+Tarifas!GV11</f>
        <v>500</v>
      </c>
      <c r="GE8" s="30">
        <f>+Tarifas!GW11</f>
        <v>500</v>
      </c>
      <c r="GF8" s="30">
        <f>+Tarifas!GX11</f>
        <v>500</v>
      </c>
      <c r="GG8" s="30">
        <f>+Tarifas!GY11</f>
        <v>500</v>
      </c>
      <c r="GH8" s="30">
        <f>+Tarifas!GZ11</f>
        <v>500</v>
      </c>
      <c r="GI8" s="30">
        <f>+Tarifas!HA11</f>
        <v>500</v>
      </c>
      <c r="GJ8" s="30">
        <f>+Tarifas!HB11</f>
        <v>500</v>
      </c>
      <c r="GK8" s="30">
        <f>+Tarifas!HC11</f>
        <v>500</v>
      </c>
      <c r="GL8" s="30">
        <f>+Tarifas!HD11</f>
        <v>500</v>
      </c>
      <c r="GM8" s="30">
        <f>+Tarifas!HE11</f>
        <v>500</v>
      </c>
      <c r="GN8" s="30">
        <f>+Tarifas!HF11</f>
        <v>500</v>
      </c>
      <c r="GO8" s="30">
        <f>+Tarifas!HG11</f>
        <v>500</v>
      </c>
      <c r="GP8" s="30">
        <f>+Tarifas!HH11</f>
        <v>500</v>
      </c>
      <c r="GQ8" s="30">
        <f>+Tarifas!HI11</f>
        <v>500</v>
      </c>
      <c r="GR8" s="30">
        <f>+Tarifas!HJ11</f>
        <v>500</v>
      </c>
      <c r="GS8" s="30">
        <f>+Tarifas!HK11</f>
        <v>500</v>
      </c>
      <c r="GT8" s="30">
        <f>+Tarifas!HL11</f>
        <v>500</v>
      </c>
      <c r="GU8" s="30">
        <f>+Tarifas!HM11</f>
        <v>500</v>
      </c>
      <c r="GV8" s="30">
        <f>+Tarifas!HN11</f>
        <v>500</v>
      </c>
      <c r="GW8" s="30">
        <f>+Tarifas!HO11</f>
        <v>500</v>
      </c>
      <c r="GX8" s="30">
        <f>+Tarifas!HP11</f>
        <v>500</v>
      </c>
      <c r="GY8" s="30">
        <f>+Tarifas!HQ11</f>
        <v>500</v>
      </c>
      <c r="GZ8" s="30">
        <f>+Tarifas!HR11</f>
        <v>500</v>
      </c>
      <c r="HA8" s="30">
        <f>+Tarifas!HS11</f>
        <v>500</v>
      </c>
      <c r="HB8" s="30">
        <f>+Tarifas!HT11</f>
        <v>500</v>
      </c>
      <c r="HC8" s="30">
        <f>+Tarifas!HU11</f>
        <v>500</v>
      </c>
      <c r="HD8" s="30">
        <f>+Tarifas!HV11</f>
        <v>500</v>
      </c>
      <c r="HE8" s="30">
        <f>+Tarifas!HW11</f>
        <v>500</v>
      </c>
      <c r="HF8" s="30">
        <f>+Tarifas!HX11</f>
        <v>500</v>
      </c>
      <c r="HG8" s="30">
        <f>+Tarifas!HY11</f>
        <v>500</v>
      </c>
      <c r="HH8" s="30">
        <f>+Tarifas!HZ11</f>
        <v>500</v>
      </c>
      <c r="HI8" s="30">
        <f>+Tarifas!IA11</f>
        <v>500</v>
      </c>
      <c r="HJ8" s="30">
        <f>+Tarifas!IB11</f>
        <v>500</v>
      </c>
      <c r="HK8" s="30">
        <f>+Tarifas!IC11</f>
        <v>500</v>
      </c>
      <c r="HL8" s="30">
        <f>+Tarifas!ID11</f>
        <v>500</v>
      </c>
      <c r="HM8" s="30">
        <f>+Tarifas!IE11</f>
        <v>500</v>
      </c>
      <c r="HN8" s="30">
        <f>+Tarifas!IF11</f>
        <v>500</v>
      </c>
      <c r="HO8" s="30">
        <f>+Tarifas!IG11</f>
        <v>500</v>
      </c>
      <c r="HP8" s="30">
        <f>+Tarifas!IH11</f>
        <v>500</v>
      </c>
      <c r="HQ8" s="30">
        <f>+Tarifas!II11</f>
        <v>500</v>
      </c>
      <c r="HR8" s="30">
        <f>+Tarifas!IJ11</f>
        <v>500</v>
      </c>
      <c r="HS8" s="30">
        <f>+Tarifas!IK11</f>
        <v>500</v>
      </c>
      <c r="HT8" s="30">
        <f>+Tarifas!IL11</f>
        <v>500</v>
      </c>
      <c r="HU8" s="30">
        <f>+Tarifas!IM11</f>
        <v>500</v>
      </c>
      <c r="HV8" s="30">
        <f>+Tarifas!IN11</f>
        <v>500</v>
      </c>
      <c r="HW8" s="30">
        <f>+Tarifas!IO11</f>
        <v>500</v>
      </c>
      <c r="HX8" s="30">
        <f>+Tarifas!IP11</f>
        <v>500</v>
      </c>
      <c r="HY8" s="30">
        <f>+Tarifas!IQ11</f>
        <v>500</v>
      </c>
      <c r="HZ8" s="30">
        <f>+Tarifas!IR11</f>
        <v>500</v>
      </c>
      <c r="IA8" s="30">
        <f>+Tarifas!IS11</f>
        <v>500</v>
      </c>
      <c r="IB8" s="30">
        <f>+Tarifas!IT11</f>
        <v>500</v>
      </c>
      <c r="IC8" s="30">
        <f>+Tarifas!IU11</f>
        <v>500</v>
      </c>
      <c r="ID8" s="30">
        <f>+Tarifas!IV11</f>
        <v>500</v>
      </c>
      <c r="IE8" s="30">
        <f>+Tarifas!IW11</f>
        <v>500</v>
      </c>
      <c r="IF8" s="30">
        <f>+Tarifas!IX11</f>
        <v>500</v>
      </c>
      <c r="IG8" s="30">
        <f>+Tarifas!IY11</f>
        <v>500</v>
      </c>
      <c r="IH8" s="30">
        <f>+Tarifas!IZ11</f>
        <v>500</v>
      </c>
    </row>
    <row r="9" spans="1:242" x14ac:dyDescent="0.3">
      <c r="C9" s="30"/>
      <c r="D9" s="30"/>
      <c r="E9" s="30"/>
      <c r="F9" s="30"/>
      <c r="G9" s="30"/>
      <c r="H9" s="30"/>
      <c r="I9" s="6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</row>
    <row r="11" spans="1:242" x14ac:dyDescent="0.3">
      <c r="A11" t="s">
        <v>761</v>
      </c>
      <c r="B11">
        <f>+Producción!B1</f>
        <v>15950</v>
      </c>
      <c r="C11" t="s">
        <v>37</v>
      </c>
    </row>
    <row r="12" spans="1:242" x14ac:dyDescent="0.3">
      <c r="C12">
        <f>+YEAR(C13)</f>
        <v>2024</v>
      </c>
      <c r="D12">
        <f t="shared" ref="D12:BO12" si="0">+YEAR(D13)</f>
        <v>2024</v>
      </c>
      <c r="E12">
        <f t="shared" si="0"/>
        <v>2024</v>
      </c>
      <c r="F12">
        <f t="shared" si="0"/>
        <v>2024</v>
      </c>
      <c r="G12">
        <f t="shared" si="0"/>
        <v>2024</v>
      </c>
      <c r="H12">
        <f t="shared" si="0"/>
        <v>2025</v>
      </c>
      <c r="I12">
        <f t="shared" si="0"/>
        <v>2025</v>
      </c>
      <c r="J12">
        <f t="shared" si="0"/>
        <v>2025</v>
      </c>
      <c r="K12">
        <f t="shared" si="0"/>
        <v>2025</v>
      </c>
      <c r="L12">
        <f t="shared" si="0"/>
        <v>2025</v>
      </c>
      <c r="M12">
        <f t="shared" si="0"/>
        <v>2025</v>
      </c>
      <c r="N12">
        <f t="shared" si="0"/>
        <v>2025</v>
      </c>
      <c r="O12">
        <f t="shared" si="0"/>
        <v>2025</v>
      </c>
      <c r="P12">
        <f t="shared" si="0"/>
        <v>2025</v>
      </c>
      <c r="Q12">
        <f t="shared" si="0"/>
        <v>2025</v>
      </c>
      <c r="R12">
        <f t="shared" si="0"/>
        <v>2025</v>
      </c>
      <c r="S12">
        <f t="shared" si="0"/>
        <v>2025</v>
      </c>
      <c r="T12">
        <f t="shared" si="0"/>
        <v>2026</v>
      </c>
      <c r="U12">
        <f t="shared" si="0"/>
        <v>2026</v>
      </c>
      <c r="V12">
        <f t="shared" si="0"/>
        <v>2026</v>
      </c>
      <c r="W12">
        <f t="shared" si="0"/>
        <v>2026</v>
      </c>
      <c r="X12">
        <f t="shared" si="0"/>
        <v>2026</v>
      </c>
      <c r="Y12">
        <f t="shared" si="0"/>
        <v>2026</v>
      </c>
      <c r="Z12">
        <f t="shared" si="0"/>
        <v>2026</v>
      </c>
      <c r="AA12">
        <f t="shared" si="0"/>
        <v>2026</v>
      </c>
      <c r="AB12">
        <f t="shared" si="0"/>
        <v>2026</v>
      </c>
      <c r="AC12">
        <f t="shared" si="0"/>
        <v>2026</v>
      </c>
      <c r="AD12">
        <f t="shared" si="0"/>
        <v>2026</v>
      </c>
      <c r="AE12">
        <f t="shared" si="0"/>
        <v>2026</v>
      </c>
      <c r="AF12">
        <f t="shared" si="0"/>
        <v>2027</v>
      </c>
      <c r="AG12">
        <f t="shared" si="0"/>
        <v>2027</v>
      </c>
      <c r="AH12">
        <f t="shared" si="0"/>
        <v>2027</v>
      </c>
      <c r="AI12">
        <f t="shared" si="0"/>
        <v>2027</v>
      </c>
      <c r="AJ12">
        <f t="shared" si="0"/>
        <v>2027</v>
      </c>
      <c r="AK12">
        <f t="shared" si="0"/>
        <v>2027</v>
      </c>
      <c r="AL12">
        <f t="shared" si="0"/>
        <v>2027</v>
      </c>
      <c r="AM12">
        <f t="shared" si="0"/>
        <v>2027</v>
      </c>
      <c r="AN12">
        <f t="shared" si="0"/>
        <v>2027</v>
      </c>
      <c r="AO12">
        <f t="shared" si="0"/>
        <v>2027</v>
      </c>
      <c r="AP12">
        <f t="shared" si="0"/>
        <v>2027</v>
      </c>
      <c r="AQ12">
        <f t="shared" si="0"/>
        <v>2027</v>
      </c>
      <c r="AR12">
        <f t="shared" si="0"/>
        <v>2028</v>
      </c>
      <c r="AS12">
        <f t="shared" si="0"/>
        <v>2028</v>
      </c>
      <c r="AT12">
        <f t="shared" si="0"/>
        <v>2028</v>
      </c>
      <c r="AU12">
        <f t="shared" si="0"/>
        <v>2028</v>
      </c>
      <c r="AV12">
        <f t="shared" si="0"/>
        <v>2028</v>
      </c>
      <c r="AW12">
        <f t="shared" si="0"/>
        <v>2028</v>
      </c>
      <c r="AX12">
        <f t="shared" si="0"/>
        <v>2028</v>
      </c>
      <c r="AY12">
        <f t="shared" si="0"/>
        <v>2028</v>
      </c>
      <c r="AZ12">
        <f t="shared" si="0"/>
        <v>2028</v>
      </c>
      <c r="BA12">
        <f t="shared" si="0"/>
        <v>2028</v>
      </c>
      <c r="BB12">
        <f t="shared" si="0"/>
        <v>2028</v>
      </c>
      <c r="BC12">
        <f t="shared" si="0"/>
        <v>2028</v>
      </c>
      <c r="BD12">
        <f t="shared" si="0"/>
        <v>2029</v>
      </c>
      <c r="BE12">
        <f t="shared" si="0"/>
        <v>2029</v>
      </c>
      <c r="BF12">
        <f t="shared" si="0"/>
        <v>2029</v>
      </c>
      <c r="BG12">
        <f t="shared" si="0"/>
        <v>2029</v>
      </c>
      <c r="BH12">
        <f t="shared" si="0"/>
        <v>2029</v>
      </c>
      <c r="BI12">
        <f t="shared" si="0"/>
        <v>2029</v>
      </c>
      <c r="BJ12">
        <f t="shared" si="0"/>
        <v>2029</v>
      </c>
      <c r="BK12">
        <f t="shared" si="0"/>
        <v>2029</v>
      </c>
      <c r="BL12">
        <f t="shared" si="0"/>
        <v>2029</v>
      </c>
      <c r="BM12">
        <f t="shared" si="0"/>
        <v>2029</v>
      </c>
      <c r="BN12">
        <f t="shared" si="0"/>
        <v>2029</v>
      </c>
      <c r="BO12">
        <f t="shared" si="0"/>
        <v>2029</v>
      </c>
      <c r="BP12">
        <f t="shared" ref="BP12:EA12" si="1">+YEAR(BP13)</f>
        <v>2030</v>
      </c>
      <c r="BQ12">
        <f t="shared" si="1"/>
        <v>2030</v>
      </c>
      <c r="BR12">
        <f t="shared" si="1"/>
        <v>2030</v>
      </c>
      <c r="BS12">
        <f t="shared" si="1"/>
        <v>2030</v>
      </c>
      <c r="BT12">
        <f t="shared" si="1"/>
        <v>2030</v>
      </c>
      <c r="BU12">
        <f t="shared" si="1"/>
        <v>2030</v>
      </c>
      <c r="BV12">
        <f t="shared" si="1"/>
        <v>2030</v>
      </c>
      <c r="BW12">
        <f t="shared" si="1"/>
        <v>2030</v>
      </c>
      <c r="BX12">
        <f t="shared" si="1"/>
        <v>2030</v>
      </c>
      <c r="BY12">
        <f t="shared" si="1"/>
        <v>2030</v>
      </c>
      <c r="BZ12">
        <f t="shared" si="1"/>
        <v>2030</v>
      </c>
      <c r="CA12">
        <f t="shared" si="1"/>
        <v>2030</v>
      </c>
      <c r="CB12">
        <f t="shared" si="1"/>
        <v>2031</v>
      </c>
      <c r="CC12">
        <f t="shared" si="1"/>
        <v>2031</v>
      </c>
      <c r="CD12">
        <f t="shared" si="1"/>
        <v>2031</v>
      </c>
      <c r="CE12">
        <f t="shared" si="1"/>
        <v>2031</v>
      </c>
      <c r="CF12">
        <f t="shared" si="1"/>
        <v>2031</v>
      </c>
      <c r="CG12">
        <f t="shared" si="1"/>
        <v>2031</v>
      </c>
      <c r="CH12">
        <f t="shared" si="1"/>
        <v>2031</v>
      </c>
      <c r="CI12">
        <f t="shared" si="1"/>
        <v>2031</v>
      </c>
      <c r="CJ12">
        <f t="shared" si="1"/>
        <v>2031</v>
      </c>
      <c r="CK12">
        <f t="shared" si="1"/>
        <v>2031</v>
      </c>
      <c r="CL12">
        <f t="shared" si="1"/>
        <v>2031</v>
      </c>
      <c r="CM12">
        <f t="shared" si="1"/>
        <v>2031</v>
      </c>
      <c r="CN12">
        <f t="shared" si="1"/>
        <v>2032</v>
      </c>
      <c r="CO12">
        <f t="shared" si="1"/>
        <v>2032</v>
      </c>
      <c r="CP12">
        <f t="shared" si="1"/>
        <v>2032</v>
      </c>
      <c r="CQ12">
        <f t="shared" si="1"/>
        <v>2032</v>
      </c>
      <c r="CR12">
        <f t="shared" si="1"/>
        <v>2032</v>
      </c>
      <c r="CS12">
        <f t="shared" si="1"/>
        <v>2032</v>
      </c>
      <c r="CT12">
        <f t="shared" si="1"/>
        <v>2032</v>
      </c>
      <c r="CU12">
        <f t="shared" si="1"/>
        <v>2032</v>
      </c>
      <c r="CV12">
        <f t="shared" si="1"/>
        <v>2032</v>
      </c>
      <c r="CW12">
        <f t="shared" si="1"/>
        <v>2032</v>
      </c>
      <c r="CX12">
        <f t="shared" si="1"/>
        <v>2032</v>
      </c>
      <c r="CY12">
        <f t="shared" si="1"/>
        <v>2032</v>
      </c>
      <c r="CZ12">
        <f t="shared" si="1"/>
        <v>2033</v>
      </c>
      <c r="DA12">
        <f t="shared" si="1"/>
        <v>2033</v>
      </c>
      <c r="DB12">
        <f t="shared" si="1"/>
        <v>2033</v>
      </c>
      <c r="DC12">
        <f t="shared" si="1"/>
        <v>2033</v>
      </c>
      <c r="DD12">
        <f t="shared" si="1"/>
        <v>2033</v>
      </c>
      <c r="DE12">
        <f t="shared" si="1"/>
        <v>2033</v>
      </c>
      <c r="DF12">
        <f t="shared" si="1"/>
        <v>2033</v>
      </c>
      <c r="DG12">
        <f t="shared" si="1"/>
        <v>2033</v>
      </c>
      <c r="DH12">
        <f t="shared" si="1"/>
        <v>2033</v>
      </c>
      <c r="DI12">
        <f t="shared" si="1"/>
        <v>2033</v>
      </c>
      <c r="DJ12">
        <f t="shared" si="1"/>
        <v>2033</v>
      </c>
      <c r="DK12">
        <f t="shared" si="1"/>
        <v>2033</v>
      </c>
      <c r="DL12">
        <f t="shared" si="1"/>
        <v>2034</v>
      </c>
      <c r="DM12">
        <f t="shared" si="1"/>
        <v>2034</v>
      </c>
      <c r="DN12">
        <f t="shared" si="1"/>
        <v>2034</v>
      </c>
      <c r="DO12">
        <f t="shared" si="1"/>
        <v>2034</v>
      </c>
      <c r="DP12">
        <f t="shared" si="1"/>
        <v>2034</v>
      </c>
      <c r="DQ12">
        <f t="shared" si="1"/>
        <v>2034</v>
      </c>
      <c r="DR12">
        <f t="shared" si="1"/>
        <v>2034</v>
      </c>
      <c r="DS12">
        <f t="shared" si="1"/>
        <v>2034</v>
      </c>
      <c r="DT12">
        <f t="shared" si="1"/>
        <v>2034</v>
      </c>
      <c r="DU12">
        <f t="shared" si="1"/>
        <v>2034</v>
      </c>
      <c r="DV12">
        <f t="shared" si="1"/>
        <v>2034</v>
      </c>
      <c r="DW12">
        <f t="shared" si="1"/>
        <v>2034</v>
      </c>
      <c r="DX12">
        <f t="shared" si="1"/>
        <v>2035</v>
      </c>
      <c r="DY12">
        <f t="shared" si="1"/>
        <v>2035</v>
      </c>
      <c r="DZ12">
        <f t="shared" si="1"/>
        <v>2035</v>
      </c>
      <c r="EA12">
        <f t="shared" si="1"/>
        <v>2035</v>
      </c>
      <c r="EB12">
        <f t="shared" ref="EB12:GM12" si="2">+YEAR(EB13)</f>
        <v>2035</v>
      </c>
      <c r="EC12">
        <f t="shared" si="2"/>
        <v>2035</v>
      </c>
      <c r="ED12">
        <f t="shared" si="2"/>
        <v>2035</v>
      </c>
      <c r="EE12">
        <f t="shared" si="2"/>
        <v>2035</v>
      </c>
      <c r="EF12">
        <f t="shared" si="2"/>
        <v>2035</v>
      </c>
      <c r="EG12">
        <f t="shared" si="2"/>
        <v>2035</v>
      </c>
      <c r="EH12">
        <f t="shared" si="2"/>
        <v>2035</v>
      </c>
      <c r="EI12">
        <f t="shared" si="2"/>
        <v>2035</v>
      </c>
      <c r="EJ12">
        <f t="shared" si="2"/>
        <v>2036</v>
      </c>
      <c r="EK12">
        <f t="shared" si="2"/>
        <v>2036</v>
      </c>
      <c r="EL12">
        <f t="shared" si="2"/>
        <v>2036</v>
      </c>
      <c r="EM12">
        <f t="shared" si="2"/>
        <v>2036</v>
      </c>
      <c r="EN12">
        <f t="shared" si="2"/>
        <v>2036</v>
      </c>
      <c r="EO12">
        <f t="shared" si="2"/>
        <v>2036</v>
      </c>
      <c r="EP12">
        <f t="shared" si="2"/>
        <v>2036</v>
      </c>
      <c r="EQ12">
        <f t="shared" si="2"/>
        <v>2036</v>
      </c>
      <c r="ER12">
        <f t="shared" si="2"/>
        <v>2036</v>
      </c>
      <c r="ES12">
        <f t="shared" si="2"/>
        <v>2036</v>
      </c>
      <c r="ET12">
        <f t="shared" si="2"/>
        <v>2036</v>
      </c>
      <c r="EU12">
        <f t="shared" si="2"/>
        <v>2036</v>
      </c>
      <c r="EV12">
        <f t="shared" si="2"/>
        <v>2037</v>
      </c>
      <c r="EW12">
        <f t="shared" si="2"/>
        <v>2037</v>
      </c>
      <c r="EX12">
        <f t="shared" si="2"/>
        <v>2037</v>
      </c>
      <c r="EY12">
        <f t="shared" si="2"/>
        <v>2037</v>
      </c>
      <c r="EZ12">
        <f t="shared" si="2"/>
        <v>2037</v>
      </c>
      <c r="FA12">
        <f t="shared" si="2"/>
        <v>2037</v>
      </c>
      <c r="FB12">
        <f t="shared" si="2"/>
        <v>2037</v>
      </c>
      <c r="FC12">
        <f t="shared" si="2"/>
        <v>2037</v>
      </c>
      <c r="FD12">
        <f t="shared" si="2"/>
        <v>2037</v>
      </c>
      <c r="FE12">
        <f t="shared" si="2"/>
        <v>2037</v>
      </c>
      <c r="FF12">
        <f t="shared" si="2"/>
        <v>2037</v>
      </c>
      <c r="FG12">
        <f t="shared" si="2"/>
        <v>2037</v>
      </c>
      <c r="FH12">
        <f t="shared" si="2"/>
        <v>2038</v>
      </c>
      <c r="FI12">
        <f t="shared" si="2"/>
        <v>2038</v>
      </c>
      <c r="FJ12">
        <f t="shared" si="2"/>
        <v>2038</v>
      </c>
      <c r="FK12">
        <f t="shared" si="2"/>
        <v>2038</v>
      </c>
      <c r="FL12">
        <f t="shared" si="2"/>
        <v>2038</v>
      </c>
      <c r="FM12">
        <f t="shared" si="2"/>
        <v>2038</v>
      </c>
      <c r="FN12">
        <f t="shared" si="2"/>
        <v>2038</v>
      </c>
      <c r="FO12">
        <f t="shared" si="2"/>
        <v>2038</v>
      </c>
      <c r="FP12">
        <f t="shared" si="2"/>
        <v>2038</v>
      </c>
      <c r="FQ12">
        <f t="shared" si="2"/>
        <v>2038</v>
      </c>
      <c r="FR12">
        <f t="shared" si="2"/>
        <v>2038</v>
      </c>
      <c r="FS12">
        <f t="shared" si="2"/>
        <v>2038</v>
      </c>
      <c r="FT12">
        <f t="shared" si="2"/>
        <v>2039</v>
      </c>
      <c r="FU12">
        <f t="shared" si="2"/>
        <v>2039</v>
      </c>
      <c r="FV12">
        <f t="shared" si="2"/>
        <v>2039</v>
      </c>
      <c r="FW12">
        <f t="shared" si="2"/>
        <v>2039</v>
      </c>
      <c r="FX12">
        <f t="shared" si="2"/>
        <v>2039</v>
      </c>
      <c r="FY12">
        <f t="shared" si="2"/>
        <v>2039</v>
      </c>
      <c r="FZ12">
        <f t="shared" si="2"/>
        <v>2039</v>
      </c>
      <c r="GA12">
        <f t="shared" si="2"/>
        <v>2039</v>
      </c>
      <c r="GB12">
        <f t="shared" si="2"/>
        <v>2039</v>
      </c>
      <c r="GC12">
        <f t="shared" si="2"/>
        <v>2039</v>
      </c>
      <c r="GD12">
        <f t="shared" si="2"/>
        <v>2039</v>
      </c>
      <c r="GE12">
        <f t="shared" si="2"/>
        <v>2039</v>
      </c>
      <c r="GF12">
        <f t="shared" si="2"/>
        <v>2040</v>
      </c>
      <c r="GG12">
        <f t="shared" si="2"/>
        <v>2040</v>
      </c>
      <c r="GH12">
        <f t="shared" si="2"/>
        <v>2040</v>
      </c>
      <c r="GI12">
        <f t="shared" si="2"/>
        <v>2040</v>
      </c>
      <c r="GJ12">
        <f t="shared" si="2"/>
        <v>2040</v>
      </c>
      <c r="GK12">
        <f t="shared" si="2"/>
        <v>2040</v>
      </c>
      <c r="GL12">
        <f t="shared" si="2"/>
        <v>2040</v>
      </c>
      <c r="GM12">
        <f t="shared" si="2"/>
        <v>2040</v>
      </c>
      <c r="GN12">
        <f t="shared" ref="GN12:IH12" si="3">+YEAR(GN13)</f>
        <v>2040</v>
      </c>
      <c r="GO12">
        <f t="shared" si="3"/>
        <v>2040</v>
      </c>
      <c r="GP12">
        <f t="shared" si="3"/>
        <v>2040</v>
      </c>
      <c r="GQ12">
        <f t="shared" si="3"/>
        <v>2040</v>
      </c>
      <c r="GR12">
        <f t="shared" si="3"/>
        <v>2041</v>
      </c>
      <c r="GS12">
        <f t="shared" si="3"/>
        <v>2041</v>
      </c>
      <c r="GT12">
        <f t="shared" si="3"/>
        <v>2041</v>
      </c>
      <c r="GU12">
        <f t="shared" si="3"/>
        <v>2041</v>
      </c>
      <c r="GV12">
        <f t="shared" si="3"/>
        <v>2041</v>
      </c>
      <c r="GW12">
        <f t="shared" si="3"/>
        <v>2041</v>
      </c>
      <c r="GX12">
        <f t="shared" si="3"/>
        <v>2041</v>
      </c>
      <c r="GY12">
        <f t="shared" si="3"/>
        <v>2041</v>
      </c>
      <c r="GZ12">
        <f t="shared" si="3"/>
        <v>2041</v>
      </c>
      <c r="HA12">
        <f t="shared" si="3"/>
        <v>2041</v>
      </c>
      <c r="HB12">
        <f t="shared" si="3"/>
        <v>2041</v>
      </c>
      <c r="HC12">
        <f t="shared" si="3"/>
        <v>2041</v>
      </c>
      <c r="HD12">
        <f t="shared" si="3"/>
        <v>2042</v>
      </c>
      <c r="HE12">
        <f t="shared" si="3"/>
        <v>2042</v>
      </c>
      <c r="HF12">
        <f t="shared" si="3"/>
        <v>2042</v>
      </c>
      <c r="HG12">
        <f t="shared" si="3"/>
        <v>2042</v>
      </c>
      <c r="HH12">
        <f t="shared" si="3"/>
        <v>2042</v>
      </c>
      <c r="HI12">
        <f t="shared" si="3"/>
        <v>2042</v>
      </c>
      <c r="HJ12">
        <f t="shared" si="3"/>
        <v>2042</v>
      </c>
      <c r="HK12">
        <f t="shared" si="3"/>
        <v>2042</v>
      </c>
      <c r="HL12">
        <f t="shared" si="3"/>
        <v>2042</v>
      </c>
      <c r="HM12">
        <f t="shared" si="3"/>
        <v>2042</v>
      </c>
      <c r="HN12">
        <f t="shared" si="3"/>
        <v>2042</v>
      </c>
      <c r="HO12">
        <f t="shared" si="3"/>
        <v>2042</v>
      </c>
      <c r="HP12">
        <f t="shared" si="3"/>
        <v>2043</v>
      </c>
      <c r="HQ12">
        <f t="shared" si="3"/>
        <v>2043</v>
      </c>
      <c r="HR12">
        <f t="shared" si="3"/>
        <v>2043</v>
      </c>
      <c r="HS12">
        <f t="shared" si="3"/>
        <v>2043</v>
      </c>
      <c r="HT12">
        <f t="shared" si="3"/>
        <v>2043</v>
      </c>
      <c r="HU12">
        <f t="shared" si="3"/>
        <v>2043</v>
      </c>
      <c r="HV12">
        <f t="shared" si="3"/>
        <v>2043</v>
      </c>
      <c r="HW12">
        <f t="shared" si="3"/>
        <v>2043</v>
      </c>
      <c r="HX12">
        <f t="shared" si="3"/>
        <v>2043</v>
      </c>
      <c r="HY12">
        <f t="shared" si="3"/>
        <v>2043</v>
      </c>
      <c r="HZ12">
        <f t="shared" si="3"/>
        <v>2043</v>
      </c>
      <c r="IA12">
        <f t="shared" si="3"/>
        <v>2043</v>
      </c>
      <c r="IB12">
        <f t="shared" si="3"/>
        <v>2044</v>
      </c>
      <c r="IC12">
        <f t="shared" si="3"/>
        <v>2044</v>
      </c>
      <c r="ID12">
        <f t="shared" si="3"/>
        <v>2044</v>
      </c>
      <c r="IE12">
        <f t="shared" si="3"/>
        <v>2044</v>
      </c>
      <c r="IF12">
        <f t="shared" si="3"/>
        <v>2044</v>
      </c>
      <c r="IG12">
        <f t="shared" si="3"/>
        <v>2044</v>
      </c>
      <c r="IH12">
        <f t="shared" si="3"/>
        <v>2044</v>
      </c>
    </row>
    <row r="13" spans="1:242" x14ac:dyDescent="0.3">
      <c r="A13" t="s">
        <v>762</v>
      </c>
      <c r="C13" s="14">
        <v>45505</v>
      </c>
      <c r="D13" s="14">
        <v>45536</v>
      </c>
      <c r="E13" s="14">
        <v>45566</v>
      </c>
      <c r="F13" s="14">
        <v>45597</v>
      </c>
      <c r="G13" s="14">
        <v>45627</v>
      </c>
      <c r="H13" s="14">
        <v>45658</v>
      </c>
      <c r="I13" s="14">
        <v>45689</v>
      </c>
      <c r="J13" s="14">
        <v>45717</v>
      </c>
      <c r="K13" s="14">
        <v>45748</v>
      </c>
      <c r="L13" s="14">
        <v>45778</v>
      </c>
      <c r="M13" s="14">
        <v>45809</v>
      </c>
      <c r="N13" s="14">
        <v>45839</v>
      </c>
      <c r="O13" s="14">
        <v>45870</v>
      </c>
      <c r="P13" s="14">
        <v>45901</v>
      </c>
      <c r="Q13" s="14">
        <v>45931</v>
      </c>
      <c r="R13" s="14">
        <v>45962</v>
      </c>
      <c r="S13" s="14">
        <v>45992</v>
      </c>
      <c r="T13" s="14">
        <v>46023</v>
      </c>
      <c r="U13" s="14">
        <v>46054</v>
      </c>
      <c r="V13" s="14">
        <v>46082</v>
      </c>
      <c r="W13" s="14">
        <v>46113</v>
      </c>
      <c r="X13" s="14">
        <v>46143</v>
      </c>
      <c r="Y13" s="14">
        <v>46174</v>
      </c>
      <c r="Z13" s="14">
        <v>46204</v>
      </c>
      <c r="AA13" s="14">
        <v>46235</v>
      </c>
      <c r="AB13" s="14">
        <v>46266</v>
      </c>
      <c r="AC13" s="14">
        <v>46296</v>
      </c>
      <c r="AD13" s="14">
        <v>46327</v>
      </c>
      <c r="AE13" s="14">
        <v>46357</v>
      </c>
      <c r="AF13" s="14">
        <v>46388</v>
      </c>
      <c r="AG13" s="14">
        <v>46419</v>
      </c>
      <c r="AH13" s="14">
        <v>46447</v>
      </c>
      <c r="AI13" s="14">
        <v>46478</v>
      </c>
      <c r="AJ13" s="14">
        <v>46508</v>
      </c>
      <c r="AK13" s="14">
        <v>46539</v>
      </c>
      <c r="AL13" s="14">
        <v>46569</v>
      </c>
      <c r="AM13" s="14">
        <v>46600</v>
      </c>
      <c r="AN13" s="14">
        <v>46631</v>
      </c>
      <c r="AO13" s="14">
        <v>46661</v>
      </c>
      <c r="AP13" s="14">
        <v>46692</v>
      </c>
      <c r="AQ13" s="14">
        <v>46722</v>
      </c>
      <c r="AR13" s="14">
        <v>46753</v>
      </c>
      <c r="AS13" s="14">
        <v>46784</v>
      </c>
      <c r="AT13" s="14">
        <v>46813</v>
      </c>
      <c r="AU13" s="14">
        <v>46844</v>
      </c>
      <c r="AV13" s="14">
        <v>46874</v>
      </c>
      <c r="AW13" s="14">
        <v>46905</v>
      </c>
      <c r="AX13" s="14">
        <v>46935</v>
      </c>
      <c r="AY13" s="14">
        <v>46966</v>
      </c>
      <c r="AZ13" s="14">
        <v>46997</v>
      </c>
      <c r="BA13" s="14">
        <v>47027</v>
      </c>
      <c r="BB13" s="14">
        <v>47058</v>
      </c>
      <c r="BC13" s="14">
        <v>47088</v>
      </c>
      <c r="BD13" s="14">
        <v>47119</v>
      </c>
      <c r="BE13" s="14">
        <v>47150</v>
      </c>
      <c r="BF13" s="14">
        <v>47178</v>
      </c>
      <c r="BG13" s="14">
        <v>47209</v>
      </c>
      <c r="BH13" s="14">
        <v>47239</v>
      </c>
      <c r="BI13" s="14">
        <v>47270</v>
      </c>
      <c r="BJ13" s="14">
        <v>47300</v>
      </c>
      <c r="BK13" s="14">
        <v>47331</v>
      </c>
      <c r="BL13" s="14">
        <v>47362</v>
      </c>
      <c r="BM13" s="14">
        <v>47392</v>
      </c>
      <c r="BN13" s="14">
        <v>47423</v>
      </c>
      <c r="BO13" s="14">
        <v>47453</v>
      </c>
      <c r="BP13" s="14">
        <v>47484</v>
      </c>
      <c r="BQ13" s="14">
        <v>47515</v>
      </c>
      <c r="BR13" s="14">
        <v>47543</v>
      </c>
      <c r="BS13" s="14">
        <v>47574</v>
      </c>
      <c r="BT13" s="14">
        <v>47604</v>
      </c>
      <c r="BU13" s="14">
        <v>47635</v>
      </c>
      <c r="BV13" s="14">
        <v>47665</v>
      </c>
      <c r="BW13" s="14">
        <v>47696</v>
      </c>
      <c r="BX13" s="14">
        <v>47727</v>
      </c>
      <c r="BY13" s="14">
        <v>47757</v>
      </c>
      <c r="BZ13" s="14">
        <v>47788</v>
      </c>
      <c r="CA13" s="14">
        <v>47818</v>
      </c>
      <c r="CB13" s="14">
        <v>47849</v>
      </c>
      <c r="CC13" s="14">
        <v>47880</v>
      </c>
      <c r="CD13" s="14">
        <v>47908</v>
      </c>
      <c r="CE13" s="14">
        <v>47939</v>
      </c>
      <c r="CF13" s="14">
        <v>47969</v>
      </c>
      <c r="CG13" s="14">
        <v>48000</v>
      </c>
      <c r="CH13" s="14">
        <v>48030</v>
      </c>
      <c r="CI13" s="14">
        <v>48061</v>
      </c>
      <c r="CJ13" s="14">
        <v>48092</v>
      </c>
      <c r="CK13" s="14">
        <v>48122</v>
      </c>
      <c r="CL13" s="14">
        <v>48153</v>
      </c>
      <c r="CM13" s="14">
        <v>48183</v>
      </c>
      <c r="CN13" s="14">
        <v>48214</v>
      </c>
      <c r="CO13" s="14">
        <v>48245</v>
      </c>
      <c r="CP13" s="14">
        <v>48274</v>
      </c>
      <c r="CQ13" s="14">
        <v>48305</v>
      </c>
      <c r="CR13" s="14">
        <v>48335</v>
      </c>
      <c r="CS13" s="14">
        <v>48366</v>
      </c>
      <c r="CT13" s="14">
        <v>48396</v>
      </c>
      <c r="CU13" s="14">
        <v>48427</v>
      </c>
      <c r="CV13" s="14">
        <v>48458</v>
      </c>
      <c r="CW13" s="14">
        <v>48488</v>
      </c>
      <c r="CX13" s="14">
        <v>48519</v>
      </c>
      <c r="CY13" s="14">
        <v>48549</v>
      </c>
      <c r="CZ13" s="14">
        <v>48580</v>
      </c>
      <c r="DA13" s="14">
        <v>48611</v>
      </c>
      <c r="DB13" s="14">
        <v>48639</v>
      </c>
      <c r="DC13" s="14">
        <v>48670</v>
      </c>
      <c r="DD13" s="14">
        <v>48700</v>
      </c>
      <c r="DE13" s="14">
        <v>48731</v>
      </c>
      <c r="DF13" s="14">
        <v>48761</v>
      </c>
      <c r="DG13" s="14">
        <v>48792</v>
      </c>
      <c r="DH13" s="14">
        <v>48823</v>
      </c>
      <c r="DI13" s="14">
        <v>48853</v>
      </c>
      <c r="DJ13" s="14">
        <v>48884</v>
      </c>
      <c r="DK13" s="14">
        <v>48914</v>
      </c>
      <c r="DL13" s="14">
        <v>48945</v>
      </c>
      <c r="DM13" s="14">
        <v>48976</v>
      </c>
      <c r="DN13" s="14">
        <v>49004</v>
      </c>
      <c r="DO13" s="14">
        <v>49035</v>
      </c>
      <c r="DP13" s="14">
        <v>49065</v>
      </c>
      <c r="DQ13" s="14">
        <v>49096</v>
      </c>
      <c r="DR13" s="14">
        <v>49126</v>
      </c>
      <c r="DS13" s="14">
        <v>49157</v>
      </c>
      <c r="DT13" s="14">
        <v>49188</v>
      </c>
      <c r="DU13" s="14">
        <v>49218</v>
      </c>
      <c r="DV13" s="14">
        <v>49249</v>
      </c>
      <c r="DW13" s="14">
        <v>49279</v>
      </c>
      <c r="DX13" s="14">
        <v>49310</v>
      </c>
      <c r="DY13" s="14">
        <v>49341</v>
      </c>
      <c r="DZ13" s="14">
        <v>49369</v>
      </c>
      <c r="EA13" s="14">
        <v>49400</v>
      </c>
      <c r="EB13" s="14">
        <v>49430</v>
      </c>
      <c r="EC13" s="14">
        <v>49461</v>
      </c>
      <c r="ED13" s="14">
        <v>49491</v>
      </c>
      <c r="EE13" s="14">
        <v>49522</v>
      </c>
      <c r="EF13" s="14">
        <v>49553</v>
      </c>
      <c r="EG13" s="14">
        <v>49583</v>
      </c>
      <c r="EH13" s="14">
        <v>49614</v>
      </c>
      <c r="EI13" s="14">
        <v>49644</v>
      </c>
      <c r="EJ13" s="14">
        <v>49675</v>
      </c>
      <c r="EK13" s="14">
        <v>49706</v>
      </c>
      <c r="EL13" s="14">
        <v>49735</v>
      </c>
      <c r="EM13" s="14">
        <v>49766</v>
      </c>
      <c r="EN13" s="14">
        <v>49796</v>
      </c>
      <c r="EO13" s="14">
        <v>49827</v>
      </c>
      <c r="EP13" s="14">
        <v>49857</v>
      </c>
      <c r="EQ13" s="14">
        <v>49888</v>
      </c>
      <c r="ER13" s="14">
        <v>49919</v>
      </c>
      <c r="ES13" s="14">
        <v>49949</v>
      </c>
      <c r="ET13" s="14">
        <v>49980</v>
      </c>
      <c r="EU13" s="14">
        <v>50010</v>
      </c>
      <c r="EV13" s="14">
        <v>50041</v>
      </c>
      <c r="EW13" s="14">
        <v>50072</v>
      </c>
      <c r="EX13" s="14">
        <v>50100</v>
      </c>
      <c r="EY13" s="14">
        <v>50131</v>
      </c>
      <c r="EZ13" s="14">
        <v>50161</v>
      </c>
      <c r="FA13" s="14">
        <v>50192</v>
      </c>
      <c r="FB13" s="14">
        <v>50222</v>
      </c>
      <c r="FC13" s="14">
        <v>50253</v>
      </c>
      <c r="FD13" s="14">
        <v>50284</v>
      </c>
      <c r="FE13" s="14">
        <v>50314</v>
      </c>
      <c r="FF13" s="14">
        <v>50345</v>
      </c>
      <c r="FG13" s="14">
        <v>50375</v>
      </c>
      <c r="FH13" s="14">
        <v>50406</v>
      </c>
      <c r="FI13" s="14">
        <v>50437</v>
      </c>
      <c r="FJ13" s="14">
        <v>50465</v>
      </c>
      <c r="FK13" s="14">
        <v>50496</v>
      </c>
      <c r="FL13" s="14">
        <v>50526</v>
      </c>
      <c r="FM13" s="14">
        <v>50557</v>
      </c>
      <c r="FN13" s="14">
        <v>50587</v>
      </c>
      <c r="FO13" s="14">
        <v>50618</v>
      </c>
      <c r="FP13" s="14">
        <v>50649</v>
      </c>
      <c r="FQ13" s="14">
        <v>50679</v>
      </c>
      <c r="FR13" s="14">
        <v>50710</v>
      </c>
      <c r="FS13" s="14">
        <v>50740</v>
      </c>
      <c r="FT13" s="14">
        <v>50771</v>
      </c>
      <c r="FU13" s="14">
        <v>50802</v>
      </c>
      <c r="FV13" s="14">
        <v>50830</v>
      </c>
      <c r="FW13" s="14">
        <v>50861</v>
      </c>
      <c r="FX13" s="14">
        <v>50891</v>
      </c>
      <c r="FY13" s="14">
        <v>50922</v>
      </c>
      <c r="FZ13" s="14">
        <v>50952</v>
      </c>
      <c r="GA13" s="14">
        <v>50983</v>
      </c>
      <c r="GB13" s="14">
        <v>51014</v>
      </c>
      <c r="GC13" s="14">
        <v>51044</v>
      </c>
      <c r="GD13" s="14">
        <v>51075</v>
      </c>
      <c r="GE13" s="14">
        <v>51105</v>
      </c>
      <c r="GF13" s="14">
        <v>51136</v>
      </c>
      <c r="GG13" s="14">
        <v>51167</v>
      </c>
      <c r="GH13" s="14">
        <v>51196</v>
      </c>
      <c r="GI13" s="14">
        <v>51227</v>
      </c>
      <c r="GJ13" s="14">
        <v>51257</v>
      </c>
      <c r="GK13" s="14">
        <v>51288</v>
      </c>
      <c r="GL13" s="14">
        <v>51318</v>
      </c>
      <c r="GM13" s="14">
        <v>51349</v>
      </c>
      <c r="GN13" s="14">
        <v>51380</v>
      </c>
      <c r="GO13" s="14">
        <v>51410</v>
      </c>
      <c r="GP13" s="14">
        <v>51441</v>
      </c>
      <c r="GQ13" s="14">
        <v>51471</v>
      </c>
      <c r="GR13" s="14">
        <v>51502</v>
      </c>
      <c r="GS13" s="14">
        <v>51533</v>
      </c>
      <c r="GT13" s="14">
        <v>51561</v>
      </c>
      <c r="GU13" s="14">
        <v>51592</v>
      </c>
      <c r="GV13" s="14">
        <v>51622</v>
      </c>
      <c r="GW13" s="14">
        <v>51653</v>
      </c>
      <c r="GX13" s="14">
        <v>51683</v>
      </c>
      <c r="GY13" s="14">
        <v>51714</v>
      </c>
      <c r="GZ13" s="14">
        <v>51745</v>
      </c>
      <c r="HA13" s="14">
        <v>51775</v>
      </c>
      <c r="HB13" s="14">
        <v>51806</v>
      </c>
      <c r="HC13" s="14">
        <v>51836</v>
      </c>
      <c r="HD13" s="14">
        <v>51867</v>
      </c>
      <c r="HE13" s="14">
        <v>51898</v>
      </c>
      <c r="HF13" s="14">
        <v>51926</v>
      </c>
      <c r="HG13" s="14">
        <v>51957</v>
      </c>
      <c r="HH13" s="14">
        <v>51987</v>
      </c>
      <c r="HI13" s="14">
        <v>52018</v>
      </c>
      <c r="HJ13" s="14">
        <v>52048</v>
      </c>
      <c r="HK13" s="14">
        <v>52079</v>
      </c>
      <c r="HL13" s="14">
        <v>52110</v>
      </c>
      <c r="HM13" s="14">
        <v>52140</v>
      </c>
      <c r="HN13" s="14">
        <v>52171</v>
      </c>
      <c r="HO13" s="14">
        <v>52201</v>
      </c>
      <c r="HP13" s="14">
        <v>52232</v>
      </c>
      <c r="HQ13" s="14">
        <v>52263</v>
      </c>
      <c r="HR13" s="14">
        <v>52291</v>
      </c>
      <c r="HS13" s="14">
        <v>52322</v>
      </c>
      <c r="HT13" s="14">
        <v>52352</v>
      </c>
      <c r="HU13" s="14">
        <v>52383</v>
      </c>
      <c r="HV13" s="14">
        <v>52413</v>
      </c>
      <c r="HW13" s="14">
        <v>52444</v>
      </c>
      <c r="HX13" s="14">
        <v>52475</v>
      </c>
      <c r="HY13" s="14">
        <v>52505</v>
      </c>
      <c r="HZ13" s="14">
        <v>52536</v>
      </c>
      <c r="IA13" s="14">
        <v>52566</v>
      </c>
      <c r="IB13" s="14">
        <v>52597</v>
      </c>
      <c r="IC13" s="14">
        <v>52628</v>
      </c>
      <c r="ID13" s="14">
        <v>52657</v>
      </c>
      <c r="IE13" s="14">
        <v>52688</v>
      </c>
      <c r="IF13" s="14">
        <v>52718</v>
      </c>
      <c r="IG13" s="14">
        <v>52749</v>
      </c>
      <c r="IH13" s="14">
        <v>52779</v>
      </c>
    </row>
    <row r="14" spans="1:242" x14ac:dyDescent="0.3">
      <c r="A14" s="6" t="s">
        <v>908</v>
      </c>
      <c r="B14" t="s">
        <v>33</v>
      </c>
      <c r="C14" s="10">
        <f>+Producción!E8</f>
        <v>2195.9335397999998</v>
      </c>
      <c r="D14" s="10">
        <f>+Producción!F8</f>
        <v>2055.0388319999997</v>
      </c>
      <c r="E14" s="10">
        <f>+Producción!G8</f>
        <v>1852.7674396</v>
      </c>
      <c r="F14" s="10">
        <f>+Producción!H8</f>
        <v>1770.6796800000002</v>
      </c>
      <c r="G14" s="10">
        <f>+Producción!I8</f>
        <v>1871.7622308</v>
      </c>
      <c r="H14" s="10">
        <f>+Producción!J8</f>
        <v>2150.5786302000006</v>
      </c>
      <c r="I14" s="70">
        <f>+Producción!K8</f>
        <v>1982.6360400000001</v>
      </c>
      <c r="J14" s="10">
        <f>+Producción!L8</f>
        <v>2360.8296480999998</v>
      </c>
      <c r="K14" s="10">
        <f>+Producción!M8</f>
        <v>2144.5575689999996</v>
      </c>
      <c r="L14" s="10">
        <f>+Producción!N8</f>
        <v>2079.2997071</v>
      </c>
      <c r="M14" s="10">
        <f>+Producción!O8</f>
        <v>2090.0679030000001</v>
      </c>
      <c r="N14" s="10">
        <f>+Producción!P8</f>
        <v>2224.0865339000002</v>
      </c>
      <c r="O14" s="10">
        <f>+Producción!Q8</f>
        <v>2191.4520427799998</v>
      </c>
      <c r="P14" s="10">
        <f>+Producción!R8</f>
        <v>2050.8448751999999</v>
      </c>
      <c r="Q14" s="10">
        <f>+Producción!S8</f>
        <v>1848.9862815599997</v>
      </c>
      <c r="R14" s="10">
        <f>+Producción!T8</f>
        <v>1767.0660480000001</v>
      </c>
      <c r="S14" s="10">
        <f>+Producción!U8</f>
        <v>1867.9423078799998</v>
      </c>
      <c r="T14" s="10">
        <f>+Producción!V8</f>
        <v>2146.1896942200001</v>
      </c>
      <c r="U14" s="10">
        <f>+Producción!W8</f>
        <v>1978.5898440000001</v>
      </c>
      <c r="V14" s="10">
        <f>+Producción!X8</f>
        <v>2356.01162841</v>
      </c>
      <c r="W14" s="10">
        <f>+Producción!Y8</f>
        <v>2140.1809208999998</v>
      </c>
      <c r="X14" s="10">
        <f>+Producción!Z8</f>
        <v>2075.0562383099996</v>
      </c>
      <c r="Y14" s="10">
        <f>+Producción!AA8</f>
        <v>2085.8024583000001</v>
      </c>
      <c r="Z14" s="10">
        <f>+Producción!AB8</f>
        <v>2219.5475817899996</v>
      </c>
      <c r="AA14" s="10">
        <f>+Producción!AC8</f>
        <v>2189.2112942699996</v>
      </c>
      <c r="AB14" s="10">
        <f>+Producción!AD8</f>
        <v>2048.7478967999996</v>
      </c>
      <c r="AC14" s="10">
        <f>+Producción!AE8</f>
        <v>1847.09570254</v>
      </c>
      <c r="AD14" s="10">
        <f>+Producción!AF8</f>
        <v>1765.2592320000001</v>
      </c>
      <c r="AE14" s="10">
        <f>+Producción!AG8</f>
        <v>1866.0323464199996</v>
      </c>
      <c r="AF14" s="10">
        <f>+Producción!AH8</f>
        <v>2143.9952262300003</v>
      </c>
      <c r="AG14" s="10">
        <f>+Producción!AI8</f>
        <v>1976.5667460000002</v>
      </c>
      <c r="AH14" s="10">
        <f>+Producción!AJ8</f>
        <v>2353.6026185649998</v>
      </c>
      <c r="AI14" s="10">
        <f>+Producción!AK8</f>
        <v>2137.9925968499997</v>
      </c>
      <c r="AJ14" s="10">
        <f>+Producción!AL8</f>
        <v>2072.9345039149998</v>
      </c>
      <c r="AK14" s="10">
        <f>+Producción!AM8</f>
        <v>2083.6697359499999</v>
      </c>
      <c r="AL14" s="10">
        <f>+Producción!AN8</f>
        <v>2217.2781057349998</v>
      </c>
      <c r="AM14" s="10">
        <f>+Producción!AO8</f>
        <v>2186.9705457599998</v>
      </c>
      <c r="AN14" s="10">
        <f>+Producción!AP8</f>
        <v>2046.6509183999999</v>
      </c>
      <c r="AO14" s="10">
        <f>+Producción!AQ8</f>
        <v>1845.2051235200001</v>
      </c>
      <c r="AP14" s="10">
        <f>+Producción!AR8</f>
        <v>1763.4524160000003</v>
      </c>
      <c r="AQ14" s="10">
        <f>+Producción!AS8</f>
        <v>1864.1223849599999</v>
      </c>
      <c r="AR14" s="10">
        <f>+Producción!AT8</f>
        <v>2141.8007582400005</v>
      </c>
      <c r="AS14" s="10">
        <f>+Producción!AU8</f>
        <v>2045.0630639999997</v>
      </c>
      <c r="AT14" s="10">
        <f>+Producción!AV8</f>
        <v>2351.1936087199997</v>
      </c>
      <c r="AU14" s="10">
        <f>+Producción!AW8</f>
        <v>2135.8042727999996</v>
      </c>
      <c r="AV14" s="10">
        <f>+Producción!AX8</f>
        <v>2070.8127695200001</v>
      </c>
      <c r="AW14" s="10">
        <f>+Producción!AY8</f>
        <v>2081.5370136000001</v>
      </c>
      <c r="AX14" s="10">
        <f>+Producción!AZ8</f>
        <v>2215.0086296800005</v>
      </c>
      <c r="AY14" s="10">
        <f>+Producción!BA8</f>
        <v>2184.72979725</v>
      </c>
      <c r="AZ14" s="10">
        <f>+Producción!BB8</f>
        <v>2044.55394</v>
      </c>
      <c r="BA14" s="10">
        <f>+Producción!BC8</f>
        <v>1843.3145444999998</v>
      </c>
      <c r="BB14" s="10">
        <f>+Producción!BD8</f>
        <v>1761.6456000000001</v>
      </c>
      <c r="BC14" s="10">
        <f>+Producción!BE8</f>
        <v>1862.2124234999999</v>
      </c>
      <c r="BD14" s="10">
        <f>+Producción!BF8</f>
        <v>2139.6062902500003</v>
      </c>
      <c r="BE14" s="10">
        <f>+Producción!BG8</f>
        <v>1972.5205499999997</v>
      </c>
      <c r="BF14" s="10">
        <f>+Producción!BH8</f>
        <v>2348.7845988749996</v>
      </c>
      <c r="BG14" s="10">
        <f>+Producción!BI8</f>
        <v>2133.6159487499999</v>
      </c>
      <c r="BH14" s="10">
        <f>+Producción!BJ8</f>
        <v>2068.6910351249999</v>
      </c>
      <c r="BI14" s="10">
        <f>+Producción!BK8</f>
        <v>2079.4042912499999</v>
      </c>
      <c r="BJ14" s="10">
        <f>+Producción!BL8</f>
        <v>2212.7391536249997</v>
      </c>
      <c r="BK14" s="10">
        <f>+Producción!BM8</f>
        <v>2173.5260546999998</v>
      </c>
      <c r="BL14" s="10">
        <f>+Producción!BN8</f>
        <v>2034.0690479999998</v>
      </c>
      <c r="BM14" s="10">
        <f>+Producción!BO8</f>
        <v>1833.8616494</v>
      </c>
      <c r="BN14" s="10">
        <f>+Producción!BP8</f>
        <v>1752.6115199999999</v>
      </c>
      <c r="BO14" s="10">
        <f>+Producción!BQ8</f>
        <v>1852.6626161999998</v>
      </c>
      <c r="BP14" s="10">
        <f>+Producción!BR8</f>
        <v>2128.6339502999999</v>
      </c>
      <c r="BQ14" s="10">
        <f>+Producción!BS8</f>
        <v>1962.40506</v>
      </c>
      <c r="BR14" s="10">
        <f>+Producción!BT8</f>
        <v>2336.7395496499998</v>
      </c>
      <c r="BS14" s="10">
        <f>+Producción!BU8</f>
        <v>2122.6743284999998</v>
      </c>
      <c r="BT14" s="10">
        <f>+Producción!BV8</f>
        <v>2058.0823631500002</v>
      </c>
      <c r="BU14" s="10">
        <f>+Producción!BW8</f>
        <v>2068.7406794999997</v>
      </c>
      <c r="BV14" s="10">
        <f>+Producción!BX8</f>
        <v>2201.3917733499998</v>
      </c>
      <c r="BW14" s="10">
        <f>+Producción!BY8</f>
        <v>2162.3223121499996</v>
      </c>
      <c r="BX14" s="10">
        <f>+Producción!BZ8</f>
        <v>2023.5841559999999</v>
      </c>
      <c r="BY14" s="10">
        <f>+Producción!CA8</f>
        <v>1824.4087542999998</v>
      </c>
      <c r="BZ14" s="10">
        <f>+Producción!CB8</f>
        <v>1743.57744</v>
      </c>
      <c r="CA14" s="10">
        <f>+Producción!CC8</f>
        <v>1843.1128088999999</v>
      </c>
      <c r="CB14" s="10">
        <f>+Producción!CD8</f>
        <v>2117.66161035</v>
      </c>
      <c r="CC14" s="10">
        <f>+Producción!CE8</f>
        <v>1952.2895700000004</v>
      </c>
      <c r="CD14" s="10">
        <f>+Producción!CF8</f>
        <v>2324.6945004249997</v>
      </c>
      <c r="CE14" s="10">
        <f>+Producción!CG8</f>
        <v>2111.7327082499996</v>
      </c>
      <c r="CF14" s="10">
        <f>+Producción!CH8</f>
        <v>2047.4736911749999</v>
      </c>
      <c r="CG14" s="10">
        <f>+Producción!CI8</f>
        <v>2058.07706775</v>
      </c>
      <c r="CH14" s="10">
        <f>+Producción!CJ8</f>
        <v>2190.0443930750002</v>
      </c>
      <c r="CI14" s="10">
        <f>+Producción!CK8</f>
        <v>2151.1185696000002</v>
      </c>
      <c r="CJ14" s="10">
        <f>+Producción!CL8</f>
        <v>2013.0992640000002</v>
      </c>
      <c r="CK14" s="10">
        <f>+Producción!CM8</f>
        <v>1814.9558592000001</v>
      </c>
      <c r="CL14" s="10">
        <f>+Producción!CN8</f>
        <v>1734.5433599999999</v>
      </c>
      <c r="CM14" s="10">
        <f>+Producción!CO8</f>
        <v>1833.5630015999998</v>
      </c>
      <c r="CN14" s="10">
        <f>+Producción!CP8</f>
        <v>2106.6892704000002</v>
      </c>
      <c r="CO14" s="10">
        <f>+Producción!CQ8</f>
        <v>2011.5374399999998</v>
      </c>
      <c r="CP14" s="10">
        <f>+Producción!CR8</f>
        <v>2312.6494511999999</v>
      </c>
      <c r="CQ14" s="10">
        <f>+Producción!CS8</f>
        <v>2100.7910879999999</v>
      </c>
      <c r="CR14" s="10">
        <f>+Producción!CT8</f>
        <v>2036.8650191999998</v>
      </c>
      <c r="CS14" s="10">
        <f>+Producción!CU8</f>
        <v>2047.413456</v>
      </c>
      <c r="CT14" s="10">
        <f>+Producción!CV8</f>
        <v>2178.6970128000003</v>
      </c>
      <c r="CU14" s="10">
        <f>+Producción!CW8</f>
        <v>2139.9148270499995</v>
      </c>
      <c r="CV14" s="10">
        <f>+Producción!CX8</f>
        <v>2002.6143719999998</v>
      </c>
      <c r="CW14" s="10">
        <f>+Producción!CY8</f>
        <v>1805.5029641000003</v>
      </c>
      <c r="CX14" s="10">
        <f>+Producción!CZ8</f>
        <v>1725.5092800000002</v>
      </c>
      <c r="CY14" s="10">
        <f>+Producción!DA8</f>
        <v>1824.0131942999999</v>
      </c>
      <c r="CZ14" s="10">
        <f>+Producción!DB8</f>
        <v>2095.7169304500003</v>
      </c>
      <c r="DA14" s="10">
        <f>+Producción!DC8</f>
        <v>1932.0585900000001</v>
      </c>
      <c r="DB14" s="10">
        <f>+Producción!DD8</f>
        <v>2300.6044019750002</v>
      </c>
      <c r="DC14" s="10">
        <f>+Producción!DE8</f>
        <v>2089.8494677499998</v>
      </c>
      <c r="DD14" s="10">
        <f>+Producción!DF8</f>
        <v>2026.2563472249999</v>
      </c>
      <c r="DE14" s="10">
        <f>+Producción!DG8</f>
        <v>2036.74984425</v>
      </c>
      <c r="DF14" s="10">
        <f>+Producción!DH8</f>
        <v>2167.3496325250003</v>
      </c>
      <c r="DG14" s="10">
        <f>+Producción!DI8</f>
        <v>2128.7110844999997</v>
      </c>
      <c r="DH14" s="10">
        <f>+Producción!DJ8</f>
        <v>1992.1294800000001</v>
      </c>
      <c r="DI14" s="10">
        <f>+Producción!DK8</f>
        <v>1796.0500690000001</v>
      </c>
      <c r="DJ14" s="10">
        <f>+Producción!DL8</f>
        <v>1716.4752000000001</v>
      </c>
      <c r="DK14" s="10">
        <f>+Producción!DM8</f>
        <v>1814.4633869999998</v>
      </c>
      <c r="DL14" s="10">
        <f>+Producción!DN8</f>
        <v>2084.7445905</v>
      </c>
      <c r="DM14" s="10">
        <f>+Producción!DO8</f>
        <v>1921.9431</v>
      </c>
      <c r="DN14" s="10">
        <f>+Producción!DP8</f>
        <v>2288.55935275</v>
      </c>
      <c r="DO14" s="10">
        <f>+Producción!DQ8</f>
        <v>2078.9078475000001</v>
      </c>
      <c r="DP14" s="10">
        <f>+Producción!DR8</f>
        <v>2015.6476752499998</v>
      </c>
      <c r="DQ14" s="10">
        <f>+Producción!DS8</f>
        <v>2026.0862324999998</v>
      </c>
      <c r="DR14" s="10">
        <f>+Producción!DT8</f>
        <v>2156.0022522499999</v>
      </c>
      <c r="DS14" s="10">
        <f>+Producción!DU8</f>
        <v>2106.3035994000002</v>
      </c>
      <c r="DT14" s="10">
        <f>+Producción!DV8</f>
        <v>2036.8650192</v>
      </c>
      <c r="DU14" s="10">
        <f>+Producción!DW8</f>
        <v>1777.1442787999999</v>
      </c>
      <c r="DV14" s="10">
        <f>+Producción!DX8</f>
        <v>1755.020608</v>
      </c>
      <c r="DW14" s="10">
        <f>+Producción!DY8</f>
        <v>1795.3637723999998</v>
      </c>
      <c r="DX14" s="10">
        <f>+Producción!DZ8</f>
        <v>2062.7999106000002</v>
      </c>
      <c r="DY14" s="10">
        <f>+Producción!EA8</f>
        <v>1901.7121200000001</v>
      </c>
      <c r="DZ14" s="10">
        <f>+Producción!EB8</f>
        <v>2264.4692542999996</v>
      </c>
      <c r="EA14" s="10">
        <f>+Producción!EC8</f>
        <v>2057.0246069999998</v>
      </c>
      <c r="EB14" s="10">
        <f>+Producción!ED8</f>
        <v>1994.4303312999998</v>
      </c>
      <c r="EC14" s="10">
        <f>+Producción!EE8</f>
        <v>2004.7590090000001</v>
      </c>
      <c r="ED14" s="10">
        <f>+Producción!EF8</f>
        <v>2133.3074917000004</v>
      </c>
      <c r="EE14" s="10">
        <f>+Producción!EG8</f>
        <v>2083.8961142999997</v>
      </c>
      <c r="EF14" s="10">
        <f>+Producción!EH8</f>
        <v>2015.1962424000001</v>
      </c>
      <c r="EG14" s="10">
        <f>+Producción!EI8</f>
        <v>1758.2384886</v>
      </c>
      <c r="EH14" s="10">
        <f>+Producción!EJ8</f>
        <v>1736.3501759999999</v>
      </c>
      <c r="EI14" s="10">
        <f>+Producción!EK8</f>
        <v>1776.2641577999998</v>
      </c>
      <c r="EJ14" s="10">
        <f>+Producción!EL8</f>
        <v>2040.8552307000004</v>
      </c>
      <c r="EK14" s="10">
        <f>+Producción!EM8</f>
        <v>1948.6768950000001</v>
      </c>
      <c r="EL14" s="10">
        <f>+Producción!EN8</f>
        <v>2240.3791558500002</v>
      </c>
      <c r="EM14" s="10">
        <f>+Producción!EO8</f>
        <v>2035.1413664999998</v>
      </c>
      <c r="EN14" s="10">
        <f>+Producción!EP8</f>
        <v>1973.2129873499998</v>
      </c>
      <c r="EO14" s="10">
        <f>+Producción!EQ8</f>
        <v>1983.4317854999999</v>
      </c>
      <c r="EP14" s="10">
        <f>+Producción!ER8</f>
        <v>2110.6127311499999</v>
      </c>
      <c r="EQ14" s="10">
        <f>+Producción!ES8</f>
        <v>2061.4886291999997</v>
      </c>
      <c r="ER14" s="10">
        <f>+Producción!ET8</f>
        <v>1993.5274656000001</v>
      </c>
      <c r="ES14" s="10">
        <f>+Producción!EU8</f>
        <v>1739.3326984</v>
      </c>
      <c r="ET14" s="10">
        <f>+Producción!EV8</f>
        <v>1717.679744</v>
      </c>
      <c r="EU14" s="10">
        <f>+Producción!EW8</f>
        <v>1757.1645431999998</v>
      </c>
      <c r="EV14" s="10">
        <f>+Producción!EX8</f>
        <v>2018.9105508000002</v>
      </c>
      <c r="EW14" s="10">
        <f>+Producción!EY8</f>
        <v>1861.2501599999998</v>
      </c>
      <c r="EX14" s="10">
        <f>+Producción!EZ8</f>
        <v>2216.2890574000003</v>
      </c>
      <c r="EY14" s="10">
        <f>+Producción!FA8</f>
        <v>2013.2581259999997</v>
      </c>
      <c r="EZ14" s="10">
        <f>+Producción!FB8</f>
        <v>1951.9956433999998</v>
      </c>
      <c r="FA14" s="10">
        <f>+Producción!FC8</f>
        <v>1962.104562</v>
      </c>
      <c r="FB14" s="10">
        <f>+Producción!FD8</f>
        <v>2087.9179706</v>
      </c>
      <c r="FC14" s="10">
        <f>+Producción!FE8</f>
        <v>2039.0811440999998</v>
      </c>
      <c r="FD14" s="10">
        <f>+Producción!FF8</f>
        <v>1971.8586888000002</v>
      </c>
      <c r="FE14" s="10">
        <f>+Producción!FG8</f>
        <v>1720.4269082000001</v>
      </c>
      <c r="FF14" s="10">
        <f>+Producción!FH8</f>
        <v>1699.0093119999999</v>
      </c>
      <c r="FG14" s="10">
        <f>+Producción!FI8</f>
        <v>1738.0649285999998</v>
      </c>
      <c r="FH14" s="10">
        <f>+Producción!FJ8</f>
        <v>1996.9658709000003</v>
      </c>
      <c r="FI14" s="10">
        <f>+Producción!FK8</f>
        <v>1841.0191800000002</v>
      </c>
      <c r="FJ14" s="10">
        <f>+Producción!FL8</f>
        <v>2192.1989589499999</v>
      </c>
      <c r="FK14" s="10">
        <f>+Producción!FM8</f>
        <v>1991.3748855000001</v>
      </c>
      <c r="FL14" s="10">
        <f>+Producción!FN8</f>
        <v>1930.7782994500001</v>
      </c>
      <c r="FM14" s="10">
        <f>+Producción!FO8</f>
        <v>1940.7773385</v>
      </c>
      <c r="FN14" s="10">
        <f>+Producción!FP8</f>
        <v>2065.22321005</v>
      </c>
      <c r="FO14" s="10">
        <f>+Producción!FQ8</f>
        <v>2016.6736589999998</v>
      </c>
      <c r="FP14" s="10">
        <f>+Producción!FR8</f>
        <v>1950.1899119999998</v>
      </c>
      <c r="FQ14" s="10">
        <f>+Producción!FS8</f>
        <v>1701.5211179999999</v>
      </c>
      <c r="FR14" s="10">
        <f>+Producción!FT8</f>
        <v>1680.33888</v>
      </c>
      <c r="FS14" s="10">
        <f>+Producción!FU8</f>
        <v>1718.965314</v>
      </c>
      <c r="FT14" s="10">
        <f>+Producción!FV8</f>
        <v>1975.021191</v>
      </c>
      <c r="FU14" s="10">
        <f>+Producción!FW8</f>
        <v>1820.7882000000002</v>
      </c>
      <c r="FV14" s="10">
        <f>+Producción!FX8</f>
        <v>2168.1088605</v>
      </c>
      <c r="FW14" s="10">
        <f>+Producción!FY8</f>
        <v>1969.4916450000001</v>
      </c>
      <c r="FX14" s="10">
        <f>+Producción!FZ8</f>
        <v>1909.5609554999999</v>
      </c>
      <c r="FY14" s="10">
        <f>+Producción!GA8</f>
        <v>1919.4501150000001</v>
      </c>
      <c r="FZ14" s="10">
        <f>+Producción!GB8</f>
        <v>2042.5284494999999</v>
      </c>
      <c r="GA14" s="10">
        <f>+Producción!GC8</f>
        <v>1994.2661739</v>
      </c>
      <c r="GB14" s="10">
        <f>+Producción!GD8</f>
        <v>1928.5211351999999</v>
      </c>
      <c r="GC14" s="10">
        <f>+Producción!GE8</f>
        <v>1682.6153277999999</v>
      </c>
      <c r="GD14" s="10">
        <f>+Producción!GF8</f>
        <v>1661.6684479999999</v>
      </c>
      <c r="GE14" s="10">
        <f>+Producción!GG8</f>
        <v>1699.8656994</v>
      </c>
      <c r="GF14" s="10">
        <f>+Producción!GH8</f>
        <v>1953.0765111000003</v>
      </c>
      <c r="GG14" s="10">
        <f>+Producción!GI8</f>
        <v>1864.8628349999999</v>
      </c>
      <c r="GH14" s="10">
        <f>+Producción!GJ8</f>
        <v>2144.0187620500001</v>
      </c>
      <c r="GI14" s="10">
        <f>+Producción!GK8</f>
        <v>1947.6084044999998</v>
      </c>
      <c r="GJ14" s="10">
        <f>+Producción!GL8</f>
        <v>1888.3436115500001</v>
      </c>
      <c r="GK14" s="10">
        <f>+Producción!GM8</f>
        <v>1898.1228914999997</v>
      </c>
      <c r="GL14" s="10">
        <f>+Producción!GN8</f>
        <v>2019.8336889499999</v>
      </c>
      <c r="GM14" s="10">
        <f>+Producción!GO8</f>
        <v>1971.8586888</v>
      </c>
      <c r="GN14" s="10">
        <f>+Producción!GP8</f>
        <v>1906.8523583999997</v>
      </c>
      <c r="GO14" s="10">
        <f>+Producción!GQ8</f>
        <v>1663.7095376</v>
      </c>
      <c r="GP14" s="10">
        <f>+Producción!GR8</f>
        <v>1642.9980159999998</v>
      </c>
      <c r="GQ14" s="10">
        <f>+Producción!GS8</f>
        <v>1680.7660848</v>
      </c>
      <c r="GR14" s="10">
        <f>+Producción!GT8</f>
        <v>1931.1318312000001</v>
      </c>
      <c r="GS14" s="10">
        <f>+Producción!GU8</f>
        <v>1780.3262399999999</v>
      </c>
      <c r="GT14" s="10">
        <f>+Producción!GV8</f>
        <v>2119.9286635999997</v>
      </c>
      <c r="GU14" s="10">
        <f>+Producción!GW8</f>
        <v>1925.7251639999997</v>
      </c>
      <c r="GV14" s="10">
        <f>+Producción!GX8</f>
        <v>1867.1262675999997</v>
      </c>
      <c r="GW14" s="10">
        <f>+Producción!GY8</f>
        <v>1876.795668</v>
      </c>
      <c r="GX14" s="10">
        <f>+Producción!GZ8</f>
        <v>1997.1389283999999</v>
      </c>
      <c r="GY14" s="10">
        <f>+Producción!HA8</f>
        <v>1949.4512037</v>
      </c>
      <c r="GZ14" s="10">
        <f>+Producción!HB8</f>
        <v>1885.1835816</v>
      </c>
      <c r="HA14" s="10">
        <f>+Producción!HC8</f>
        <v>1644.8037474</v>
      </c>
      <c r="HB14" s="10">
        <f>+Producción!HD8</f>
        <v>1624.3275840000001</v>
      </c>
      <c r="HC14" s="10">
        <f>+Producción!HE8</f>
        <v>1661.6664701999998</v>
      </c>
      <c r="HD14" s="10">
        <f>+Producción!HF8</f>
        <v>1909.1871513000001</v>
      </c>
      <c r="HE14" s="10">
        <f>+Producción!HG8</f>
        <v>1760.0952600000003</v>
      </c>
      <c r="HF14" s="10">
        <f>+Producción!HH8</f>
        <v>2095.8385651499998</v>
      </c>
      <c r="HG14" s="10">
        <f>+Producción!HI8</f>
        <v>1903.8419234999997</v>
      </c>
      <c r="HH14" s="10">
        <f>+Producción!HJ8</f>
        <v>1845.9089236499997</v>
      </c>
      <c r="HI14" s="10">
        <f>+Producción!HK8</f>
        <v>1855.4684444999998</v>
      </c>
      <c r="HJ14" s="10">
        <f>+Producción!HL8</f>
        <v>1974.4441678499998</v>
      </c>
      <c r="HK14" s="10">
        <f>+Producción!HM8</f>
        <v>1927.0437185999997</v>
      </c>
      <c r="HL14" s="10">
        <f>+Producción!HN8</f>
        <v>1863.5148048000001</v>
      </c>
      <c r="HM14" s="10">
        <f>+Producción!HO8</f>
        <v>1625.8979572000001</v>
      </c>
      <c r="HN14" s="10">
        <f>+Producción!HP8</f>
        <v>1605.657152</v>
      </c>
      <c r="HO14" s="10">
        <f>+Producción!HQ8</f>
        <v>1642.5668555999998</v>
      </c>
      <c r="HP14" s="10">
        <f>+Producción!HR8</f>
        <v>1887.2424714000003</v>
      </c>
      <c r="HQ14" s="10">
        <f>+Producción!HS8</f>
        <v>1739.86428</v>
      </c>
      <c r="HR14" s="10">
        <f>+Producción!HT8</f>
        <v>2071.7484666999999</v>
      </c>
      <c r="HS14" s="10">
        <f>+Producción!HU8</f>
        <v>1881.9586830000001</v>
      </c>
      <c r="HT14" s="10">
        <f>+Producción!HV8</f>
        <v>1824.6915796999999</v>
      </c>
      <c r="HU14" s="10">
        <f>+Producción!HW8</f>
        <v>1834.1412210000001</v>
      </c>
      <c r="HV14" s="10">
        <f>+Producción!HX8</f>
        <v>1951.7494072999998</v>
      </c>
      <c r="HW14" s="10">
        <f>+Producción!HY8</f>
        <v>1904.6362335000001</v>
      </c>
      <c r="HX14" s="10">
        <f>+Producción!HZ8</f>
        <v>1841.8460279999999</v>
      </c>
      <c r="HY14" s="10">
        <f>+Producción!IA8</f>
        <v>1606.9921670000001</v>
      </c>
      <c r="HZ14" s="10">
        <f>+Producción!IB8</f>
        <v>1586.9867199999999</v>
      </c>
      <c r="IA14" s="10">
        <f>+Producción!IC8</f>
        <v>1623.4672409999998</v>
      </c>
      <c r="IB14" s="10">
        <f>+Producción!ID8</f>
        <v>1865.2977915000004</v>
      </c>
      <c r="IC14" s="10">
        <f>+Producción!IE8</f>
        <v>1781.0487750000002</v>
      </c>
      <c r="ID14" s="10">
        <f>+Producción!IF8</f>
        <v>2047.6583682499997</v>
      </c>
      <c r="IE14" s="10">
        <f>+Producción!IG8</f>
        <v>1860.0754424999998</v>
      </c>
      <c r="IF14" s="10">
        <f>+Producción!IH8</f>
        <v>1803.4742357499997</v>
      </c>
      <c r="IG14" s="10">
        <f>+Producción!II8</f>
        <v>1812.8139974999999</v>
      </c>
      <c r="IH14" s="10">
        <f>+Producción!IJ8</f>
        <v>1929.0546467500001</v>
      </c>
    </row>
    <row r="16" spans="1:242" x14ac:dyDescent="0.3">
      <c r="A16" s="6" t="s">
        <v>909</v>
      </c>
      <c r="B16" t="s">
        <v>939</v>
      </c>
      <c r="C16" s="10">
        <f>+Producción!E9</f>
        <v>1361</v>
      </c>
      <c r="D16" s="10">
        <f>+Producción!F9</f>
        <v>1712</v>
      </c>
      <c r="E16" s="10">
        <f>+Producción!G9</f>
        <v>1565</v>
      </c>
      <c r="F16" s="10">
        <f>+Producción!H9</f>
        <v>2143</v>
      </c>
      <c r="G16" s="10">
        <f>+Producción!I9</f>
        <v>2131</v>
      </c>
      <c r="H16" s="10">
        <f>+Producción!J9</f>
        <v>2409</v>
      </c>
      <c r="I16" s="70">
        <f>+Producción!K9</f>
        <v>2063</v>
      </c>
      <c r="J16" s="10">
        <f>+Producción!L9</f>
        <v>1931</v>
      </c>
      <c r="K16" s="10">
        <f>+Producción!M9</f>
        <v>1439</v>
      </c>
      <c r="L16" s="10">
        <f>+Producción!N9</f>
        <v>1428</v>
      </c>
      <c r="M16" s="10">
        <f>+Producción!O9</f>
        <v>1562</v>
      </c>
      <c r="N16" s="10">
        <f>+Producción!P9</f>
        <v>1231</v>
      </c>
      <c r="O16" s="10">
        <f>+Producción!Q9</f>
        <v>1361</v>
      </c>
      <c r="P16" s="10">
        <f>+Producción!R9</f>
        <v>1712</v>
      </c>
      <c r="Q16" s="10">
        <f>+Producción!S9</f>
        <v>1565</v>
      </c>
      <c r="R16" s="10">
        <f>+Producción!T9</f>
        <v>2143</v>
      </c>
      <c r="S16" s="10">
        <f>+Producción!U9</f>
        <v>2131</v>
      </c>
      <c r="T16" s="10">
        <f>+Producción!V9</f>
        <v>2409</v>
      </c>
      <c r="U16" s="10">
        <f>+Producción!W9</f>
        <v>2063</v>
      </c>
      <c r="V16" s="10">
        <f>+Producción!X9</f>
        <v>1931</v>
      </c>
      <c r="W16" s="10">
        <f>+Producción!Y9</f>
        <v>1439</v>
      </c>
      <c r="X16" s="10">
        <f>+Producción!Z9</f>
        <v>1428</v>
      </c>
      <c r="Y16" s="10">
        <f>+Producción!AA9</f>
        <v>1562</v>
      </c>
      <c r="Z16" s="10">
        <f>+Producción!AB9</f>
        <v>1231</v>
      </c>
      <c r="AA16" s="10">
        <f>+Producción!AC9</f>
        <v>1361</v>
      </c>
      <c r="AB16" s="10">
        <f>+Producción!AD9</f>
        <v>1712</v>
      </c>
      <c r="AC16" s="10">
        <f>+Producción!AE9</f>
        <v>1565</v>
      </c>
      <c r="AD16" s="10">
        <f>+Producción!AF9</f>
        <v>2143</v>
      </c>
      <c r="AE16" s="10">
        <f>+Producción!AG9</f>
        <v>2131</v>
      </c>
      <c r="AF16" s="10">
        <f>+Producción!AH9</f>
        <v>2409</v>
      </c>
      <c r="AG16" s="10">
        <f>+Producción!AI9</f>
        <v>2063</v>
      </c>
      <c r="AH16" s="10">
        <f>+Producción!AJ9</f>
        <v>1931</v>
      </c>
      <c r="AI16" s="10">
        <f>+Producción!AK9</f>
        <v>1439</v>
      </c>
      <c r="AJ16" s="10">
        <f>+Producción!AL9</f>
        <v>1428</v>
      </c>
      <c r="AK16" s="10">
        <f>+Producción!AM9</f>
        <v>1562</v>
      </c>
      <c r="AL16" s="10">
        <f>+Producción!AN9</f>
        <v>1231</v>
      </c>
      <c r="AM16" s="10">
        <f>+Producción!AO9</f>
        <v>1361</v>
      </c>
      <c r="AN16" s="10">
        <f>+Producción!AP9</f>
        <v>1712</v>
      </c>
      <c r="AO16" s="10">
        <f>+Producción!AQ9</f>
        <v>1565</v>
      </c>
      <c r="AP16" s="10">
        <f>+Producción!AR9</f>
        <v>2143</v>
      </c>
      <c r="AQ16" s="10">
        <f>+Producción!AS9</f>
        <v>2131</v>
      </c>
      <c r="AR16" s="10">
        <f>+Producción!AT9</f>
        <v>2409</v>
      </c>
      <c r="AS16" s="10">
        <f>+Producción!AU9</f>
        <v>2063</v>
      </c>
      <c r="AT16" s="10">
        <f>+Producción!AV9</f>
        <v>1931</v>
      </c>
      <c r="AU16" s="10">
        <f>+Producción!AW9</f>
        <v>1439</v>
      </c>
      <c r="AV16" s="10">
        <f>+Producción!AX9</f>
        <v>1428</v>
      </c>
      <c r="AW16" s="10">
        <f>+Producción!AY9</f>
        <v>1562</v>
      </c>
      <c r="AX16" s="10">
        <f>+Producción!AZ9</f>
        <v>1231</v>
      </c>
      <c r="AY16" s="10">
        <f>+Producción!BA9</f>
        <v>1361</v>
      </c>
      <c r="AZ16" s="10">
        <f>+Producción!BB9</f>
        <v>1712</v>
      </c>
      <c r="BA16" s="10">
        <f>+Producción!BC9</f>
        <v>1565</v>
      </c>
      <c r="BB16" s="10">
        <f>+Producción!BD9</f>
        <v>2143</v>
      </c>
      <c r="BC16" s="10">
        <f>+Producción!BE9</f>
        <v>2131</v>
      </c>
      <c r="BD16" s="10">
        <f>+Producción!BF9</f>
        <v>2409</v>
      </c>
      <c r="BE16" s="10">
        <f>+Producción!BG9</f>
        <v>2063</v>
      </c>
      <c r="BF16" s="10">
        <f>+Producción!BH9</f>
        <v>1931</v>
      </c>
      <c r="BG16" s="10">
        <f>+Producción!BI9</f>
        <v>1439</v>
      </c>
      <c r="BH16" s="10">
        <f>+Producción!BJ9</f>
        <v>1428</v>
      </c>
      <c r="BI16" s="10">
        <f>+Producción!BK9</f>
        <v>1562</v>
      </c>
      <c r="BJ16" s="10">
        <f>+Producción!BL9</f>
        <v>1231</v>
      </c>
      <c r="BK16" s="10">
        <f>+Producción!BM9</f>
        <v>1361</v>
      </c>
      <c r="BL16" s="10">
        <f>+Producción!BN9</f>
        <v>1712</v>
      </c>
      <c r="BM16" s="10">
        <f>+Producción!BO9</f>
        <v>1565</v>
      </c>
      <c r="BN16" s="10">
        <f>+Producción!BP9</f>
        <v>2143</v>
      </c>
      <c r="BO16" s="10">
        <f>+Producción!BQ9</f>
        <v>2131</v>
      </c>
      <c r="BP16" s="10">
        <f>+Producción!BR9</f>
        <v>2409</v>
      </c>
      <c r="BQ16" s="10">
        <f>+Producción!BS9</f>
        <v>2063</v>
      </c>
      <c r="BR16" s="10">
        <f>+Producción!BT9</f>
        <v>1931</v>
      </c>
      <c r="BS16" s="10">
        <f>+Producción!BU9</f>
        <v>1439</v>
      </c>
      <c r="BT16" s="10">
        <f>+Producción!BV9</f>
        <v>1428</v>
      </c>
      <c r="BU16" s="10">
        <f>+Producción!BW9</f>
        <v>1562</v>
      </c>
      <c r="BV16" s="10">
        <f>+Producción!BX9</f>
        <v>1231</v>
      </c>
      <c r="BW16" s="10">
        <f>+Producción!BY9</f>
        <v>1361</v>
      </c>
      <c r="BX16" s="10">
        <f>+Producción!BZ9</f>
        <v>1712</v>
      </c>
      <c r="BY16" s="10">
        <f>+Producción!CA9</f>
        <v>1565</v>
      </c>
      <c r="BZ16" s="10">
        <f>+Producción!CB9</f>
        <v>2143</v>
      </c>
      <c r="CA16" s="10">
        <f>+Producción!CC9</f>
        <v>2131</v>
      </c>
      <c r="CB16" s="10">
        <f>+Producción!CD9</f>
        <v>2409</v>
      </c>
      <c r="CC16" s="10">
        <f>+Producción!CE9</f>
        <v>2063</v>
      </c>
      <c r="CD16" s="10">
        <f>+Producción!CF9</f>
        <v>1931</v>
      </c>
      <c r="CE16" s="10">
        <f>+Producción!CG9</f>
        <v>1439</v>
      </c>
      <c r="CF16" s="10">
        <f>+Producción!CH9</f>
        <v>1428</v>
      </c>
      <c r="CG16" s="10">
        <f>+Producción!CI9</f>
        <v>1562</v>
      </c>
      <c r="CH16" s="10">
        <f>+Producción!CJ9</f>
        <v>1231</v>
      </c>
      <c r="CI16" s="10">
        <f>+Producción!CK9</f>
        <v>1361</v>
      </c>
      <c r="CJ16" s="10">
        <f>+Producción!CL9</f>
        <v>1712</v>
      </c>
      <c r="CK16" s="10">
        <f>+Producción!CM9</f>
        <v>1565</v>
      </c>
      <c r="CL16" s="10">
        <f>+Producción!CN9</f>
        <v>2143</v>
      </c>
      <c r="CM16" s="10">
        <f>+Producción!CO9</f>
        <v>2131</v>
      </c>
      <c r="CN16" s="10">
        <f>+Producción!CP9</f>
        <v>2409</v>
      </c>
      <c r="CO16" s="10">
        <f>+Producción!CQ9</f>
        <v>2063</v>
      </c>
      <c r="CP16" s="10">
        <f>+Producción!CR9</f>
        <v>1931</v>
      </c>
      <c r="CQ16" s="10">
        <f>+Producción!CS9</f>
        <v>1439</v>
      </c>
      <c r="CR16" s="10">
        <f>+Producción!CT9</f>
        <v>1428</v>
      </c>
      <c r="CS16" s="10">
        <f>+Producción!CU9</f>
        <v>1562</v>
      </c>
      <c r="CT16" s="10">
        <f>+Producción!CV9</f>
        <v>1231</v>
      </c>
      <c r="CU16" s="10">
        <f>+Producción!CW9</f>
        <v>1361</v>
      </c>
      <c r="CV16" s="10">
        <f>+Producción!CX9</f>
        <v>1712</v>
      </c>
      <c r="CW16" s="10">
        <f>+Producción!CY9</f>
        <v>1565</v>
      </c>
      <c r="CX16" s="10">
        <f>+Producción!CZ9</f>
        <v>2143</v>
      </c>
      <c r="CY16" s="10">
        <f>+Producción!DA9</f>
        <v>2131</v>
      </c>
      <c r="CZ16" s="10">
        <f>+Producción!DB9</f>
        <v>2409</v>
      </c>
      <c r="DA16" s="10">
        <f>+Producción!DC9</f>
        <v>2063</v>
      </c>
      <c r="DB16" s="10">
        <f>+Producción!DD9</f>
        <v>1931</v>
      </c>
      <c r="DC16" s="10">
        <f>+Producción!DE9</f>
        <v>1439</v>
      </c>
      <c r="DD16" s="10">
        <f>+Producción!DF9</f>
        <v>1428</v>
      </c>
      <c r="DE16" s="10">
        <f>+Producción!DG9</f>
        <v>1562</v>
      </c>
      <c r="DF16" s="10">
        <f>+Producción!DH9</f>
        <v>1231</v>
      </c>
      <c r="DG16" s="10">
        <f>+Producción!DI9</f>
        <v>1361</v>
      </c>
      <c r="DH16" s="10">
        <f>+Producción!DJ9</f>
        <v>1712</v>
      </c>
      <c r="DI16" s="10">
        <f>+Producción!DK9</f>
        <v>1565</v>
      </c>
      <c r="DJ16" s="10">
        <f>+Producción!DL9</f>
        <v>2143</v>
      </c>
      <c r="DK16" s="10">
        <f>+Producción!DM9</f>
        <v>2131</v>
      </c>
      <c r="DL16" s="10">
        <f>+Producción!DN9</f>
        <v>2409</v>
      </c>
      <c r="DM16" s="10">
        <f>+Producción!DO9</f>
        <v>2063</v>
      </c>
      <c r="DN16" s="10">
        <f>+Producción!DP9</f>
        <v>1931</v>
      </c>
      <c r="DO16" s="10">
        <f>+Producción!DQ9</f>
        <v>1439</v>
      </c>
      <c r="DP16" s="10">
        <f>+Producción!DR9</f>
        <v>1428</v>
      </c>
      <c r="DQ16" s="10">
        <f>+Producción!DS9</f>
        <v>1562</v>
      </c>
      <c r="DR16" s="10">
        <f>+Producción!DT9</f>
        <v>1231</v>
      </c>
      <c r="DS16" s="10">
        <f>+Producción!DU9</f>
        <v>1361</v>
      </c>
      <c r="DT16" s="10">
        <f>+Producción!DV9</f>
        <v>1712</v>
      </c>
      <c r="DU16" s="10">
        <f>+Producción!DW9</f>
        <v>1565</v>
      </c>
      <c r="DV16" s="10">
        <f>+Producción!DX9</f>
        <v>2143</v>
      </c>
      <c r="DW16" s="10">
        <f>+Producción!DY9</f>
        <v>2131</v>
      </c>
      <c r="DX16" s="10">
        <f>+Producción!DZ9</f>
        <v>2409</v>
      </c>
      <c r="DY16" s="10">
        <f>+Producción!EA9</f>
        <v>2063</v>
      </c>
      <c r="DZ16" s="10">
        <f>+Producción!EB9</f>
        <v>1931</v>
      </c>
      <c r="EA16" s="10">
        <f>+Producción!EC9</f>
        <v>1439</v>
      </c>
      <c r="EB16" s="10">
        <f>+Producción!ED9</f>
        <v>1428</v>
      </c>
      <c r="EC16" s="10">
        <f>+Producción!EE9</f>
        <v>1562</v>
      </c>
      <c r="ED16" s="10">
        <f>+Producción!EF9</f>
        <v>1231</v>
      </c>
      <c r="EE16" s="10">
        <f>+Producción!EG9</f>
        <v>1361</v>
      </c>
      <c r="EF16" s="10">
        <f>+Producción!EH9</f>
        <v>1712</v>
      </c>
      <c r="EG16" s="10">
        <f>+Producción!EI9</f>
        <v>1565</v>
      </c>
      <c r="EH16" s="10">
        <f>+Producción!EJ9</f>
        <v>2143</v>
      </c>
      <c r="EI16" s="10">
        <f>+Producción!EK9</f>
        <v>2131</v>
      </c>
      <c r="EJ16" s="10">
        <f>+Producción!EL9</f>
        <v>2409</v>
      </c>
      <c r="EK16" s="10">
        <f>+Producción!EM9</f>
        <v>2063</v>
      </c>
      <c r="EL16" s="10">
        <f>+Producción!EN9</f>
        <v>1931</v>
      </c>
      <c r="EM16" s="10">
        <f>+Producción!EO9</f>
        <v>1439</v>
      </c>
      <c r="EN16" s="10">
        <f>+Producción!EP9</f>
        <v>1428</v>
      </c>
      <c r="EO16" s="10">
        <f>+Producción!EQ9</f>
        <v>1562</v>
      </c>
      <c r="EP16" s="10">
        <f>+Producción!ER9</f>
        <v>1231</v>
      </c>
      <c r="EQ16" s="10">
        <f>+Producción!ES9</f>
        <v>1361</v>
      </c>
      <c r="ER16" s="10">
        <f>+Producción!ET9</f>
        <v>1712</v>
      </c>
      <c r="ES16" s="10">
        <f>+Producción!EU9</f>
        <v>1565</v>
      </c>
      <c r="ET16" s="10">
        <f>+Producción!EV9</f>
        <v>2143</v>
      </c>
      <c r="EU16" s="10">
        <f>+Producción!EW9</f>
        <v>2131</v>
      </c>
      <c r="EV16" s="10">
        <f>+Producción!EX9</f>
        <v>2409</v>
      </c>
      <c r="EW16" s="10">
        <f>+Producción!EY9</f>
        <v>2063</v>
      </c>
      <c r="EX16" s="10">
        <f>+Producción!EZ9</f>
        <v>1931</v>
      </c>
      <c r="EY16" s="10">
        <f>+Producción!FA9</f>
        <v>1439</v>
      </c>
      <c r="EZ16" s="10">
        <f>+Producción!FB9</f>
        <v>1428</v>
      </c>
      <c r="FA16" s="10">
        <f>+Producción!FC9</f>
        <v>1562</v>
      </c>
      <c r="FB16" s="10">
        <f>+Producción!FD9</f>
        <v>1231</v>
      </c>
      <c r="FC16" s="10">
        <f>+Producción!FE9</f>
        <v>1361</v>
      </c>
      <c r="FD16" s="10">
        <f>+Producción!FF9</f>
        <v>1712</v>
      </c>
      <c r="FE16" s="10">
        <f>+Producción!FG9</f>
        <v>1565</v>
      </c>
      <c r="FF16" s="10">
        <f>+Producción!FH9</f>
        <v>2143</v>
      </c>
      <c r="FG16" s="10">
        <f>+Producción!FI9</f>
        <v>2131</v>
      </c>
      <c r="FH16" s="10">
        <f>+Producción!FJ9</f>
        <v>2409</v>
      </c>
      <c r="FI16" s="10">
        <f>+Producción!FK9</f>
        <v>2063</v>
      </c>
      <c r="FJ16" s="10">
        <f>+Producción!FL9</f>
        <v>1931</v>
      </c>
      <c r="FK16" s="10">
        <f>+Producción!FM9</f>
        <v>1439</v>
      </c>
      <c r="FL16" s="10">
        <f>+Producción!FN9</f>
        <v>1428</v>
      </c>
      <c r="FM16" s="10">
        <f>+Producción!FO9</f>
        <v>1562</v>
      </c>
      <c r="FN16" s="10">
        <f>+Producción!FP9</f>
        <v>1231</v>
      </c>
      <c r="FO16" s="10">
        <f>+Producción!FQ9</f>
        <v>1361</v>
      </c>
      <c r="FP16" s="10">
        <f>+Producción!FR9</f>
        <v>1712</v>
      </c>
      <c r="FQ16" s="10">
        <f>+Producción!FS9</f>
        <v>1565</v>
      </c>
      <c r="FR16" s="10">
        <f>+Producción!FT9</f>
        <v>2143</v>
      </c>
      <c r="FS16" s="10">
        <f>+Producción!FU9</f>
        <v>2131</v>
      </c>
      <c r="FT16" s="10">
        <f>+Producción!FV9</f>
        <v>2409</v>
      </c>
      <c r="FU16" s="10">
        <f>+Producción!FW9</f>
        <v>2063</v>
      </c>
      <c r="FV16" s="10">
        <f>+Producción!FX9</f>
        <v>1931</v>
      </c>
      <c r="FW16" s="10">
        <f>+Producción!FY9</f>
        <v>1439</v>
      </c>
      <c r="FX16" s="10">
        <f>+Producción!FZ9</f>
        <v>1428</v>
      </c>
      <c r="FY16" s="10">
        <f>+Producción!GA9</f>
        <v>1562</v>
      </c>
      <c r="FZ16" s="10">
        <f>+Producción!GB9</f>
        <v>1231</v>
      </c>
      <c r="GA16" s="10">
        <f>+Producción!GC9</f>
        <v>1361</v>
      </c>
      <c r="GB16" s="10">
        <f>+Producción!GD9</f>
        <v>1712</v>
      </c>
      <c r="GC16" s="10">
        <f>+Producción!GE9</f>
        <v>1565</v>
      </c>
      <c r="GD16" s="10">
        <f>+Producción!GF9</f>
        <v>2143</v>
      </c>
      <c r="GE16" s="10">
        <f>+Producción!GG9</f>
        <v>2131</v>
      </c>
      <c r="GF16" s="10">
        <f>+Producción!GH9</f>
        <v>2409</v>
      </c>
      <c r="GG16" s="10">
        <f>+Producción!GI9</f>
        <v>2063</v>
      </c>
      <c r="GH16" s="10">
        <f>+Producción!GJ9</f>
        <v>1931</v>
      </c>
      <c r="GI16" s="10">
        <f>+Producción!GK9</f>
        <v>1439</v>
      </c>
      <c r="GJ16" s="10">
        <f>+Producción!GL9</f>
        <v>1428</v>
      </c>
      <c r="GK16" s="10">
        <f>+Producción!GM9</f>
        <v>1562</v>
      </c>
      <c r="GL16" s="10">
        <f>+Producción!GN9</f>
        <v>1231</v>
      </c>
      <c r="GM16" s="10">
        <f>+Producción!GO9</f>
        <v>1361</v>
      </c>
      <c r="GN16" s="10">
        <f>+Producción!GP9</f>
        <v>1712</v>
      </c>
      <c r="GO16" s="10">
        <f>+Producción!GQ9</f>
        <v>1565</v>
      </c>
      <c r="GP16" s="10">
        <f>+Producción!GR9</f>
        <v>2143</v>
      </c>
      <c r="GQ16" s="10">
        <f>+Producción!GS9</f>
        <v>2131</v>
      </c>
      <c r="GR16" s="10">
        <f>+Producción!GT9</f>
        <v>2409</v>
      </c>
      <c r="GS16" s="10">
        <f>+Producción!GU9</f>
        <v>2063</v>
      </c>
      <c r="GT16" s="10">
        <f>+Producción!GV9</f>
        <v>1931</v>
      </c>
      <c r="GU16" s="10">
        <f>+Producción!GW9</f>
        <v>1439</v>
      </c>
      <c r="GV16" s="10">
        <f>+Producción!GX9</f>
        <v>1428</v>
      </c>
      <c r="GW16" s="10">
        <f>+Producción!GY9</f>
        <v>1562</v>
      </c>
      <c r="GX16" s="10">
        <f>+Producción!GZ9</f>
        <v>1231</v>
      </c>
      <c r="GY16" s="10">
        <f>+Producción!HA9</f>
        <v>1361</v>
      </c>
      <c r="GZ16" s="10">
        <f>+Producción!HB9</f>
        <v>1712</v>
      </c>
      <c r="HA16" s="10">
        <f>+Producción!HC9</f>
        <v>1565</v>
      </c>
      <c r="HB16" s="10">
        <f>+Producción!HD9</f>
        <v>2143</v>
      </c>
      <c r="HC16" s="10">
        <f>+Producción!HE9</f>
        <v>2131</v>
      </c>
      <c r="HD16" s="10">
        <f>+Producción!HF9</f>
        <v>2409</v>
      </c>
      <c r="HE16" s="10">
        <f>+Producción!HG9</f>
        <v>2063</v>
      </c>
      <c r="HF16" s="10">
        <f>+Producción!HH9</f>
        <v>1931</v>
      </c>
      <c r="HG16" s="10">
        <f>+Producción!HI9</f>
        <v>1439</v>
      </c>
      <c r="HH16" s="10">
        <f>+Producción!HJ9</f>
        <v>1428</v>
      </c>
      <c r="HI16" s="10">
        <f>+Producción!HK9</f>
        <v>1562</v>
      </c>
      <c r="HJ16" s="10">
        <f>+Producción!HL9</f>
        <v>1231</v>
      </c>
      <c r="HK16" s="10">
        <f>+Producción!HM9</f>
        <v>1361</v>
      </c>
      <c r="HL16" s="10">
        <f>+Producción!HN9</f>
        <v>1712</v>
      </c>
      <c r="HM16" s="10">
        <f>+Producción!HO9</f>
        <v>1565</v>
      </c>
      <c r="HN16" s="10">
        <f>+Producción!HP9</f>
        <v>2143</v>
      </c>
      <c r="HO16" s="10">
        <f>+Producción!HQ9</f>
        <v>2131</v>
      </c>
      <c r="HP16" s="10">
        <f>+Producción!HR9</f>
        <v>2409</v>
      </c>
      <c r="HQ16" s="10">
        <f>+Producción!HS9</f>
        <v>2063</v>
      </c>
      <c r="HR16" s="10">
        <f>+Producción!HT9</f>
        <v>1931</v>
      </c>
      <c r="HS16" s="10">
        <f>+Producción!HU9</f>
        <v>1439</v>
      </c>
      <c r="HT16" s="10">
        <f>+Producción!HV9</f>
        <v>1428</v>
      </c>
      <c r="HU16" s="10">
        <f>+Producción!HW9</f>
        <v>1562</v>
      </c>
      <c r="HV16" s="10">
        <f>+Producción!HX9</f>
        <v>1231</v>
      </c>
      <c r="HW16" s="10">
        <f>+Producción!HY9</f>
        <v>1361</v>
      </c>
      <c r="HX16" s="10">
        <f>+Producción!HZ9</f>
        <v>1712</v>
      </c>
      <c r="HY16" s="10">
        <f>+Producción!IA9</f>
        <v>1565</v>
      </c>
      <c r="HZ16" s="10">
        <f>+Producción!IB9</f>
        <v>2143</v>
      </c>
      <c r="IA16" s="10">
        <f>+Producción!IC9</f>
        <v>2131</v>
      </c>
      <c r="IB16" s="10">
        <f>+Producción!ID9</f>
        <v>2409</v>
      </c>
      <c r="IC16" s="10">
        <f>+Producción!IE9</f>
        <v>2063</v>
      </c>
      <c r="ID16" s="10">
        <f>+Producción!IF9</f>
        <v>1931</v>
      </c>
      <c r="IE16" s="10">
        <f>+Producción!IG9</f>
        <v>1439</v>
      </c>
      <c r="IF16" s="10">
        <f>+Producción!IH9</f>
        <v>1428</v>
      </c>
      <c r="IG16" s="10">
        <f>+Producción!II9</f>
        <v>1562</v>
      </c>
      <c r="IH16" s="10">
        <f>+Producción!IJ9</f>
        <v>1231</v>
      </c>
    </row>
    <row r="17" spans="1:242" x14ac:dyDescent="0.3">
      <c r="A17" t="s">
        <v>910</v>
      </c>
      <c r="B17" s="30"/>
      <c r="C17" s="10"/>
      <c r="D17" s="10">
        <f>+C16*C5</f>
        <v>1098708.08</v>
      </c>
      <c r="E17" s="10">
        <f t="shared" ref="E17:BP17" si="4">+D16*D5</f>
        <v>1463828.48</v>
      </c>
      <c r="F17" s="10">
        <f t="shared" si="4"/>
        <v>1337824.6000000001</v>
      </c>
      <c r="G17" s="10">
        <f t="shared" si="4"/>
        <v>1944193.8900000001</v>
      </c>
      <c r="H17" s="10">
        <f t="shared" si="4"/>
        <v>1933243.2000000002</v>
      </c>
      <c r="I17" s="10">
        <f>+H16*H5</f>
        <v>2185492.98</v>
      </c>
      <c r="J17" s="10">
        <f t="shared" si="4"/>
        <v>1946357.98</v>
      </c>
      <c r="K17" s="10">
        <f t="shared" si="4"/>
        <v>1821898.5</v>
      </c>
      <c r="L17" s="10">
        <f t="shared" si="4"/>
        <v>1357638.94</v>
      </c>
      <c r="M17" s="10">
        <f t="shared" si="4"/>
        <v>1347260.8800000001</v>
      </c>
      <c r="N17" s="10">
        <f t="shared" si="4"/>
        <v>1465405.92</v>
      </c>
      <c r="O17" s="10">
        <f t="shared" si="4"/>
        <v>1090309.01</v>
      </c>
      <c r="P17" s="10">
        <f t="shared" si="4"/>
        <v>1205437.7</v>
      </c>
      <c r="Q17" s="10">
        <f t="shared" si="4"/>
        <v>1361040</v>
      </c>
      <c r="R17" s="10">
        <f t="shared" si="4"/>
        <v>1244175</v>
      </c>
      <c r="S17" s="10">
        <f t="shared" si="4"/>
        <v>1705677.99</v>
      </c>
      <c r="T17" s="10">
        <f t="shared" si="4"/>
        <v>1696126.8299999998</v>
      </c>
      <c r="U17" s="10">
        <f t="shared" si="4"/>
        <v>1917395.3699999999</v>
      </c>
      <c r="V17" s="10">
        <f t="shared" si="4"/>
        <v>1642003.5899999999</v>
      </c>
      <c r="W17" s="10">
        <f t="shared" si="4"/>
        <v>1876555.4550000001</v>
      </c>
      <c r="X17" s="10">
        <f t="shared" si="4"/>
        <v>1398368.1082000001</v>
      </c>
      <c r="Y17" s="10">
        <f t="shared" si="4"/>
        <v>1387678.7064</v>
      </c>
      <c r="Z17" s="10">
        <f t="shared" si="4"/>
        <v>1509368.0976</v>
      </c>
      <c r="AA17" s="10">
        <f t="shared" si="4"/>
        <v>1123018.2803000002</v>
      </c>
      <c r="AB17" s="10">
        <f t="shared" si="4"/>
        <v>1241600.831</v>
      </c>
      <c r="AC17" s="10">
        <f t="shared" si="4"/>
        <v>1401871.2</v>
      </c>
      <c r="AD17" s="10">
        <f t="shared" si="4"/>
        <v>1281500.25</v>
      </c>
      <c r="AE17" s="10">
        <f t="shared" si="4"/>
        <v>1756848.3297000001</v>
      </c>
      <c r="AF17" s="10">
        <f t="shared" si="4"/>
        <v>1747010.6348999999</v>
      </c>
      <c r="AG17" s="10">
        <f t="shared" si="4"/>
        <v>1974917.2311</v>
      </c>
      <c r="AH17" s="10">
        <f t="shared" si="4"/>
        <v>1691263.6977000001</v>
      </c>
      <c r="AI17" s="10">
        <f t="shared" si="4"/>
        <v>1932852.1186500003</v>
      </c>
      <c r="AJ17" s="10">
        <f t="shared" si="4"/>
        <v>1440319.1514460002</v>
      </c>
      <c r="AK17" s="10">
        <f t="shared" si="4"/>
        <v>1429309.0675920001</v>
      </c>
      <c r="AL17" s="10">
        <f t="shared" si="4"/>
        <v>1554649.140528</v>
      </c>
      <c r="AM17" s="10">
        <f t="shared" si="4"/>
        <v>1156708.8287090003</v>
      </c>
      <c r="AN17" s="10">
        <f t="shared" si="4"/>
        <v>1278848.8559300001</v>
      </c>
      <c r="AO17" s="10">
        <f t="shared" si="4"/>
        <v>1443927.3360000001</v>
      </c>
      <c r="AP17" s="10">
        <f t="shared" si="4"/>
        <v>1319945.2575000001</v>
      </c>
      <c r="AQ17" s="10">
        <f t="shared" si="4"/>
        <v>1809553.7795910002</v>
      </c>
      <c r="AR17" s="10">
        <f t="shared" si="4"/>
        <v>1799420.953947</v>
      </c>
      <c r="AS17" s="10">
        <f t="shared" si="4"/>
        <v>2034164.7480330002</v>
      </c>
      <c r="AT17" s="10">
        <f t="shared" si="4"/>
        <v>1742001.6086310002</v>
      </c>
      <c r="AU17" s="10">
        <f t="shared" si="4"/>
        <v>1990837.6822095003</v>
      </c>
      <c r="AV17" s="10">
        <f t="shared" si="4"/>
        <v>1483528.7259893802</v>
      </c>
      <c r="AW17" s="10">
        <f t="shared" si="4"/>
        <v>1472188.3396197602</v>
      </c>
      <c r="AX17" s="10">
        <f t="shared" si="4"/>
        <v>1601288.6147438399</v>
      </c>
      <c r="AY17" s="10">
        <f t="shared" si="4"/>
        <v>1191410.0935702701</v>
      </c>
      <c r="AZ17" s="10">
        <f t="shared" si="4"/>
        <v>1317214.3216079003</v>
      </c>
      <c r="BA17" s="10">
        <f t="shared" si="4"/>
        <v>1487245.1560800001</v>
      </c>
      <c r="BB17" s="10">
        <f t="shared" si="4"/>
        <v>1359543.6152250001</v>
      </c>
      <c r="BC17" s="10">
        <f t="shared" si="4"/>
        <v>1863840.3929787301</v>
      </c>
      <c r="BD17" s="10">
        <f t="shared" si="4"/>
        <v>1853403.5825654101</v>
      </c>
      <c r="BE17" s="10">
        <f t="shared" si="4"/>
        <v>2095189.6904739903</v>
      </c>
      <c r="BF17" s="10">
        <f t="shared" si="4"/>
        <v>1794261.6568899301</v>
      </c>
      <c r="BG17" s="10">
        <f t="shared" si="4"/>
        <v>2050562.8126757857</v>
      </c>
      <c r="BH17" s="10">
        <f t="shared" si="4"/>
        <v>1528034.5877690618</v>
      </c>
      <c r="BI17" s="10">
        <f t="shared" si="4"/>
        <v>1516353.9898083531</v>
      </c>
      <c r="BJ17" s="10">
        <f t="shared" si="4"/>
        <v>1649327.2731861551</v>
      </c>
      <c r="BK17" s="10">
        <f t="shared" si="4"/>
        <v>1227152.3963773784</v>
      </c>
      <c r="BL17" s="10">
        <f t="shared" si="4"/>
        <v>1356730.7512561372</v>
      </c>
      <c r="BM17" s="10">
        <f t="shared" si="4"/>
        <v>1531862.5107624</v>
      </c>
      <c r="BN17" s="10">
        <f t="shared" si="4"/>
        <v>1400329.92368175</v>
      </c>
      <c r="BO17" s="10">
        <f t="shared" si="4"/>
        <v>1919755.604768092</v>
      </c>
      <c r="BP17" s="10">
        <f t="shared" si="4"/>
        <v>1909005.6900423726</v>
      </c>
      <c r="BQ17" s="10">
        <f t="shared" ref="BQ17:EB17" si="5">+BP16*BP5</f>
        <v>2158045.3811882101</v>
      </c>
      <c r="BR17" s="10">
        <f t="shared" si="5"/>
        <v>1848089.5065966281</v>
      </c>
      <c r="BS17" s="10">
        <f t="shared" si="5"/>
        <v>2112079.6970560593</v>
      </c>
      <c r="BT17" s="10">
        <f t="shared" si="5"/>
        <v>1573875.6254021334</v>
      </c>
      <c r="BU17" s="10">
        <f t="shared" si="5"/>
        <v>1561844.6095026035</v>
      </c>
      <c r="BV17" s="10">
        <f t="shared" si="5"/>
        <v>1698807.0913817396</v>
      </c>
      <c r="BW17" s="10">
        <f t="shared" si="5"/>
        <v>1263966.9682686997</v>
      </c>
      <c r="BX17" s="10">
        <f t="shared" si="5"/>
        <v>1397432.6737938214</v>
      </c>
      <c r="BY17" s="10">
        <f t="shared" si="5"/>
        <v>1577818.3860852721</v>
      </c>
      <c r="BZ17" s="10">
        <f t="shared" si="5"/>
        <v>1442339.8213922025</v>
      </c>
      <c r="CA17" s="10">
        <f t="shared" si="5"/>
        <v>1977348.2729111349</v>
      </c>
      <c r="CB17" s="10">
        <f t="shared" si="5"/>
        <v>1966275.8607436437</v>
      </c>
      <c r="CC17" s="10">
        <f t="shared" si="5"/>
        <v>2222786.7426238563</v>
      </c>
      <c r="CD17" s="10">
        <f t="shared" si="5"/>
        <v>1903532.191794527</v>
      </c>
      <c r="CE17" s="10">
        <f t="shared" si="5"/>
        <v>2175442.0879677408</v>
      </c>
      <c r="CF17" s="10">
        <f t="shared" si="5"/>
        <v>1621091.8941641976</v>
      </c>
      <c r="CG17" s="10">
        <f t="shared" si="5"/>
        <v>1608699.9477876818</v>
      </c>
      <c r="CH17" s="10">
        <f t="shared" si="5"/>
        <v>1749771.3041231921</v>
      </c>
      <c r="CI17" s="10">
        <f t="shared" si="5"/>
        <v>1301885.9773167607</v>
      </c>
      <c r="CJ17" s="10">
        <f t="shared" si="5"/>
        <v>1439355.654007636</v>
      </c>
      <c r="CK17" s="10">
        <f t="shared" si="5"/>
        <v>1625152.9376678304</v>
      </c>
      <c r="CL17" s="10">
        <f t="shared" si="5"/>
        <v>1485610.0160339689</v>
      </c>
      <c r="CM17" s="10">
        <f t="shared" si="5"/>
        <v>2036668.7210984691</v>
      </c>
      <c r="CN17" s="10">
        <f t="shared" si="5"/>
        <v>2025264.1365659533</v>
      </c>
      <c r="CO17" s="10">
        <f t="shared" si="5"/>
        <v>2289470.3449025722</v>
      </c>
      <c r="CP17" s="10">
        <f t="shared" si="5"/>
        <v>1960638.1575483629</v>
      </c>
      <c r="CQ17" s="10">
        <f t="shared" si="5"/>
        <v>2240705.350606773</v>
      </c>
      <c r="CR17" s="10">
        <f t="shared" si="5"/>
        <v>1669724.6509891236</v>
      </c>
      <c r="CS17" s="10">
        <f t="shared" si="5"/>
        <v>1656960.9462213123</v>
      </c>
      <c r="CT17" s="10">
        <f t="shared" si="5"/>
        <v>1802264.443246888</v>
      </c>
      <c r="CU17" s="10">
        <f t="shared" si="5"/>
        <v>1340942.5566362636</v>
      </c>
      <c r="CV17" s="10">
        <f t="shared" si="5"/>
        <v>1482536.3236278654</v>
      </c>
      <c r="CW17" s="10">
        <f t="shared" si="5"/>
        <v>1673907.5257978654</v>
      </c>
      <c r="CX17" s="10">
        <f t="shared" si="5"/>
        <v>1530178.316514988</v>
      </c>
      <c r="CY17" s="10">
        <f t="shared" si="5"/>
        <v>2097768.7827314232</v>
      </c>
      <c r="CZ17" s="10">
        <f t="shared" si="5"/>
        <v>2086022.0606629318</v>
      </c>
      <c r="DA17" s="10">
        <f t="shared" si="5"/>
        <v>2358154.4552496495</v>
      </c>
      <c r="DB17" s="10">
        <f t="shared" si="5"/>
        <v>2019457.3022748139</v>
      </c>
      <c r="DC17" s="10">
        <f t="shared" si="5"/>
        <v>2307926.511124976</v>
      </c>
      <c r="DD17" s="10">
        <f t="shared" si="5"/>
        <v>1719816.3905187973</v>
      </c>
      <c r="DE17" s="10">
        <f t="shared" si="5"/>
        <v>1706669.7746079518</v>
      </c>
      <c r="DF17" s="10">
        <f t="shared" si="5"/>
        <v>1856332.3765442946</v>
      </c>
      <c r="DG17" s="10">
        <f t="shared" si="5"/>
        <v>1381170.8333353517</v>
      </c>
      <c r="DH17" s="10">
        <f t="shared" si="5"/>
        <v>1527012.4133367015</v>
      </c>
      <c r="DI17" s="10">
        <f t="shared" si="5"/>
        <v>1724124.7515718015</v>
      </c>
      <c r="DJ17" s="10">
        <f t="shared" si="5"/>
        <v>1576083.6660104375</v>
      </c>
      <c r="DK17" s="10">
        <f t="shared" si="5"/>
        <v>2160701.8462133659</v>
      </c>
      <c r="DL17" s="10">
        <f t="shared" si="5"/>
        <v>2148602.72248282</v>
      </c>
      <c r="DM17" s="10">
        <f t="shared" si="5"/>
        <v>2428899.0889071389</v>
      </c>
      <c r="DN17" s="10">
        <f t="shared" si="5"/>
        <v>2080041.0213430584</v>
      </c>
      <c r="DO17" s="10">
        <f t="shared" si="5"/>
        <v>2377164.3064587256</v>
      </c>
      <c r="DP17" s="10">
        <f t="shared" si="5"/>
        <v>1771410.8822343613</v>
      </c>
      <c r="DQ17" s="10">
        <f t="shared" si="5"/>
        <v>1757869.8678461905</v>
      </c>
      <c r="DR17" s="10">
        <f t="shared" si="5"/>
        <v>1912022.3478406235</v>
      </c>
      <c r="DS17" s="10">
        <f t="shared" si="5"/>
        <v>1422605.9583354122</v>
      </c>
      <c r="DT17" s="10">
        <f t="shared" si="5"/>
        <v>1572822.7857368025</v>
      </c>
      <c r="DU17" s="10">
        <f t="shared" si="5"/>
        <v>1775848.4941189557</v>
      </c>
      <c r="DV17" s="10">
        <f t="shared" si="5"/>
        <v>1623366.175990751</v>
      </c>
      <c r="DW17" s="10">
        <f t="shared" si="5"/>
        <v>2225522.9015997667</v>
      </c>
      <c r="DX17" s="10">
        <f t="shared" si="5"/>
        <v>2213060.8041573041</v>
      </c>
      <c r="DY17" s="10">
        <f t="shared" si="5"/>
        <v>2501766.0615743529</v>
      </c>
      <c r="DZ17" s="10">
        <f t="shared" si="5"/>
        <v>2142442.2519833501</v>
      </c>
      <c r="EA17" s="10">
        <f t="shared" si="5"/>
        <v>2448479.2356524873</v>
      </c>
      <c r="EB17" s="10">
        <f t="shared" si="5"/>
        <v>1824553.2087013922</v>
      </c>
      <c r="EC17" s="10">
        <f t="shared" ref="EC17:GN17" si="6">+EB16*EB5</f>
        <v>1810605.9638815762</v>
      </c>
      <c r="ED17" s="10">
        <f t="shared" si="6"/>
        <v>1969383.0182758425</v>
      </c>
      <c r="EE17" s="10">
        <f t="shared" si="6"/>
        <v>1465284.1370854743</v>
      </c>
      <c r="EF17" s="10">
        <f t="shared" si="6"/>
        <v>1620007.4693089065</v>
      </c>
      <c r="EG17" s="10">
        <f t="shared" si="6"/>
        <v>1829123.9489425244</v>
      </c>
      <c r="EH17" s="10">
        <f t="shared" si="6"/>
        <v>1672067.1612704734</v>
      </c>
      <c r="EI17" s="10">
        <f t="shared" si="6"/>
        <v>2292288.58864776</v>
      </c>
      <c r="EJ17" s="10">
        <f t="shared" si="6"/>
        <v>2279452.6282820236</v>
      </c>
      <c r="EK17" s="10">
        <f t="shared" si="6"/>
        <v>2576819.0434215837</v>
      </c>
      <c r="EL17" s="10">
        <f t="shared" si="6"/>
        <v>2206715.5195428506</v>
      </c>
      <c r="EM17" s="10">
        <f t="shared" si="6"/>
        <v>2521933.6127220616</v>
      </c>
      <c r="EN17" s="10">
        <f t="shared" si="6"/>
        <v>1879289.8049624339</v>
      </c>
      <c r="EO17" s="10">
        <f t="shared" si="6"/>
        <v>1864924.1427980233</v>
      </c>
      <c r="EP17" s="10">
        <f t="shared" si="6"/>
        <v>2028464.5088241177</v>
      </c>
      <c r="EQ17" s="10">
        <f t="shared" si="6"/>
        <v>1509242.6611980386</v>
      </c>
      <c r="ER17" s="10">
        <f t="shared" si="6"/>
        <v>1668607.6933881738</v>
      </c>
      <c r="ES17" s="10">
        <f t="shared" si="6"/>
        <v>1883997.6674108</v>
      </c>
      <c r="ET17" s="10">
        <f t="shared" si="6"/>
        <v>1722229.1761085875</v>
      </c>
      <c r="EU17" s="10">
        <f t="shared" si="6"/>
        <v>2361057.2463071928</v>
      </c>
      <c r="EV17" s="10">
        <f t="shared" si="6"/>
        <v>2347836.2071304843</v>
      </c>
      <c r="EW17" s="10">
        <f t="shared" si="6"/>
        <v>2654123.6147242314</v>
      </c>
      <c r="EX17" s="10">
        <f t="shared" si="6"/>
        <v>2272916.9851291361</v>
      </c>
      <c r="EY17" s="10">
        <f t="shared" si="6"/>
        <v>2597591.6211037235</v>
      </c>
      <c r="EZ17" s="10">
        <f t="shared" si="6"/>
        <v>1935668.4991113069</v>
      </c>
      <c r="FA17" s="10">
        <f t="shared" si="6"/>
        <v>1920871.8670819642</v>
      </c>
      <c r="FB17" s="10">
        <f t="shared" si="6"/>
        <v>2089318.4440888413</v>
      </c>
      <c r="FC17" s="10">
        <f t="shared" si="6"/>
        <v>1554519.9410339799</v>
      </c>
      <c r="FD17" s="10">
        <f t="shared" si="6"/>
        <v>1718665.9241898193</v>
      </c>
      <c r="FE17" s="10">
        <f t="shared" si="6"/>
        <v>1940517.5974331242</v>
      </c>
      <c r="FF17" s="10">
        <f t="shared" si="6"/>
        <v>1773896.0513918453</v>
      </c>
      <c r="FG17" s="10">
        <f t="shared" si="6"/>
        <v>2431888.9636964086</v>
      </c>
      <c r="FH17" s="10">
        <f t="shared" si="6"/>
        <v>2418271.293344399</v>
      </c>
      <c r="FI17" s="10">
        <f t="shared" si="6"/>
        <v>2733747.3231659578</v>
      </c>
      <c r="FJ17" s="10">
        <f t="shared" si="6"/>
        <v>2341104.49468301</v>
      </c>
      <c r="FK17" s="10">
        <f t="shared" si="6"/>
        <v>2675519.3697368354</v>
      </c>
      <c r="FL17" s="10">
        <f t="shared" si="6"/>
        <v>1993738.5540846463</v>
      </c>
      <c r="FM17" s="10">
        <f t="shared" si="6"/>
        <v>1978498.0230944231</v>
      </c>
      <c r="FN17" s="10">
        <f t="shared" si="6"/>
        <v>2151997.9974115067</v>
      </c>
      <c r="FO17" s="10">
        <f t="shared" si="6"/>
        <v>1601155.5392649993</v>
      </c>
      <c r="FP17" s="10">
        <f t="shared" si="6"/>
        <v>1770225.9019155139</v>
      </c>
      <c r="FQ17" s="10">
        <f t="shared" si="6"/>
        <v>1998733.125356118</v>
      </c>
      <c r="FR17" s="10">
        <f t="shared" si="6"/>
        <v>1827112.9329336009</v>
      </c>
      <c r="FS17" s="10">
        <f t="shared" si="6"/>
        <v>2504845.6326073008</v>
      </c>
      <c r="FT17" s="10">
        <f t="shared" si="6"/>
        <v>2490819.4321447308</v>
      </c>
      <c r="FU17" s="10">
        <f t="shared" si="6"/>
        <v>2815759.7428609366</v>
      </c>
      <c r="FV17" s="10">
        <f t="shared" si="6"/>
        <v>2411337.6295235003</v>
      </c>
      <c r="FW17" s="10">
        <f t="shared" si="6"/>
        <v>2755784.9508289406</v>
      </c>
      <c r="FX17" s="10">
        <f t="shared" si="6"/>
        <v>2053550.7107071856</v>
      </c>
      <c r="FY17" s="10">
        <f t="shared" si="6"/>
        <v>2037852.9637872558</v>
      </c>
      <c r="FZ17" s="10">
        <f t="shared" si="6"/>
        <v>2216557.9373338521</v>
      </c>
      <c r="GA17" s="10">
        <f t="shared" si="6"/>
        <v>1649190.2054429492</v>
      </c>
      <c r="GB17" s="10">
        <f t="shared" si="6"/>
        <v>1823332.6789729793</v>
      </c>
      <c r="GC17" s="10">
        <f t="shared" si="6"/>
        <v>2058695.1191168018</v>
      </c>
      <c r="GD17" s="10">
        <f t="shared" si="6"/>
        <v>1881926.3209216089</v>
      </c>
      <c r="GE17" s="10">
        <f t="shared" si="6"/>
        <v>2579991.0015855199</v>
      </c>
      <c r="GF17" s="10">
        <f t="shared" si="6"/>
        <v>2565544.0151090724</v>
      </c>
      <c r="GG17" s="10">
        <f t="shared" si="6"/>
        <v>2900232.5351467649</v>
      </c>
      <c r="GH17" s="10">
        <f t="shared" si="6"/>
        <v>2483677.7584092054</v>
      </c>
      <c r="GI17" s="10">
        <f t="shared" si="6"/>
        <v>2838458.4993538088</v>
      </c>
      <c r="GJ17" s="10">
        <f t="shared" si="6"/>
        <v>2115157.232028401</v>
      </c>
      <c r="GK17" s="10">
        <f t="shared" si="6"/>
        <v>2098988.5527008735</v>
      </c>
      <c r="GL17" s="10">
        <f t="shared" si="6"/>
        <v>2283054.6754538678</v>
      </c>
      <c r="GM17" s="10">
        <f t="shared" si="6"/>
        <v>1698665.9116062378</v>
      </c>
      <c r="GN17" s="10">
        <f t="shared" si="6"/>
        <v>1878032.6593421686</v>
      </c>
      <c r="GO17" s="10">
        <f t="shared" ref="GO17:IG17" si="7">+GN16*GN5</f>
        <v>2120455.9726903057</v>
      </c>
      <c r="GP17" s="10">
        <f t="shared" si="7"/>
        <v>1938384.1105492571</v>
      </c>
      <c r="GQ17" s="10">
        <f t="shared" si="7"/>
        <v>2657390.7316330858</v>
      </c>
      <c r="GR17" s="10">
        <f t="shared" si="7"/>
        <v>2642510.3355623451</v>
      </c>
      <c r="GS17" s="10">
        <f t="shared" si="7"/>
        <v>2987239.5112011679</v>
      </c>
      <c r="GT17" s="10">
        <f t="shared" si="7"/>
        <v>2558188.091161482</v>
      </c>
      <c r="GU17" s="10">
        <f t="shared" si="7"/>
        <v>2923612.2543344232</v>
      </c>
      <c r="GV17" s="10">
        <f t="shared" si="7"/>
        <v>2178611.948989253</v>
      </c>
      <c r="GW17" s="10">
        <f t="shared" si="7"/>
        <v>2161958.2092818995</v>
      </c>
      <c r="GX17" s="10">
        <f t="shared" si="7"/>
        <v>2351546.3157174839</v>
      </c>
      <c r="GY17" s="10">
        <f t="shared" si="7"/>
        <v>1749625.888954425</v>
      </c>
      <c r="GZ17" s="10">
        <f t="shared" si="7"/>
        <v>1934373.639122434</v>
      </c>
      <c r="HA17" s="10">
        <f t="shared" si="7"/>
        <v>2184069.6518710149</v>
      </c>
      <c r="HB17" s="10">
        <f t="shared" si="7"/>
        <v>1996535.633865735</v>
      </c>
      <c r="HC17" s="10">
        <f t="shared" si="7"/>
        <v>2737112.4535820782</v>
      </c>
      <c r="HD17" s="10">
        <f t="shared" si="7"/>
        <v>2721785.6456292155</v>
      </c>
      <c r="HE17" s="10">
        <f t="shared" si="7"/>
        <v>3076856.6965372032</v>
      </c>
      <c r="HF17" s="10">
        <f t="shared" si="7"/>
        <v>2634933.7338963263</v>
      </c>
      <c r="HG17" s="10">
        <f t="shared" si="7"/>
        <v>3011320.621964456</v>
      </c>
      <c r="HH17" s="10">
        <f t="shared" si="7"/>
        <v>2243970.3074589306</v>
      </c>
      <c r="HI17" s="10">
        <f t="shared" si="7"/>
        <v>2226816.9555603564</v>
      </c>
      <c r="HJ17" s="10">
        <f t="shared" si="7"/>
        <v>2422092.7051890083</v>
      </c>
      <c r="HK17" s="10">
        <f t="shared" si="7"/>
        <v>1802114.6656230579</v>
      </c>
      <c r="HL17" s="10">
        <f t="shared" si="7"/>
        <v>1992404.848296107</v>
      </c>
      <c r="HM17" s="10">
        <f t="shared" si="7"/>
        <v>2249591.7414271454</v>
      </c>
      <c r="HN17" s="10">
        <f t="shared" si="7"/>
        <v>2056431.7028817073</v>
      </c>
      <c r="HO17" s="10">
        <f t="shared" si="7"/>
        <v>2819225.827189541</v>
      </c>
      <c r="HP17" s="10">
        <f t="shared" si="7"/>
        <v>2803439.214998092</v>
      </c>
      <c r="HQ17" s="10">
        <f t="shared" si="7"/>
        <v>3169162.3974333196</v>
      </c>
      <c r="HR17" s="10">
        <f t="shared" si="7"/>
        <v>2713981.7459132164</v>
      </c>
      <c r="HS17" s="10">
        <f t="shared" si="7"/>
        <v>3101660.2406233894</v>
      </c>
      <c r="HT17" s="10">
        <f t="shared" si="7"/>
        <v>2311289.4166826988</v>
      </c>
      <c r="HU17" s="10">
        <f t="shared" si="7"/>
        <v>2293621.464227167</v>
      </c>
      <c r="HV17" s="10">
        <f t="shared" si="7"/>
        <v>2494755.4863446788</v>
      </c>
      <c r="HW17" s="10">
        <f t="shared" si="7"/>
        <v>1856178.1055917495</v>
      </c>
      <c r="HX17" s="10">
        <f t="shared" si="7"/>
        <v>2052176.9937449903</v>
      </c>
      <c r="HY17" s="10">
        <f t="shared" si="7"/>
        <v>2317079.4936699597</v>
      </c>
      <c r="HZ17" s="10">
        <f t="shared" si="7"/>
        <v>2118124.6539681586</v>
      </c>
      <c r="IA17" s="10">
        <f t="shared" si="7"/>
        <v>2903802.602005227</v>
      </c>
      <c r="IB17" s="10">
        <f t="shared" si="7"/>
        <v>2887542.3914480349</v>
      </c>
      <c r="IC17" s="10">
        <f t="shared" si="7"/>
        <v>3264237.2693563192</v>
      </c>
      <c r="ID17" s="10">
        <f t="shared" si="7"/>
        <v>2795401.198290613</v>
      </c>
      <c r="IE17" s="10">
        <f t="shared" si="7"/>
        <v>3194710.0478420914</v>
      </c>
      <c r="IF17" s="10">
        <f t="shared" si="7"/>
        <v>2380628.0991831794</v>
      </c>
      <c r="IG17" s="10">
        <f t="shared" si="7"/>
        <v>2362430.1081539821</v>
      </c>
      <c r="IH17" s="10">
        <f>+IG16*IG5</f>
        <v>2569598.1509350194</v>
      </c>
    </row>
    <row r="18" spans="1:242" x14ac:dyDescent="0.3">
      <c r="A18" t="s">
        <v>911</v>
      </c>
      <c r="B18" s="30"/>
      <c r="C18" s="31"/>
      <c r="D18" s="31">
        <f>+C16*(C5*$B$1)</f>
        <v>219741.61600000001</v>
      </c>
      <c r="E18" s="31">
        <f t="shared" ref="E18:BP18" si="8">+D16*(D5*$B$1)</f>
        <v>292765.696</v>
      </c>
      <c r="F18" s="31">
        <f t="shared" si="8"/>
        <v>267564.92000000004</v>
      </c>
      <c r="G18" s="31">
        <f t="shared" si="8"/>
        <v>388838.77800000005</v>
      </c>
      <c r="H18" s="31">
        <f t="shared" si="8"/>
        <v>386648.64000000007</v>
      </c>
      <c r="I18" s="31">
        <f t="shared" si="8"/>
        <v>437098.59600000002</v>
      </c>
      <c r="J18" s="31">
        <f t="shared" si="8"/>
        <v>389271.59600000002</v>
      </c>
      <c r="K18" s="31">
        <f t="shared" si="8"/>
        <v>364379.7</v>
      </c>
      <c r="L18" s="31">
        <f t="shared" si="8"/>
        <v>271527.788</v>
      </c>
      <c r="M18" s="31">
        <f t="shared" si="8"/>
        <v>269452.17600000004</v>
      </c>
      <c r="N18" s="31">
        <f t="shared" si="8"/>
        <v>293081.18400000001</v>
      </c>
      <c r="O18" s="31">
        <f t="shared" si="8"/>
        <v>218061.80200000003</v>
      </c>
      <c r="P18" s="31">
        <f t="shared" si="8"/>
        <v>241087.54</v>
      </c>
      <c r="Q18" s="31">
        <f t="shared" si="8"/>
        <v>272208</v>
      </c>
      <c r="R18" s="31">
        <f t="shared" si="8"/>
        <v>248835</v>
      </c>
      <c r="S18" s="31">
        <f t="shared" si="8"/>
        <v>341135.598</v>
      </c>
      <c r="T18" s="31">
        <f t="shared" si="8"/>
        <v>339225.36600000004</v>
      </c>
      <c r="U18" s="31">
        <f t="shared" si="8"/>
        <v>383479.07400000002</v>
      </c>
      <c r="V18" s="31">
        <f t="shared" si="8"/>
        <v>328400.71799999999</v>
      </c>
      <c r="W18" s="31">
        <f t="shared" si="8"/>
        <v>375311.09100000001</v>
      </c>
      <c r="X18" s="31">
        <f t="shared" si="8"/>
        <v>279673.62164000003</v>
      </c>
      <c r="Y18" s="31">
        <f t="shared" si="8"/>
        <v>277535.74128000002</v>
      </c>
      <c r="Z18" s="31">
        <f t="shared" si="8"/>
        <v>301873.61952000001</v>
      </c>
      <c r="AA18" s="31">
        <f t="shared" si="8"/>
        <v>224603.65606000007</v>
      </c>
      <c r="AB18" s="31">
        <f t="shared" si="8"/>
        <v>248320.16620000001</v>
      </c>
      <c r="AC18" s="31">
        <f t="shared" si="8"/>
        <v>280374.24</v>
      </c>
      <c r="AD18" s="31">
        <f t="shared" si="8"/>
        <v>256300.05000000002</v>
      </c>
      <c r="AE18" s="31">
        <f t="shared" si="8"/>
        <v>351369.66594000004</v>
      </c>
      <c r="AF18" s="31">
        <f t="shared" si="8"/>
        <v>349402.12698000006</v>
      </c>
      <c r="AG18" s="31">
        <f t="shared" si="8"/>
        <v>394983.44622000004</v>
      </c>
      <c r="AH18" s="31">
        <f t="shared" si="8"/>
        <v>338252.73954000004</v>
      </c>
      <c r="AI18" s="31">
        <f t="shared" si="8"/>
        <v>386570.4237300001</v>
      </c>
      <c r="AJ18" s="31">
        <f t="shared" si="8"/>
        <v>288063.83028920001</v>
      </c>
      <c r="AK18" s="31">
        <f t="shared" si="8"/>
        <v>285861.81351840001</v>
      </c>
      <c r="AL18" s="31">
        <f t="shared" si="8"/>
        <v>310929.82810560003</v>
      </c>
      <c r="AM18" s="31">
        <f t="shared" si="8"/>
        <v>231341.76574180005</v>
      </c>
      <c r="AN18" s="31">
        <f t="shared" si="8"/>
        <v>255769.77118600006</v>
      </c>
      <c r="AO18" s="31">
        <f t="shared" si="8"/>
        <v>288785.46720000001</v>
      </c>
      <c r="AP18" s="31">
        <f t="shared" si="8"/>
        <v>263989.05150000006</v>
      </c>
      <c r="AQ18" s="31">
        <f t="shared" si="8"/>
        <v>361910.75591820007</v>
      </c>
      <c r="AR18" s="31">
        <f t="shared" si="8"/>
        <v>359884.19078940008</v>
      </c>
      <c r="AS18" s="31">
        <f t="shared" si="8"/>
        <v>406832.9496066001</v>
      </c>
      <c r="AT18" s="31">
        <f t="shared" si="8"/>
        <v>348400.32172620005</v>
      </c>
      <c r="AU18" s="31">
        <f t="shared" si="8"/>
        <v>398167.53644190007</v>
      </c>
      <c r="AV18" s="31">
        <f t="shared" si="8"/>
        <v>296705.74519787607</v>
      </c>
      <c r="AW18" s="31">
        <f t="shared" si="8"/>
        <v>294437.66792395205</v>
      </c>
      <c r="AX18" s="31">
        <f t="shared" si="8"/>
        <v>320257.722948768</v>
      </c>
      <c r="AY18" s="31">
        <f t="shared" si="8"/>
        <v>238282.01871405408</v>
      </c>
      <c r="AZ18" s="31">
        <f t="shared" si="8"/>
        <v>263442.86432158004</v>
      </c>
      <c r="BA18" s="31">
        <f t="shared" si="8"/>
        <v>297449.03121600003</v>
      </c>
      <c r="BB18" s="31">
        <f t="shared" si="8"/>
        <v>271908.72304500005</v>
      </c>
      <c r="BC18" s="31">
        <f t="shared" si="8"/>
        <v>372768.07859574602</v>
      </c>
      <c r="BD18" s="31">
        <f t="shared" si="8"/>
        <v>370680.71651308204</v>
      </c>
      <c r="BE18" s="31">
        <f t="shared" si="8"/>
        <v>419037.93809479807</v>
      </c>
      <c r="BF18" s="31">
        <f t="shared" si="8"/>
        <v>358852.33137798606</v>
      </c>
      <c r="BG18" s="31">
        <f t="shared" si="8"/>
        <v>410112.56253515714</v>
      </c>
      <c r="BH18" s="31">
        <f t="shared" si="8"/>
        <v>305606.91755381238</v>
      </c>
      <c r="BI18" s="31">
        <f t="shared" si="8"/>
        <v>303270.79796167061</v>
      </c>
      <c r="BJ18" s="31">
        <f t="shared" si="8"/>
        <v>329865.45463723107</v>
      </c>
      <c r="BK18" s="31">
        <f t="shared" si="8"/>
        <v>245430.47927547569</v>
      </c>
      <c r="BL18" s="31">
        <f t="shared" si="8"/>
        <v>271346.15025122743</v>
      </c>
      <c r="BM18" s="31">
        <f t="shared" si="8"/>
        <v>306372.50215248001</v>
      </c>
      <c r="BN18" s="31">
        <f t="shared" si="8"/>
        <v>280065.98473635002</v>
      </c>
      <c r="BO18" s="31">
        <f t="shared" si="8"/>
        <v>383951.12095361843</v>
      </c>
      <c r="BP18" s="31">
        <f t="shared" si="8"/>
        <v>381801.13800847455</v>
      </c>
      <c r="BQ18" s="31">
        <f t="shared" ref="BQ18:EB18" si="9">+BP16*(BP5*$B$1)</f>
        <v>431609.07623764203</v>
      </c>
      <c r="BR18" s="31">
        <f t="shared" si="9"/>
        <v>369617.90131932561</v>
      </c>
      <c r="BS18" s="31">
        <f t="shared" si="9"/>
        <v>422415.93941121188</v>
      </c>
      <c r="BT18" s="31">
        <f t="shared" si="9"/>
        <v>314775.12508042669</v>
      </c>
      <c r="BU18" s="31">
        <f t="shared" si="9"/>
        <v>312368.92190052074</v>
      </c>
      <c r="BV18" s="31">
        <f t="shared" si="9"/>
        <v>339761.41827634792</v>
      </c>
      <c r="BW18" s="31">
        <f t="shared" si="9"/>
        <v>252793.39365373994</v>
      </c>
      <c r="BX18" s="31">
        <f t="shared" si="9"/>
        <v>279486.53475876432</v>
      </c>
      <c r="BY18" s="31">
        <f t="shared" si="9"/>
        <v>315563.67721705441</v>
      </c>
      <c r="BZ18" s="31">
        <f t="shared" si="9"/>
        <v>288467.96427844052</v>
      </c>
      <c r="CA18" s="31">
        <f t="shared" si="9"/>
        <v>395469.65458222706</v>
      </c>
      <c r="CB18" s="31">
        <f t="shared" si="9"/>
        <v>393255.1721487288</v>
      </c>
      <c r="CC18" s="31">
        <f t="shared" si="9"/>
        <v>444557.34852477128</v>
      </c>
      <c r="CD18" s="31">
        <f t="shared" si="9"/>
        <v>380706.43835890543</v>
      </c>
      <c r="CE18" s="31">
        <f t="shared" si="9"/>
        <v>435088.41759354819</v>
      </c>
      <c r="CF18" s="31">
        <f t="shared" si="9"/>
        <v>324218.37883283955</v>
      </c>
      <c r="CG18" s="31">
        <f t="shared" si="9"/>
        <v>321739.98955753638</v>
      </c>
      <c r="CH18" s="31">
        <f t="shared" si="9"/>
        <v>349954.26082463842</v>
      </c>
      <c r="CI18" s="31">
        <f t="shared" si="9"/>
        <v>260377.19546335217</v>
      </c>
      <c r="CJ18" s="31">
        <f t="shared" si="9"/>
        <v>287871.13080152724</v>
      </c>
      <c r="CK18" s="31">
        <f t="shared" si="9"/>
        <v>325030.58753356605</v>
      </c>
      <c r="CL18" s="31">
        <f t="shared" si="9"/>
        <v>297122.00320679374</v>
      </c>
      <c r="CM18" s="31">
        <f t="shared" si="9"/>
        <v>407333.74421969382</v>
      </c>
      <c r="CN18" s="31">
        <f t="shared" si="9"/>
        <v>405052.82731319062</v>
      </c>
      <c r="CO18" s="31">
        <f t="shared" si="9"/>
        <v>457894.06898051442</v>
      </c>
      <c r="CP18" s="31">
        <f t="shared" si="9"/>
        <v>392127.63150967256</v>
      </c>
      <c r="CQ18" s="31">
        <f t="shared" si="9"/>
        <v>448141.0701213546</v>
      </c>
      <c r="CR18" s="31">
        <f t="shared" si="9"/>
        <v>333944.93019782472</v>
      </c>
      <c r="CS18" s="31">
        <f t="shared" si="9"/>
        <v>331392.18924426247</v>
      </c>
      <c r="CT18" s="31">
        <f t="shared" si="9"/>
        <v>360452.88864937762</v>
      </c>
      <c r="CU18" s="31">
        <f t="shared" si="9"/>
        <v>268188.51132725272</v>
      </c>
      <c r="CV18" s="31">
        <f t="shared" si="9"/>
        <v>296507.26472557307</v>
      </c>
      <c r="CW18" s="31">
        <f t="shared" si="9"/>
        <v>334781.50515957311</v>
      </c>
      <c r="CX18" s="31">
        <f t="shared" si="9"/>
        <v>306035.66330299759</v>
      </c>
      <c r="CY18" s="31">
        <f t="shared" si="9"/>
        <v>419553.75654628465</v>
      </c>
      <c r="CZ18" s="31">
        <f t="shared" si="9"/>
        <v>417204.41213258641</v>
      </c>
      <c r="DA18" s="31">
        <f t="shared" si="9"/>
        <v>471630.89104992989</v>
      </c>
      <c r="DB18" s="31">
        <f t="shared" si="9"/>
        <v>403891.4604549628</v>
      </c>
      <c r="DC18" s="31">
        <f t="shared" si="9"/>
        <v>461585.30222499528</v>
      </c>
      <c r="DD18" s="31">
        <f t="shared" si="9"/>
        <v>343963.27810375951</v>
      </c>
      <c r="DE18" s="31">
        <f t="shared" si="9"/>
        <v>341333.9549215904</v>
      </c>
      <c r="DF18" s="31">
        <f t="shared" si="9"/>
        <v>371266.47530885896</v>
      </c>
      <c r="DG18" s="31">
        <f t="shared" si="9"/>
        <v>276234.16666707036</v>
      </c>
      <c r="DH18" s="31">
        <f t="shared" si="9"/>
        <v>305402.48266734026</v>
      </c>
      <c r="DI18" s="31">
        <f t="shared" si="9"/>
        <v>344824.95031436032</v>
      </c>
      <c r="DJ18" s="31">
        <f t="shared" si="9"/>
        <v>315216.73320208752</v>
      </c>
      <c r="DK18" s="31">
        <f t="shared" si="9"/>
        <v>432140.36924267322</v>
      </c>
      <c r="DL18" s="31">
        <f t="shared" si="9"/>
        <v>429720.54449656396</v>
      </c>
      <c r="DM18" s="31">
        <f t="shared" si="9"/>
        <v>485779.81778142782</v>
      </c>
      <c r="DN18" s="31">
        <f t="shared" si="9"/>
        <v>416008.20426861168</v>
      </c>
      <c r="DO18" s="31">
        <f t="shared" si="9"/>
        <v>475432.8612917451</v>
      </c>
      <c r="DP18" s="31">
        <f t="shared" si="9"/>
        <v>354282.1764468723</v>
      </c>
      <c r="DQ18" s="31">
        <f t="shared" si="9"/>
        <v>351573.97356923809</v>
      </c>
      <c r="DR18" s="31">
        <f t="shared" si="9"/>
        <v>382404.46956812474</v>
      </c>
      <c r="DS18" s="31">
        <f t="shared" si="9"/>
        <v>284521.19166708243</v>
      </c>
      <c r="DT18" s="31">
        <f t="shared" si="9"/>
        <v>314564.55714736052</v>
      </c>
      <c r="DU18" s="31">
        <f t="shared" si="9"/>
        <v>355169.69882379117</v>
      </c>
      <c r="DV18" s="31">
        <f t="shared" si="9"/>
        <v>324673.23519815021</v>
      </c>
      <c r="DW18" s="31">
        <f t="shared" si="9"/>
        <v>445104.58031995338</v>
      </c>
      <c r="DX18" s="31">
        <f t="shared" si="9"/>
        <v>442612.1608314609</v>
      </c>
      <c r="DY18" s="31">
        <f t="shared" si="9"/>
        <v>500353.21231487062</v>
      </c>
      <c r="DZ18" s="31">
        <f t="shared" si="9"/>
        <v>428488.45039667003</v>
      </c>
      <c r="EA18" s="31">
        <f t="shared" si="9"/>
        <v>489695.84713049745</v>
      </c>
      <c r="EB18" s="31">
        <f t="shared" si="9"/>
        <v>364910.64174027846</v>
      </c>
      <c r="EC18" s="31">
        <f t="shared" ref="EC18:GN18" si="10">+EB16*(EB5*$B$1)</f>
        <v>362121.19277631521</v>
      </c>
      <c r="ED18" s="31">
        <f t="shared" si="10"/>
        <v>393876.6036551685</v>
      </c>
      <c r="EE18" s="31">
        <f t="shared" si="10"/>
        <v>293056.8274170949</v>
      </c>
      <c r="EF18" s="31">
        <f t="shared" si="10"/>
        <v>324001.49386178132</v>
      </c>
      <c r="EG18" s="31">
        <f t="shared" si="10"/>
        <v>365824.78978850483</v>
      </c>
      <c r="EH18" s="31">
        <f t="shared" si="10"/>
        <v>334413.43225409469</v>
      </c>
      <c r="EI18" s="31">
        <f t="shared" si="10"/>
        <v>458457.71772955201</v>
      </c>
      <c r="EJ18" s="31">
        <f t="shared" si="10"/>
        <v>455890.52565640473</v>
      </c>
      <c r="EK18" s="31">
        <f t="shared" si="10"/>
        <v>515363.80868431675</v>
      </c>
      <c r="EL18" s="31">
        <f t="shared" si="10"/>
        <v>441343.10390857013</v>
      </c>
      <c r="EM18" s="31">
        <f t="shared" si="10"/>
        <v>504386.72254441242</v>
      </c>
      <c r="EN18" s="31">
        <f t="shared" si="10"/>
        <v>375857.9609924868</v>
      </c>
      <c r="EO18" s="31">
        <f t="shared" si="10"/>
        <v>372984.82855960465</v>
      </c>
      <c r="EP18" s="31">
        <f t="shared" si="10"/>
        <v>405692.90176482353</v>
      </c>
      <c r="EQ18" s="31">
        <f t="shared" si="10"/>
        <v>301848.53223960777</v>
      </c>
      <c r="ER18" s="31">
        <f t="shared" si="10"/>
        <v>333721.53867763479</v>
      </c>
      <c r="ES18" s="31">
        <f t="shared" si="10"/>
        <v>376799.53348216001</v>
      </c>
      <c r="ET18" s="31">
        <f t="shared" si="10"/>
        <v>344445.83522171754</v>
      </c>
      <c r="EU18" s="31">
        <f t="shared" si="10"/>
        <v>472211.44926143857</v>
      </c>
      <c r="EV18" s="31">
        <f t="shared" si="10"/>
        <v>469567.24142609688</v>
      </c>
      <c r="EW18" s="31">
        <f t="shared" si="10"/>
        <v>530824.72294484626</v>
      </c>
      <c r="EX18" s="31">
        <f t="shared" si="10"/>
        <v>454583.39702582726</v>
      </c>
      <c r="EY18" s="31">
        <f t="shared" si="10"/>
        <v>519518.32422074472</v>
      </c>
      <c r="EZ18" s="31">
        <f t="shared" si="10"/>
        <v>387133.69982226141</v>
      </c>
      <c r="FA18" s="31">
        <f t="shared" si="10"/>
        <v>384174.37341639283</v>
      </c>
      <c r="FB18" s="31">
        <f t="shared" si="10"/>
        <v>417863.6888177683</v>
      </c>
      <c r="FC18" s="31">
        <f t="shared" si="10"/>
        <v>310903.988206796</v>
      </c>
      <c r="FD18" s="31">
        <f t="shared" si="10"/>
        <v>343733.18483796384</v>
      </c>
      <c r="FE18" s="31">
        <f t="shared" si="10"/>
        <v>388103.51948662486</v>
      </c>
      <c r="FF18" s="31">
        <f t="shared" si="10"/>
        <v>354779.21027836908</v>
      </c>
      <c r="FG18" s="31">
        <f t="shared" si="10"/>
        <v>486377.79273928172</v>
      </c>
      <c r="FH18" s="31">
        <f t="shared" si="10"/>
        <v>483654.25866887975</v>
      </c>
      <c r="FI18" s="31">
        <f t="shared" si="10"/>
        <v>546749.46463319159</v>
      </c>
      <c r="FJ18" s="31">
        <f t="shared" si="10"/>
        <v>468220.89893660205</v>
      </c>
      <c r="FK18" s="31">
        <f t="shared" si="10"/>
        <v>535103.87394736707</v>
      </c>
      <c r="FL18" s="31">
        <f t="shared" si="10"/>
        <v>398747.71081692923</v>
      </c>
      <c r="FM18" s="31">
        <f t="shared" si="10"/>
        <v>395699.60461888462</v>
      </c>
      <c r="FN18" s="31">
        <f t="shared" si="10"/>
        <v>430399.59948230133</v>
      </c>
      <c r="FO18" s="31">
        <f t="shared" si="10"/>
        <v>320231.10785299982</v>
      </c>
      <c r="FP18" s="31">
        <f t="shared" si="10"/>
        <v>354045.18038310279</v>
      </c>
      <c r="FQ18" s="31">
        <f t="shared" si="10"/>
        <v>399746.62507122365</v>
      </c>
      <c r="FR18" s="31">
        <f t="shared" si="10"/>
        <v>365422.58658672019</v>
      </c>
      <c r="FS18" s="31">
        <f t="shared" si="10"/>
        <v>500969.12652146013</v>
      </c>
      <c r="FT18" s="31">
        <f t="shared" si="10"/>
        <v>498163.88642894611</v>
      </c>
      <c r="FU18" s="31">
        <f t="shared" si="10"/>
        <v>563151.94857218734</v>
      </c>
      <c r="FV18" s="31">
        <f t="shared" si="10"/>
        <v>482267.52590470004</v>
      </c>
      <c r="FW18" s="31">
        <f t="shared" si="10"/>
        <v>551156.9901657881</v>
      </c>
      <c r="FX18" s="31">
        <f t="shared" si="10"/>
        <v>410710.1421414371</v>
      </c>
      <c r="FY18" s="31">
        <f t="shared" si="10"/>
        <v>407570.59275745112</v>
      </c>
      <c r="FZ18" s="31">
        <f t="shared" si="10"/>
        <v>443311.58746677043</v>
      </c>
      <c r="GA18" s="31">
        <f t="shared" si="10"/>
        <v>329838.04108858987</v>
      </c>
      <c r="GB18" s="31">
        <f t="shared" si="10"/>
        <v>364666.5357945959</v>
      </c>
      <c r="GC18" s="31">
        <f t="shared" si="10"/>
        <v>411739.02382336039</v>
      </c>
      <c r="GD18" s="31">
        <f t="shared" si="10"/>
        <v>376385.26418432186</v>
      </c>
      <c r="GE18" s="31">
        <f t="shared" si="10"/>
        <v>515998.200317104</v>
      </c>
      <c r="GF18" s="31">
        <f t="shared" si="10"/>
        <v>513108.80302181456</v>
      </c>
      <c r="GG18" s="31">
        <f t="shared" si="10"/>
        <v>580046.50702935306</v>
      </c>
      <c r="GH18" s="31">
        <f t="shared" si="10"/>
        <v>496735.55168184114</v>
      </c>
      <c r="GI18" s="31">
        <f t="shared" si="10"/>
        <v>567691.69987076183</v>
      </c>
      <c r="GJ18" s="31">
        <f t="shared" si="10"/>
        <v>423031.44640568021</v>
      </c>
      <c r="GK18" s="31">
        <f t="shared" si="10"/>
        <v>419797.71054017468</v>
      </c>
      <c r="GL18" s="31">
        <f t="shared" si="10"/>
        <v>456610.93509077356</v>
      </c>
      <c r="GM18" s="31">
        <f t="shared" si="10"/>
        <v>339733.18232124759</v>
      </c>
      <c r="GN18" s="31">
        <f t="shared" si="10"/>
        <v>375606.53186843375</v>
      </c>
      <c r="GO18" s="31">
        <f t="shared" ref="GO18:IG18" si="11">+GN16*(GN5*$B$1)</f>
        <v>424091.19453806116</v>
      </c>
      <c r="GP18" s="31">
        <f t="shared" si="11"/>
        <v>387676.82210985146</v>
      </c>
      <c r="GQ18" s="31">
        <f t="shared" si="11"/>
        <v>531478.1463266171</v>
      </c>
      <c r="GR18" s="31">
        <f t="shared" si="11"/>
        <v>528502.067112469</v>
      </c>
      <c r="GS18" s="31">
        <f t="shared" si="11"/>
        <v>597447.90224023361</v>
      </c>
      <c r="GT18" s="31">
        <f t="shared" si="11"/>
        <v>511637.61823229643</v>
      </c>
      <c r="GU18" s="31">
        <f t="shared" si="11"/>
        <v>584722.45086688467</v>
      </c>
      <c r="GV18" s="31">
        <f t="shared" si="11"/>
        <v>435722.38979785069</v>
      </c>
      <c r="GW18" s="31">
        <f t="shared" si="11"/>
        <v>432391.64185637992</v>
      </c>
      <c r="GX18" s="31">
        <f t="shared" si="11"/>
        <v>470309.26314349676</v>
      </c>
      <c r="GY18" s="31">
        <f t="shared" si="11"/>
        <v>349925.17779088503</v>
      </c>
      <c r="GZ18" s="31">
        <f t="shared" si="11"/>
        <v>386874.72782448679</v>
      </c>
      <c r="HA18" s="31">
        <f t="shared" si="11"/>
        <v>436813.93037420302</v>
      </c>
      <c r="HB18" s="31">
        <f t="shared" si="11"/>
        <v>399307.12677314703</v>
      </c>
      <c r="HC18" s="31">
        <f t="shared" si="11"/>
        <v>547422.49071641569</v>
      </c>
      <c r="HD18" s="31">
        <f t="shared" si="11"/>
        <v>544357.12912584317</v>
      </c>
      <c r="HE18" s="31">
        <f t="shared" si="11"/>
        <v>615371.33930744068</v>
      </c>
      <c r="HF18" s="31">
        <f t="shared" si="11"/>
        <v>526986.74677926535</v>
      </c>
      <c r="HG18" s="31">
        <f t="shared" si="11"/>
        <v>602264.12439289119</v>
      </c>
      <c r="HH18" s="31">
        <f t="shared" si="11"/>
        <v>448794.06149178615</v>
      </c>
      <c r="HI18" s="31">
        <f t="shared" si="11"/>
        <v>445363.39111207129</v>
      </c>
      <c r="HJ18" s="31">
        <f t="shared" si="11"/>
        <v>484418.54103780165</v>
      </c>
      <c r="HK18" s="31">
        <f t="shared" si="11"/>
        <v>360422.93312461156</v>
      </c>
      <c r="HL18" s="31">
        <f t="shared" si="11"/>
        <v>398480.96965922136</v>
      </c>
      <c r="HM18" s="31">
        <f t="shared" si="11"/>
        <v>449918.34828542918</v>
      </c>
      <c r="HN18" s="31">
        <f t="shared" si="11"/>
        <v>411286.34057634149</v>
      </c>
      <c r="HO18" s="31">
        <f t="shared" si="11"/>
        <v>563845.16543790814</v>
      </c>
      <c r="HP18" s="31">
        <f t="shared" si="11"/>
        <v>560687.84299961838</v>
      </c>
      <c r="HQ18" s="31">
        <f t="shared" si="11"/>
        <v>633832.47948666394</v>
      </c>
      <c r="HR18" s="31">
        <f t="shared" si="11"/>
        <v>542796.34918264323</v>
      </c>
      <c r="HS18" s="31">
        <f t="shared" si="11"/>
        <v>620332.04812467797</v>
      </c>
      <c r="HT18" s="31">
        <f t="shared" si="11"/>
        <v>462257.88333653973</v>
      </c>
      <c r="HU18" s="31">
        <f t="shared" si="11"/>
        <v>458724.29284543346</v>
      </c>
      <c r="HV18" s="31">
        <f t="shared" si="11"/>
        <v>498951.09726893576</v>
      </c>
      <c r="HW18" s="31">
        <f t="shared" si="11"/>
        <v>371235.6211183499</v>
      </c>
      <c r="HX18" s="31">
        <f t="shared" si="11"/>
        <v>410435.39874899812</v>
      </c>
      <c r="HY18" s="31">
        <f t="shared" si="11"/>
        <v>463415.89873399201</v>
      </c>
      <c r="HZ18" s="31">
        <f t="shared" si="11"/>
        <v>423624.93079363171</v>
      </c>
      <c r="IA18" s="31">
        <f t="shared" si="11"/>
        <v>580760.52040104545</v>
      </c>
      <c r="IB18" s="31">
        <f t="shared" si="11"/>
        <v>577508.4782896071</v>
      </c>
      <c r="IC18" s="31">
        <f t="shared" si="11"/>
        <v>652847.45387126389</v>
      </c>
      <c r="ID18" s="31">
        <f t="shared" si="11"/>
        <v>559080.23965812265</v>
      </c>
      <c r="IE18" s="31">
        <f t="shared" si="11"/>
        <v>638942.00956841826</v>
      </c>
      <c r="IF18" s="31">
        <f t="shared" si="11"/>
        <v>476125.61983663595</v>
      </c>
      <c r="IG18" s="31">
        <f t="shared" si="11"/>
        <v>472486.02163079649</v>
      </c>
      <c r="IH18" s="31">
        <f>+IG16*(IG5*$B$1)</f>
        <v>513919.63018700387</v>
      </c>
    </row>
    <row r="19" spans="1:242" x14ac:dyDescent="0.3">
      <c r="A19" t="s">
        <v>912</v>
      </c>
      <c r="C19" s="31"/>
      <c r="D19" s="31">
        <f>+D17+D18</f>
        <v>1318449.696</v>
      </c>
      <c r="E19" s="31">
        <f t="shared" ref="E19:BP19" si="12">+E17+E18</f>
        <v>1756594.176</v>
      </c>
      <c r="F19" s="31">
        <f t="shared" si="12"/>
        <v>1605389.52</v>
      </c>
      <c r="G19" s="31">
        <f t="shared" si="12"/>
        <v>2333032.6680000001</v>
      </c>
      <c r="H19" s="31">
        <f t="shared" si="12"/>
        <v>2319891.8400000003</v>
      </c>
      <c r="I19" s="31">
        <f t="shared" si="12"/>
        <v>2622591.5759999999</v>
      </c>
      <c r="J19" s="31">
        <f t="shared" si="12"/>
        <v>2335629.5759999999</v>
      </c>
      <c r="K19" s="31">
        <f t="shared" si="12"/>
        <v>2186278.2000000002</v>
      </c>
      <c r="L19" s="31">
        <f t="shared" si="12"/>
        <v>1629166.7279999999</v>
      </c>
      <c r="M19" s="31">
        <f t="shared" si="12"/>
        <v>1616713.0560000001</v>
      </c>
      <c r="N19" s="31">
        <f t="shared" si="12"/>
        <v>1758487.1039999998</v>
      </c>
      <c r="O19" s="31">
        <f t="shared" si="12"/>
        <v>1308370.8119999999</v>
      </c>
      <c r="P19" s="31">
        <f t="shared" si="12"/>
        <v>1446525.24</v>
      </c>
      <c r="Q19" s="31">
        <f t="shared" si="12"/>
        <v>1633248</v>
      </c>
      <c r="R19" s="31">
        <f t="shared" si="12"/>
        <v>1493010</v>
      </c>
      <c r="S19" s="31">
        <f t="shared" si="12"/>
        <v>2046813.588</v>
      </c>
      <c r="T19" s="31">
        <f t="shared" si="12"/>
        <v>2035352.196</v>
      </c>
      <c r="U19" s="31">
        <f t="shared" si="12"/>
        <v>2300874.4440000001</v>
      </c>
      <c r="V19" s="31">
        <f t="shared" si="12"/>
        <v>1970404.3079999997</v>
      </c>
      <c r="W19" s="31">
        <f t="shared" si="12"/>
        <v>2251866.5460000001</v>
      </c>
      <c r="X19" s="31">
        <f t="shared" si="12"/>
        <v>1678041.7298400002</v>
      </c>
      <c r="Y19" s="31">
        <f t="shared" si="12"/>
        <v>1665214.44768</v>
      </c>
      <c r="Z19" s="31">
        <f t="shared" si="12"/>
        <v>1811241.7171199999</v>
      </c>
      <c r="AA19" s="31">
        <f t="shared" si="12"/>
        <v>1347621.9363600002</v>
      </c>
      <c r="AB19" s="31">
        <f t="shared" si="12"/>
        <v>1489920.9972000001</v>
      </c>
      <c r="AC19" s="31">
        <f t="shared" si="12"/>
        <v>1682245.44</v>
      </c>
      <c r="AD19" s="31">
        <f t="shared" si="12"/>
        <v>1537800.3</v>
      </c>
      <c r="AE19" s="31">
        <f t="shared" si="12"/>
        <v>2108217.9956400003</v>
      </c>
      <c r="AF19" s="31">
        <f t="shared" si="12"/>
        <v>2096412.7618800001</v>
      </c>
      <c r="AG19" s="31">
        <f t="shared" si="12"/>
        <v>2369900.6773199998</v>
      </c>
      <c r="AH19" s="31">
        <f t="shared" si="12"/>
        <v>2029516.4372400001</v>
      </c>
      <c r="AI19" s="31">
        <f t="shared" si="12"/>
        <v>2319422.5423800005</v>
      </c>
      <c r="AJ19" s="31">
        <f t="shared" si="12"/>
        <v>1728382.9817352002</v>
      </c>
      <c r="AK19" s="31">
        <f t="shared" si="12"/>
        <v>1715170.8811104002</v>
      </c>
      <c r="AL19" s="31">
        <f t="shared" si="12"/>
        <v>1865578.9686336</v>
      </c>
      <c r="AM19" s="31">
        <f t="shared" si="12"/>
        <v>1388050.5944508002</v>
      </c>
      <c r="AN19" s="31">
        <f t="shared" si="12"/>
        <v>1534618.627116</v>
      </c>
      <c r="AO19" s="31">
        <f t="shared" si="12"/>
        <v>1732712.8032000002</v>
      </c>
      <c r="AP19" s="31">
        <f t="shared" si="12"/>
        <v>1583934.3090000001</v>
      </c>
      <c r="AQ19" s="31">
        <f t="shared" si="12"/>
        <v>2171464.5355092003</v>
      </c>
      <c r="AR19" s="31">
        <f t="shared" si="12"/>
        <v>2159305.1447363999</v>
      </c>
      <c r="AS19" s="31">
        <f t="shared" si="12"/>
        <v>2440997.6976396004</v>
      </c>
      <c r="AT19" s="31">
        <f t="shared" si="12"/>
        <v>2090401.9303572001</v>
      </c>
      <c r="AU19" s="31">
        <f t="shared" si="12"/>
        <v>2389005.2186514004</v>
      </c>
      <c r="AV19" s="31">
        <f t="shared" si="12"/>
        <v>1780234.4711872563</v>
      </c>
      <c r="AW19" s="31">
        <f t="shared" si="12"/>
        <v>1766626.0075437122</v>
      </c>
      <c r="AX19" s="31">
        <f t="shared" si="12"/>
        <v>1921546.3376926079</v>
      </c>
      <c r="AY19" s="31">
        <f t="shared" si="12"/>
        <v>1429692.1122843241</v>
      </c>
      <c r="AZ19" s="31">
        <f t="shared" si="12"/>
        <v>1580657.1859294805</v>
      </c>
      <c r="BA19" s="31">
        <f t="shared" si="12"/>
        <v>1784694.1872960001</v>
      </c>
      <c r="BB19" s="31">
        <f t="shared" si="12"/>
        <v>1631452.3382700002</v>
      </c>
      <c r="BC19" s="31">
        <f t="shared" si="12"/>
        <v>2236608.471574476</v>
      </c>
      <c r="BD19" s="31">
        <f t="shared" si="12"/>
        <v>2224084.299078492</v>
      </c>
      <c r="BE19" s="31">
        <f t="shared" si="12"/>
        <v>2514227.6285687885</v>
      </c>
      <c r="BF19" s="31">
        <f t="shared" si="12"/>
        <v>2153113.9882679163</v>
      </c>
      <c r="BG19" s="31">
        <f t="shared" si="12"/>
        <v>2460675.3752109427</v>
      </c>
      <c r="BH19" s="31">
        <f t="shared" si="12"/>
        <v>1833641.5053228741</v>
      </c>
      <c r="BI19" s="31">
        <f t="shared" si="12"/>
        <v>1819624.7877700238</v>
      </c>
      <c r="BJ19" s="31">
        <f t="shared" si="12"/>
        <v>1979192.7278233862</v>
      </c>
      <c r="BK19" s="31">
        <f t="shared" si="12"/>
        <v>1472582.8756528541</v>
      </c>
      <c r="BL19" s="31">
        <f t="shared" si="12"/>
        <v>1628076.9015073646</v>
      </c>
      <c r="BM19" s="31">
        <f t="shared" si="12"/>
        <v>1838235.0129148799</v>
      </c>
      <c r="BN19" s="31">
        <f t="shared" si="12"/>
        <v>1680395.9084180999</v>
      </c>
      <c r="BO19" s="31">
        <f t="shared" si="12"/>
        <v>2303706.7257217104</v>
      </c>
      <c r="BP19" s="31">
        <f t="shared" si="12"/>
        <v>2290806.8280508472</v>
      </c>
      <c r="BQ19" s="31">
        <f t="shared" ref="BQ19:EB19" si="13">+BQ17+BQ18</f>
        <v>2589654.4574258523</v>
      </c>
      <c r="BR19" s="31">
        <f t="shared" si="13"/>
        <v>2217707.4079159535</v>
      </c>
      <c r="BS19" s="31">
        <f t="shared" si="13"/>
        <v>2534495.636467271</v>
      </c>
      <c r="BT19" s="31">
        <f t="shared" si="13"/>
        <v>1888650.7504825601</v>
      </c>
      <c r="BU19" s="31">
        <f t="shared" si="13"/>
        <v>1874213.5314031243</v>
      </c>
      <c r="BV19" s="31">
        <f t="shared" si="13"/>
        <v>2038568.5096580875</v>
      </c>
      <c r="BW19" s="31">
        <f t="shared" si="13"/>
        <v>1516760.3619224397</v>
      </c>
      <c r="BX19" s="31">
        <f t="shared" si="13"/>
        <v>1676919.2085525857</v>
      </c>
      <c r="BY19" s="31">
        <f t="shared" si="13"/>
        <v>1893382.0633023265</v>
      </c>
      <c r="BZ19" s="31">
        <f t="shared" si="13"/>
        <v>1730807.785670643</v>
      </c>
      <c r="CA19" s="31">
        <f t="shared" si="13"/>
        <v>2372817.9274933618</v>
      </c>
      <c r="CB19" s="31">
        <f t="shared" si="13"/>
        <v>2359531.0328923725</v>
      </c>
      <c r="CC19" s="31">
        <f t="shared" si="13"/>
        <v>2667344.0911486275</v>
      </c>
      <c r="CD19" s="31">
        <f t="shared" si="13"/>
        <v>2284238.6301534325</v>
      </c>
      <c r="CE19" s="31">
        <f t="shared" si="13"/>
        <v>2610530.5055612889</v>
      </c>
      <c r="CF19" s="31">
        <f t="shared" si="13"/>
        <v>1945310.272997037</v>
      </c>
      <c r="CG19" s="31">
        <f t="shared" si="13"/>
        <v>1930439.9373452181</v>
      </c>
      <c r="CH19" s="31">
        <f t="shared" si="13"/>
        <v>2099725.5649478305</v>
      </c>
      <c r="CI19" s="31">
        <f t="shared" si="13"/>
        <v>1562263.1727801128</v>
      </c>
      <c r="CJ19" s="31">
        <f t="shared" si="13"/>
        <v>1727226.7848091633</v>
      </c>
      <c r="CK19" s="31">
        <f t="shared" si="13"/>
        <v>1950183.5252013966</v>
      </c>
      <c r="CL19" s="31">
        <f t="shared" si="13"/>
        <v>1782732.0192407626</v>
      </c>
      <c r="CM19" s="31">
        <f t="shared" si="13"/>
        <v>2444002.4653181629</v>
      </c>
      <c r="CN19" s="31">
        <f t="shared" si="13"/>
        <v>2430316.9638791438</v>
      </c>
      <c r="CO19" s="31">
        <f t="shared" si="13"/>
        <v>2747364.4138830868</v>
      </c>
      <c r="CP19" s="31">
        <f t="shared" si="13"/>
        <v>2352765.7890580352</v>
      </c>
      <c r="CQ19" s="31">
        <f t="shared" si="13"/>
        <v>2688846.4207281275</v>
      </c>
      <c r="CR19" s="31">
        <f t="shared" si="13"/>
        <v>2003669.5811869483</v>
      </c>
      <c r="CS19" s="31">
        <f t="shared" si="13"/>
        <v>1988353.1354655747</v>
      </c>
      <c r="CT19" s="31">
        <f t="shared" si="13"/>
        <v>2162717.3318962655</v>
      </c>
      <c r="CU19" s="31">
        <f t="shared" si="13"/>
        <v>1609131.0679635163</v>
      </c>
      <c r="CV19" s="31">
        <f t="shared" si="13"/>
        <v>1779043.5883534385</v>
      </c>
      <c r="CW19" s="31">
        <f t="shared" si="13"/>
        <v>2008689.0309574385</v>
      </c>
      <c r="CX19" s="31">
        <f t="shared" si="13"/>
        <v>1836213.9798179856</v>
      </c>
      <c r="CY19" s="31">
        <f t="shared" si="13"/>
        <v>2517322.5392777077</v>
      </c>
      <c r="CZ19" s="31">
        <f t="shared" si="13"/>
        <v>2503226.4727955181</v>
      </c>
      <c r="DA19" s="31">
        <f t="shared" si="13"/>
        <v>2829785.3462995794</v>
      </c>
      <c r="DB19" s="31">
        <f t="shared" si="13"/>
        <v>2423348.7627297766</v>
      </c>
      <c r="DC19" s="31">
        <f t="shared" si="13"/>
        <v>2769511.8133499711</v>
      </c>
      <c r="DD19" s="31">
        <f t="shared" si="13"/>
        <v>2063779.6686225568</v>
      </c>
      <c r="DE19" s="31">
        <f t="shared" si="13"/>
        <v>2048003.7295295421</v>
      </c>
      <c r="DF19" s="31">
        <f t="shared" si="13"/>
        <v>2227598.8518531537</v>
      </c>
      <c r="DG19" s="31">
        <f t="shared" si="13"/>
        <v>1657405.0000024219</v>
      </c>
      <c r="DH19" s="31">
        <f t="shared" si="13"/>
        <v>1832414.8960040417</v>
      </c>
      <c r="DI19" s="31">
        <f t="shared" si="13"/>
        <v>2068949.7018861617</v>
      </c>
      <c r="DJ19" s="31">
        <f t="shared" si="13"/>
        <v>1891300.399212525</v>
      </c>
      <c r="DK19" s="31">
        <f t="shared" si="13"/>
        <v>2592842.2154560392</v>
      </c>
      <c r="DL19" s="31">
        <f t="shared" si="13"/>
        <v>2578323.2669793842</v>
      </c>
      <c r="DM19" s="31">
        <f t="shared" si="13"/>
        <v>2914678.9066885668</v>
      </c>
      <c r="DN19" s="31">
        <f t="shared" si="13"/>
        <v>2496049.2256116699</v>
      </c>
      <c r="DO19" s="31">
        <f t="shared" si="13"/>
        <v>2852597.1677504708</v>
      </c>
      <c r="DP19" s="31">
        <f t="shared" si="13"/>
        <v>2125693.0586812338</v>
      </c>
      <c r="DQ19" s="31">
        <f t="shared" si="13"/>
        <v>2109443.8414154286</v>
      </c>
      <c r="DR19" s="31">
        <f t="shared" si="13"/>
        <v>2294426.817408748</v>
      </c>
      <c r="DS19" s="31">
        <f t="shared" si="13"/>
        <v>1707127.1500024947</v>
      </c>
      <c r="DT19" s="31">
        <f t="shared" si="13"/>
        <v>1887387.3428841629</v>
      </c>
      <c r="DU19" s="31">
        <f t="shared" si="13"/>
        <v>2131018.1929427469</v>
      </c>
      <c r="DV19" s="31">
        <f t="shared" si="13"/>
        <v>1948039.4111889012</v>
      </c>
      <c r="DW19" s="31">
        <f t="shared" si="13"/>
        <v>2670627.4819197198</v>
      </c>
      <c r="DX19" s="31">
        <f t="shared" si="13"/>
        <v>2655672.9649887648</v>
      </c>
      <c r="DY19" s="31">
        <f t="shared" si="13"/>
        <v>3002119.2738892236</v>
      </c>
      <c r="DZ19" s="31">
        <f t="shared" si="13"/>
        <v>2570930.7023800202</v>
      </c>
      <c r="EA19" s="31">
        <f t="shared" si="13"/>
        <v>2938175.0827829847</v>
      </c>
      <c r="EB19" s="31">
        <f t="shared" si="13"/>
        <v>2189463.8504416705</v>
      </c>
      <c r="EC19" s="31">
        <f t="shared" ref="EC19:GN19" si="14">+EC17+EC18</f>
        <v>2172727.1566578913</v>
      </c>
      <c r="ED19" s="31">
        <f t="shared" si="14"/>
        <v>2363259.6219310109</v>
      </c>
      <c r="EE19" s="31">
        <f t="shared" si="14"/>
        <v>1758340.9645025693</v>
      </c>
      <c r="EF19" s="31">
        <f t="shared" si="14"/>
        <v>1944008.9631706877</v>
      </c>
      <c r="EG19" s="31">
        <f t="shared" si="14"/>
        <v>2194948.7387310294</v>
      </c>
      <c r="EH19" s="31">
        <f t="shared" si="14"/>
        <v>2006480.593524568</v>
      </c>
      <c r="EI19" s="31">
        <f t="shared" si="14"/>
        <v>2750746.3063773122</v>
      </c>
      <c r="EJ19" s="31">
        <f t="shared" si="14"/>
        <v>2735343.1539384285</v>
      </c>
      <c r="EK19" s="31">
        <f t="shared" si="14"/>
        <v>3092182.8521059006</v>
      </c>
      <c r="EL19" s="31">
        <f t="shared" si="14"/>
        <v>2648058.6234514206</v>
      </c>
      <c r="EM19" s="31">
        <f t="shared" si="14"/>
        <v>3026320.3352664742</v>
      </c>
      <c r="EN19" s="31">
        <f t="shared" si="14"/>
        <v>2255147.7659549206</v>
      </c>
      <c r="EO19" s="31">
        <f t="shared" si="14"/>
        <v>2237908.9713576278</v>
      </c>
      <c r="EP19" s="31">
        <f t="shared" si="14"/>
        <v>2434157.4105889411</v>
      </c>
      <c r="EQ19" s="31">
        <f t="shared" si="14"/>
        <v>1811091.1934376464</v>
      </c>
      <c r="ER19" s="31">
        <f t="shared" si="14"/>
        <v>2002329.2320658085</v>
      </c>
      <c r="ES19" s="31">
        <f t="shared" si="14"/>
        <v>2260797.2008929602</v>
      </c>
      <c r="ET19" s="31">
        <f t="shared" si="14"/>
        <v>2066675.0113303051</v>
      </c>
      <c r="EU19" s="31">
        <f t="shared" si="14"/>
        <v>2833268.6955686314</v>
      </c>
      <c r="EV19" s="31">
        <f t="shared" si="14"/>
        <v>2817403.448556581</v>
      </c>
      <c r="EW19" s="31">
        <f t="shared" si="14"/>
        <v>3184948.3376690778</v>
      </c>
      <c r="EX19" s="31">
        <f t="shared" si="14"/>
        <v>2727500.3821549634</v>
      </c>
      <c r="EY19" s="31">
        <f t="shared" si="14"/>
        <v>3117109.9453244684</v>
      </c>
      <c r="EZ19" s="31">
        <f t="shared" si="14"/>
        <v>2322802.1989335683</v>
      </c>
      <c r="FA19" s="31">
        <f t="shared" si="14"/>
        <v>2305046.240498357</v>
      </c>
      <c r="FB19" s="31">
        <f t="shared" si="14"/>
        <v>2507182.1329066097</v>
      </c>
      <c r="FC19" s="31">
        <f t="shared" si="14"/>
        <v>1865423.9292407758</v>
      </c>
      <c r="FD19" s="31">
        <f t="shared" si="14"/>
        <v>2062399.1090277832</v>
      </c>
      <c r="FE19" s="31">
        <f t="shared" si="14"/>
        <v>2328621.116919749</v>
      </c>
      <c r="FF19" s="31">
        <f t="shared" si="14"/>
        <v>2128675.2616702146</v>
      </c>
      <c r="FG19" s="31">
        <f t="shared" si="14"/>
        <v>2918266.7564356904</v>
      </c>
      <c r="FH19" s="31">
        <f t="shared" si="14"/>
        <v>2901925.5520132789</v>
      </c>
      <c r="FI19" s="31">
        <f t="shared" si="14"/>
        <v>3280496.7877991493</v>
      </c>
      <c r="FJ19" s="31">
        <f t="shared" si="14"/>
        <v>2809325.3936196119</v>
      </c>
      <c r="FK19" s="31">
        <f t="shared" si="14"/>
        <v>3210623.2436842024</v>
      </c>
      <c r="FL19" s="31">
        <f t="shared" si="14"/>
        <v>2392486.2649015756</v>
      </c>
      <c r="FM19" s="31">
        <f t="shared" si="14"/>
        <v>2374197.6277133077</v>
      </c>
      <c r="FN19" s="31">
        <f t="shared" si="14"/>
        <v>2582397.5968938079</v>
      </c>
      <c r="FO19" s="31">
        <f t="shared" si="14"/>
        <v>1921386.6471179991</v>
      </c>
      <c r="FP19" s="31">
        <f t="shared" si="14"/>
        <v>2124271.0822986169</v>
      </c>
      <c r="FQ19" s="31">
        <f t="shared" si="14"/>
        <v>2398479.7504273416</v>
      </c>
      <c r="FR19" s="31">
        <f t="shared" si="14"/>
        <v>2192535.5195203209</v>
      </c>
      <c r="FS19" s="31">
        <f t="shared" si="14"/>
        <v>3005814.759128761</v>
      </c>
      <c r="FT19" s="31">
        <f t="shared" si="14"/>
        <v>2988983.318573677</v>
      </c>
      <c r="FU19" s="31">
        <f t="shared" si="14"/>
        <v>3378911.6914331238</v>
      </c>
      <c r="FV19" s="31">
        <f t="shared" si="14"/>
        <v>2893605.1554282005</v>
      </c>
      <c r="FW19" s="31">
        <f t="shared" si="14"/>
        <v>3306941.9409947288</v>
      </c>
      <c r="FX19" s="31">
        <f t="shared" si="14"/>
        <v>2464260.8528486225</v>
      </c>
      <c r="FY19" s="31">
        <f t="shared" si="14"/>
        <v>2445423.5565447072</v>
      </c>
      <c r="FZ19" s="31">
        <f t="shared" si="14"/>
        <v>2659869.5248006224</v>
      </c>
      <c r="GA19" s="31">
        <f t="shared" si="14"/>
        <v>1979028.2465315391</v>
      </c>
      <c r="GB19" s="31">
        <f t="shared" si="14"/>
        <v>2187999.2147675753</v>
      </c>
      <c r="GC19" s="31">
        <f t="shared" si="14"/>
        <v>2470434.1429401622</v>
      </c>
      <c r="GD19" s="31">
        <f t="shared" si="14"/>
        <v>2258311.5851059309</v>
      </c>
      <c r="GE19" s="31">
        <f t="shared" si="14"/>
        <v>3095989.2019026238</v>
      </c>
      <c r="GF19" s="31">
        <f t="shared" si="14"/>
        <v>3078652.8181308871</v>
      </c>
      <c r="GG19" s="31">
        <f t="shared" si="14"/>
        <v>3480279.0421761181</v>
      </c>
      <c r="GH19" s="31">
        <f t="shared" si="14"/>
        <v>2980413.3100910466</v>
      </c>
      <c r="GI19" s="31">
        <f t="shared" si="14"/>
        <v>3406150.1992245708</v>
      </c>
      <c r="GJ19" s="31">
        <f t="shared" si="14"/>
        <v>2538188.6784340814</v>
      </c>
      <c r="GK19" s="31">
        <f t="shared" si="14"/>
        <v>2518786.263241048</v>
      </c>
      <c r="GL19" s="31">
        <f t="shared" si="14"/>
        <v>2739665.6105446415</v>
      </c>
      <c r="GM19" s="31">
        <f t="shared" si="14"/>
        <v>2038399.0939274854</v>
      </c>
      <c r="GN19" s="31">
        <f t="shared" si="14"/>
        <v>2253639.1912106024</v>
      </c>
      <c r="GO19" s="31">
        <f t="shared" ref="GO19:IG19" si="15">+GO17+GO18</f>
        <v>2544547.1672283667</v>
      </c>
      <c r="GP19" s="31">
        <f t="shared" si="15"/>
        <v>2326060.9326591087</v>
      </c>
      <c r="GQ19" s="31">
        <f t="shared" si="15"/>
        <v>3188868.8779597031</v>
      </c>
      <c r="GR19" s="31">
        <f t="shared" si="15"/>
        <v>3171012.4026748142</v>
      </c>
      <c r="GS19" s="31">
        <f t="shared" si="15"/>
        <v>3584687.4134414014</v>
      </c>
      <c r="GT19" s="31">
        <f t="shared" si="15"/>
        <v>3069825.7093937784</v>
      </c>
      <c r="GU19" s="31">
        <f t="shared" si="15"/>
        <v>3508334.7052013078</v>
      </c>
      <c r="GV19" s="31">
        <f t="shared" si="15"/>
        <v>2614334.3387871035</v>
      </c>
      <c r="GW19" s="31">
        <f t="shared" si="15"/>
        <v>2594349.8511382793</v>
      </c>
      <c r="GX19" s="31">
        <f t="shared" si="15"/>
        <v>2821855.5788609805</v>
      </c>
      <c r="GY19" s="31">
        <f t="shared" si="15"/>
        <v>2099551.0667453101</v>
      </c>
      <c r="GZ19" s="31">
        <f t="shared" si="15"/>
        <v>2321248.3669469208</v>
      </c>
      <c r="HA19" s="31">
        <f t="shared" si="15"/>
        <v>2620883.5822452176</v>
      </c>
      <c r="HB19" s="31">
        <f t="shared" si="15"/>
        <v>2395842.7606388819</v>
      </c>
      <c r="HC19" s="31">
        <f t="shared" si="15"/>
        <v>3284534.9442984937</v>
      </c>
      <c r="HD19" s="31">
        <f t="shared" si="15"/>
        <v>3266142.7747550588</v>
      </c>
      <c r="HE19" s="31">
        <f t="shared" si="15"/>
        <v>3692228.0358446436</v>
      </c>
      <c r="HF19" s="31">
        <f t="shared" si="15"/>
        <v>3161920.4806755916</v>
      </c>
      <c r="HG19" s="31">
        <f t="shared" si="15"/>
        <v>3613584.7463573474</v>
      </c>
      <c r="HH19" s="31">
        <f t="shared" si="15"/>
        <v>2692764.3689507167</v>
      </c>
      <c r="HI19" s="31">
        <f t="shared" si="15"/>
        <v>2672180.3466724278</v>
      </c>
      <c r="HJ19" s="31">
        <f t="shared" si="15"/>
        <v>2906511.2462268099</v>
      </c>
      <c r="HK19" s="31">
        <f t="shared" si="15"/>
        <v>2162537.5987476693</v>
      </c>
      <c r="HL19" s="31">
        <f t="shared" si="15"/>
        <v>2390885.8179553282</v>
      </c>
      <c r="HM19" s="31">
        <f t="shared" si="15"/>
        <v>2699510.0897125746</v>
      </c>
      <c r="HN19" s="31">
        <f t="shared" si="15"/>
        <v>2467718.0434580487</v>
      </c>
      <c r="HO19" s="31">
        <f t="shared" si="15"/>
        <v>3383070.9926274493</v>
      </c>
      <c r="HP19" s="31">
        <f t="shared" si="15"/>
        <v>3364127.0579977105</v>
      </c>
      <c r="HQ19" s="31">
        <f t="shared" si="15"/>
        <v>3802994.8769199834</v>
      </c>
      <c r="HR19" s="31">
        <f t="shared" si="15"/>
        <v>3256778.0950958598</v>
      </c>
      <c r="HS19" s="31">
        <f t="shared" si="15"/>
        <v>3721992.2887480673</v>
      </c>
      <c r="HT19" s="31">
        <f t="shared" si="15"/>
        <v>2773547.3000192386</v>
      </c>
      <c r="HU19" s="31">
        <f t="shared" si="15"/>
        <v>2752345.7570726005</v>
      </c>
      <c r="HV19" s="31">
        <f t="shared" si="15"/>
        <v>2993706.5836136146</v>
      </c>
      <c r="HW19" s="31">
        <f t="shared" si="15"/>
        <v>2227413.7267100993</v>
      </c>
      <c r="HX19" s="31">
        <f t="shared" si="15"/>
        <v>2462612.3924939884</v>
      </c>
      <c r="HY19" s="31">
        <f t="shared" si="15"/>
        <v>2780495.3924039518</v>
      </c>
      <c r="HZ19" s="31">
        <f t="shared" si="15"/>
        <v>2541749.5847617905</v>
      </c>
      <c r="IA19" s="31">
        <f t="shared" si="15"/>
        <v>3484563.1224062722</v>
      </c>
      <c r="IB19" s="31">
        <f t="shared" si="15"/>
        <v>3465050.8697376419</v>
      </c>
      <c r="IC19" s="31">
        <f t="shared" si="15"/>
        <v>3917084.7232275829</v>
      </c>
      <c r="ID19" s="31">
        <f t="shared" si="15"/>
        <v>3354481.4379487354</v>
      </c>
      <c r="IE19" s="31">
        <f t="shared" si="15"/>
        <v>3833652.0574105098</v>
      </c>
      <c r="IF19" s="31">
        <f t="shared" si="15"/>
        <v>2856753.7190198153</v>
      </c>
      <c r="IG19" s="31">
        <f t="shared" si="15"/>
        <v>2834916.1297847787</v>
      </c>
      <c r="IH19" s="31">
        <f>+IH17+IH18</f>
        <v>3083517.7811220232</v>
      </c>
    </row>
    <row r="20" spans="1:242" x14ac:dyDescent="0.3"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</row>
    <row r="21" spans="1:242" x14ac:dyDescent="0.3">
      <c r="C21">
        <v>2024</v>
      </c>
      <c r="D21">
        <v>2025</v>
      </c>
      <c r="E21">
        <v>2026</v>
      </c>
      <c r="F21">
        <v>2027</v>
      </c>
      <c r="G21">
        <v>2028</v>
      </c>
      <c r="H21">
        <v>2029</v>
      </c>
      <c r="I21">
        <v>2030</v>
      </c>
      <c r="J21">
        <v>2031</v>
      </c>
      <c r="K21">
        <v>2032</v>
      </c>
      <c r="L21">
        <v>2033</v>
      </c>
      <c r="M21">
        <v>2034</v>
      </c>
      <c r="N21">
        <v>2035</v>
      </c>
      <c r="O21">
        <v>2036</v>
      </c>
      <c r="P21">
        <v>2037</v>
      </c>
      <c r="Q21">
        <v>2038</v>
      </c>
      <c r="R21">
        <v>2039</v>
      </c>
      <c r="S21">
        <v>2040</v>
      </c>
      <c r="T21">
        <v>2041</v>
      </c>
      <c r="U21">
        <v>2042</v>
      </c>
      <c r="V21">
        <v>2043</v>
      </c>
      <c r="W21">
        <v>2044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</row>
    <row r="22" spans="1:242" x14ac:dyDescent="0.3">
      <c r="A22" s="6" t="s">
        <v>913</v>
      </c>
      <c r="C22" s="31">
        <f>+SUMIFS(19:19,12:12,C21)</f>
        <v>7013466.0600000005</v>
      </c>
      <c r="D22" s="31">
        <f>+SUMIFS(19:19,12:12,D21)</f>
        <v>22396725.719999999</v>
      </c>
      <c r="E22" s="31">
        <f>+SUMIFS(19:19,12:12,E21)</f>
        <v>21878802.057840005</v>
      </c>
      <c r="F22" s="31">
        <f t="shared" ref="F22:L22" si="16">+SUMIFS(19:19,12:12,F21)</f>
        <v>22535166.119575199</v>
      </c>
      <c r="G22" s="31">
        <f t="shared" si="16"/>
        <v>23211221.10316246</v>
      </c>
      <c r="H22" s="31">
        <f t="shared" si="16"/>
        <v>23907557.736257333</v>
      </c>
      <c r="I22" s="31">
        <f t="shared" si="16"/>
        <v>24624784.468345046</v>
      </c>
      <c r="J22" s="31">
        <f t="shared" si="16"/>
        <v>25363528.002395403</v>
      </c>
      <c r="K22" s="31">
        <f t="shared" si="16"/>
        <v>26124433.842467271</v>
      </c>
      <c r="L22" s="31">
        <f t="shared" si="16"/>
        <v>26908166.857741289</v>
      </c>
      <c r="M22" s="31">
        <f>+SUMIFS(19:19,12:12,M21)</f>
        <v>27715411.863473527</v>
      </c>
      <c r="N22" s="31">
        <f t="shared" ref="N22:V22" si="17">+SUMIFS(19:19,12:12,N21)</f>
        <v>28546874.219377734</v>
      </c>
      <c r="O22" s="31">
        <f t="shared" si="17"/>
        <v>29403280.445959069</v>
      </c>
      <c r="P22" s="31">
        <f t="shared" si="17"/>
        <v>30285378.859337837</v>
      </c>
      <c r="Q22" s="31">
        <f t="shared" si="17"/>
        <v>31193940.22511797</v>
      </c>
      <c r="R22" s="31">
        <f t="shared" si="17"/>
        <v>32129758.431871511</v>
      </c>
      <c r="S22" s="31">
        <f t="shared" si="17"/>
        <v>33093651.184827656</v>
      </c>
      <c r="T22" s="31">
        <f t="shared" si="17"/>
        <v>34086460.720372491</v>
      </c>
      <c r="U22" s="31">
        <f t="shared" si="17"/>
        <v>35109054.541983664</v>
      </c>
      <c r="V22" s="31">
        <f t="shared" si="17"/>
        <v>36162326.178243183</v>
      </c>
      <c r="W22" s="31">
        <f>+SUMIFS(19:19,12:12,W21)</f>
        <v>23345456.718251087</v>
      </c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</row>
    <row r="24" spans="1:242" x14ac:dyDescent="0.3">
      <c r="A24" s="6" t="s">
        <v>914</v>
      </c>
      <c r="C24" s="14">
        <v>45505</v>
      </c>
      <c r="D24" s="14">
        <v>45536</v>
      </c>
      <c r="E24" s="14">
        <v>45566</v>
      </c>
      <c r="F24" s="14">
        <v>45597</v>
      </c>
      <c r="G24" s="14">
        <v>45627</v>
      </c>
      <c r="H24" s="14">
        <v>45658</v>
      </c>
      <c r="I24" s="14">
        <v>45689</v>
      </c>
      <c r="J24" s="14">
        <v>45717</v>
      </c>
      <c r="K24" s="14">
        <v>45748</v>
      </c>
      <c r="L24" s="14">
        <v>45778</v>
      </c>
      <c r="M24" s="14">
        <v>45809</v>
      </c>
      <c r="N24" s="14">
        <v>45839</v>
      </c>
      <c r="O24" s="14">
        <v>45870</v>
      </c>
      <c r="P24" s="14">
        <v>45901</v>
      </c>
      <c r="Q24" s="14">
        <v>45931</v>
      </c>
      <c r="R24" s="14">
        <v>45962</v>
      </c>
      <c r="S24" s="14">
        <v>45992</v>
      </c>
      <c r="T24" s="14">
        <v>46023</v>
      </c>
      <c r="U24" s="14">
        <v>46054</v>
      </c>
      <c r="V24" s="14">
        <v>46082</v>
      </c>
      <c r="W24" s="14">
        <v>46113</v>
      </c>
      <c r="X24" s="14">
        <v>46143</v>
      </c>
      <c r="Y24" s="14">
        <v>46174</v>
      </c>
      <c r="Z24" s="14">
        <v>46204</v>
      </c>
      <c r="AA24" s="14">
        <v>46235</v>
      </c>
      <c r="AB24" s="14">
        <v>46266</v>
      </c>
      <c r="AC24" s="14">
        <v>46296</v>
      </c>
      <c r="AD24" s="14">
        <v>46327</v>
      </c>
      <c r="AE24" s="14">
        <v>46357</v>
      </c>
      <c r="AF24" s="14">
        <v>46388</v>
      </c>
      <c r="AG24" s="14">
        <v>46419</v>
      </c>
      <c r="AH24" s="14">
        <v>46447</v>
      </c>
      <c r="AI24" s="14">
        <v>46478</v>
      </c>
      <c r="AJ24" s="14">
        <v>46508</v>
      </c>
      <c r="AK24" s="14">
        <v>46539</v>
      </c>
      <c r="AL24" s="14">
        <v>46569</v>
      </c>
      <c r="AM24" s="14">
        <v>46600</v>
      </c>
      <c r="AN24" s="14">
        <v>46631</v>
      </c>
      <c r="AO24" s="14">
        <v>46661</v>
      </c>
      <c r="AP24" s="14">
        <v>46692</v>
      </c>
      <c r="AQ24" s="14">
        <v>46722</v>
      </c>
      <c r="AR24" s="14">
        <v>46753</v>
      </c>
      <c r="AS24" s="14">
        <v>46784</v>
      </c>
      <c r="AT24" s="14">
        <v>46813</v>
      </c>
      <c r="AU24" s="14">
        <v>46844</v>
      </c>
      <c r="AV24" s="14">
        <v>46874</v>
      </c>
      <c r="AW24" s="14">
        <v>46905</v>
      </c>
      <c r="AX24" s="14">
        <v>46935</v>
      </c>
      <c r="AY24" s="14">
        <v>46966</v>
      </c>
      <c r="AZ24" s="14">
        <v>46997</v>
      </c>
      <c r="BA24" s="14">
        <v>47027</v>
      </c>
      <c r="BB24" s="14">
        <v>47058</v>
      </c>
      <c r="BC24" s="14">
        <v>47088</v>
      </c>
      <c r="BD24" s="14">
        <v>47119</v>
      </c>
      <c r="BE24" s="14">
        <v>47150</v>
      </c>
      <c r="BF24" s="14">
        <v>47178</v>
      </c>
      <c r="BG24" s="14">
        <v>47209</v>
      </c>
      <c r="BH24" s="14">
        <v>47239</v>
      </c>
      <c r="BI24" s="14">
        <v>47270</v>
      </c>
      <c r="BJ24" s="14">
        <v>47300</v>
      </c>
      <c r="BK24" s="14">
        <v>47331</v>
      </c>
      <c r="BL24" s="14">
        <v>47362</v>
      </c>
      <c r="BM24" s="14">
        <v>47392</v>
      </c>
      <c r="BN24" s="14">
        <v>47423</v>
      </c>
      <c r="BO24" s="14">
        <v>47453</v>
      </c>
      <c r="BP24" s="14">
        <v>47484</v>
      </c>
      <c r="BQ24" s="14">
        <v>47515</v>
      </c>
      <c r="BR24" s="14">
        <v>47543</v>
      </c>
      <c r="BS24" s="14">
        <v>47574</v>
      </c>
      <c r="BT24" s="14">
        <v>47604</v>
      </c>
      <c r="BU24" s="14">
        <v>47635</v>
      </c>
      <c r="BV24" s="14">
        <v>47665</v>
      </c>
      <c r="BW24" s="14">
        <v>47696</v>
      </c>
      <c r="BX24" s="14">
        <v>47727</v>
      </c>
      <c r="BY24" s="14">
        <v>47757</v>
      </c>
      <c r="BZ24" s="14">
        <v>47788</v>
      </c>
      <c r="CA24" s="14">
        <v>47818</v>
      </c>
      <c r="CB24" s="14">
        <v>47849</v>
      </c>
      <c r="CC24" s="14">
        <v>47880</v>
      </c>
      <c r="CD24" s="14">
        <v>47908</v>
      </c>
      <c r="CE24" s="14">
        <v>47939</v>
      </c>
      <c r="CF24" s="14">
        <v>47969</v>
      </c>
      <c r="CG24" s="14">
        <v>48000</v>
      </c>
      <c r="CH24" s="14">
        <v>48030</v>
      </c>
      <c r="CI24" s="14">
        <v>48061</v>
      </c>
      <c r="CJ24" s="14">
        <v>48092</v>
      </c>
      <c r="CK24" s="14">
        <v>48122</v>
      </c>
      <c r="CL24" s="14">
        <v>48153</v>
      </c>
      <c r="CM24" s="14">
        <v>48183</v>
      </c>
      <c r="CN24" s="14">
        <v>48214</v>
      </c>
      <c r="CO24" s="14">
        <v>48245</v>
      </c>
      <c r="CP24" s="14">
        <v>48274</v>
      </c>
      <c r="CQ24" s="14">
        <v>48305</v>
      </c>
      <c r="CR24" s="14">
        <v>48335</v>
      </c>
      <c r="CS24" s="14">
        <v>48366</v>
      </c>
      <c r="CT24" s="14">
        <v>48396</v>
      </c>
      <c r="CU24" s="14">
        <v>48427</v>
      </c>
      <c r="CV24" s="14">
        <v>48458</v>
      </c>
      <c r="CW24" s="14">
        <v>48488</v>
      </c>
      <c r="CX24" s="14">
        <v>48519</v>
      </c>
      <c r="CY24" s="14">
        <v>48549</v>
      </c>
      <c r="CZ24" s="14">
        <v>48580</v>
      </c>
      <c r="DA24" s="14">
        <v>48611</v>
      </c>
      <c r="DB24" s="14">
        <v>48639</v>
      </c>
      <c r="DC24" s="14">
        <v>48670</v>
      </c>
      <c r="DD24" s="14">
        <v>48700</v>
      </c>
      <c r="DE24" s="14">
        <v>48731</v>
      </c>
      <c r="DF24" s="14">
        <v>48761</v>
      </c>
      <c r="DG24" s="14">
        <v>48792</v>
      </c>
      <c r="DH24" s="14">
        <v>48823</v>
      </c>
      <c r="DI24" s="14">
        <v>48853</v>
      </c>
      <c r="DJ24" s="14">
        <v>48884</v>
      </c>
      <c r="DK24" s="14">
        <v>48914</v>
      </c>
      <c r="DL24" s="14">
        <v>48945</v>
      </c>
      <c r="DM24" s="14">
        <v>48976</v>
      </c>
      <c r="DN24" s="14">
        <v>49004</v>
      </c>
      <c r="DO24" s="14">
        <v>49035</v>
      </c>
      <c r="DP24" s="14">
        <v>49065</v>
      </c>
      <c r="DQ24" s="14">
        <v>49096</v>
      </c>
      <c r="DR24" s="14">
        <v>49126</v>
      </c>
      <c r="DS24" s="14">
        <v>49157</v>
      </c>
      <c r="DT24" s="14">
        <v>49188</v>
      </c>
      <c r="DU24" s="14">
        <v>49218</v>
      </c>
      <c r="DV24" s="14">
        <v>49249</v>
      </c>
      <c r="DW24" s="14">
        <v>49279</v>
      </c>
      <c r="DX24" s="14">
        <v>49310</v>
      </c>
      <c r="DY24" s="14">
        <v>49341</v>
      </c>
      <c r="DZ24" s="14">
        <v>49369</v>
      </c>
      <c r="EA24" s="14">
        <v>49400</v>
      </c>
      <c r="EB24" s="14">
        <v>49430</v>
      </c>
      <c r="EC24" s="14">
        <v>49461</v>
      </c>
      <c r="ED24" s="14">
        <v>49491</v>
      </c>
      <c r="EE24" s="14">
        <v>49522</v>
      </c>
      <c r="EF24" s="14">
        <v>49553</v>
      </c>
      <c r="EG24" s="14">
        <v>49583</v>
      </c>
      <c r="EH24" s="14">
        <v>49614</v>
      </c>
      <c r="EI24" s="14">
        <v>49644</v>
      </c>
      <c r="EJ24" s="14">
        <v>49675</v>
      </c>
      <c r="EK24" s="14">
        <v>49706</v>
      </c>
      <c r="EL24" s="14">
        <v>49735</v>
      </c>
      <c r="EM24" s="14">
        <v>49766</v>
      </c>
      <c r="EN24" s="14">
        <v>49796</v>
      </c>
      <c r="EO24" s="14">
        <v>49827</v>
      </c>
      <c r="EP24" s="14">
        <v>49857</v>
      </c>
      <c r="EQ24" s="14">
        <v>49888</v>
      </c>
      <c r="ER24" s="14">
        <v>49919</v>
      </c>
      <c r="ES24" s="14">
        <v>49949</v>
      </c>
      <c r="ET24" s="14">
        <v>49980</v>
      </c>
      <c r="EU24" s="14">
        <v>50010</v>
      </c>
      <c r="EV24" s="14">
        <v>50041</v>
      </c>
      <c r="EW24" s="14">
        <v>50072</v>
      </c>
      <c r="EX24" s="14">
        <v>50100</v>
      </c>
      <c r="EY24" s="14">
        <v>50131</v>
      </c>
      <c r="EZ24" s="14">
        <v>50161</v>
      </c>
      <c r="FA24" s="14">
        <v>50192</v>
      </c>
      <c r="FB24" s="14">
        <v>50222</v>
      </c>
      <c r="FC24" s="14">
        <v>50253</v>
      </c>
      <c r="FD24" s="14">
        <v>50284</v>
      </c>
      <c r="FE24" s="14">
        <v>50314</v>
      </c>
      <c r="FF24" s="14">
        <v>50345</v>
      </c>
      <c r="FG24" s="14">
        <v>50375</v>
      </c>
      <c r="FH24" s="14">
        <v>50406</v>
      </c>
      <c r="FI24" s="14">
        <v>50437</v>
      </c>
      <c r="FJ24" s="14">
        <v>50465</v>
      </c>
      <c r="FK24" s="14">
        <v>50496</v>
      </c>
      <c r="FL24" s="14">
        <v>50526</v>
      </c>
      <c r="FM24" s="14">
        <v>50557</v>
      </c>
      <c r="FN24" s="14">
        <v>50587</v>
      </c>
      <c r="FO24" s="14">
        <v>50618</v>
      </c>
      <c r="FP24" s="14">
        <v>50649</v>
      </c>
      <c r="FQ24" s="14">
        <v>50679</v>
      </c>
      <c r="FR24" s="14">
        <v>50710</v>
      </c>
      <c r="FS24" s="14">
        <v>50740</v>
      </c>
      <c r="FT24" s="14">
        <v>50771</v>
      </c>
      <c r="FU24" s="14">
        <v>50802</v>
      </c>
      <c r="FV24" s="14">
        <v>50830</v>
      </c>
      <c r="FW24" s="14">
        <v>50861</v>
      </c>
      <c r="FX24" s="14">
        <v>50891</v>
      </c>
      <c r="FY24" s="14">
        <v>50922</v>
      </c>
      <c r="FZ24" s="14">
        <v>50952</v>
      </c>
      <c r="GA24" s="14">
        <v>50983</v>
      </c>
      <c r="GB24" s="14">
        <v>51014</v>
      </c>
      <c r="GC24" s="14">
        <v>51044</v>
      </c>
      <c r="GD24" s="14">
        <v>51075</v>
      </c>
      <c r="GE24" s="14">
        <v>51105</v>
      </c>
      <c r="GF24" s="14">
        <v>51136</v>
      </c>
      <c r="GG24" s="14">
        <v>51167</v>
      </c>
      <c r="GH24" s="14">
        <v>51196</v>
      </c>
      <c r="GI24" s="14">
        <v>51227</v>
      </c>
      <c r="GJ24" s="14">
        <v>51257</v>
      </c>
      <c r="GK24" s="14">
        <v>51288</v>
      </c>
      <c r="GL24" s="14">
        <v>51318</v>
      </c>
      <c r="GM24" s="14">
        <v>51349</v>
      </c>
      <c r="GN24" s="14">
        <v>51380</v>
      </c>
      <c r="GO24" s="14">
        <v>51410</v>
      </c>
      <c r="GP24" s="14">
        <v>51441</v>
      </c>
      <c r="GQ24" s="14">
        <v>51471</v>
      </c>
      <c r="GR24" s="14">
        <v>51502</v>
      </c>
      <c r="GS24" s="14">
        <v>51533</v>
      </c>
      <c r="GT24" s="14">
        <v>51561</v>
      </c>
      <c r="GU24" s="14">
        <v>51592</v>
      </c>
      <c r="GV24" s="14">
        <v>51622</v>
      </c>
      <c r="GW24" s="14">
        <v>51653</v>
      </c>
      <c r="GX24" s="14">
        <v>51683</v>
      </c>
      <c r="GY24" s="14">
        <v>51714</v>
      </c>
      <c r="GZ24" s="14">
        <v>51745</v>
      </c>
      <c r="HA24" s="14">
        <v>51775</v>
      </c>
      <c r="HB24" s="14">
        <v>51806</v>
      </c>
      <c r="HC24" s="14">
        <v>51836</v>
      </c>
      <c r="HD24" s="14">
        <v>51867</v>
      </c>
      <c r="HE24" s="14">
        <v>51898</v>
      </c>
      <c r="HF24" s="14">
        <v>51926</v>
      </c>
      <c r="HG24" s="14">
        <v>51957</v>
      </c>
      <c r="HH24" s="14">
        <v>51987</v>
      </c>
      <c r="HI24" s="14">
        <v>52018</v>
      </c>
      <c r="HJ24" s="14">
        <v>52048</v>
      </c>
      <c r="HK24" s="14">
        <v>52079</v>
      </c>
      <c r="HL24" s="14">
        <v>52110</v>
      </c>
      <c r="HM24" s="14">
        <v>52140</v>
      </c>
      <c r="HN24" s="14">
        <v>52171</v>
      </c>
      <c r="HO24" s="14">
        <v>52201</v>
      </c>
      <c r="HP24" s="14">
        <v>52232</v>
      </c>
      <c r="HQ24" s="14">
        <v>52263</v>
      </c>
      <c r="HR24" s="14">
        <v>52291</v>
      </c>
      <c r="HS24" s="14">
        <v>52322</v>
      </c>
      <c r="HT24" s="14">
        <v>52352</v>
      </c>
      <c r="HU24" s="14">
        <v>52383</v>
      </c>
      <c r="HV24" s="14">
        <v>52413</v>
      </c>
      <c r="HW24" s="14">
        <v>52444</v>
      </c>
      <c r="HX24" s="14">
        <v>52475</v>
      </c>
      <c r="HY24" s="14">
        <v>52505</v>
      </c>
      <c r="HZ24" s="14">
        <v>52536</v>
      </c>
      <c r="IA24" s="14">
        <v>52566</v>
      </c>
      <c r="IB24" s="14">
        <v>52597</v>
      </c>
      <c r="IC24" s="14">
        <v>52628</v>
      </c>
      <c r="ID24" s="14">
        <v>52657</v>
      </c>
      <c r="IE24" s="14">
        <v>52688</v>
      </c>
      <c r="IF24" s="14">
        <v>52718</v>
      </c>
      <c r="IG24" s="14">
        <v>52749</v>
      </c>
      <c r="IH24" s="14">
        <v>52779</v>
      </c>
    </row>
    <row r="25" spans="1:242" x14ac:dyDescent="0.3">
      <c r="A25" t="s">
        <v>915</v>
      </c>
      <c r="C25" s="30"/>
      <c r="D25" s="30">
        <f>+Producción!E13*'Análisis cliente final LP'!C6</f>
        <v>66687.424512501282</v>
      </c>
      <c r="E25" s="30">
        <f>+Producción!F13*'Análisis cliente final LP'!D6</f>
        <v>91961.158575131791</v>
      </c>
      <c r="F25" s="30">
        <f>+Producción!G13*'Análisis cliente final LP'!E6</f>
        <v>88539.903629012711</v>
      </c>
      <c r="G25" s="30">
        <f>+Producción!H13*'Análisis cliente final LP'!F6</f>
        <v>82610.396620572123</v>
      </c>
      <c r="H25" s="30">
        <f>+Producción!I13*'Análisis cliente final LP'!G6</f>
        <v>101781.56592602865</v>
      </c>
      <c r="I25" s="30">
        <f>+Producción!J13*'Análisis cliente final LP'!H6</f>
        <v>125437.95757056975</v>
      </c>
      <c r="J25" s="30">
        <f>+Producción!K13*'Análisis cliente final LP'!I6</f>
        <v>131270.49929175971</v>
      </c>
      <c r="K25" s="30">
        <f>+Producción!L13*'Análisis cliente final LP'!J6</f>
        <v>125495.70303110732</v>
      </c>
      <c r="L25" s="30">
        <f>+Producción!M13*'Análisis cliente final LP'!K6</f>
        <v>91489.676189293314</v>
      </c>
      <c r="M25" s="30">
        <f>+Producción!N13*'Análisis cliente final LP'!L6</f>
        <v>88360.656415209087</v>
      </c>
      <c r="N25" s="30">
        <f>+Producción!O13*'Análisis cliente final LP'!M6</f>
        <v>98135.431302765835</v>
      </c>
      <c r="O25" s="30">
        <f>+Producción!P13*'Análisis cliente final LP'!N6</f>
        <v>70376.2525564807</v>
      </c>
      <c r="P25" s="30">
        <f>+Producción!Q13*'Análisis cliente final LP'!O6</f>
        <v>70261.383349018812</v>
      </c>
      <c r="Q25" s="30">
        <f>+Producción!R13*'Análisis cliente final LP'!P6</f>
        <v>94985.633539129311</v>
      </c>
      <c r="R25" s="30">
        <f>+Producción!S13*'Análisis cliente final LP'!Q6</f>
        <v>79318.769456991213</v>
      </c>
      <c r="S25" s="30">
        <f>+Producción!T13*'Análisis cliente final LP'!R6</f>
        <v>71217.293719734953</v>
      </c>
      <c r="T25" s="30">
        <f>+Producción!U13*'Análisis cliente final LP'!S6</f>
        <v>104835.01290380952</v>
      </c>
      <c r="U25" s="30">
        <f>+Producción!V13*'Análisis cliente final LP'!T6</f>
        <v>129201.09629768685</v>
      </c>
      <c r="V25" s="30">
        <f>+Producción!W13*'Análisis cliente final LP'!U6</f>
        <v>135208.61427051251</v>
      </c>
      <c r="W25" s="30">
        <f>+Producción!X13*'Análisis cliente final LP'!V6</f>
        <v>129260.57412204055</v>
      </c>
      <c r="X25" s="30">
        <f>+Producción!Y13*'Análisis cliente final LP'!W6</f>
        <v>94234.366474972121</v>
      </c>
      <c r="Y25" s="30">
        <f>+Producción!Z13*'Análisis cliente final LP'!X6</f>
        <v>91011.476107665367</v>
      </c>
      <c r="Z25" s="30">
        <f>+Producción!AA13*'Análisis cliente final LP'!Y6</f>
        <v>101079.49424184881</v>
      </c>
      <c r="AA25" s="30">
        <f>+Producción!AB13*'Análisis cliente final LP'!Z6</f>
        <v>72487.54013317512</v>
      </c>
      <c r="AB25" s="30">
        <f>+Producción!AC13*'Análisis cliente final LP'!AA6</f>
        <v>72369.224849489372</v>
      </c>
      <c r="AC25" s="30">
        <f>+Producción!AD13*'Análisis cliente final LP'!AB6</f>
        <v>97835.202545303182</v>
      </c>
      <c r="AD25" s="30">
        <f>+Producción!AE13*'Análisis cliente final LP'!AC6</f>
        <v>81698.332540700954</v>
      </c>
      <c r="AE25" s="30">
        <f>+Producción!AF13*'Análisis cliente final LP'!AD6</f>
        <v>73353.812531326999</v>
      </c>
      <c r="AF25" s="30">
        <f>+Producción!AG13*'Análisis cliente final LP'!AE6</f>
        <v>107980.0632909238</v>
      </c>
      <c r="AG25" s="30">
        <f>+Producción!AH13*'Análisis cliente final LP'!AF6</f>
        <v>133077.12918661747</v>
      </c>
      <c r="AH25" s="30">
        <f>+Producción!AI13*'Análisis cliente final LP'!AG6</f>
        <v>139264.87269862788</v>
      </c>
      <c r="AI25" s="30">
        <f>+Producción!AJ13*'Análisis cliente final LP'!AH6</f>
        <v>133138.39134570176</v>
      </c>
      <c r="AJ25" s="30">
        <f>+Producción!AK13*'Análisis cliente final LP'!AI6</f>
        <v>97061.39746922128</v>
      </c>
      <c r="AK25" s="30">
        <f>+Producción!AL13*'Análisis cliente final LP'!AJ6</f>
        <v>93741.820390895329</v>
      </c>
      <c r="AL25" s="30">
        <f>+Producción!AM13*'Análisis cliente final LP'!AK6</f>
        <v>104111.87906910428</v>
      </c>
      <c r="AM25" s="30">
        <f>+Producción!AN13*'Análisis cliente final LP'!AL6</f>
        <v>74662.166337170376</v>
      </c>
      <c r="AN25" s="30">
        <f>+Producción!AO13*'Análisis cliente final LP'!AM6</f>
        <v>74540.301594974066</v>
      </c>
      <c r="AO25" s="30">
        <f>+Producción!AP13*'Análisis cliente final LP'!AN6</f>
        <v>100770.25862166229</v>
      </c>
      <c r="AP25" s="30">
        <f>+Producción!AQ13*'Análisis cliente final LP'!AO6</f>
        <v>84149.282516921987</v>
      </c>
      <c r="AQ25" s="30">
        <f>+Producción!AR13*'Análisis cliente final LP'!AP6</f>
        <v>75554.42690726681</v>
      </c>
      <c r="AR25" s="30">
        <f>+Producción!AS13*'Análisis cliente final LP'!AQ6</f>
        <v>111219.46518965153</v>
      </c>
      <c r="AS25" s="30">
        <f>+Producción!AT13*'Análisis cliente final LP'!AR6</f>
        <v>137069.44306221599</v>
      </c>
      <c r="AT25" s="30">
        <f>+Producción!AU13*'Análisis cliente final LP'!AS6</f>
        <v>143442.8188795867</v>
      </c>
      <c r="AU25" s="30">
        <f>+Producción!AV13*'Análisis cliente final LP'!AT6</f>
        <v>137132.54308607284</v>
      </c>
      <c r="AV25" s="30">
        <f>+Producción!AW13*'Análisis cliente final LP'!AU6</f>
        <v>99973.239393297918</v>
      </c>
      <c r="AW25" s="30">
        <f>+Producción!AX13*'Análisis cliente final LP'!AV6</f>
        <v>96554.075002622194</v>
      </c>
      <c r="AX25" s="30">
        <f>+Producción!AY13*'Análisis cliente final LP'!AW6</f>
        <v>107235.23544117741</v>
      </c>
      <c r="AY25" s="30">
        <f>+Producción!AZ13*'Análisis cliente final LP'!AX6</f>
        <v>76902.031327285484</v>
      </c>
      <c r="AZ25" s="30">
        <f>+Producción!BA13*'Análisis cliente final LP'!AY6</f>
        <v>76776.510642823298</v>
      </c>
      <c r="BA25" s="30">
        <f>+Producción!BB13*'Análisis cliente final LP'!AZ6</f>
        <v>103793.36638031216</v>
      </c>
      <c r="BB25" s="30">
        <f>+Producción!BC13*'Análisis cliente final LP'!BA6</f>
        <v>86673.760992429641</v>
      </c>
      <c r="BC25" s="30">
        <f>+Producción!BD13*'Análisis cliente final LP'!BB6</f>
        <v>77821.059714484814</v>
      </c>
      <c r="BD25" s="30">
        <f>+Producción!BE13*'Análisis cliente final LP'!BC6</f>
        <v>114556.04914534107</v>
      </c>
      <c r="BE25" s="30">
        <f>+Producción!BF13*'Análisis cliente final LP'!BD6</f>
        <v>141181.52635408248</v>
      </c>
      <c r="BF25" s="30">
        <f>+Producción!BG13*'Análisis cliente final LP'!BE6</f>
        <v>147746.1034459743</v>
      </c>
      <c r="BG25" s="30">
        <f>+Producción!BH13*'Análisis cliente final LP'!BF6</f>
        <v>141246.51937865501</v>
      </c>
      <c r="BH25" s="30">
        <f>+Producción!BI13*'Análisis cliente final LP'!BG6</f>
        <v>102972.43657509686</v>
      </c>
      <c r="BI25" s="30">
        <f>+Producción!BJ13*'Análisis cliente final LP'!BH6</f>
        <v>99450.697252700862</v>
      </c>
      <c r="BJ25" s="30">
        <f>+Producción!BK13*'Análisis cliente final LP'!BI6</f>
        <v>110452.29250441275</v>
      </c>
      <c r="BK25" s="30">
        <f>+Producción!BL13*'Análisis cliente final LP'!BJ6</f>
        <v>79209.092267104046</v>
      </c>
      <c r="BL25" s="30">
        <f>+Producción!BM13*'Análisis cliente final LP'!BK6</f>
        <v>79079.805962107988</v>
      </c>
      <c r="BM25" s="30">
        <f>+Producción!BN13*'Análisis cliente final LP'!BL6</f>
        <v>106907.16737172153</v>
      </c>
      <c r="BN25" s="30">
        <f>+Producción!BO13*'Análisis cliente final LP'!BM6</f>
        <v>89273.973822202533</v>
      </c>
      <c r="BO25" s="30">
        <f>+Producción!BP13*'Análisis cliente final LP'!BN6</f>
        <v>80155.691505919371</v>
      </c>
      <c r="BP25" s="30">
        <f>+Producción!BQ13*'Análisis cliente final LP'!BO6</f>
        <v>117992.73061970131</v>
      </c>
      <c r="BQ25" s="30">
        <f>+Producción!BR13*'Análisis cliente final LP'!BP6</f>
        <v>145416.97214470495</v>
      </c>
      <c r="BR25" s="30">
        <f>+Producción!BS13*'Análisis cliente final LP'!BQ6</f>
        <v>152178.48654935355</v>
      </c>
      <c r="BS25" s="30">
        <f>+Producción!BT13*'Análisis cliente final LP'!BR6</f>
        <v>145483.91496001469</v>
      </c>
      <c r="BT25" s="30">
        <f>+Producción!BU13*'Análisis cliente final LP'!BS6</f>
        <v>106061.60967234976</v>
      </c>
      <c r="BU25" s="30">
        <f>+Producción!BV13*'Análisis cliente final LP'!BT6</f>
        <v>102434.21817028189</v>
      </c>
      <c r="BV25" s="30">
        <f>+Producción!BW13*'Análisis cliente final LP'!BU6</f>
        <v>113765.86127954515</v>
      </c>
      <c r="BW25" s="30">
        <f>+Producción!BX13*'Análisis cliente final LP'!BV6</f>
        <v>81585.365035117167</v>
      </c>
      <c r="BX25" s="30">
        <f>+Producción!BY13*'Análisis cliente final LP'!BW6</f>
        <v>81452.200140971239</v>
      </c>
      <c r="BY25" s="30">
        <f>+Producción!BZ13*'Análisis cliente final LP'!BX6</f>
        <v>110114.38239287319</v>
      </c>
      <c r="BZ25" s="30">
        <f>+Producción!CA13*'Análisis cliente final LP'!BY6</f>
        <v>91952.19303686863</v>
      </c>
      <c r="CA25" s="30">
        <f>+Producción!CB13*'Análisis cliente final LP'!BZ6</f>
        <v>82560.362251096944</v>
      </c>
      <c r="CB25" s="30">
        <f>+Producción!CC13*'Análisis cliente final LP'!CA6</f>
        <v>121532.51253829234</v>
      </c>
      <c r="CC25" s="30">
        <f>+Producción!CD13*'Análisis cliente final LP'!CB6</f>
        <v>149779.4813090461</v>
      </c>
      <c r="CD25" s="30">
        <f>+Producción!CE13*'Análisis cliente final LP'!CC6</f>
        <v>156743.84114583416</v>
      </c>
      <c r="CE25" s="30">
        <f>+Producción!CF13*'Análisis cliente final LP'!CD6</f>
        <v>149848.43240881513</v>
      </c>
      <c r="CF25" s="30">
        <f>+Producción!CG13*'Análisis cliente final LP'!CE6</f>
        <v>109243.45796252028</v>
      </c>
      <c r="CG25" s="30">
        <f>+Producción!CH13*'Análisis cliente final LP'!CF6</f>
        <v>105507.24471539035</v>
      </c>
      <c r="CH25" s="30">
        <f>+Producción!CI13*'Análisis cliente final LP'!CG6</f>
        <v>117178.83711793149</v>
      </c>
      <c r="CI25" s="30">
        <f>+Producción!CJ13*'Análisis cliente final LP'!CH6</f>
        <v>84032.925986170681</v>
      </c>
      <c r="CJ25" s="30">
        <f>+Producción!CK13*'Análisis cliente final LP'!CI6</f>
        <v>83895.766145200381</v>
      </c>
      <c r="CK25" s="30">
        <f>+Producción!CL13*'Análisis cliente final LP'!CJ6</f>
        <v>113417.81386465939</v>
      </c>
      <c r="CL25" s="30">
        <f>+Producción!CM13*'Análisis cliente final LP'!CK6</f>
        <v>94710.758827974685</v>
      </c>
      <c r="CM25" s="30">
        <f>+Producción!CN13*'Análisis cliente final LP'!CL6</f>
        <v>85037.173118629857</v>
      </c>
      <c r="CN25" s="30">
        <f>+Producción!CO13*'Análisis cliente final LP'!CM6</f>
        <v>125178.48791444111</v>
      </c>
      <c r="CO25" s="30">
        <f>+Producción!CP13*'Análisis cliente final LP'!CN6</f>
        <v>154272.86574831748</v>
      </c>
      <c r="CP25" s="30">
        <f>+Producción!CQ13*'Análisis cliente final LP'!CO6</f>
        <v>161446.1563802092</v>
      </c>
      <c r="CQ25" s="30">
        <f>+Producción!CR13*'Análisis cliente final LP'!CP6</f>
        <v>154343.88538107957</v>
      </c>
      <c r="CR25" s="30">
        <f>+Producción!CS13*'Análisis cliente final LP'!CQ6</f>
        <v>112520.76170139588</v>
      </c>
      <c r="CS25" s="30">
        <f>+Producción!CT13*'Análisis cliente final LP'!CR6</f>
        <v>108672.46205685206</v>
      </c>
      <c r="CT25" s="30">
        <f>+Producción!CU13*'Análisis cliente final LP'!CS6</f>
        <v>120694.20223146945</v>
      </c>
      <c r="CU25" s="30">
        <f>+Producción!CV13*'Análisis cliente final LP'!CT6</f>
        <v>86553.913765755802</v>
      </c>
      <c r="CV25" s="30">
        <f>+Producción!CW13*'Análisis cliente final LP'!CU6</f>
        <v>86412.639129556395</v>
      </c>
      <c r="CW25" s="30">
        <f>+Producción!CX13*'Análisis cliente final LP'!CV6</f>
        <v>116820.34828059917</v>
      </c>
      <c r="CX25" s="30">
        <f>+Producción!CY13*'Análisis cliente final LP'!CW6</f>
        <v>97552.08159281392</v>
      </c>
      <c r="CY25" s="30">
        <f>+Producción!CZ13*'Análisis cliente final LP'!CX6</f>
        <v>87588.288312188743</v>
      </c>
      <c r="CZ25" s="30">
        <f>+Producción!DA13*'Análisis cliente final LP'!CY6</f>
        <v>128933.84255187435</v>
      </c>
      <c r="DA25" s="30">
        <f>+Producción!DB13*'Análisis cliente final LP'!CZ6</f>
        <v>158901.05172076702</v>
      </c>
      <c r="DB25" s="30">
        <f>+Producción!DC13*'Análisis cliente final LP'!DA6</f>
        <v>166289.5410716155</v>
      </c>
      <c r="DC25" s="30">
        <f>+Producción!DD13*'Análisis cliente final LP'!DB6</f>
        <v>158974.20194251195</v>
      </c>
      <c r="DD25" s="30">
        <f>+Producción!DE13*'Análisis cliente final LP'!DC6</f>
        <v>115896.38455243775</v>
      </c>
      <c r="DE25" s="30">
        <f>+Producción!DF13*'Análisis cliente final LP'!DD6</f>
        <v>111932.63591855763</v>
      </c>
      <c r="DF25" s="30">
        <f>+Producción!DG13*'Análisis cliente final LP'!DE6</f>
        <v>124315.02829841353</v>
      </c>
      <c r="DG25" s="30">
        <f>+Producción!DH13*'Análisis cliente final LP'!DF6</f>
        <v>89150.531178728474</v>
      </c>
      <c r="DH25" s="30">
        <f>+Producción!DI13*'Análisis cliente final LP'!DG6</f>
        <v>89005.018303443096</v>
      </c>
      <c r="DI25" s="30">
        <f>+Producción!DJ13*'Análisis cliente final LP'!DH6</f>
        <v>120324.95872901713</v>
      </c>
      <c r="DJ25" s="30">
        <f>+Producción!DK13*'Análisis cliente final LP'!DI6</f>
        <v>100478.64404059833</v>
      </c>
      <c r="DK25" s="30">
        <f>+Producción!DL13*'Análisis cliente final LP'!DJ6</f>
        <v>90215.936961554413</v>
      </c>
      <c r="DL25" s="30">
        <f>+Producción!DM13*'Análisis cliente final LP'!DK6</f>
        <v>132801.8578284306</v>
      </c>
      <c r="DM25" s="30">
        <f>+Producción!DN13*'Análisis cliente final LP'!DL6</f>
        <v>163668.08327239004</v>
      </c>
      <c r="DN25" s="30">
        <f>+Producción!DO13*'Análisis cliente final LP'!DM6</f>
        <v>171278.22730376397</v>
      </c>
      <c r="DO25" s="30">
        <f>+Producción!DP13*'Análisis cliente final LP'!DN6</f>
        <v>163743.42800078733</v>
      </c>
      <c r="DP25" s="30">
        <f>+Producción!DQ13*'Análisis cliente final LP'!DO6</f>
        <v>119373.27608901089</v>
      </c>
      <c r="DQ25" s="30">
        <f>+Producción!DR13*'Análisis cliente final LP'!DP6</f>
        <v>115290.61499611435</v>
      </c>
      <c r="DR25" s="30">
        <f>+Producción!DS13*'Análisis cliente final LP'!DQ6</f>
        <v>128044.47914736594</v>
      </c>
      <c r="DS25" s="30">
        <f>+Producción!DT13*'Análisis cliente final LP'!DR6</f>
        <v>91825.047114090339</v>
      </c>
      <c r="DT25" s="30">
        <f>+Producción!DU13*'Análisis cliente final LP'!DS6</f>
        <v>91675.168852546383</v>
      </c>
      <c r="DU25" s="30">
        <f>+Producción!DV13*'Análisis cliente final LP'!DT6</f>
        <v>123934.70749088765</v>
      </c>
      <c r="DV25" s="30">
        <f>+Producción!DW13*'Análisis cliente final LP'!DU6</f>
        <v>103493.00336181629</v>
      </c>
      <c r="DW25" s="30">
        <f>+Producción!DX13*'Análisis cliente final LP'!DV6</f>
        <v>92922.415070401054</v>
      </c>
      <c r="DX25" s="30">
        <f>+Producción!DY13*'Análisis cliente final LP'!DW6</f>
        <v>136785.91356328351</v>
      </c>
      <c r="DY25" s="30">
        <f>+Producción!DZ13*'Análisis cliente final LP'!DX6</f>
        <v>168578.12577056172</v>
      </c>
      <c r="DZ25" s="30">
        <f>+Producción!EA13*'Análisis cliente final LP'!DY6</f>
        <v>176416.57412287689</v>
      </c>
      <c r="EA25" s="30">
        <f>+Producción!EB13*'Análisis cliente final LP'!DZ6</f>
        <v>168655.73084081095</v>
      </c>
      <c r="EB25" s="30">
        <f>+Producción!EC13*'Análisis cliente final LP'!EA6</f>
        <v>122954.47437168122</v>
      </c>
      <c r="EC25" s="30">
        <f>+Producción!ED13*'Análisis cliente final LP'!EB6</f>
        <v>118749.33344599779</v>
      </c>
      <c r="ED25" s="30">
        <f>+Producción!EE13*'Análisis cliente final LP'!EC6</f>
        <v>131885.81352178691</v>
      </c>
      <c r="EE25" s="30">
        <f>+Producción!EF13*'Análisis cliente final LP'!ED6</f>
        <v>94579.798527513049</v>
      </c>
      <c r="EF25" s="30">
        <f>+Producción!EG13*'Análisis cliente final LP'!EE6</f>
        <v>94425.423918122789</v>
      </c>
      <c r="EG25" s="30">
        <f>+Producción!EH13*'Análisis cliente final LP'!EF6</f>
        <v>127652.7487156143</v>
      </c>
      <c r="EH25" s="30">
        <f>+Producción!EI13*'Análisis cliente final LP'!EG6</f>
        <v>106597.79346267077</v>
      </c>
      <c r="EI25" s="30">
        <f>+Producción!EJ13*'Análisis cliente final LP'!EH6</f>
        <v>95710.087522513073</v>
      </c>
      <c r="EJ25" s="30">
        <f>+Producción!EK13*'Análisis cliente final LP'!EI6</f>
        <v>140889.490970182</v>
      </c>
      <c r="EK25" s="30">
        <f>+Producción!EL13*'Análisis cliente final LP'!EJ6</f>
        <v>173635.4695436786</v>
      </c>
      <c r="EL25" s="30">
        <f>+Producción!EM13*'Análisis cliente final LP'!EK6</f>
        <v>181709.0713465632</v>
      </c>
      <c r="EM25" s="30">
        <f>+Producción!EN13*'Análisis cliente final LP'!EL6</f>
        <v>173715.40276603529</v>
      </c>
      <c r="EN25" s="30">
        <f>+Producción!EO13*'Análisis cliente final LP'!EM6</f>
        <v>126643.10860283166</v>
      </c>
      <c r="EO25" s="30">
        <f>+Producción!EP13*'Análisis cliente final LP'!EN6</f>
        <v>122311.81344937772</v>
      </c>
      <c r="EP25" s="30">
        <f>+Producción!EQ13*'Análisis cliente final LP'!EO6</f>
        <v>135842.38792744055</v>
      </c>
      <c r="EQ25" s="30">
        <f>+Producción!ER13*'Análisis cliente final LP'!EP6</f>
        <v>97417.19248333844</v>
      </c>
      <c r="ER25" s="30">
        <f>+Producción!ES13*'Análisis cliente final LP'!EQ6</f>
        <v>97258.186635666469</v>
      </c>
      <c r="ES25" s="30">
        <f>+Producción!ET13*'Análisis cliente final LP'!ER6</f>
        <v>131482.33117708273</v>
      </c>
      <c r="ET25" s="30">
        <f>+Producción!EU13*'Análisis cliente final LP'!ES6</f>
        <v>109795.72726655091</v>
      </c>
      <c r="EU25" s="30">
        <f>+Producción!EV13*'Análisis cliente final LP'!ET6</f>
        <v>98581.390148188468</v>
      </c>
      <c r="EV25" s="30">
        <f>+Producción!EW13*'Análisis cliente final LP'!EU6</f>
        <v>145116.17569928747</v>
      </c>
      <c r="EW25" s="30">
        <f>+Producción!EX13*'Análisis cliente final LP'!EV6</f>
        <v>178844.53362998893</v>
      </c>
      <c r="EX25" s="30">
        <f>+Producción!EY13*'Análisis cliente final LP'!EW6</f>
        <v>187160.3434869601</v>
      </c>
      <c r="EY25" s="30">
        <f>+Producción!EZ13*'Análisis cliente final LP'!EX6</f>
        <v>178926.86484901636</v>
      </c>
      <c r="EZ25" s="30">
        <f>+Producción!FA13*'Análisis cliente final LP'!EY6</f>
        <v>130442.40186091662</v>
      </c>
      <c r="FA25" s="30">
        <f>+Producción!FB13*'Análisis cliente final LP'!EZ6</f>
        <v>125981.16785285907</v>
      </c>
      <c r="FB25" s="30">
        <f>+Producción!FC13*'Análisis cliente final LP'!FA6</f>
        <v>139917.65956526375</v>
      </c>
      <c r="FC25" s="30">
        <f>+Producción!FD13*'Análisis cliente final LP'!FB6</f>
        <v>100339.7082578386</v>
      </c>
      <c r="FD25" s="30">
        <f>+Producción!FE13*'Análisis cliente final LP'!FC6</f>
        <v>100175.93223473647</v>
      </c>
      <c r="FE25" s="30">
        <f>+Producción!FF13*'Análisis cliente final LP'!FD6</f>
        <v>135426.80111239522</v>
      </c>
      <c r="FF25" s="30">
        <f>+Producción!FG13*'Análisis cliente final LP'!FE6</f>
        <v>113089.59908454743</v>
      </c>
      <c r="FG25" s="30">
        <f>+Producción!FH13*'Análisis cliente final LP'!FF6</f>
        <v>101538.83185263413</v>
      </c>
      <c r="FH25" s="30">
        <f>+Producción!FI13*'Análisis cliente final LP'!FG6</f>
        <v>149469.66097026612</v>
      </c>
      <c r="FI25" s="30">
        <f>+Producción!FJ13*'Análisis cliente final LP'!FH6</f>
        <v>184209.86963888863</v>
      </c>
      <c r="FJ25" s="30">
        <f>+Producción!FK13*'Análisis cliente final LP'!FI6</f>
        <v>192775.15379156891</v>
      </c>
      <c r="FK25" s="30">
        <f>+Producción!FL13*'Análisis cliente final LP'!FJ6</f>
        <v>184294.67079448685</v>
      </c>
      <c r="FL25" s="30">
        <f>+Producción!FM13*'Análisis cliente final LP'!FK6</f>
        <v>134355.67391674413</v>
      </c>
      <c r="FM25" s="30">
        <f>+Producción!FN13*'Análisis cliente final LP'!FL6</f>
        <v>129760.60288844485</v>
      </c>
      <c r="FN25" s="30">
        <f>+Producción!FO13*'Análisis cliente final LP'!FM6</f>
        <v>144115.18935222167</v>
      </c>
      <c r="FO25" s="30">
        <f>+Producción!FP13*'Análisis cliente final LP'!FN6</f>
        <v>103349.89950557376</v>
      </c>
      <c r="FP25" s="30">
        <f>+Producción!FQ13*'Análisis cliente final LP'!FO6</f>
        <v>103181.21020177857</v>
      </c>
      <c r="FQ25" s="30">
        <f>+Producción!FR13*'Análisis cliente final LP'!FP6</f>
        <v>139489.60514576707</v>
      </c>
      <c r="FR25" s="30">
        <f>+Producción!FS13*'Análisis cliente final LP'!FQ6</f>
        <v>116482.28705708386</v>
      </c>
      <c r="FS25" s="30">
        <f>+Producción!FT13*'Análisis cliente final LP'!FR6</f>
        <v>104584.99680821315</v>
      </c>
      <c r="FT25" s="30">
        <f>+Producción!FU13*'Análisis cliente final LP'!FS6</f>
        <v>153953.7507993741</v>
      </c>
      <c r="FU25" s="30">
        <f>+Producción!FV13*'Análisis cliente final LP'!FT6</f>
        <v>189736.16572805529</v>
      </c>
      <c r="FV25" s="30">
        <f>+Producción!FW13*'Análisis cliente final LP'!FU6</f>
        <v>198558.408405316</v>
      </c>
      <c r="FW25" s="30">
        <f>+Producción!FX13*'Análisis cliente final LP'!FV6</f>
        <v>189823.51091832147</v>
      </c>
      <c r="FX25" s="30">
        <f>+Producción!FY13*'Análisis cliente final LP'!FW6</f>
        <v>138386.34413424644</v>
      </c>
      <c r="FY25" s="30">
        <f>+Producción!FZ13*'Análisis cliente final LP'!FX6</f>
        <v>133653.42097509821</v>
      </c>
      <c r="FZ25" s="30">
        <f>+Producción!GA13*'Análisis cliente final LP'!FY6</f>
        <v>148438.64503278834</v>
      </c>
      <c r="GA25" s="30">
        <f>+Producción!GB13*'Análisis cliente final LP'!FZ6</f>
        <v>106450.39649074098</v>
      </c>
      <c r="GB25" s="30">
        <f>+Producción!GC13*'Análisis cliente final LP'!GA6</f>
        <v>106276.64650783192</v>
      </c>
      <c r="GC25" s="30">
        <f>+Producción!GD13*'Análisis cliente final LP'!GB6</f>
        <v>143674.29330014007</v>
      </c>
      <c r="GD25" s="30">
        <f>+Producción!GE13*'Análisis cliente final LP'!GC6</f>
        <v>119976.75566879637</v>
      </c>
      <c r="GE25" s="30">
        <f>+Producción!GF13*'Análisis cliente final LP'!GD6</f>
        <v>107722.54671245955</v>
      </c>
      <c r="GF25" s="30">
        <f>+Producción!GG13*'Análisis cliente final LP'!GE6</f>
        <v>158572.36332335533</v>
      </c>
      <c r="GG25" s="30">
        <f>+Producción!GH13*'Análisis cliente final LP'!GF6</f>
        <v>195428.25069989695</v>
      </c>
      <c r="GH25" s="30">
        <f>+Producción!GI13*'Análisis cliente final LP'!GG6</f>
        <v>204515.16065747547</v>
      </c>
      <c r="GI25" s="30">
        <f>+Producción!GJ13*'Análisis cliente final LP'!GH6</f>
        <v>195518.21624587112</v>
      </c>
      <c r="GJ25" s="30">
        <f>+Producción!GK13*'Análisis cliente final LP'!GI6</f>
        <v>142537.93445827384</v>
      </c>
      <c r="GK25" s="30">
        <f>+Producción!GL13*'Análisis cliente final LP'!GJ6</f>
        <v>137663.02360435115</v>
      </c>
      <c r="GL25" s="30">
        <f>+Producción!GM13*'Análisis cliente final LP'!GK6</f>
        <v>152891.80438377199</v>
      </c>
      <c r="GM25" s="30">
        <f>+Producción!GN13*'Análisis cliente final LP'!GL6</f>
        <v>109643.90838546322</v>
      </c>
      <c r="GN25" s="30">
        <f>+Producción!GO13*'Análisis cliente final LP'!GM6</f>
        <v>109464.94590306688</v>
      </c>
      <c r="GO25" s="30">
        <f>+Producción!GP13*'Análisis cliente final LP'!GN6</f>
        <v>147984.52209914429</v>
      </c>
      <c r="GP25" s="30">
        <f>+Producción!GQ13*'Análisis cliente final LP'!GO6</f>
        <v>123576.05833886025</v>
      </c>
      <c r="GQ25" s="30">
        <f>+Producción!GR13*'Análisis cliente final LP'!GP6</f>
        <v>110954.22311383333</v>
      </c>
      <c r="GR25" s="30">
        <f>+Producción!GS13*'Análisis cliente final LP'!GQ6</f>
        <v>163329.53422305599</v>
      </c>
      <c r="GS25" s="30">
        <f>+Producción!GT13*'Análisis cliente final LP'!GR6</f>
        <v>201291.09822089385</v>
      </c>
      <c r="GT25" s="30">
        <f>+Producción!GU13*'Análisis cliente final LP'!GS6</f>
        <v>210650.61547719975</v>
      </c>
      <c r="GU25" s="30">
        <f>+Producción!GV13*'Análisis cliente final LP'!GT6</f>
        <v>201383.76273324725</v>
      </c>
      <c r="GV25" s="30">
        <f>+Producción!GW13*'Análisis cliente final LP'!GU6</f>
        <v>146814.07249202207</v>
      </c>
      <c r="GW25" s="30">
        <f>+Producción!GX13*'Análisis cliente final LP'!GV6</f>
        <v>141792.91431248168</v>
      </c>
      <c r="GX25" s="30">
        <f>+Producción!GY13*'Análisis cliente final LP'!GW6</f>
        <v>157478.55851528514</v>
      </c>
      <c r="GY25" s="30">
        <f>+Producción!GZ13*'Análisis cliente final LP'!GX6</f>
        <v>112933.22563702712</v>
      </c>
      <c r="GZ25" s="30">
        <f>+Producción!HA13*'Análisis cliente final LP'!GY6</f>
        <v>112748.89428015889</v>
      </c>
      <c r="HA25" s="30">
        <f>+Producción!HB13*'Análisis cliente final LP'!GZ6</f>
        <v>152424.05776211861</v>
      </c>
      <c r="HB25" s="30">
        <f>+Producción!HC13*'Análisis cliente final LP'!HA6</f>
        <v>127283.34008902607</v>
      </c>
      <c r="HC25" s="30">
        <f>+Producción!HD13*'Análisis cliente final LP'!HB6</f>
        <v>114282.84980724833</v>
      </c>
      <c r="HD25" s="30">
        <f>+Producción!HE13*'Análisis cliente final LP'!HC6</f>
        <v>168229.42024974769</v>
      </c>
      <c r="HE25" s="30">
        <f>+Producción!HF13*'Análisis cliente final LP'!HD6</f>
        <v>207329.83116752066</v>
      </c>
      <c r="HF25" s="30">
        <f>+Producción!HG13*'Análisis cliente final LP'!HE6</f>
        <v>216970.13394151576</v>
      </c>
      <c r="HG25" s="30">
        <f>+Producción!HH13*'Análisis cliente final LP'!HF6</f>
        <v>207425.27561524467</v>
      </c>
      <c r="HH25" s="30">
        <f>+Producción!HI13*'Análisis cliente final LP'!HG6</f>
        <v>151218.4946667827</v>
      </c>
      <c r="HI25" s="30">
        <f>+Producción!HJ13*'Análisis cliente final LP'!HH6</f>
        <v>146046.70174185612</v>
      </c>
      <c r="HJ25" s="30">
        <f>+Producción!HK13*'Análisis cliente final LP'!HI6</f>
        <v>162202.91527074372</v>
      </c>
      <c r="HK25" s="30">
        <f>+Producción!HL13*'Análisis cliente final LP'!HJ6</f>
        <v>116321.22240613794</v>
      </c>
      <c r="HL25" s="30">
        <f>+Producción!HM13*'Análisis cliente final LP'!HK6</f>
        <v>116131.36110856365</v>
      </c>
      <c r="HM25" s="30">
        <f>+Producción!HN13*'Análisis cliente final LP'!HL6</f>
        <v>156996.77949498218</v>
      </c>
      <c r="HN25" s="30">
        <f>+Producción!HO13*'Análisis cliente final LP'!HM6</f>
        <v>131101.84029169686</v>
      </c>
      <c r="HO25" s="30">
        <f>+Producción!HP13*'Análisis cliente final LP'!HN6</f>
        <v>117711.33530146579</v>
      </c>
      <c r="HP25" s="30">
        <f>+Producción!HQ13*'Análisis cliente final LP'!HO6</f>
        <v>173276.30285724011</v>
      </c>
      <c r="HQ25" s="30">
        <f>+Producción!HR13*'Análisis cliente final LP'!HP6</f>
        <v>213549.72610254629</v>
      </c>
      <c r="HR25" s="30">
        <f>+Producción!HS13*'Análisis cliente final LP'!HQ6</f>
        <v>223479.23795976126</v>
      </c>
      <c r="HS25" s="30">
        <f>+Producción!HT13*'Análisis cliente final LP'!HR6</f>
        <v>213648.03388370204</v>
      </c>
      <c r="HT25" s="30">
        <f>+Producción!HU13*'Análisis cliente final LP'!HS6</f>
        <v>155755.04950678619</v>
      </c>
      <c r="HU25" s="30">
        <f>+Producción!HV13*'Análisis cliente final LP'!HT6</f>
        <v>150428.10279411182</v>
      </c>
      <c r="HV25" s="30">
        <f>+Producción!HW13*'Análisis cliente final LP'!HU6</f>
        <v>167069.00272886601</v>
      </c>
      <c r="HW25" s="30">
        <f>+Producción!HX13*'Análisis cliente final LP'!HV6</f>
        <v>119810.85907832209</v>
      </c>
      <c r="HX25" s="30">
        <f>+Producción!HY13*'Análisis cliente final LP'!HW6</f>
        <v>119615.30194182057</v>
      </c>
      <c r="HY25" s="30">
        <f>+Producción!HZ13*'Análisis cliente final LP'!HX6</f>
        <v>161706.68287983164</v>
      </c>
      <c r="HZ25" s="30">
        <f>+Producción!IA13*'Análisis cliente final LP'!HY6</f>
        <v>135034.89550044775</v>
      </c>
      <c r="IA25" s="30">
        <f>+Producción!IB13*'Análisis cliente final LP'!HZ6</f>
        <v>121242.67536050978</v>
      </c>
      <c r="IB25" s="30">
        <f>+Producción!IC13*'Análisis cliente final LP'!IA6</f>
        <v>178474.59194295731</v>
      </c>
      <c r="IC25" s="30">
        <f>+Producción!ID13*'Análisis cliente final LP'!IB6</f>
        <v>219956.21788562267</v>
      </c>
      <c r="ID25" s="30">
        <f>+Producción!IE13*'Análisis cliente final LP'!IC6</f>
        <v>230183.61509855412</v>
      </c>
      <c r="IE25" s="30">
        <f>+Producción!IF13*'Análisis cliente final LP'!ID6</f>
        <v>220057.4749002131</v>
      </c>
      <c r="IF25" s="30">
        <f>+Producción!IG13*'Análisis cliente final LP'!IE6</f>
        <v>160427.70099198978</v>
      </c>
      <c r="IG25" s="30">
        <f>+Producción!IH13*'Análisis cliente final LP'!IF6</f>
        <v>154940.94587793516</v>
      </c>
      <c r="IH25" s="30">
        <f>+Producción!II13*'Análisis cliente final LP'!IG6</f>
        <v>172081.07281073197</v>
      </c>
    </row>
    <row r="26" spans="1:242" x14ac:dyDescent="0.3">
      <c r="A26" t="s">
        <v>916</v>
      </c>
      <c r="C26" s="30"/>
      <c r="D26" s="30">
        <f>+D25*$B$1</f>
        <v>13337.484902500257</v>
      </c>
      <c r="E26" s="30">
        <f t="shared" ref="E26:BP26" si="18">+E25*$B$1</f>
        <v>18392.231715026359</v>
      </c>
      <c r="F26" s="30">
        <f t="shared" si="18"/>
        <v>17707.980725802543</v>
      </c>
      <c r="G26" s="30">
        <f t="shared" si="18"/>
        <v>16522.079324114424</v>
      </c>
      <c r="H26" s="30">
        <f t="shared" si="18"/>
        <v>20356.31318520573</v>
      </c>
      <c r="I26" s="30">
        <f t="shared" si="18"/>
        <v>25087.591514113952</v>
      </c>
      <c r="J26" s="30">
        <f t="shared" si="18"/>
        <v>26254.099858351943</v>
      </c>
      <c r="K26" s="30">
        <f t="shared" si="18"/>
        <v>25099.140606221466</v>
      </c>
      <c r="L26" s="30">
        <f t="shared" si="18"/>
        <v>18297.935237858663</v>
      </c>
      <c r="M26" s="30">
        <f t="shared" si="18"/>
        <v>17672.131283041817</v>
      </c>
      <c r="N26" s="30">
        <f t="shared" si="18"/>
        <v>19627.086260553169</v>
      </c>
      <c r="O26" s="30">
        <f t="shared" si="18"/>
        <v>14075.250511296141</v>
      </c>
      <c r="P26" s="30">
        <f t="shared" si="18"/>
        <v>14052.276669803763</v>
      </c>
      <c r="Q26" s="30">
        <f t="shared" si="18"/>
        <v>18997.126707825864</v>
      </c>
      <c r="R26" s="30">
        <f t="shared" si="18"/>
        <v>15863.753891398243</v>
      </c>
      <c r="S26" s="30">
        <f t="shared" si="18"/>
        <v>14243.458743946991</v>
      </c>
      <c r="T26" s="30">
        <f t="shared" si="18"/>
        <v>20967.002580761906</v>
      </c>
      <c r="U26" s="30">
        <f t="shared" si="18"/>
        <v>25840.219259537371</v>
      </c>
      <c r="V26" s="30">
        <f t="shared" si="18"/>
        <v>27041.722854102503</v>
      </c>
      <c r="W26" s="30">
        <f t="shared" si="18"/>
        <v>25852.114824408112</v>
      </c>
      <c r="X26" s="30">
        <f t="shared" si="18"/>
        <v>18846.873294994424</v>
      </c>
      <c r="Y26" s="30">
        <f t="shared" si="18"/>
        <v>18202.295221533073</v>
      </c>
      <c r="Z26" s="30">
        <f t="shared" si="18"/>
        <v>20215.898848369761</v>
      </c>
      <c r="AA26" s="30">
        <f t="shared" si="18"/>
        <v>14497.508026635025</v>
      </c>
      <c r="AB26" s="30">
        <f t="shared" si="18"/>
        <v>14473.844969897875</v>
      </c>
      <c r="AC26" s="30">
        <f t="shared" si="18"/>
        <v>19567.040509060636</v>
      </c>
      <c r="AD26" s="30">
        <f t="shared" si="18"/>
        <v>16339.666508140192</v>
      </c>
      <c r="AE26" s="30">
        <f t="shared" si="18"/>
        <v>14670.762506265401</v>
      </c>
      <c r="AF26" s="30">
        <f t="shared" si="18"/>
        <v>21596.012658184762</v>
      </c>
      <c r="AG26" s="30">
        <f t="shared" si="18"/>
        <v>26615.425837323495</v>
      </c>
      <c r="AH26" s="30">
        <f t="shared" si="18"/>
        <v>27852.974539725576</v>
      </c>
      <c r="AI26" s="30">
        <f t="shared" si="18"/>
        <v>26627.678269140353</v>
      </c>
      <c r="AJ26" s="30">
        <f t="shared" si="18"/>
        <v>19412.279493844257</v>
      </c>
      <c r="AK26" s="30">
        <f t="shared" si="18"/>
        <v>18748.364078179067</v>
      </c>
      <c r="AL26" s="30">
        <f t="shared" si="18"/>
        <v>20822.375813820858</v>
      </c>
      <c r="AM26" s="30">
        <f t="shared" si="18"/>
        <v>14932.433267434077</v>
      </c>
      <c r="AN26" s="30">
        <f t="shared" si="18"/>
        <v>14908.060318994814</v>
      </c>
      <c r="AO26" s="30">
        <f t="shared" si="18"/>
        <v>20154.051724332458</v>
      </c>
      <c r="AP26" s="30">
        <f t="shared" si="18"/>
        <v>16829.856503384399</v>
      </c>
      <c r="AQ26" s="30">
        <f t="shared" si="18"/>
        <v>15110.885381453363</v>
      </c>
      <c r="AR26" s="30">
        <f t="shared" si="18"/>
        <v>22243.893037930306</v>
      </c>
      <c r="AS26" s="30">
        <f t="shared" si="18"/>
        <v>27413.888612443199</v>
      </c>
      <c r="AT26" s="30">
        <f t="shared" si="18"/>
        <v>28688.563775917341</v>
      </c>
      <c r="AU26" s="30">
        <f t="shared" si="18"/>
        <v>27426.508617214567</v>
      </c>
      <c r="AV26" s="30">
        <f t="shared" si="18"/>
        <v>19994.647878659584</v>
      </c>
      <c r="AW26" s="30">
        <f t="shared" si="18"/>
        <v>19310.815000524439</v>
      </c>
      <c r="AX26" s="30">
        <f t="shared" si="18"/>
        <v>21447.047088235486</v>
      </c>
      <c r="AY26" s="30">
        <f t="shared" si="18"/>
        <v>15380.406265457097</v>
      </c>
      <c r="AZ26" s="30">
        <f t="shared" si="18"/>
        <v>15355.302128564661</v>
      </c>
      <c r="BA26" s="30">
        <f t="shared" si="18"/>
        <v>20758.673276062433</v>
      </c>
      <c r="BB26" s="30">
        <f t="shared" si="18"/>
        <v>17334.75219848593</v>
      </c>
      <c r="BC26" s="30">
        <f t="shared" si="18"/>
        <v>15564.211942896964</v>
      </c>
      <c r="BD26" s="30">
        <f t="shared" si="18"/>
        <v>22911.209829068215</v>
      </c>
      <c r="BE26" s="30">
        <f t="shared" si="18"/>
        <v>28236.305270816498</v>
      </c>
      <c r="BF26" s="30">
        <f t="shared" si="18"/>
        <v>29549.220689194859</v>
      </c>
      <c r="BG26" s="30">
        <f t="shared" si="18"/>
        <v>28249.303875731002</v>
      </c>
      <c r="BH26" s="30">
        <f t="shared" si="18"/>
        <v>20594.487315019374</v>
      </c>
      <c r="BI26" s="30">
        <f t="shared" si="18"/>
        <v>19890.139450540173</v>
      </c>
      <c r="BJ26" s="30">
        <f t="shared" si="18"/>
        <v>22090.458500882552</v>
      </c>
      <c r="BK26" s="30">
        <f t="shared" si="18"/>
        <v>15841.81845342081</v>
      </c>
      <c r="BL26" s="30">
        <f t="shared" si="18"/>
        <v>15815.961192421599</v>
      </c>
      <c r="BM26" s="30">
        <f t="shared" si="18"/>
        <v>21381.433474344307</v>
      </c>
      <c r="BN26" s="30">
        <f t="shared" si="18"/>
        <v>17854.794764440507</v>
      </c>
      <c r="BO26" s="30">
        <f t="shared" si="18"/>
        <v>16031.138301183875</v>
      </c>
      <c r="BP26" s="30">
        <f t="shared" si="18"/>
        <v>23598.546123940265</v>
      </c>
      <c r="BQ26" s="30">
        <f t="shared" ref="BQ26:EB26" si="19">+BQ25*$B$1</f>
        <v>29083.394428940992</v>
      </c>
      <c r="BR26" s="30">
        <f t="shared" si="19"/>
        <v>30435.697309870709</v>
      </c>
      <c r="BS26" s="30">
        <f t="shared" si="19"/>
        <v>29096.78299200294</v>
      </c>
      <c r="BT26" s="30">
        <f t="shared" si="19"/>
        <v>21212.321934469954</v>
      </c>
      <c r="BU26" s="30">
        <f t="shared" si="19"/>
        <v>20486.843634056379</v>
      </c>
      <c r="BV26" s="30">
        <f t="shared" si="19"/>
        <v>22753.17225590903</v>
      </c>
      <c r="BW26" s="30">
        <f t="shared" si="19"/>
        <v>16317.073007023435</v>
      </c>
      <c r="BX26" s="30">
        <f t="shared" si="19"/>
        <v>16290.440028194249</v>
      </c>
      <c r="BY26" s="30">
        <f t="shared" si="19"/>
        <v>22022.876478574639</v>
      </c>
      <c r="BZ26" s="30">
        <f t="shared" si="19"/>
        <v>18390.438607373726</v>
      </c>
      <c r="CA26" s="30">
        <f t="shared" si="19"/>
        <v>16512.072450219388</v>
      </c>
      <c r="CB26" s="30">
        <f t="shared" si="19"/>
        <v>24306.502507658472</v>
      </c>
      <c r="CC26" s="30">
        <f t="shared" si="19"/>
        <v>29955.896261809219</v>
      </c>
      <c r="CD26" s="30">
        <f t="shared" si="19"/>
        <v>31348.768229166832</v>
      </c>
      <c r="CE26" s="30">
        <f t="shared" si="19"/>
        <v>29969.686481763027</v>
      </c>
      <c r="CF26" s="30">
        <f t="shared" si="19"/>
        <v>21848.691592504056</v>
      </c>
      <c r="CG26" s="30">
        <f t="shared" si="19"/>
        <v>21101.44894307807</v>
      </c>
      <c r="CH26" s="30">
        <f t="shared" si="19"/>
        <v>23435.767423586298</v>
      </c>
      <c r="CI26" s="30">
        <f t="shared" si="19"/>
        <v>16806.585197234137</v>
      </c>
      <c r="CJ26" s="30">
        <f t="shared" si="19"/>
        <v>16779.153229040076</v>
      </c>
      <c r="CK26" s="30">
        <f t="shared" si="19"/>
        <v>22683.56277293188</v>
      </c>
      <c r="CL26" s="30">
        <f t="shared" si="19"/>
        <v>18942.151765594939</v>
      </c>
      <c r="CM26" s="30">
        <f t="shared" si="19"/>
        <v>17007.434623725971</v>
      </c>
      <c r="CN26" s="30">
        <f t="shared" si="19"/>
        <v>25035.697582888224</v>
      </c>
      <c r="CO26" s="30">
        <f t="shared" si="19"/>
        <v>30854.573149663498</v>
      </c>
      <c r="CP26" s="30">
        <f t="shared" si="19"/>
        <v>32289.231276041843</v>
      </c>
      <c r="CQ26" s="30">
        <f t="shared" si="19"/>
        <v>30868.777076215916</v>
      </c>
      <c r="CR26" s="30">
        <f t="shared" si="19"/>
        <v>22504.152340279179</v>
      </c>
      <c r="CS26" s="30">
        <f t="shared" si="19"/>
        <v>21734.492411370415</v>
      </c>
      <c r="CT26" s="30">
        <f t="shared" si="19"/>
        <v>24138.840446293892</v>
      </c>
      <c r="CU26" s="30">
        <f t="shared" si="19"/>
        <v>17310.782753151161</v>
      </c>
      <c r="CV26" s="30">
        <f t="shared" si="19"/>
        <v>17282.527825911278</v>
      </c>
      <c r="CW26" s="30">
        <f t="shared" si="19"/>
        <v>23364.069656119835</v>
      </c>
      <c r="CX26" s="30">
        <f t="shared" si="19"/>
        <v>19510.416318562784</v>
      </c>
      <c r="CY26" s="30">
        <f t="shared" si="19"/>
        <v>17517.657662437749</v>
      </c>
      <c r="CZ26" s="30">
        <f t="shared" si="19"/>
        <v>25786.76851037487</v>
      </c>
      <c r="DA26" s="30">
        <f t="shared" si="19"/>
        <v>31780.210344153405</v>
      </c>
      <c r="DB26" s="30">
        <f t="shared" si="19"/>
        <v>33257.908214323099</v>
      </c>
      <c r="DC26" s="30">
        <f t="shared" si="19"/>
        <v>31794.840388502391</v>
      </c>
      <c r="DD26" s="30">
        <f t="shared" si="19"/>
        <v>23179.276910487552</v>
      </c>
      <c r="DE26" s="30">
        <f t="shared" si="19"/>
        <v>22386.527183711529</v>
      </c>
      <c r="DF26" s="30">
        <f t="shared" si="19"/>
        <v>24863.005659682705</v>
      </c>
      <c r="DG26" s="30">
        <f t="shared" si="19"/>
        <v>17830.106235745694</v>
      </c>
      <c r="DH26" s="30">
        <f t="shared" si="19"/>
        <v>17801.003660688621</v>
      </c>
      <c r="DI26" s="30">
        <f t="shared" si="19"/>
        <v>24064.991745803429</v>
      </c>
      <c r="DJ26" s="30">
        <f t="shared" si="19"/>
        <v>20095.728808119668</v>
      </c>
      <c r="DK26" s="30">
        <f t="shared" si="19"/>
        <v>18043.187392310883</v>
      </c>
      <c r="DL26" s="30">
        <f t="shared" si="19"/>
        <v>26560.37156568612</v>
      </c>
      <c r="DM26" s="30">
        <f t="shared" si="19"/>
        <v>32733.61665447801</v>
      </c>
      <c r="DN26" s="30">
        <f t="shared" si="19"/>
        <v>34255.645460752792</v>
      </c>
      <c r="DO26" s="30">
        <f t="shared" si="19"/>
        <v>32748.685600157467</v>
      </c>
      <c r="DP26" s="30">
        <f t="shared" si="19"/>
        <v>23874.655217802181</v>
      </c>
      <c r="DQ26" s="30">
        <f t="shared" si="19"/>
        <v>23058.122999222873</v>
      </c>
      <c r="DR26" s="30">
        <f t="shared" si="19"/>
        <v>25608.895829473189</v>
      </c>
      <c r="DS26" s="30">
        <f t="shared" si="19"/>
        <v>18365.009422818068</v>
      </c>
      <c r="DT26" s="30">
        <f t="shared" si="19"/>
        <v>18335.033770509279</v>
      </c>
      <c r="DU26" s="30">
        <f t="shared" si="19"/>
        <v>24786.941498177534</v>
      </c>
      <c r="DV26" s="30">
        <f t="shared" si="19"/>
        <v>20698.60067236326</v>
      </c>
      <c r="DW26" s="30">
        <f t="shared" si="19"/>
        <v>18584.483014080211</v>
      </c>
      <c r="DX26" s="30">
        <f t="shared" si="19"/>
        <v>27357.182712656704</v>
      </c>
      <c r="DY26" s="30">
        <f t="shared" si="19"/>
        <v>33715.625154112342</v>
      </c>
      <c r="DZ26" s="30">
        <f t="shared" si="19"/>
        <v>35283.314824575376</v>
      </c>
      <c r="EA26" s="30">
        <f t="shared" si="19"/>
        <v>33731.146168162195</v>
      </c>
      <c r="EB26" s="30">
        <f t="shared" si="19"/>
        <v>24590.894874336245</v>
      </c>
      <c r="EC26" s="30">
        <f t="shared" ref="EC26:GN26" si="20">+EC25*$B$1</f>
        <v>23749.86668919956</v>
      </c>
      <c r="ED26" s="30">
        <f t="shared" si="20"/>
        <v>26377.162704357383</v>
      </c>
      <c r="EE26" s="30">
        <f t="shared" si="20"/>
        <v>18915.95970550261</v>
      </c>
      <c r="EF26" s="30">
        <f t="shared" si="20"/>
        <v>18885.084783624559</v>
      </c>
      <c r="EG26" s="30">
        <f t="shared" si="20"/>
        <v>25530.549743122861</v>
      </c>
      <c r="EH26" s="30">
        <f t="shared" si="20"/>
        <v>21319.558692534156</v>
      </c>
      <c r="EI26" s="30">
        <f t="shared" si="20"/>
        <v>19142.017504502615</v>
      </c>
      <c r="EJ26" s="30">
        <f t="shared" si="20"/>
        <v>28177.898194036403</v>
      </c>
      <c r="EK26" s="30">
        <f t="shared" si="20"/>
        <v>34727.093908735718</v>
      </c>
      <c r="EL26" s="30">
        <f t="shared" si="20"/>
        <v>36341.814269312643</v>
      </c>
      <c r="EM26" s="30">
        <f t="shared" si="20"/>
        <v>34743.080553207059</v>
      </c>
      <c r="EN26" s="30">
        <f t="shared" si="20"/>
        <v>25328.621720566334</v>
      </c>
      <c r="EO26" s="30">
        <f t="shared" si="20"/>
        <v>24462.362689875546</v>
      </c>
      <c r="EP26" s="30">
        <f t="shared" si="20"/>
        <v>27168.477585488112</v>
      </c>
      <c r="EQ26" s="30">
        <f t="shared" si="20"/>
        <v>19483.438496667688</v>
      </c>
      <c r="ER26" s="30">
        <f t="shared" si="20"/>
        <v>19451.637327133296</v>
      </c>
      <c r="ES26" s="30">
        <f t="shared" si="20"/>
        <v>26296.466235416548</v>
      </c>
      <c r="ET26" s="30">
        <f t="shared" si="20"/>
        <v>21959.145453310182</v>
      </c>
      <c r="EU26" s="30">
        <f t="shared" si="20"/>
        <v>19716.278029637695</v>
      </c>
      <c r="EV26" s="30">
        <f t="shared" si="20"/>
        <v>29023.235139857497</v>
      </c>
      <c r="EW26" s="30">
        <f t="shared" si="20"/>
        <v>35768.906725997789</v>
      </c>
      <c r="EX26" s="30">
        <f t="shared" si="20"/>
        <v>37432.068697392024</v>
      </c>
      <c r="EY26" s="30">
        <f t="shared" si="20"/>
        <v>35785.372969803277</v>
      </c>
      <c r="EZ26" s="30">
        <f t="shared" si="20"/>
        <v>26088.480372183327</v>
      </c>
      <c r="FA26" s="30">
        <f t="shared" si="20"/>
        <v>25196.233570571814</v>
      </c>
      <c r="FB26" s="30">
        <f t="shared" si="20"/>
        <v>27983.53191305275</v>
      </c>
      <c r="FC26" s="30">
        <f t="shared" si="20"/>
        <v>20067.941651567722</v>
      </c>
      <c r="FD26" s="30">
        <f t="shared" si="20"/>
        <v>20035.186446947293</v>
      </c>
      <c r="FE26" s="30">
        <f t="shared" si="20"/>
        <v>27085.360222479045</v>
      </c>
      <c r="FF26" s="30">
        <f t="shared" si="20"/>
        <v>22617.919816909489</v>
      </c>
      <c r="FG26" s="30">
        <f t="shared" si="20"/>
        <v>20307.766370526828</v>
      </c>
      <c r="FH26" s="30">
        <f t="shared" si="20"/>
        <v>29893.932194053225</v>
      </c>
      <c r="FI26" s="30">
        <f t="shared" si="20"/>
        <v>36841.973927777726</v>
      </c>
      <c r="FJ26" s="30">
        <f t="shared" si="20"/>
        <v>38555.030758313784</v>
      </c>
      <c r="FK26" s="30">
        <f t="shared" si="20"/>
        <v>36858.934158897369</v>
      </c>
      <c r="FL26" s="30">
        <f t="shared" si="20"/>
        <v>26871.134783348825</v>
      </c>
      <c r="FM26" s="30">
        <f t="shared" si="20"/>
        <v>25952.120577688969</v>
      </c>
      <c r="FN26" s="30">
        <f t="shared" si="20"/>
        <v>28823.037870444336</v>
      </c>
      <c r="FO26" s="30">
        <f t="shared" si="20"/>
        <v>20669.979901114755</v>
      </c>
      <c r="FP26" s="30">
        <f t="shared" si="20"/>
        <v>20636.242040355715</v>
      </c>
      <c r="FQ26" s="30">
        <f t="shared" si="20"/>
        <v>27897.921029153415</v>
      </c>
      <c r="FR26" s="30">
        <f t="shared" si="20"/>
        <v>23296.457411416774</v>
      </c>
      <c r="FS26" s="30">
        <f t="shared" si="20"/>
        <v>20916.999361642633</v>
      </c>
      <c r="FT26" s="30">
        <f t="shared" si="20"/>
        <v>30790.75015987482</v>
      </c>
      <c r="FU26" s="30">
        <f t="shared" si="20"/>
        <v>37947.233145611062</v>
      </c>
      <c r="FV26" s="30">
        <f t="shared" si="20"/>
        <v>39711.681681063201</v>
      </c>
      <c r="FW26" s="30">
        <f t="shared" si="20"/>
        <v>37964.702183664296</v>
      </c>
      <c r="FX26" s="30">
        <f t="shared" si="20"/>
        <v>27677.268826849289</v>
      </c>
      <c r="FY26" s="30">
        <f t="shared" si="20"/>
        <v>26730.684195019643</v>
      </c>
      <c r="FZ26" s="30">
        <f t="shared" si="20"/>
        <v>29687.729006557667</v>
      </c>
      <c r="GA26" s="30">
        <f t="shared" si="20"/>
        <v>21290.079298148197</v>
      </c>
      <c r="GB26" s="30">
        <f t="shared" si="20"/>
        <v>21255.329301566384</v>
      </c>
      <c r="GC26" s="30">
        <f t="shared" si="20"/>
        <v>28734.858660028014</v>
      </c>
      <c r="GD26" s="30">
        <f t="shared" si="20"/>
        <v>23995.351133759275</v>
      </c>
      <c r="GE26" s="30">
        <f t="shared" si="20"/>
        <v>21544.509342491911</v>
      </c>
      <c r="GF26" s="30">
        <f t="shared" si="20"/>
        <v>31714.472664671066</v>
      </c>
      <c r="GG26" s="30">
        <f t="shared" si="20"/>
        <v>39085.650139979392</v>
      </c>
      <c r="GH26" s="30">
        <f t="shared" si="20"/>
        <v>40903.0321314951</v>
      </c>
      <c r="GI26" s="30">
        <f t="shared" si="20"/>
        <v>39103.643249174223</v>
      </c>
      <c r="GJ26" s="30">
        <f t="shared" si="20"/>
        <v>28507.58689165477</v>
      </c>
      <c r="GK26" s="30">
        <f t="shared" si="20"/>
        <v>27532.604720870233</v>
      </c>
      <c r="GL26" s="30">
        <f t="shared" si="20"/>
        <v>30578.360876754399</v>
      </c>
      <c r="GM26" s="30">
        <f t="shared" si="20"/>
        <v>21928.781677092644</v>
      </c>
      <c r="GN26" s="30">
        <f t="shared" si="20"/>
        <v>21892.989180613378</v>
      </c>
      <c r="GO26" s="30">
        <f t="shared" ref="GO26:IH26" si="21">+GO25*$B$1</f>
        <v>29596.904419828861</v>
      </c>
      <c r="GP26" s="30">
        <f t="shared" si="21"/>
        <v>24715.211667772051</v>
      </c>
      <c r="GQ26" s="30">
        <f t="shared" si="21"/>
        <v>22190.844622766668</v>
      </c>
      <c r="GR26" s="30">
        <f t="shared" si="21"/>
        <v>32665.9068446112</v>
      </c>
      <c r="GS26" s="30">
        <f t="shared" si="21"/>
        <v>40258.219644178775</v>
      </c>
      <c r="GT26" s="30">
        <f t="shared" si="21"/>
        <v>42130.123095439951</v>
      </c>
      <c r="GU26" s="30">
        <f t="shared" si="21"/>
        <v>40276.752546649455</v>
      </c>
      <c r="GV26" s="30">
        <f t="shared" si="21"/>
        <v>29362.814498404416</v>
      </c>
      <c r="GW26" s="30">
        <f t="shared" si="21"/>
        <v>28358.582862496336</v>
      </c>
      <c r="GX26" s="30">
        <f t="shared" si="21"/>
        <v>31495.71170305703</v>
      </c>
      <c r="GY26" s="30">
        <f t="shared" si="21"/>
        <v>22586.645127405427</v>
      </c>
      <c r="GZ26" s="30">
        <f t="shared" si="21"/>
        <v>22549.778856031779</v>
      </c>
      <c r="HA26" s="30">
        <f t="shared" si="21"/>
        <v>30484.811552423722</v>
      </c>
      <c r="HB26" s="30">
        <f t="shared" si="21"/>
        <v>25456.668017805216</v>
      </c>
      <c r="HC26" s="30">
        <f t="shared" si="21"/>
        <v>22856.56996144967</v>
      </c>
      <c r="HD26" s="30">
        <f t="shared" si="21"/>
        <v>33645.884049949542</v>
      </c>
      <c r="HE26" s="30">
        <f t="shared" si="21"/>
        <v>41465.966233504136</v>
      </c>
      <c r="HF26" s="30">
        <f t="shared" si="21"/>
        <v>43394.026788303156</v>
      </c>
      <c r="HG26" s="30">
        <f t="shared" si="21"/>
        <v>41485.055123048936</v>
      </c>
      <c r="HH26" s="30">
        <f t="shared" si="21"/>
        <v>30243.698933356543</v>
      </c>
      <c r="HI26" s="30">
        <f t="shared" si="21"/>
        <v>29209.340348371225</v>
      </c>
      <c r="HJ26" s="30">
        <f t="shared" si="21"/>
        <v>32440.583054148745</v>
      </c>
      <c r="HK26" s="30">
        <f t="shared" si="21"/>
        <v>23264.24448122759</v>
      </c>
      <c r="HL26" s="30">
        <f t="shared" si="21"/>
        <v>23226.27222171273</v>
      </c>
      <c r="HM26" s="30">
        <f t="shared" si="21"/>
        <v>31399.355898996437</v>
      </c>
      <c r="HN26" s="30">
        <f t="shared" si="21"/>
        <v>26220.368058339373</v>
      </c>
      <c r="HO26" s="30">
        <f t="shared" si="21"/>
        <v>23542.267060293161</v>
      </c>
      <c r="HP26" s="30">
        <f t="shared" si="21"/>
        <v>34655.260571448023</v>
      </c>
      <c r="HQ26" s="30">
        <f t="shared" si="21"/>
        <v>42709.94522050926</v>
      </c>
      <c r="HR26" s="30">
        <f t="shared" si="21"/>
        <v>44695.847591952253</v>
      </c>
      <c r="HS26" s="30">
        <f t="shared" si="21"/>
        <v>42729.606776740409</v>
      </c>
      <c r="HT26" s="30">
        <f t="shared" si="21"/>
        <v>31151.00990135724</v>
      </c>
      <c r="HU26" s="30">
        <f t="shared" si="21"/>
        <v>30085.620558822367</v>
      </c>
      <c r="HV26" s="30">
        <f t="shared" si="21"/>
        <v>33413.8005457732</v>
      </c>
      <c r="HW26" s="30">
        <f t="shared" si="21"/>
        <v>23962.17181566442</v>
      </c>
      <c r="HX26" s="30">
        <f t="shared" si="21"/>
        <v>23923.060388364116</v>
      </c>
      <c r="HY26" s="30">
        <f t="shared" si="21"/>
        <v>32341.336575966328</v>
      </c>
      <c r="HZ26" s="30">
        <f t="shared" si="21"/>
        <v>27006.979100089549</v>
      </c>
      <c r="IA26" s="30">
        <f t="shared" si="21"/>
        <v>24248.535072101957</v>
      </c>
      <c r="IB26" s="30">
        <f t="shared" si="21"/>
        <v>35694.918388591461</v>
      </c>
      <c r="IC26" s="30">
        <f t="shared" si="21"/>
        <v>43991.243577124536</v>
      </c>
      <c r="ID26" s="30">
        <f t="shared" si="21"/>
        <v>46036.723019710829</v>
      </c>
      <c r="IE26" s="30">
        <f t="shared" si="21"/>
        <v>44011.494980042626</v>
      </c>
      <c r="IF26" s="30">
        <f t="shared" si="21"/>
        <v>32085.540198397957</v>
      </c>
      <c r="IG26" s="30">
        <f t="shared" si="21"/>
        <v>30988.189175587031</v>
      </c>
      <c r="IH26" s="30">
        <f t="shared" si="21"/>
        <v>34416.214562146393</v>
      </c>
    </row>
    <row r="27" spans="1:242" x14ac:dyDescent="0.3">
      <c r="A27" t="s">
        <v>771</v>
      </c>
      <c r="C27" s="30"/>
      <c r="D27" s="30">
        <f>+Producción!E14*C5</f>
        <v>0</v>
      </c>
      <c r="E27" s="30">
        <f>+Producción!F14*D5</f>
        <v>0</v>
      </c>
      <c r="F27" s="30">
        <f>+Producción!G14*E5</f>
        <v>0</v>
      </c>
      <c r="G27" s="30">
        <f>+Producción!H14*F5</f>
        <v>337780.16391359974</v>
      </c>
      <c r="H27" s="30">
        <f>+Producción!I14*G5</f>
        <v>235180.5042182398</v>
      </c>
      <c r="I27" s="30">
        <f>+Producción!J14*H5</f>
        <v>234445.03510995547</v>
      </c>
      <c r="J27" s="30">
        <f>+Producción!K14*I5</f>
        <v>75820.181701599591</v>
      </c>
      <c r="K27" s="30">
        <f>+Producción!L14*J5</f>
        <v>0</v>
      </c>
      <c r="L27" s="30">
        <f>+Producción!M14*K5</f>
        <v>0</v>
      </c>
      <c r="M27" s="30">
        <f>+Producción!N14*L5</f>
        <v>0</v>
      </c>
      <c r="N27" s="30">
        <f>+Producción!O14*M5</f>
        <v>0</v>
      </c>
      <c r="O27" s="30">
        <f>+Producción!P14*N5</f>
        <v>0</v>
      </c>
      <c r="P27" s="30">
        <f>+Producción!Q14*O5</f>
        <v>0</v>
      </c>
      <c r="Q27" s="30">
        <f>+Producción!R14*P5</f>
        <v>0</v>
      </c>
      <c r="R27" s="30">
        <f>+Producción!S14*Q5</f>
        <v>0</v>
      </c>
      <c r="S27" s="30">
        <f>+Producción!T14*R5</f>
        <v>296340.91229759972</v>
      </c>
      <c r="T27" s="30">
        <f>+Producción!U14*S5</f>
        <v>206335.1176393558</v>
      </c>
      <c r="U27" s="30">
        <f>+Producción!V14*T5</f>
        <v>205685.32086491352</v>
      </c>
      <c r="V27" s="30">
        <f>+Producción!W14*U5</f>
        <v>63964.086682799651</v>
      </c>
      <c r="W27" s="30">
        <f>+Producción!X14*V5</f>
        <v>0</v>
      </c>
      <c r="X27" s="30">
        <f>+Producción!Y14*W5</f>
        <v>0</v>
      </c>
      <c r="Y27" s="30">
        <f>+Producción!Z14*X5</f>
        <v>0</v>
      </c>
      <c r="Z27" s="30">
        <f>+Producción!AA14*Y5</f>
        <v>0</v>
      </c>
      <c r="AA27" s="30">
        <f>+Producción!AB14*Z5</f>
        <v>0</v>
      </c>
      <c r="AB27" s="30">
        <f>+Producción!AC14*AA5</f>
        <v>0</v>
      </c>
      <c r="AC27" s="30">
        <f>+Producción!AD14*AB5</f>
        <v>0</v>
      </c>
      <c r="AD27" s="30">
        <f>+Producción!AE14*AC5</f>
        <v>0</v>
      </c>
      <c r="AE27" s="30">
        <f>+Producción!AF14*AD5</f>
        <v>305231.13966652774</v>
      </c>
      <c r="AF27" s="30">
        <f>+Producción!AG14*AE5</f>
        <v>212525.1711685365</v>
      </c>
      <c r="AG27" s="30">
        <f>+Producción!AH14*AF5</f>
        <v>211855.88049086093</v>
      </c>
      <c r="AH27" s="30">
        <f>+Producción!AI14*AG5</f>
        <v>65883.009283283638</v>
      </c>
      <c r="AI27" s="30">
        <f>+Producción!AJ14*AH5</f>
        <v>0</v>
      </c>
      <c r="AJ27" s="30">
        <f>+Producción!AK14*AI5</f>
        <v>0</v>
      </c>
      <c r="AK27" s="30">
        <f>+Producción!AL14*AJ5</f>
        <v>0</v>
      </c>
      <c r="AL27" s="30">
        <f>+Producción!AM14*AK5</f>
        <v>0</v>
      </c>
      <c r="AM27" s="30">
        <f>+Producción!AN14*AL5</f>
        <v>0</v>
      </c>
      <c r="AN27" s="30">
        <f>+Producción!AO14*AM5</f>
        <v>0</v>
      </c>
      <c r="AO27" s="30">
        <f>+Producción!AP14*AN5</f>
        <v>0</v>
      </c>
      <c r="AP27" s="30">
        <f>+Producción!AQ14*AO5</f>
        <v>0</v>
      </c>
      <c r="AQ27" s="30">
        <f>+Producción!AR14*AP5</f>
        <v>314388.07385652361</v>
      </c>
      <c r="AR27" s="30">
        <f>+Producción!AS14*AQ5</f>
        <v>218900.9263035926</v>
      </c>
      <c r="AS27" s="30">
        <f>+Producción!AT14*AR5</f>
        <v>218211.55690558677</v>
      </c>
      <c r="AT27" s="30">
        <f>+Producción!AU14*AS5</f>
        <v>67859.499561782155</v>
      </c>
      <c r="AU27" s="30">
        <f>+Producción!AV14*AT5</f>
        <v>0</v>
      </c>
      <c r="AV27" s="30">
        <f>+Producción!AW14*AU5</f>
        <v>0</v>
      </c>
      <c r="AW27" s="30">
        <f>+Producción!AX14*AV5</f>
        <v>0</v>
      </c>
      <c r="AX27" s="30">
        <f>+Producción!AY14*AW5</f>
        <v>0</v>
      </c>
      <c r="AY27" s="30">
        <f>+Producción!AZ14*AX5</f>
        <v>0</v>
      </c>
      <c r="AZ27" s="30">
        <f>+Producción!BA14*AY5</f>
        <v>0</v>
      </c>
      <c r="BA27" s="30">
        <f>+Producción!BB14*AZ5</f>
        <v>0</v>
      </c>
      <c r="BB27" s="30">
        <f>+Producción!BC14*BA5</f>
        <v>0</v>
      </c>
      <c r="BC27" s="30">
        <f>+Producción!BD14*BB5</f>
        <v>323819.71607221931</v>
      </c>
      <c r="BD27" s="30">
        <f>+Producción!BE14*BC5</f>
        <v>225467.95409270038</v>
      </c>
      <c r="BE27" s="30">
        <f>+Producción!BF14*BD5</f>
        <v>224757.90361275439</v>
      </c>
      <c r="BF27" s="30">
        <f>+Producción!BG14*BE5</f>
        <v>69895.284548635624</v>
      </c>
      <c r="BG27" s="30">
        <f>+Producción!BH14*BF5</f>
        <v>0</v>
      </c>
      <c r="BH27" s="30">
        <f>+Producción!BI14*BG5</f>
        <v>0</v>
      </c>
      <c r="BI27" s="30">
        <f>+Producción!BJ14*BH5</f>
        <v>0</v>
      </c>
      <c r="BJ27" s="30">
        <f>+Producción!BK14*BI5</f>
        <v>0</v>
      </c>
      <c r="BK27" s="30">
        <f>+Producción!BL14*BJ5</f>
        <v>0</v>
      </c>
      <c r="BL27" s="30">
        <f>+Producción!BM14*BK5</f>
        <v>0</v>
      </c>
      <c r="BM27" s="30">
        <f>+Producción!BN14*BL5</f>
        <v>0</v>
      </c>
      <c r="BN27" s="30">
        <f>+Producción!BO14*BM5</f>
        <v>0</v>
      </c>
      <c r="BO27" s="30">
        <f>+Producción!BP14*BN5</f>
        <v>333534.30755438592</v>
      </c>
      <c r="BP27" s="30">
        <f>+Producción!BQ14*BO5</f>
        <v>232231.99271548141</v>
      </c>
      <c r="BQ27" s="30">
        <f>+Producción!BR14*BP5</f>
        <v>231500.64072113702</v>
      </c>
      <c r="BR27" s="30">
        <f>+Producción!BS14*BQ5</f>
        <v>71992.143085094693</v>
      </c>
      <c r="BS27" s="30">
        <f>+Producción!BT14*BR5</f>
        <v>0</v>
      </c>
      <c r="BT27" s="30">
        <f>+Producción!BU14*BS5</f>
        <v>0</v>
      </c>
      <c r="BU27" s="30">
        <f>+Producción!BV14*BT5</f>
        <v>0</v>
      </c>
      <c r="BV27" s="30">
        <f>+Producción!BW14*BU5</f>
        <v>0</v>
      </c>
      <c r="BW27" s="30">
        <f>+Producción!BX14*BV5</f>
        <v>0</v>
      </c>
      <c r="BX27" s="30">
        <f>+Producción!BY14*BW5</f>
        <v>0</v>
      </c>
      <c r="BY27" s="30">
        <f>+Producción!BZ14*BX5</f>
        <v>0</v>
      </c>
      <c r="BZ27" s="30">
        <f>+Producción!CA14*BY5</f>
        <v>0</v>
      </c>
      <c r="CA27" s="30">
        <f>+Producción!CB14*BZ5</f>
        <v>343540.33678101748</v>
      </c>
      <c r="CB27" s="30">
        <f>+Producción!CC14*CA5</f>
        <v>239198.95249694586</v>
      </c>
      <c r="CC27" s="30">
        <f>+Producción!CD14*CB5</f>
        <v>238445.65994277113</v>
      </c>
      <c r="CD27" s="30">
        <f>+Producción!CE14*CC5</f>
        <v>74151.907377647542</v>
      </c>
      <c r="CE27" s="30">
        <f>+Producción!CF14*CD5</f>
        <v>0</v>
      </c>
      <c r="CF27" s="30">
        <f>+Producción!CG14*CE5</f>
        <v>0</v>
      </c>
      <c r="CG27" s="30">
        <f>+Producción!CH14*CF5</f>
        <v>0</v>
      </c>
      <c r="CH27" s="30">
        <f>+Producción!CI14*CG5</f>
        <v>0</v>
      </c>
      <c r="CI27" s="30">
        <f>+Producción!CJ14*CH5</f>
        <v>0</v>
      </c>
      <c r="CJ27" s="30">
        <f>+Producción!CK14*CI5</f>
        <v>0</v>
      </c>
      <c r="CK27" s="30">
        <f>+Producción!CL14*CJ5</f>
        <v>0</v>
      </c>
      <c r="CL27" s="30">
        <f>+Producción!CM14*CK5</f>
        <v>0</v>
      </c>
      <c r="CM27" s="30">
        <f>+Producción!CN14*CL5</f>
        <v>353846.54688444803</v>
      </c>
      <c r="CN27" s="30">
        <f>+Producción!CO14*CM5</f>
        <v>246374.92107185425</v>
      </c>
      <c r="CO27" s="30">
        <f>+Producción!CP14*CN5</f>
        <v>245599.02974105428</v>
      </c>
      <c r="CP27" s="30">
        <f>+Producción!CQ14*CO5</f>
        <v>76376.464598976963</v>
      </c>
      <c r="CQ27" s="30">
        <f>+Producción!CR14*CP5</f>
        <v>0</v>
      </c>
      <c r="CR27" s="30">
        <f>+Producción!CS14*CQ5</f>
        <v>0</v>
      </c>
      <c r="CS27" s="30">
        <f>+Producción!CT14*CR5</f>
        <v>0</v>
      </c>
      <c r="CT27" s="30">
        <f>+Producción!CU14*CS5</f>
        <v>0</v>
      </c>
      <c r="CU27" s="30">
        <f>+Producción!CV14*CT5</f>
        <v>0</v>
      </c>
      <c r="CV27" s="30">
        <f>+Producción!CW14*CU5</f>
        <v>0</v>
      </c>
      <c r="CW27" s="30">
        <f>+Producción!CX14*CV5</f>
        <v>0</v>
      </c>
      <c r="CX27" s="30">
        <f>+Producción!CY14*CW5</f>
        <v>0</v>
      </c>
      <c r="CY27" s="30">
        <f>+Producción!CZ14*CX5</f>
        <v>364461.94329098152</v>
      </c>
      <c r="CZ27" s="30">
        <f>+Producción!DA14*CY5</f>
        <v>253766.16870400988</v>
      </c>
      <c r="DA27" s="30">
        <f>+Producción!DB14*CZ5</f>
        <v>252967.00063328593</v>
      </c>
      <c r="DB27" s="30">
        <f>+Producción!DC14*DA5</f>
        <v>78667.758536946276</v>
      </c>
      <c r="DC27" s="30">
        <f>+Producción!DD14*DB5</f>
        <v>0</v>
      </c>
      <c r="DD27" s="30">
        <f>+Producción!DE14*DC5</f>
        <v>0</v>
      </c>
      <c r="DE27" s="30">
        <f>+Producción!DF14*DD5</f>
        <v>0</v>
      </c>
      <c r="DF27" s="30">
        <f>+Producción!DG14*DE5</f>
        <v>0</v>
      </c>
      <c r="DG27" s="30">
        <f>+Producción!DH14*DF5</f>
        <v>0</v>
      </c>
      <c r="DH27" s="30">
        <f>+Producción!DI14*DG5</f>
        <v>0</v>
      </c>
      <c r="DI27" s="30">
        <f>+Producción!DJ14*DH5</f>
        <v>0</v>
      </c>
      <c r="DJ27" s="30">
        <f>+Producción!DK14*DI5</f>
        <v>0</v>
      </c>
      <c r="DK27" s="30">
        <f>+Producción!DL14*DJ5</f>
        <v>375395.80158971093</v>
      </c>
      <c r="DL27" s="30">
        <f>+Producción!DM14*DK5</f>
        <v>261379.15376513018</v>
      </c>
      <c r="DM27" s="30">
        <f>+Producción!DN14*DL5</f>
        <v>260556.01065228452</v>
      </c>
      <c r="DN27" s="30">
        <f>+Producción!DO14*DM5</f>
        <v>81027.791293054674</v>
      </c>
      <c r="DO27" s="30">
        <f>+Producción!DP14*DN5</f>
        <v>0</v>
      </c>
      <c r="DP27" s="30">
        <f>+Producción!DQ14*DO5</f>
        <v>0</v>
      </c>
      <c r="DQ27" s="30">
        <f>+Producción!DR14*DP5</f>
        <v>0</v>
      </c>
      <c r="DR27" s="30">
        <f>+Producción!DS14*DQ5</f>
        <v>0</v>
      </c>
      <c r="DS27" s="30">
        <f>+Producción!DT14*DR5</f>
        <v>0</v>
      </c>
      <c r="DT27" s="30">
        <f>+Producción!DU14*DS5</f>
        <v>0</v>
      </c>
      <c r="DU27" s="30">
        <f>+Producción!DV14*DT5</f>
        <v>0</v>
      </c>
      <c r="DV27" s="30">
        <f>+Producción!DW14*DU5</f>
        <v>0</v>
      </c>
      <c r="DW27" s="30">
        <f>+Producción!DX14*DV5</f>
        <v>386657.67563740228</v>
      </c>
      <c r="DX27" s="30">
        <f>+Producción!DY14*DW5</f>
        <v>269220.52837808407</v>
      </c>
      <c r="DY27" s="30">
        <f>+Producción!DZ14*DX5</f>
        <v>268372.69097185304</v>
      </c>
      <c r="DZ27" s="30">
        <f>+Producción!EA14*DY5</f>
        <v>83458.625031846299</v>
      </c>
      <c r="EA27" s="30">
        <f>+Producción!EB14*DZ5</f>
        <v>0</v>
      </c>
      <c r="EB27" s="30">
        <f>+Producción!EC14*EA5</f>
        <v>0</v>
      </c>
      <c r="EC27" s="30">
        <f>+Producción!ED14*EB5</f>
        <v>0</v>
      </c>
      <c r="ED27" s="30">
        <f>+Producción!EE14*EC5</f>
        <v>0</v>
      </c>
      <c r="EE27" s="30">
        <f>+Producción!EF14*ED5</f>
        <v>0</v>
      </c>
      <c r="EF27" s="30">
        <f>+Producción!EG14*EE5</f>
        <v>0</v>
      </c>
      <c r="EG27" s="30">
        <f>+Producción!EH14*EF5</f>
        <v>0</v>
      </c>
      <c r="EH27" s="30">
        <f>+Producción!EI14*EG5</f>
        <v>0</v>
      </c>
      <c r="EI27" s="30">
        <f>+Producción!EJ14*EH5</f>
        <v>398257.40590652433</v>
      </c>
      <c r="EJ27" s="30">
        <f>+Producción!EK14*EI5</f>
        <v>277297.14422942657</v>
      </c>
      <c r="EK27" s="30">
        <f>+Producción!EL14*EJ5</f>
        <v>276423.87170100864</v>
      </c>
      <c r="EL27" s="30">
        <f>+Producción!EM14*EK5</f>
        <v>85962.383782801699</v>
      </c>
      <c r="EM27" s="30">
        <f>+Producción!EN14*EL5</f>
        <v>0</v>
      </c>
      <c r="EN27" s="30">
        <f>+Producción!EO14*EM5</f>
        <v>0</v>
      </c>
      <c r="EO27" s="30">
        <f>+Producción!EP14*EN5</f>
        <v>0</v>
      </c>
      <c r="EP27" s="30">
        <f>+Producción!EQ14*EO5</f>
        <v>0</v>
      </c>
      <c r="EQ27" s="30">
        <f>+Producción!ER14*EP5</f>
        <v>0</v>
      </c>
      <c r="ER27" s="30">
        <f>+Producción!ES14*EQ5</f>
        <v>0</v>
      </c>
      <c r="ES27" s="30">
        <f>+Producción!ET14*ER5</f>
        <v>0</v>
      </c>
      <c r="ET27" s="30">
        <f>+Producción!EU14*ES5</f>
        <v>0</v>
      </c>
      <c r="EU27" s="30">
        <f>+Producción!EV14*ET5</f>
        <v>410205.1280837201</v>
      </c>
      <c r="EV27" s="30">
        <f>+Producción!EW14*EU5</f>
        <v>285616.05855630944</v>
      </c>
      <c r="EW27" s="30">
        <f>+Producción!EX14*EV5</f>
        <v>284716.58785203891</v>
      </c>
      <c r="EX27" s="30">
        <f>+Producción!EY14*EW5</f>
        <v>88541.255296285759</v>
      </c>
      <c r="EY27" s="30">
        <f>+Producción!EZ14*EX5</f>
        <v>0</v>
      </c>
      <c r="EZ27" s="30">
        <f>+Producción!FA14*EY5</f>
        <v>0</v>
      </c>
      <c r="FA27" s="30">
        <f>+Producción!FB14*EZ5</f>
        <v>0</v>
      </c>
      <c r="FB27" s="30">
        <f>+Producción!FC14*FA5</f>
        <v>0</v>
      </c>
      <c r="FC27" s="30">
        <f>+Producción!FD14*FB5</f>
        <v>0</v>
      </c>
      <c r="FD27" s="30">
        <f>+Producción!FE14*FC5</f>
        <v>0</v>
      </c>
      <c r="FE27" s="30">
        <f>+Producción!FF14*FD5</f>
        <v>0</v>
      </c>
      <c r="FF27" s="30">
        <f>+Producción!FG14*FE5</f>
        <v>0</v>
      </c>
      <c r="FG27" s="30">
        <f>+Producción!FH14*FF5</f>
        <v>422511.28192623163</v>
      </c>
      <c r="FH27" s="30">
        <f>+Producción!FI14*FG5</f>
        <v>294184.5403129987</v>
      </c>
      <c r="FI27" s="30">
        <f>+Producción!FJ14*FH5</f>
        <v>293258.08548760007</v>
      </c>
      <c r="FJ27" s="30">
        <f>+Producción!FK14*FI5</f>
        <v>91197.492955174326</v>
      </c>
      <c r="FK27" s="30">
        <f>+Producción!FL14*FJ5</f>
        <v>0</v>
      </c>
      <c r="FL27" s="30">
        <f>+Producción!FM14*FK5</f>
        <v>0</v>
      </c>
      <c r="FM27" s="30">
        <f>+Producción!FN14*FL5</f>
        <v>0</v>
      </c>
      <c r="FN27" s="30">
        <f>+Producción!FO14*FM5</f>
        <v>0</v>
      </c>
      <c r="FO27" s="30">
        <f>+Producción!FP14*FN5</f>
        <v>0</v>
      </c>
      <c r="FP27" s="30">
        <f>+Producción!FQ14*FO5</f>
        <v>0</v>
      </c>
      <c r="FQ27" s="30">
        <f>+Producción!FR14*FP5</f>
        <v>0</v>
      </c>
      <c r="FR27" s="30">
        <f>+Producción!FS14*FQ5</f>
        <v>0</v>
      </c>
      <c r="FS27" s="30">
        <f>+Producción!FT14*FR5</f>
        <v>435186.62038401858</v>
      </c>
      <c r="FT27" s="30">
        <f>+Producción!FU14*FS5</f>
        <v>303010.07652238861</v>
      </c>
      <c r="FU27" s="30">
        <f>+Producción!FV14*FT5</f>
        <v>302055.82805222803</v>
      </c>
      <c r="FV27" s="30">
        <f>+Producción!FW14*FU5</f>
        <v>93933.417743829545</v>
      </c>
      <c r="FW27" s="30">
        <f>+Producción!FX14*FV5</f>
        <v>0</v>
      </c>
      <c r="FX27" s="30">
        <f>+Producción!FY14*FW5</f>
        <v>0</v>
      </c>
      <c r="FY27" s="30">
        <f>+Producción!FZ14*FX5</f>
        <v>0</v>
      </c>
      <c r="FZ27" s="30">
        <f>+Producción!GA14*FY5</f>
        <v>0</v>
      </c>
      <c r="GA27" s="30">
        <f>+Producción!GB14*FZ5</f>
        <v>0</v>
      </c>
      <c r="GB27" s="30">
        <f>+Producción!GC14*GA5</f>
        <v>0</v>
      </c>
      <c r="GC27" s="30">
        <f>+Producción!GD14*GB5</f>
        <v>0</v>
      </c>
      <c r="GD27" s="30">
        <f>+Producción!GE14*GC5</f>
        <v>0</v>
      </c>
      <c r="GE27" s="30">
        <f>+Producción!GF14*GD5</f>
        <v>448242.21899553918</v>
      </c>
      <c r="GF27" s="30">
        <f>+Producción!GG14*GE5</f>
        <v>312100.37881806033</v>
      </c>
      <c r="GG27" s="30">
        <f>+Producción!GH14*GF5</f>
        <v>311117.50289379491</v>
      </c>
      <c r="GH27" s="30">
        <f>+Producción!GI14*GG5</f>
        <v>96751.420276144432</v>
      </c>
      <c r="GI27" s="30">
        <f>+Producción!GJ14*GH5</f>
        <v>0</v>
      </c>
      <c r="GJ27" s="30">
        <f>+Producción!GK14*GI5</f>
        <v>0</v>
      </c>
      <c r="GK27" s="30">
        <f>+Producción!GL14*GJ5</f>
        <v>0</v>
      </c>
      <c r="GL27" s="30">
        <f>+Producción!GM14*GK5</f>
        <v>0</v>
      </c>
      <c r="GM27" s="30">
        <f>+Producción!GN14*GL5</f>
        <v>0</v>
      </c>
      <c r="GN27" s="30">
        <f>+Producción!GO14*GM5</f>
        <v>0</v>
      </c>
      <c r="GO27" s="30">
        <f>+Producción!GP14*GN5</f>
        <v>0</v>
      </c>
      <c r="GP27" s="30">
        <f>+Producción!GQ14*GO5</f>
        <v>0</v>
      </c>
      <c r="GQ27" s="30">
        <f>+Producción!GR14*GP5</f>
        <v>461689.4855654054</v>
      </c>
      <c r="GR27" s="30">
        <f>+Producción!GS14*GQ5</f>
        <v>321463.39018260216</v>
      </c>
      <c r="GS27" s="30">
        <f>+Producción!GT14*GR5</f>
        <v>320451.02798060875</v>
      </c>
      <c r="GT27" s="30">
        <f>+Producción!GU14*GS5</f>
        <v>99653.96288442878</v>
      </c>
      <c r="GU27" s="30">
        <f>+Producción!GV14*GT5</f>
        <v>0</v>
      </c>
      <c r="GV27" s="30">
        <f>+Producción!GW14*GU5</f>
        <v>0</v>
      </c>
      <c r="GW27" s="30">
        <f>+Producción!GX14*GV5</f>
        <v>0</v>
      </c>
      <c r="GX27" s="30">
        <f>+Producción!GY14*GW5</f>
        <v>0</v>
      </c>
      <c r="GY27" s="30">
        <f>+Producción!GZ14*GX5</f>
        <v>0</v>
      </c>
      <c r="GZ27" s="30">
        <f>+Producción!HA14*GY5</f>
        <v>0</v>
      </c>
      <c r="HA27" s="30">
        <f>+Producción!HB14*GZ5</f>
        <v>0</v>
      </c>
      <c r="HB27" s="30">
        <f>+Producción!HC14*HA5</f>
        <v>0</v>
      </c>
      <c r="HC27" s="30">
        <f>+Producción!HD14*HB5</f>
        <v>475540.17013236758</v>
      </c>
      <c r="HD27" s="30">
        <f>+Producción!HE14*HC5</f>
        <v>331107.29188808025</v>
      </c>
      <c r="HE27" s="30">
        <f>+Producción!HF14*HD5</f>
        <v>330064.55882002704</v>
      </c>
      <c r="HF27" s="30">
        <f>+Producción!HG14*HE5</f>
        <v>102643.58177096165</v>
      </c>
      <c r="HG27" s="30">
        <f>+Producción!HH14*HF5</f>
        <v>0</v>
      </c>
      <c r="HH27" s="30">
        <f>+Producción!HI14*HG5</f>
        <v>0</v>
      </c>
      <c r="HI27" s="30">
        <f>+Producción!HJ14*HH5</f>
        <v>0</v>
      </c>
      <c r="HJ27" s="30">
        <f>+Producción!HK14*HI5</f>
        <v>0</v>
      </c>
      <c r="HK27" s="30">
        <f>+Producción!HL14*HJ5</f>
        <v>0</v>
      </c>
      <c r="HL27" s="30">
        <f>+Producción!HM14*HK5</f>
        <v>0</v>
      </c>
      <c r="HM27" s="30">
        <f>+Producción!HN14*HL5</f>
        <v>0</v>
      </c>
      <c r="HN27" s="30">
        <f>+Producción!HO14*HM5</f>
        <v>0</v>
      </c>
      <c r="HO27" s="30">
        <f>+Producción!HP14*HN5</f>
        <v>489806.37523633859</v>
      </c>
      <c r="HP27" s="30">
        <f>+Producción!HQ14*HO5</f>
        <v>341040.51064472261</v>
      </c>
      <c r="HQ27" s="30">
        <f>+Producción!HR14*HP5</f>
        <v>339966.4955846279</v>
      </c>
      <c r="HR27" s="30">
        <f>+Producción!HS14*HQ5</f>
        <v>105722.8892240905</v>
      </c>
      <c r="HS27" s="30">
        <f>+Producción!HT14*HR5</f>
        <v>0</v>
      </c>
      <c r="HT27" s="30">
        <f>+Producción!HU14*HS5</f>
        <v>0</v>
      </c>
      <c r="HU27" s="30">
        <f>+Producción!HV14*HT5</f>
        <v>0</v>
      </c>
      <c r="HV27" s="30">
        <f>+Producción!HW14*HU5</f>
        <v>0</v>
      </c>
      <c r="HW27" s="30">
        <f>+Producción!HX14*HV5</f>
        <v>0</v>
      </c>
      <c r="HX27" s="30">
        <f>+Producción!HY14*HW5</f>
        <v>0</v>
      </c>
      <c r="HY27" s="30">
        <f>+Producción!HZ14*HX5</f>
        <v>0</v>
      </c>
      <c r="HZ27" s="30">
        <f>+Producción!IA14*HY5</f>
        <v>0</v>
      </c>
      <c r="IA27" s="30">
        <f>+Producción!IB14*HZ5</f>
        <v>504500.56649342878</v>
      </c>
      <c r="IB27" s="30">
        <f>+Producción!IC14*IA5</f>
        <v>351271.72596406436</v>
      </c>
      <c r="IC27" s="30">
        <f>+Producción!ID14*IB5</f>
        <v>350165.4904521667</v>
      </c>
      <c r="ID27" s="30">
        <f>+Producción!IE14*IC5</f>
        <v>108894.57590081322</v>
      </c>
      <c r="IE27" s="30">
        <f>+Producción!IF14*ID5</f>
        <v>0</v>
      </c>
      <c r="IF27" s="30">
        <f>+Producción!IG14*IE5</f>
        <v>0</v>
      </c>
      <c r="IG27" s="30">
        <f>+Producción!IH14*IF5</f>
        <v>0</v>
      </c>
      <c r="IH27" s="30">
        <f>+Producción!II14*IG5</f>
        <v>0</v>
      </c>
    </row>
    <row r="28" spans="1:242" x14ac:dyDescent="0.3">
      <c r="A28" t="s">
        <v>917</v>
      </c>
      <c r="C28" s="30"/>
      <c r="D28" s="30">
        <f>+D27*$B$1</f>
        <v>0</v>
      </c>
      <c r="E28" s="30">
        <f t="shared" ref="E28:BP28" si="22">+E27*$B$1</f>
        <v>0</v>
      </c>
      <c r="F28" s="30">
        <f t="shared" si="22"/>
        <v>0</v>
      </c>
      <c r="G28" s="30">
        <f t="shared" si="22"/>
        <v>67556.032782719951</v>
      </c>
      <c r="H28" s="30">
        <f t="shared" si="22"/>
        <v>47036.100843647961</v>
      </c>
      <c r="I28" s="30">
        <f t="shared" si="22"/>
        <v>46889.007021991099</v>
      </c>
      <c r="J28" s="30">
        <f t="shared" si="22"/>
        <v>15164.036340319919</v>
      </c>
      <c r="K28" s="30">
        <f t="shared" si="22"/>
        <v>0</v>
      </c>
      <c r="L28" s="30">
        <f t="shared" si="22"/>
        <v>0</v>
      </c>
      <c r="M28" s="30">
        <f t="shared" si="22"/>
        <v>0</v>
      </c>
      <c r="N28" s="30">
        <f t="shared" si="22"/>
        <v>0</v>
      </c>
      <c r="O28" s="30">
        <f t="shared" si="22"/>
        <v>0</v>
      </c>
      <c r="P28" s="30">
        <f t="shared" si="22"/>
        <v>0</v>
      </c>
      <c r="Q28" s="30">
        <f t="shared" si="22"/>
        <v>0</v>
      </c>
      <c r="R28" s="30">
        <f t="shared" si="22"/>
        <v>0</v>
      </c>
      <c r="S28" s="30">
        <f t="shared" si="22"/>
        <v>59268.182459519943</v>
      </c>
      <c r="T28" s="30">
        <f t="shared" si="22"/>
        <v>41267.023527871163</v>
      </c>
      <c r="U28" s="30">
        <f t="shared" si="22"/>
        <v>41137.064172982704</v>
      </c>
      <c r="V28" s="30">
        <f t="shared" si="22"/>
        <v>12792.81733655993</v>
      </c>
      <c r="W28" s="30">
        <f t="shared" si="22"/>
        <v>0</v>
      </c>
      <c r="X28" s="30">
        <f t="shared" si="22"/>
        <v>0</v>
      </c>
      <c r="Y28" s="30">
        <f t="shared" si="22"/>
        <v>0</v>
      </c>
      <c r="Z28" s="30">
        <f t="shared" si="22"/>
        <v>0</v>
      </c>
      <c r="AA28" s="30">
        <f t="shared" si="22"/>
        <v>0</v>
      </c>
      <c r="AB28" s="30">
        <f t="shared" si="22"/>
        <v>0</v>
      </c>
      <c r="AC28" s="30">
        <f t="shared" si="22"/>
        <v>0</v>
      </c>
      <c r="AD28" s="30">
        <f t="shared" si="22"/>
        <v>0</v>
      </c>
      <c r="AE28" s="30">
        <f t="shared" si="22"/>
        <v>61046.227933305549</v>
      </c>
      <c r="AF28" s="30">
        <f t="shared" si="22"/>
        <v>42505.034233707302</v>
      </c>
      <c r="AG28" s="30">
        <f t="shared" si="22"/>
        <v>42371.176098172189</v>
      </c>
      <c r="AH28" s="30">
        <f t="shared" si="22"/>
        <v>13176.601856656729</v>
      </c>
      <c r="AI28" s="30">
        <f t="shared" si="22"/>
        <v>0</v>
      </c>
      <c r="AJ28" s="30">
        <f t="shared" si="22"/>
        <v>0</v>
      </c>
      <c r="AK28" s="30">
        <f t="shared" si="22"/>
        <v>0</v>
      </c>
      <c r="AL28" s="30">
        <f t="shared" si="22"/>
        <v>0</v>
      </c>
      <c r="AM28" s="30">
        <f t="shared" si="22"/>
        <v>0</v>
      </c>
      <c r="AN28" s="30">
        <f t="shared" si="22"/>
        <v>0</v>
      </c>
      <c r="AO28" s="30">
        <f t="shared" si="22"/>
        <v>0</v>
      </c>
      <c r="AP28" s="30">
        <f t="shared" si="22"/>
        <v>0</v>
      </c>
      <c r="AQ28" s="30">
        <f t="shared" si="22"/>
        <v>62877.614771304725</v>
      </c>
      <c r="AR28" s="30">
        <f t="shared" si="22"/>
        <v>43780.185260718521</v>
      </c>
      <c r="AS28" s="30">
        <f t="shared" si="22"/>
        <v>43642.311381117353</v>
      </c>
      <c r="AT28" s="30">
        <f t="shared" si="22"/>
        <v>13571.899912356432</v>
      </c>
      <c r="AU28" s="30">
        <f t="shared" si="22"/>
        <v>0</v>
      </c>
      <c r="AV28" s="30">
        <f t="shared" si="22"/>
        <v>0</v>
      </c>
      <c r="AW28" s="30">
        <f t="shared" si="22"/>
        <v>0</v>
      </c>
      <c r="AX28" s="30">
        <f t="shared" si="22"/>
        <v>0</v>
      </c>
      <c r="AY28" s="30">
        <f t="shared" si="22"/>
        <v>0</v>
      </c>
      <c r="AZ28" s="30">
        <f t="shared" si="22"/>
        <v>0</v>
      </c>
      <c r="BA28" s="30">
        <f t="shared" si="22"/>
        <v>0</v>
      </c>
      <c r="BB28" s="30">
        <f t="shared" si="22"/>
        <v>0</v>
      </c>
      <c r="BC28" s="30">
        <f t="shared" si="22"/>
        <v>64763.943214443862</v>
      </c>
      <c r="BD28" s="30">
        <f t="shared" si="22"/>
        <v>45093.590818540077</v>
      </c>
      <c r="BE28" s="30">
        <f t="shared" si="22"/>
        <v>44951.580722550883</v>
      </c>
      <c r="BF28" s="30">
        <f t="shared" si="22"/>
        <v>13979.056909727125</v>
      </c>
      <c r="BG28" s="30">
        <f t="shared" si="22"/>
        <v>0</v>
      </c>
      <c r="BH28" s="30">
        <f t="shared" si="22"/>
        <v>0</v>
      </c>
      <c r="BI28" s="30">
        <f t="shared" si="22"/>
        <v>0</v>
      </c>
      <c r="BJ28" s="30">
        <f t="shared" si="22"/>
        <v>0</v>
      </c>
      <c r="BK28" s="30">
        <f t="shared" si="22"/>
        <v>0</v>
      </c>
      <c r="BL28" s="30">
        <f t="shared" si="22"/>
        <v>0</v>
      </c>
      <c r="BM28" s="30">
        <f t="shared" si="22"/>
        <v>0</v>
      </c>
      <c r="BN28" s="30">
        <f t="shared" si="22"/>
        <v>0</v>
      </c>
      <c r="BO28" s="30">
        <f t="shared" si="22"/>
        <v>66706.861510877192</v>
      </c>
      <c r="BP28" s="30">
        <f t="shared" si="22"/>
        <v>46446.398543096286</v>
      </c>
      <c r="BQ28" s="30">
        <f t="shared" ref="BQ28:EB28" si="23">+BQ27*$B$1</f>
        <v>46300.128144227405</v>
      </c>
      <c r="BR28" s="30">
        <f t="shared" si="23"/>
        <v>14398.428617018939</v>
      </c>
      <c r="BS28" s="30">
        <f t="shared" si="23"/>
        <v>0</v>
      </c>
      <c r="BT28" s="30">
        <f t="shared" si="23"/>
        <v>0</v>
      </c>
      <c r="BU28" s="30">
        <f t="shared" si="23"/>
        <v>0</v>
      </c>
      <c r="BV28" s="30">
        <f t="shared" si="23"/>
        <v>0</v>
      </c>
      <c r="BW28" s="30">
        <f t="shared" si="23"/>
        <v>0</v>
      </c>
      <c r="BX28" s="30">
        <f t="shared" si="23"/>
        <v>0</v>
      </c>
      <c r="BY28" s="30">
        <f t="shared" si="23"/>
        <v>0</v>
      </c>
      <c r="BZ28" s="30">
        <f t="shared" si="23"/>
        <v>0</v>
      </c>
      <c r="CA28" s="30">
        <f t="shared" si="23"/>
        <v>68708.067356203494</v>
      </c>
      <c r="CB28" s="30">
        <f t="shared" si="23"/>
        <v>47839.790499389172</v>
      </c>
      <c r="CC28" s="30">
        <f t="shared" si="23"/>
        <v>47689.131988554233</v>
      </c>
      <c r="CD28" s="30">
        <f t="shared" si="23"/>
        <v>14830.38147552951</v>
      </c>
      <c r="CE28" s="30">
        <f t="shared" si="23"/>
        <v>0</v>
      </c>
      <c r="CF28" s="30">
        <f t="shared" si="23"/>
        <v>0</v>
      </c>
      <c r="CG28" s="30">
        <f t="shared" si="23"/>
        <v>0</v>
      </c>
      <c r="CH28" s="30">
        <f t="shared" si="23"/>
        <v>0</v>
      </c>
      <c r="CI28" s="30">
        <f t="shared" si="23"/>
        <v>0</v>
      </c>
      <c r="CJ28" s="30">
        <f t="shared" si="23"/>
        <v>0</v>
      </c>
      <c r="CK28" s="30">
        <f t="shared" si="23"/>
        <v>0</v>
      </c>
      <c r="CL28" s="30">
        <f t="shared" si="23"/>
        <v>0</v>
      </c>
      <c r="CM28" s="30">
        <f t="shared" si="23"/>
        <v>70769.309376889607</v>
      </c>
      <c r="CN28" s="30">
        <f t="shared" si="23"/>
        <v>49274.984214370852</v>
      </c>
      <c r="CO28" s="30">
        <f t="shared" si="23"/>
        <v>49119.805948210858</v>
      </c>
      <c r="CP28" s="30">
        <f t="shared" si="23"/>
        <v>15275.292919795393</v>
      </c>
      <c r="CQ28" s="30">
        <f t="shared" si="23"/>
        <v>0</v>
      </c>
      <c r="CR28" s="30">
        <f t="shared" si="23"/>
        <v>0</v>
      </c>
      <c r="CS28" s="30">
        <f t="shared" si="23"/>
        <v>0</v>
      </c>
      <c r="CT28" s="30">
        <f t="shared" si="23"/>
        <v>0</v>
      </c>
      <c r="CU28" s="30">
        <f t="shared" si="23"/>
        <v>0</v>
      </c>
      <c r="CV28" s="30">
        <f t="shared" si="23"/>
        <v>0</v>
      </c>
      <c r="CW28" s="30">
        <f t="shared" si="23"/>
        <v>0</v>
      </c>
      <c r="CX28" s="30">
        <f t="shared" si="23"/>
        <v>0</v>
      </c>
      <c r="CY28" s="30">
        <f t="shared" si="23"/>
        <v>72892.388658196302</v>
      </c>
      <c r="CZ28" s="30">
        <f t="shared" si="23"/>
        <v>50753.233740801981</v>
      </c>
      <c r="DA28" s="30">
        <f t="shared" si="23"/>
        <v>50593.400126657187</v>
      </c>
      <c r="DB28" s="30">
        <f t="shared" si="23"/>
        <v>15733.551707389255</v>
      </c>
      <c r="DC28" s="30">
        <f t="shared" si="23"/>
        <v>0</v>
      </c>
      <c r="DD28" s="30">
        <f t="shared" si="23"/>
        <v>0</v>
      </c>
      <c r="DE28" s="30">
        <f t="shared" si="23"/>
        <v>0</v>
      </c>
      <c r="DF28" s="30">
        <f t="shared" si="23"/>
        <v>0</v>
      </c>
      <c r="DG28" s="30">
        <f t="shared" si="23"/>
        <v>0</v>
      </c>
      <c r="DH28" s="30">
        <f t="shared" si="23"/>
        <v>0</v>
      </c>
      <c r="DI28" s="30">
        <f t="shared" si="23"/>
        <v>0</v>
      </c>
      <c r="DJ28" s="30">
        <f t="shared" si="23"/>
        <v>0</v>
      </c>
      <c r="DK28" s="30">
        <f t="shared" si="23"/>
        <v>75079.160317942195</v>
      </c>
      <c r="DL28" s="30">
        <f t="shared" si="23"/>
        <v>52275.830753026035</v>
      </c>
      <c r="DM28" s="30">
        <f t="shared" si="23"/>
        <v>52111.202130456906</v>
      </c>
      <c r="DN28" s="30">
        <f t="shared" si="23"/>
        <v>16205.558258610936</v>
      </c>
      <c r="DO28" s="30">
        <f t="shared" si="23"/>
        <v>0</v>
      </c>
      <c r="DP28" s="30">
        <f t="shared" si="23"/>
        <v>0</v>
      </c>
      <c r="DQ28" s="30">
        <f t="shared" si="23"/>
        <v>0</v>
      </c>
      <c r="DR28" s="30">
        <f t="shared" si="23"/>
        <v>0</v>
      </c>
      <c r="DS28" s="30">
        <f t="shared" si="23"/>
        <v>0</v>
      </c>
      <c r="DT28" s="30">
        <f t="shared" si="23"/>
        <v>0</v>
      </c>
      <c r="DU28" s="30">
        <f t="shared" si="23"/>
        <v>0</v>
      </c>
      <c r="DV28" s="30">
        <f t="shared" si="23"/>
        <v>0</v>
      </c>
      <c r="DW28" s="30">
        <f t="shared" si="23"/>
        <v>77331.535127480456</v>
      </c>
      <c r="DX28" s="30">
        <f t="shared" si="23"/>
        <v>53844.105675616818</v>
      </c>
      <c r="DY28" s="30">
        <f t="shared" si="23"/>
        <v>53674.538194370609</v>
      </c>
      <c r="DZ28" s="30">
        <f t="shared" si="23"/>
        <v>16691.725006369259</v>
      </c>
      <c r="EA28" s="30">
        <f t="shared" si="23"/>
        <v>0</v>
      </c>
      <c r="EB28" s="30">
        <f t="shared" si="23"/>
        <v>0</v>
      </c>
      <c r="EC28" s="30">
        <f t="shared" ref="EC28:GN28" si="24">+EC27*$B$1</f>
        <v>0</v>
      </c>
      <c r="ED28" s="30">
        <f t="shared" si="24"/>
        <v>0</v>
      </c>
      <c r="EE28" s="30">
        <f t="shared" si="24"/>
        <v>0</v>
      </c>
      <c r="EF28" s="30">
        <f t="shared" si="24"/>
        <v>0</v>
      </c>
      <c r="EG28" s="30">
        <f t="shared" si="24"/>
        <v>0</v>
      </c>
      <c r="EH28" s="30">
        <f t="shared" si="24"/>
        <v>0</v>
      </c>
      <c r="EI28" s="30">
        <f t="shared" si="24"/>
        <v>79651.481181304873</v>
      </c>
      <c r="EJ28" s="30">
        <f t="shared" si="24"/>
        <v>55459.428845885319</v>
      </c>
      <c r="EK28" s="30">
        <f t="shared" si="24"/>
        <v>55284.77434020173</v>
      </c>
      <c r="EL28" s="30">
        <f t="shared" si="24"/>
        <v>17192.47675656034</v>
      </c>
      <c r="EM28" s="30">
        <f t="shared" si="24"/>
        <v>0</v>
      </c>
      <c r="EN28" s="30">
        <f t="shared" si="24"/>
        <v>0</v>
      </c>
      <c r="EO28" s="30">
        <f t="shared" si="24"/>
        <v>0</v>
      </c>
      <c r="EP28" s="30">
        <f t="shared" si="24"/>
        <v>0</v>
      </c>
      <c r="EQ28" s="30">
        <f t="shared" si="24"/>
        <v>0</v>
      </c>
      <c r="ER28" s="30">
        <f t="shared" si="24"/>
        <v>0</v>
      </c>
      <c r="ES28" s="30">
        <f t="shared" si="24"/>
        <v>0</v>
      </c>
      <c r="ET28" s="30">
        <f t="shared" si="24"/>
        <v>0</v>
      </c>
      <c r="EU28" s="30">
        <f t="shared" si="24"/>
        <v>82041.025616744024</v>
      </c>
      <c r="EV28" s="30">
        <f t="shared" si="24"/>
        <v>57123.211711261887</v>
      </c>
      <c r="EW28" s="30">
        <f t="shared" si="24"/>
        <v>56943.317570407788</v>
      </c>
      <c r="EX28" s="30">
        <f t="shared" si="24"/>
        <v>17708.251059257153</v>
      </c>
      <c r="EY28" s="30">
        <f t="shared" si="24"/>
        <v>0</v>
      </c>
      <c r="EZ28" s="30">
        <f t="shared" si="24"/>
        <v>0</v>
      </c>
      <c r="FA28" s="30">
        <f t="shared" si="24"/>
        <v>0</v>
      </c>
      <c r="FB28" s="30">
        <f t="shared" si="24"/>
        <v>0</v>
      </c>
      <c r="FC28" s="30">
        <f t="shared" si="24"/>
        <v>0</v>
      </c>
      <c r="FD28" s="30">
        <f t="shared" si="24"/>
        <v>0</v>
      </c>
      <c r="FE28" s="30">
        <f t="shared" si="24"/>
        <v>0</v>
      </c>
      <c r="FF28" s="30">
        <f t="shared" si="24"/>
        <v>0</v>
      </c>
      <c r="FG28" s="30">
        <f t="shared" si="24"/>
        <v>84502.256385246335</v>
      </c>
      <c r="FH28" s="30">
        <f t="shared" si="24"/>
        <v>58836.908062599745</v>
      </c>
      <c r="FI28" s="30">
        <f t="shared" si="24"/>
        <v>58651.617097520015</v>
      </c>
      <c r="FJ28" s="30">
        <f t="shared" si="24"/>
        <v>18239.498591034866</v>
      </c>
      <c r="FK28" s="30">
        <f t="shared" si="24"/>
        <v>0</v>
      </c>
      <c r="FL28" s="30">
        <f t="shared" si="24"/>
        <v>0</v>
      </c>
      <c r="FM28" s="30">
        <f t="shared" si="24"/>
        <v>0</v>
      </c>
      <c r="FN28" s="30">
        <f t="shared" si="24"/>
        <v>0</v>
      </c>
      <c r="FO28" s="30">
        <f t="shared" si="24"/>
        <v>0</v>
      </c>
      <c r="FP28" s="30">
        <f t="shared" si="24"/>
        <v>0</v>
      </c>
      <c r="FQ28" s="30">
        <f t="shared" si="24"/>
        <v>0</v>
      </c>
      <c r="FR28" s="30">
        <f t="shared" si="24"/>
        <v>0</v>
      </c>
      <c r="FS28" s="30">
        <f t="shared" si="24"/>
        <v>87037.324076803721</v>
      </c>
      <c r="FT28" s="30">
        <f t="shared" si="24"/>
        <v>60602.015304477725</v>
      </c>
      <c r="FU28" s="30">
        <f t="shared" si="24"/>
        <v>60411.165610445605</v>
      </c>
      <c r="FV28" s="30">
        <f t="shared" si="24"/>
        <v>18786.683548765908</v>
      </c>
      <c r="FW28" s="30">
        <f t="shared" si="24"/>
        <v>0</v>
      </c>
      <c r="FX28" s="30">
        <f t="shared" si="24"/>
        <v>0</v>
      </c>
      <c r="FY28" s="30">
        <f t="shared" si="24"/>
        <v>0</v>
      </c>
      <c r="FZ28" s="30">
        <f t="shared" si="24"/>
        <v>0</v>
      </c>
      <c r="GA28" s="30">
        <f t="shared" si="24"/>
        <v>0</v>
      </c>
      <c r="GB28" s="30">
        <f t="shared" si="24"/>
        <v>0</v>
      </c>
      <c r="GC28" s="30">
        <f t="shared" si="24"/>
        <v>0</v>
      </c>
      <c r="GD28" s="30">
        <f t="shared" si="24"/>
        <v>0</v>
      </c>
      <c r="GE28" s="30">
        <f t="shared" si="24"/>
        <v>89648.443799107845</v>
      </c>
      <c r="GF28" s="30">
        <f t="shared" si="24"/>
        <v>62420.075763612069</v>
      </c>
      <c r="GG28" s="30">
        <f t="shared" si="24"/>
        <v>62223.500578758983</v>
      </c>
      <c r="GH28" s="30">
        <f t="shared" si="24"/>
        <v>19350.284055228887</v>
      </c>
      <c r="GI28" s="30">
        <f t="shared" si="24"/>
        <v>0</v>
      </c>
      <c r="GJ28" s="30">
        <f t="shared" si="24"/>
        <v>0</v>
      </c>
      <c r="GK28" s="30">
        <f t="shared" si="24"/>
        <v>0</v>
      </c>
      <c r="GL28" s="30">
        <f t="shared" si="24"/>
        <v>0</v>
      </c>
      <c r="GM28" s="30">
        <f t="shared" si="24"/>
        <v>0</v>
      </c>
      <c r="GN28" s="30">
        <f t="shared" si="24"/>
        <v>0</v>
      </c>
      <c r="GO28" s="30">
        <f t="shared" ref="GO28:IH28" si="25">+GO27*$B$1</f>
        <v>0</v>
      </c>
      <c r="GP28" s="30">
        <f t="shared" si="25"/>
        <v>0</v>
      </c>
      <c r="GQ28" s="30">
        <f t="shared" si="25"/>
        <v>92337.897113081082</v>
      </c>
      <c r="GR28" s="30">
        <f t="shared" si="25"/>
        <v>64292.678036520432</v>
      </c>
      <c r="GS28" s="30">
        <f t="shared" si="25"/>
        <v>64090.205596121756</v>
      </c>
      <c r="GT28" s="30">
        <f t="shared" si="25"/>
        <v>19930.792576885757</v>
      </c>
      <c r="GU28" s="30">
        <f t="shared" si="25"/>
        <v>0</v>
      </c>
      <c r="GV28" s="30">
        <f t="shared" si="25"/>
        <v>0</v>
      </c>
      <c r="GW28" s="30">
        <f t="shared" si="25"/>
        <v>0</v>
      </c>
      <c r="GX28" s="30">
        <f t="shared" si="25"/>
        <v>0</v>
      </c>
      <c r="GY28" s="30">
        <f t="shared" si="25"/>
        <v>0</v>
      </c>
      <c r="GZ28" s="30">
        <f t="shared" si="25"/>
        <v>0</v>
      </c>
      <c r="HA28" s="30">
        <f t="shared" si="25"/>
        <v>0</v>
      </c>
      <c r="HB28" s="30">
        <f t="shared" si="25"/>
        <v>0</v>
      </c>
      <c r="HC28" s="30">
        <f t="shared" si="25"/>
        <v>95108.034026473528</v>
      </c>
      <c r="HD28" s="30">
        <f t="shared" si="25"/>
        <v>66221.458377616058</v>
      </c>
      <c r="HE28" s="30">
        <f t="shared" si="25"/>
        <v>66012.911764005417</v>
      </c>
      <c r="HF28" s="30">
        <f t="shared" si="25"/>
        <v>20528.716354192333</v>
      </c>
      <c r="HG28" s="30">
        <f t="shared" si="25"/>
        <v>0</v>
      </c>
      <c r="HH28" s="30">
        <f t="shared" si="25"/>
        <v>0</v>
      </c>
      <c r="HI28" s="30">
        <f t="shared" si="25"/>
        <v>0</v>
      </c>
      <c r="HJ28" s="30">
        <f t="shared" si="25"/>
        <v>0</v>
      </c>
      <c r="HK28" s="30">
        <f t="shared" si="25"/>
        <v>0</v>
      </c>
      <c r="HL28" s="30">
        <f t="shared" si="25"/>
        <v>0</v>
      </c>
      <c r="HM28" s="30">
        <f t="shared" si="25"/>
        <v>0</v>
      </c>
      <c r="HN28" s="30">
        <f t="shared" si="25"/>
        <v>0</v>
      </c>
      <c r="HO28" s="30">
        <f t="shared" si="25"/>
        <v>97961.275047267729</v>
      </c>
      <c r="HP28" s="30">
        <f t="shared" si="25"/>
        <v>68208.10212894452</v>
      </c>
      <c r="HQ28" s="30">
        <f t="shared" si="25"/>
        <v>67993.299116925584</v>
      </c>
      <c r="HR28" s="30">
        <f t="shared" si="25"/>
        <v>21144.577844818101</v>
      </c>
      <c r="HS28" s="30">
        <f t="shared" si="25"/>
        <v>0</v>
      </c>
      <c r="HT28" s="30">
        <f t="shared" si="25"/>
        <v>0</v>
      </c>
      <c r="HU28" s="30">
        <f t="shared" si="25"/>
        <v>0</v>
      </c>
      <c r="HV28" s="30">
        <f t="shared" si="25"/>
        <v>0</v>
      </c>
      <c r="HW28" s="30">
        <f t="shared" si="25"/>
        <v>0</v>
      </c>
      <c r="HX28" s="30">
        <f t="shared" si="25"/>
        <v>0</v>
      </c>
      <c r="HY28" s="30">
        <f t="shared" si="25"/>
        <v>0</v>
      </c>
      <c r="HZ28" s="30">
        <f t="shared" si="25"/>
        <v>0</v>
      </c>
      <c r="IA28" s="30">
        <f t="shared" si="25"/>
        <v>100900.11329868576</v>
      </c>
      <c r="IB28" s="30">
        <f t="shared" si="25"/>
        <v>70254.345192812878</v>
      </c>
      <c r="IC28" s="30">
        <f t="shared" si="25"/>
        <v>70033.098090433341</v>
      </c>
      <c r="ID28" s="30">
        <f t="shared" si="25"/>
        <v>21778.915180162643</v>
      </c>
      <c r="IE28" s="30">
        <f t="shared" si="25"/>
        <v>0</v>
      </c>
      <c r="IF28" s="30">
        <f t="shared" si="25"/>
        <v>0</v>
      </c>
      <c r="IG28" s="30">
        <f t="shared" si="25"/>
        <v>0</v>
      </c>
      <c r="IH28" s="30">
        <f t="shared" si="25"/>
        <v>0</v>
      </c>
    </row>
    <row r="29" spans="1:242" x14ac:dyDescent="0.3">
      <c r="A29" t="s">
        <v>918</v>
      </c>
      <c r="B29" s="30"/>
      <c r="C29" s="30"/>
      <c r="D29" s="30">
        <f>Producción!E15*C8</f>
        <v>-478377.96194371453</v>
      </c>
      <c r="E29" s="30">
        <f>Producción!F15*D8</f>
        <v>-299257.84207094216</v>
      </c>
      <c r="F29" s="30">
        <f>Producción!G15*E8</f>
        <v>-264126.41018208337</v>
      </c>
      <c r="G29" s="30">
        <f>Producción!H15*F8</f>
        <v>0</v>
      </c>
      <c r="H29" s="30">
        <f>Producción!I15*G8</f>
        <v>0</v>
      </c>
      <c r="I29" s="30">
        <f>Producción!J15*H8</f>
        <v>0</v>
      </c>
      <c r="J29" s="30">
        <f>Producción!K15*I8</f>
        <v>0</v>
      </c>
      <c r="K29" s="30">
        <f>Producción!L15*J8</f>
        <v>-171931.85923999996</v>
      </c>
      <c r="L29" s="30">
        <f>Producción!M15*K8</f>
        <v>-282223.02759999991</v>
      </c>
      <c r="M29" s="30">
        <f>Producción!N15*L8</f>
        <v>-260519.88284000003</v>
      </c>
      <c r="N29" s="30">
        <f>Producción!O15*M8</f>
        <v>-195537.95008000016</v>
      </c>
      <c r="O29" s="30">
        <f>Producción!P15*N8</f>
        <v>-397234.61356000014</v>
      </c>
      <c r="P29" s="30">
        <f>Producción!Q15*O8</f>
        <v>-353039.97167405859</v>
      </c>
      <c r="Q29" s="30">
        <f>Producción!R15*P8</f>
        <v>-245639.37826247944</v>
      </c>
      <c r="R29" s="30">
        <f>Producción!S15*Q8</f>
        <v>-215977.52639558609</v>
      </c>
      <c r="S29" s="30">
        <f>Producción!T15*R8</f>
        <v>0</v>
      </c>
      <c r="T29" s="30">
        <f>Producción!U15*S8</f>
        <v>0</v>
      </c>
      <c r="U29" s="30">
        <f>Producción!V15*T8</f>
        <v>0</v>
      </c>
      <c r="V29" s="30">
        <f>Producción!W15*U8</f>
        <v>0</v>
      </c>
      <c r="W29" s="30">
        <f>Producción!X15*V8</f>
        <v>-173097.66407613215</v>
      </c>
      <c r="X29" s="30">
        <f>Producción!Y15*W8</f>
        <v>-280814.98989980709</v>
      </c>
      <c r="Y29" s="30">
        <f>Producción!Z15*X8</f>
        <v>-260519.88284000003</v>
      </c>
      <c r="Z29" s="30">
        <f>Producción!AA15*Y8</f>
        <v>-195537.95008000016</v>
      </c>
      <c r="AA29" s="30">
        <f>Producción!AB15*Z8</f>
        <v>-397234.61356000014</v>
      </c>
      <c r="AB29" s="30">
        <f>Producción!AC15*AA8</f>
        <v>-370691.97025776154</v>
      </c>
      <c r="AC29" s="30">
        <f>Producción!AD15*AB8</f>
        <v>-257921.34717560341</v>
      </c>
      <c r="AD29" s="30">
        <f>Producción!AE15*AC8</f>
        <v>-226776.40271536537</v>
      </c>
      <c r="AE29" s="30">
        <f>Producción!AF15*AD8</f>
        <v>0</v>
      </c>
      <c r="AF29" s="30">
        <f>Producción!AG15*AE8</f>
        <v>0</v>
      </c>
      <c r="AG29" s="30">
        <f>Producción!AH15*AF8</f>
        <v>0</v>
      </c>
      <c r="AH29" s="30">
        <f>Producción!AI15*AG8</f>
        <v>0</v>
      </c>
      <c r="AI29" s="30">
        <f>Producción!AJ15*AH8</f>
        <v>-181752.54727993876</v>
      </c>
      <c r="AJ29" s="30">
        <f>Producción!AK15*AI8</f>
        <v>-294855.73939479742</v>
      </c>
      <c r="AK29" s="30">
        <f>Producción!AL15*AJ8</f>
        <v>-260519.88284000003</v>
      </c>
      <c r="AL29" s="30">
        <f>Producción!AM15*AK8</f>
        <v>-195537.95008000016</v>
      </c>
      <c r="AM29" s="30">
        <f>Producción!AN15*AL8</f>
        <v>-397234.61356000014</v>
      </c>
      <c r="AN29" s="30">
        <f>Producción!AO15*AM8</f>
        <v>-389226.56877064961</v>
      </c>
      <c r="AO29" s="30">
        <f>Producción!AP15*AN8</f>
        <v>-270817.41453438357</v>
      </c>
      <c r="AP29" s="30">
        <f>Producción!AQ15*AO8</f>
        <v>-238115.22285113367</v>
      </c>
      <c r="AQ29" s="30">
        <f>Producción!AR15*AP8</f>
        <v>0</v>
      </c>
      <c r="AR29" s="30">
        <f>Producción!AS15*AQ8</f>
        <v>0</v>
      </c>
      <c r="AS29" s="30">
        <f>Producción!AT15*AR8</f>
        <v>0</v>
      </c>
      <c r="AT29" s="30">
        <f>Producción!AU15*AS8</f>
        <v>0</v>
      </c>
      <c r="AU29" s="30">
        <f>Producción!AV15*AT8</f>
        <v>-190840.17464393569</v>
      </c>
      <c r="AV29" s="30">
        <f>Producción!AW15*AU8</f>
        <v>-309598.52636453731</v>
      </c>
      <c r="AW29" s="30">
        <f>Producción!AX15*AV8</f>
        <v>-260519.88284000003</v>
      </c>
      <c r="AX29" s="30">
        <f>Producción!AY15*AW8</f>
        <v>-195537.95008000016</v>
      </c>
      <c r="AY29" s="30">
        <f>Producción!AZ15*AX8</f>
        <v>-397234.61356000014</v>
      </c>
      <c r="AZ29" s="30">
        <f>Producción!BA15*AY8</f>
        <v>-408687.89720918209</v>
      </c>
      <c r="BA29" s="30">
        <f>Producción!BB15*AZ8</f>
        <v>-284358.28526110278</v>
      </c>
      <c r="BB29" s="30">
        <f>Producción!BC15*BA8</f>
        <v>-250020.98399369037</v>
      </c>
      <c r="BC29" s="30">
        <f>Producción!BD15*BB8</f>
        <v>0</v>
      </c>
      <c r="BD29" s="30">
        <f>Producción!BE15*BC8</f>
        <v>0</v>
      </c>
      <c r="BE29" s="30">
        <f>Producción!BF15*BD8</f>
        <v>0</v>
      </c>
      <c r="BF29" s="30">
        <f>Producción!BG15*BE8</f>
        <v>0</v>
      </c>
      <c r="BG29" s="30">
        <f>Producción!BH15*BF8</f>
        <v>-200382.18337613251</v>
      </c>
      <c r="BH29" s="30">
        <f>Producción!BI15*BG8</f>
        <v>-325078.45268276421</v>
      </c>
      <c r="BI29" s="30">
        <f>Producción!BJ15*BH8</f>
        <v>-260519.88284000003</v>
      </c>
      <c r="BJ29" s="30">
        <f>Producción!BK15*BI8</f>
        <v>-195537.95008000016</v>
      </c>
      <c r="BK29" s="30">
        <f>Producción!BL15*BJ8</f>
        <v>-397234.61356000014</v>
      </c>
      <c r="BL29" s="30">
        <f>Producción!BM15*BK8</f>
        <v>-429122.29206964123</v>
      </c>
      <c r="BM29" s="30">
        <f>Producción!BN15*BL8</f>
        <v>-298576.19952415791</v>
      </c>
      <c r="BN29" s="30">
        <f>Producción!BO15*BM8</f>
        <v>-262522.03319337487</v>
      </c>
      <c r="BO29" s="30">
        <f>Producción!BP15*BN8</f>
        <v>0</v>
      </c>
      <c r="BP29" s="30">
        <f>Producción!BQ15*BO8</f>
        <v>0</v>
      </c>
      <c r="BQ29" s="30">
        <f>Producción!BR15*BP8</f>
        <v>0</v>
      </c>
      <c r="BR29" s="30">
        <f>Producción!BS15*BQ8</f>
        <v>0</v>
      </c>
      <c r="BS29" s="30">
        <f>Producción!BT15*BR8</f>
        <v>-210401.29254493915</v>
      </c>
      <c r="BT29" s="30">
        <f>Producción!BU15*BS8</f>
        <v>-341332.37531690247</v>
      </c>
      <c r="BU29" s="30">
        <f>Producción!BV15*BT8</f>
        <v>-271414.08828272438</v>
      </c>
      <c r="BV29" s="30">
        <f>Producción!BW15*BU8</f>
        <v>-195537.95008000016</v>
      </c>
      <c r="BW29" s="30">
        <f>Producción!BX15*BV8</f>
        <v>-397234.61356000014</v>
      </c>
      <c r="BX29" s="30">
        <f>Producción!BY15*BW8</f>
        <v>-450578.40667312336</v>
      </c>
      <c r="BY29" s="30">
        <f>Producción!BZ15*BX8</f>
        <v>-313505.00950036582</v>
      </c>
      <c r="BZ29" s="30">
        <f>Producción!CA15*BY8</f>
        <v>-275648.13485304365</v>
      </c>
      <c r="CA29" s="30">
        <f>Producción!CB15*BZ8</f>
        <v>0</v>
      </c>
      <c r="CB29" s="30">
        <f>Producción!CC15*CA8</f>
        <v>0</v>
      </c>
      <c r="CC29" s="30">
        <f>Producción!CD15*CB8</f>
        <v>0</v>
      </c>
      <c r="CD29" s="30">
        <f>Producción!CE15*CC8</f>
        <v>0</v>
      </c>
      <c r="CE29" s="30">
        <f>Producción!CF15*CD8</f>
        <v>-220921.35717218608</v>
      </c>
      <c r="CF29" s="30">
        <f>Producción!CG15*CE8</f>
        <v>-358398.99408274761</v>
      </c>
      <c r="CG29" s="30">
        <f>Producción!CH15*CF8</f>
        <v>-284984.79269686062</v>
      </c>
      <c r="CH29" s="30">
        <f>Producción!CI15*CG8</f>
        <v>-195537.95008000016</v>
      </c>
      <c r="CI29" s="30">
        <f>Producción!CJ15*CH8</f>
        <v>-412409.79606531136</v>
      </c>
      <c r="CJ29" s="30">
        <f>Producción!CK15*CI8</f>
        <v>-473107.32700677961</v>
      </c>
      <c r="CK29" s="30">
        <f>Producción!CL15*CJ8</f>
        <v>-171519.41599999997</v>
      </c>
      <c r="CL29" s="30">
        <f>Producción!CM15*CK8</f>
        <v>-143883.71980000005</v>
      </c>
      <c r="CM29" s="30">
        <f>Producción!CN15*CL8</f>
        <v>0</v>
      </c>
      <c r="CN29" s="30">
        <f>Producción!CO15*CM8</f>
        <v>0</v>
      </c>
      <c r="CO29" s="30">
        <f>Producción!CP15*CN8</f>
        <v>0</v>
      </c>
      <c r="CP29" s="30">
        <f>Producción!CQ15*CO8</f>
        <v>0</v>
      </c>
      <c r="CQ29" s="30">
        <f>Producción!CR15*CP8</f>
        <v>-231967.42503079539</v>
      </c>
      <c r="CR29" s="30">
        <f>Producción!CS15*CQ8</f>
        <v>-376318.94378688501</v>
      </c>
      <c r="CS29" s="30">
        <f>Producción!CT15*CR8</f>
        <v>-299234.0323317037</v>
      </c>
      <c r="CT29" s="30">
        <f>Producción!CU15*CS8</f>
        <v>-197739.42569938154</v>
      </c>
      <c r="CU29" s="30">
        <f>Producción!CV15*CT8</f>
        <v>-433030.28586857696</v>
      </c>
      <c r="CV29" s="30">
        <f>Producción!CW15*CU8</f>
        <v>-496762.69335711864</v>
      </c>
      <c r="CW29" s="30">
        <f>Producción!CX15*CV8</f>
        <v>-171519.41599999997</v>
      </c>
      <c r="CX29" s="30">
        <f>Producción!CY15*CW8</f>
        <v>-143883.71980000005</v>
      </c>
      <c r="CY29" s="30">
        <f>Producción!CZ15*CX8</f>
        <v>0</v>
      </c>
      <c r="CZ29" s="30">
        <f>Producción!DA15*CY8</f>
        <v>0</v>
      </c>
      <c r="DA29" s="30">
        <f>Producción!DB15*CZ8</f>
        <v>0</v>
      </c>
      <c r="DB29" s="30">
        <f>Producción!DC15*DA8</f>
        <v>0</v>
      </c>
      <c r="DC29" s="30">
        <f>Producción!DD15*DB8</f>
        <v>-243565.79628233518</v>
      </c>
      <c r="DD29" s="30">
        <f>Producción!DE15*DC8</f>
        <v>-395134.89097622928</v>
      </c>
      <c r="DE29" s="30">
        <f>Producción!DF15*DD8</f>
        <v>-314195.73394828883</v>
      </c>
      <c r="DF29" s="30">
        <f>Producción!DG15*DE8</f>
        <v>-207626.39698435063</v>
      </c>
      <c r="DG29" s="30">
        <f>Producción!DH15*DF8</f>
        <v>-454681.80016200576</v>
      </c>
      <c r="DH29" s="30">
        <f>Producción!DI15*DG8</f>
        <v>-521600.8280249745</v>
      </c>
      <c r="DI29" s="30">
        <f>Producción!DJ15*DH8</f>
        <v>-171519.41599999997</v>
      </c>
      <c r="DJ29" s="30">
        <f>Producción!DK15*DI8</f>
        <v>-143883.71980000005</v>
      </c>
      <c r="DK29" s="30">
        <f>Producción!DL15*DJ8</f>
        <v>0</v>
      </c>
      <c r="DL29" s="30">
        <f>Producción!DM15*DK8</f>
        <v>0</v>
      </c>
      <c r="DM29" s="30">
        <f>Producción!DN15*DL8</f>
        <v>0</v>
      </c>
      <c r="DN29" s="30">
        <f>Producción!DO15*DM8</f>
        <v>0</v>
      </c>
      <c r="DO29" s="30">
        <f>Producción!DP15*DN8</f>
        <v>-255744.08609645194</v>
      </c>
      <c r="DP29" s="30">
        <f>Producción!DQ15*DO8</f>
        <v>-414891.63552504079</v>
      </c>
      <c r="DQ29" s="30">
        <f>Producción!DR15*DP8</f>
        <v>-329905.52064570331</v>
      </c>
      <c r="DR29" s="30">
        <f>Producción!DS15*DQ8</f>
        <v>-218007.71683356815</v>
      </c>
      <c r="DS29" s="30">
        <f>Producción!DT15*DR8</f>
        <v>-477415.89017010608</v>
      </c>
      <c r="DT29" s="30">
        <f>Producción!DU15*DS8</f>
        <v>-547680.86942622333</v>
      </c>
      <c r="DU29" s="30">
        <f>Producción!DV15*DT8</f>
        <v>-171519.41599999997</v>
      </c>
      <c r="DV29" s="30">
        <f>Producción!DW15*DU8</f>
        <v>-143883.71980000005</v>
      </c>
      <c r="DW29" s="30">
        <f>Producción!DX15*DV8</f>
        <v>0</v>
      </c>
      <c r="DX29" s="30">
        <f>Producción!DY15*DW8</f>
        <v>0</v>
      </c>
      <c r="DY29" s="30">
        <f>Producción!DZ15*DX8</f>
        <v>0</v>
      </c>
      <c r="DZ29" s="30">
        <f>Producción!EA15*DY8</f>
        <v>0</v>
      </c>
      <c r="EA29" s="30">
        <f>Producción!EB15*DZ8</f>
        <v>-268531.29040127457</v>
      </c>
      <c r="EB29" s="30">
        <f>Producción!EC15*EA8</f>
        <v>-435636.21730129281</v>
      </c>
      <c r="EC29" s="30">
        <f>Producción!ED15*EB8</f>
        <v>-346400.79667798849</v>
      </c>
      <c r="ED29" s="30">
        <f>Producción!EE15*EC8</f>
        <v>-228908.10267524657</v>
      </c>
      <c r="EE29" s="30">
        <f>Producción!EF15*ED8</f>
        <v>-501286.68467861146</v>
      </c>
      <c r="EF29" s="30">
        <f>Producción!EG15*EE8</f>
        <v>-575064.91289753444</v>
      </c>
      <c r="EG29" s="30">
        <f>Producción!EH15*EF8</f>
        <v>-171519.41599999997</v>
      </c>
      <c r="EH29" s="30">
        <f>Producción!EI15*EG8</f>
        <v>-143883.71980000005</v>
      </c>
      <c r="EI29" s="30">
        <f>Producción!EJ15*EH8</f>
        <v>0</v>
      </c>
      <c r="EJ29" s="30">
        <f>Producción!EK15*EI8</f>
        <v>0</v>
      </c>
      <c r="EK29" s="30">
        <f>Producción!EL15*EJ8</f>
        <v>0</v>
      </c>
      <c r="EL29" s="30">
        <f>Producción!EM15*EK8</f>
        <v>0</v>
      </c>
      <c r="EM29" s="30">
        <f>Producción!EN15*EL8</f>
        <v>-281957.85492133832</v>
      </c>
      <c r="EN29" s="30">
        <f>Producción!EO15*EM8</f>
        <v>-457418.02816635754</v>
      </c>
      <c r="EO29" s="30">
        <f>Producción!EP15*EN8</f>
        <v>-363720.8365118879</v>
      </c>
      <c r="EP29" s="30">
        <f>Producción!EQ15*EO8</f>
        <v>-240353.50780900894</v>
      </c>
      <c r="EQ29" s="30">
        <f>Producción!ER15*EP8</f>
        <v>-526351.01891254203</v>
      </c>
      <c r="ER29" s="30">
        <f>Producción!ES15*EQ8</f>
        <v>-603818.15854241129</v>
      </c>
      <c r="ES29" s="30">
        <f>Producción!ET15*ER8</f>
        <v>-171519.41599999997</v>
      </c>
      <c r="ET29" s="30">
        <f>Producción!EU15*ES8</f>
        <v>-143883.71980000005</v>
      </c>
      <c r="EU29" s="30">
        <f>Producción!EV15*ET8</f>
        <v>0</v>
      </c>
      <c r="EV29" s="30">
        <f>Producción!EW15*EU8</f>
        <v>0</v>
      </c>
      <c r="EW29" s="30">
        <f>Producción!EX15*EV8</f>
        <v>0</v>
      </c>
      <c r="EX29" s="30">
        <f>Producción!EY15*EW8</f>
        <v>0</v>
      </c>
      <c r="EY29" s="30">
        <f>Producción!EZ15*EX8</f>
        <v>-214914.82404999994</v>
      </c>
      <c r="EZ29" s="30">
        <f>Producción!FA15*EY8</f>
        <v>-352778.78449999989</v>
      </c>
      <c r="FA29" s="30">
        <f>Producción!FB15*EZ8</f>
        <v>-325649.85355000006</v>
      </c>
      <c r="FB29" s="30">
        <f>Producción!FC15*FA8</f>
        <v>-244422.43760000018</v>
      </c>
      <c r="FC29" s="30">
        <f>Producción!FD15*FB8</f>
        <v>-496543.26695000019</v>
      </c>
      <c r="FD29" s="30">
        <f>Producción!FE15*FC8</f>
        <v>-417466.76990000001</v>
      </c>
      <c r="FE29" s="30">
        <f>Producción!FF15*FD8</f>
        <v>-171519.41599999997</v>
      </c>
      <c r="FF29" s="30">
        <f>Producción!FG15*FE8</f>
        <v>-143883.71980000005</v>
      </c>
      <c r="FG29" s="30">
        <f>Producción!FH15*FF8</f>
        <v>0</v>
      </c>
      <c r="FH29" s="30">
        <f>Producción!FI15*FG8</f>
        <v>0</v>
      </c>
      <c r="FI29" s="30">
        <f>Producción!FJ15*FH8</f>
        <v>0</v>
      </c>
      <c r="FJ29" s="30">
        <f>Producción!FK15*FI8</f>
        <v>0</v>
      </c>
      <c r="FK29" s="30">
        <f>Producción!FL15*FJ8</f>
        <v>-214914.82404999994</v>
      </c>
      <c r="FL29" s="30">
        <f>Producción!FM15*FK8</f>
        <v>-352778.78449999989</v>
      </c>
      <c r="FM29" s="30">
        <f>Producción!FN15*FL8</f>
        <v>-325649.85355000006</v>
      </c>
      <c r="FN29" s="30">
        <f>Producción!FO15*FM8</f>
        <v>-244422.43760000018</v>
      </c>
      <c r="FO29" s="30">
        <f>Producción!FP15*FN8</f>
        <v>-496543.26695000019</v>
      </c>
      <c r="FP29" s="30">
        <f>Producción!FQ15*FO8</f>
        <v>-417466.76990000001</v>
      </c>
      <c r="FQ29" s="30">
        <f>Producción!FR15*FP8</f>
        <v>-171519.41599999997</v>
      </c>
      <c r="FR29" s="30">
        <f>Producción!FS15*FQ8</f>
        <v>-143883.71980000005</v>
      </c>
      <c r="FS29" s="30">
        <f>Producción!FT15*FR8</f>
        <v>0</v>
      </c>
      <c r="FT29" s="30">
        <f>Producción!FU15*FS8</f>
        <v>0</v>
      </c>
      <c r="FU29" s="30">
        <f>Producción!FV15*FT8</f>
        <v>0</v>
      </c>
      <c r="FV29" s="30">
        <f>Producción!FW15*FU8</f>
        <v>0</v>
      </c>
      <c r="FW29" s="30">
        <f>Producción!FX15*FV8</f>
        <v>-214914.82404999994</v>
      </c>
      <c r="FX29" s="30">
        <f>Producción!FY15*FW8</f>
        <v>-352778.78449999989</v>
      </c>
      <c r="FY29" s="30">
        <f>Producción!FZ15*FX8</f>
        <v>-325649.85355000006</v>
      </c>
      <c r="FZ29" s="30">
        <f>Producción!GA15*FY8</f>
        <v>-244422.43760000018</v>
      </c>
      <c r="GA29" s="30">
        <f>Producción!GB15*FZ8</f>
        <v>-496543.26695000019</v>
      </c>
      <c r="GB29" s="30">
        <f>Producción!GC15*GA8</f>
        <v>-417466.76990000001</v>
      </c>
      <c r="GC29" s="30">
        <f>Producción!GD15*GB8</f>
        <v>-171519.41599999997</v>
      </c>
      <c r="GD29" s="30">
        <f>Producción!GE15*GC8</f>
        <v>-143883.71980000005</v>
      </c>
      <c r="GE29" s="30">
        <f>Producción!GF15*GD8</f>
        <v>0</v>
      </c>
      <c r="GF29" s="30">
        <f>Producción!GG15*GE8</f>
        <v>0</v>
      </c>
      <c r="GG29" s="30">
        <f>Producción!GH15*GF8</f>
        <v>0</v>
      </c>
      <c r="GH29" s="30">
        <f>Producción!GI15*GG8</f>
        <v>0</v>
      </c>
      <c r="GI29" s="30">
        <f>Producción!GJ15*GH8</f>
        <v>-214914.82404999994</v>
      </c>
      <c r="GJ29" s="30">
        <f>Producción!GK15*GI8</f>
        <v>-352778.78449999989</v>
      </c>
      <c r="GK29" s="30">
        <f>Producción!GL15*GJ8</f>
        <v>-325649.85355000006</v>
      </c>
      <c r="GL29" s="30">
        <f>Producción!GM15*GK8</f>
        <v>-244422.43760000018</v>
      </c>
      <c r="GM29" s="30">
        <f>Producción!GN15*GL8</f>
        <v>-496543.26695000019</v>
      </c>
      <c r="GN29" s="30">
        <f>Producción!GO15*GM8</f>
        <v>-417466.76990000001</v>
      </c>
      <c r="GO29" s="30">
        <f>Producción!GP15*GN8</f>
        <v>-171519.41599999997</v>
      </c>
      <c r="GP29" s="30">
        <f>Producción!GQ15*GO8</f>
        <v>-143883.71980000005</v>
      </c>
      <c r="GQ29" s="30">
        <f>Producción!GR15*GP8</f>
        <v>0</v>
      </c>
      <c r="GR29" s="30">
        <f>Producción!GS15*GQ8</f>
        <v>0</v>
      </c>
      <c r="GS29" s="30">
        <f>Producción!GT15*GR8</f>
        <v>0</v>
      </c>
      <c r="GT29" s="30">
        <f>Producción!GU15*GS8</f>
        <v>0</v>
      </c>
      <c r="GU29" s="30">
        <f>Producción!GV15*GT8</f>
        <v>-214914.82404999994</v>
      </c>
      <c r="GV29" s="30">
        <f>Producción!GW15*GU8</f>
        <v>-352778.78449999989</v>
      </c>
      <c r="GW29" s="30">
        <f>Producción!GX15*GV8</f>
        <v>-325649.85355000006</v>
      </c>
      <c r="GX29" s="30">
        <f>Producción!GY15*GW8</f>
        <v>-244422.43760000018</v>
      </c>
      <c r="GY29" s="30">
        <f>Producción!GZ15*GX8</f>
        <v>-496543.26695000019</v>
      </c>
      <c r="GZ29" s="30">
        <f>Producción!HA15*GY8</f>
        <v>-417466.76990000001</v>
      </c>
      <c r="HA29" s="30">
        <f>Producción!HB15*GZ8</f>
        <v>-171519.41599999997</v>
      </c>
      <c r="HB29" s="30">
        <f>Producción!HC15*HA8</f>
        <v>-143883.71980000005</v>
      </c>
      <c r="HC29" s="30">
        <f>Producción!HD15*HB8</f>
        <v>0</v>
      </c>
      <c r="HD29" s="30">
        <f>Producción!HE15*HC8</f>
        <v>0</v>
      </c>
      <c r="HE29" s="30">
        <f>Producción!HF15*HD8</f>
        <v>0</v>
      </c>
      <c r="HF29" s="30">
        <f>Producción!HG15*HE8</f>
        <v>0</v>
      </c>
      <c r="HG29" s="30">
        <f>Producción!HH15*HF8</f>
        <v>-214914.82404999994</v>
      </c>
      <c r="HH29" s="30">
        <f>Producción!HI15*HG8</f>
        <v>-352778.78449999989</v>
      </c>
      <c r="HI29" s="30">
        <f>Producción!HJ15*HH8</f>
        <v>-325649.85355000006</v>
      </c>
      <c r="HJ29" s="30">
        <f>Producción!HK15*HI8</f>
        <v>-244422.43760000018</v>
      </c>
      <c r="HK29" s="30">
        <f>Producción!HL15*HJ8</f>
        <v>-496543.26695000019</v>
      </c>
      <c r="HL29" s="30">
        <f>Producción!HM15*HK8</f>
        <v>-417466.76990000001</v>
      </c>
      <c r="HM29" s="30">
        <f>Producción!HN15*HL8</f>
        <v>-171519.41599999997</v>
      </c>
      <c r="HN29" s="30">
        <f>Producción!HO15*HM8</f>
        <v>-143883.71980000005</v>
      </c>
      <c r="HO29" s="30">
        <f>Producción!HP15*HN8</f>
        <v>0</v>
      </c>
      <c r="HP29" s="30">
        <f>Producción!HQ15*HO8</f>
        <v>0</v>
      </c>
      <c r="HQ29" s="30">
        <f>Producción!HR15*HP8</f>
        <v>0</v>
      </c>
      <c r="HR29" s="30">
        <f>Producción!HS15*HQ8</f>
        <v>0</v>
      </c>
      <c r="HS29" s="30">
        <f>Producción!HT15*HR8</f>
        <v>-214914.82404999994</v>
      </c>
      <c r="HT29" s="30">
        <f>Producción!HU15*HS8</f>
        <v>-352778.78449999989</v>
      </c>
      <c r="HU29" s="30">
        <f>Producción!HV15*HT8</f>
        <v>-325649.85355000006</v>
      </c>
      <c r="HV29" s="30">
        <f>Producción!HW15*HU8</f>
        <v>-244422.43760000018</v>
      </c>
      <c r="HW29" s="30">
        <f>Producción!HX15*HV8</f>
        <v>-496543.26695000019</v>
      </c>
      <c r="HX29" s="30">
        <f>Producción!HY15*HW8</f>
        <v>-417466.76990000001</v>
      </c>
      <c r="HY29" s="30">
        <f>Producción!HZ15*HX8</f>
        <v>-171519.41599999997</v>
      </c>
      <c r="HZ29" s="30">
        <f>Producción!IA15*HY8</f>
        <v>-143883.71980000005</v>
      </c>
      <c r="IA29" s="30">
        <f>Producción!IB15*HZ8</f>
        <v>0</v>
      </c>
      <c r="IB29" s="30">
        <f>Producción!IC15*IA8</f>
        <v>0</v>
      </c>
      <c r="IC29" s="30">
        <f>Producción!ID15*IB8</f>
        <v>0</v>
      </c>
      <c r="ID29" s="30">
        <f>Producción!IE15*IC8</f>
        <v>0</v>
      </c>
      <c r="IE29" s="30">
        <f>Producción!IF15*ID8</f>
        <v>-214914.82404999994</v>
      </c>
      <c r="IF29" s="30">
        <f>Producción!IG15*IE8</f>
        <v>-352778.78449999989</v>
      </c>
      <c r="IG29" s="30">
        <f>Producción!IH15*IF8</f>
        <v>-325649.85355000006</v>
      </c>
      <c r="IH29" s="30">
        <f>Producción!II15*IG8</f>
        <v>-244422.43760000018</v>
      </c>
    </row>
    <row r="30" spans="1:242" x14ac:dyDescent="0.3">
      <c r="A30" t="s">
        <v>919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</row>
    <row r="31" spans="1:242" x14ac:dyDescent="0.3">
      <c r="A31" t="s">
        <v>940</v>
      </c>
      <c r="B31" s="11"/>
      <c r="C31" s="30"/>
      <c r="D31" s="30">
        <f>+C14*C7</f>
        <v>0</v>
      </c>
      <c r="E31" s="30">
        <f t="shared" ref="E31:BP31" si="26">+D14*D7</f>
        <v>0</v>
      </c>
      <c r="F31" s="30">
        <f t="shared" si="26"/>
        <v>0</v>
      </c>
      <c r="G31" s="30">
        <f t="shared" si="26"/>
        <v>0</v>
      </c>
      <c r="H31" s="30">
        <f t="shared" si="26"/>
        <v>0</v>
      </c>
      <c r="I31" s="30">
        <f t="shared" ca="1" si="26"/>
        <v>212847.47647592548</v>
      </c>
      <c r="J31" s="30">
        <f t="shared" ca="1" si="26"/>
        <v>196225.83055471763</v>
      </c>
      <c r="K31" s="30">
        <f t="shared" ca="1" si="26"/>
        <v>233656.48013572081</v>
      </c>
      <c r="L31" s="30">
        <f t="shared" ca="1" si="26"/>
        <v>212251.55886373934</v>
      </c>
      <c r="M31" s="30">
        <f t="shared" ca="1" si="26"/>
        <v>205792.8453665548</v>
      </c>
      <c r="N31" s="30">
        <f t="shared" ca="1" si="26"/>
        <v>206858.5972955137</v>
      </c>
      <c r="O31" s="30">
        <f t="shared" ca="1" si="26"/>
        <v>220122.71467641165</v>
      </c>
      <c r="P31" s="30">
        <f t="shared" ca="1" si="26"/>
        <v>216892.80762561847</v>
      </c>
      <c r="Q31" s="30">
        <f t="shared" ca="1" si="26"/>
        <v>202976.60834159263</v>
      </c>
      <c r="R31" s="30">
        <f t="shared" ca="1" si="26"/>
        <v>182998.22128896127</v>
      </c>
      <c r="S31" s="30">
        <f t="shared" ca="1" si="26"/>
        <v>174890.39638048873</v>
      </c>
      <c r="T31" s="30">
        <f t="shared" ca="1" si="26"/>
        <v>184874.34072470962</v>
      </c>
      <c r="U31" s="30">
        <f t="shared" ca="1" si="26"/>
        <v>223033.74856441614</v>
      </c>
      <c r="V31" s="30">
        <f t="shared" ca="1" si="26"/>
        <v>205616.63815983623</v>
      </c>
      <c r="W31" s="30">
        <f t="shared" ca="1" si="26"/>
        <v>244838.61168507318</v>
      </c>
      <c r="X31" s="30">
        <f t="shared" ca="1" si="26"/>
        <v>222409.3120379326</v>
      </c>
      <c r="Y31" s="30">
        <f t="shared" ca="1" si="26"/>
        <v>215641.50296623987</v>
      </c>
      <c r="Z31" s="30">
        <f t="shared" ca="1" si="26"/>
        <v>216758.25873751327</v>
      </c>
      <c r="AA31" s="30">
        <f t="shared" ca="1" si="26"/>
        <v>230657.15887878271</v>
      </c>
      <c r="AB31" s="30">
        <f t="shared" ca="1" si="26"/>
        <v>227504.5876306142</v>
      </c>
      <c r="AC31" s="30">
        <f t="shared" ca="1" si="26"/>
        <v>212907.51908713984</v>
      </c>
      <c r="AD31" s="30">
        <f t="shared" ca="1" si="26"/>
        <v>191951.66187043043</v>
      </c>
      <c r="AE31" s="30">
        <f t="shared" ca="1" si="26"/>
        <v>183447.15043652797</v>
      </c>
      <c r="AF31" s="30">
        <f t="shared" ca="1" si="26"/>
        <v>193919.5730393081</v>
      </c>
      <c r="AG31" s="30">
        <f t="shared" ca="1" si="26"/>
        <v>233945.98258160154</v>
      </c>
      <c r="AH31" s="30">
        <f t="shared" ca="1" si="26"/>
        <v>215676.71600845401</v>
      </c>
      <c r="AI31" s="30">
        <f t="shared" ca="1" si="26"/>
        <v>256817.67872917413</v>
      </c>
      <c r="AJ31" s="30">
        <f t="shared" ca="1" si="26"/>
        <v>233290.9946361075</v>
      </c>
      <c r="AK31" s="30">
        <f t="shared" ca="1" si="26"/>
        <v>226192.06116351453</v>
      </c>
      <c r="AL31" s="30">
        <f t="shared" ca="1" si="26"/>
        <v>227363.45575243147</v>
      </c>
      <c r="AM31" s="30">
        <f t="shared" ca="1" si="26"/>
        <v>241942.37876871089</v>
      </c>
      <c r="AN31" s="30">
        <f t="shared" ca="1" si="26"/>
        <v>238635.3136170455</v>
      </c>
      <c r="AO31" s="30">
        <f t="shared" ca="1" si="26"/>
        <v>223324.07938638786</v>
      </c>
      <c r="AP31" s="30">
        <f t="shared" ca="1" si="26"/>
        <v>201342.95095682406</v>
      </c>
      <c r="AQ31" s="30">
        <f t="shared" ca="1" si="26"/>
        <v>192422.35390721995</v>
      </c>
      <c r="AR31" s="30">
        <f t="shared" ca="1" si="26"/>
        <v>203407.14273355473</v>
      </c>
      <c r="AS31" s="30">
        <f t="shared" ca="1" si="26"/>
        <v>240717.72504568315</v>
      </c>
      <c r="AT31" s="30">
        <f t="shared" ca="1" si="26"/>
        <v>229845.34226496489</v>
      </c>
      <c r="AU31" s="30">
        <f t="shared" ca="1" si="26"/>
        <v>264251.45964469208</v>
      </c>
      <c r="AV31" s="30">
        <f t="shared" ca="1" si="26"/>
        <v>240043.77798135736</v>
      </c>
      <c r="AW31" s="30">
        <f t="shared" ca="1" si="26"/>
        <v>232739.3605388515</v>
      </c>
      <c r="AX31" s="30">
        <f t="shared" ca="1" si="26"/>
        <v>233944.66202538827</v>
      </c>
      <c r="AY31" s="30">
        <f t="shared" ca="1" si="26"/>
        <v>248945.58293614103</v>
      </c>
      <c r="AZ31" s="30">
        <f t="shared" ca="1" si="26"/>
        <v>245542.53452860448</v>
      </c>
      <c r="BA31" s="30">
        <f t="shared" ca="1" si="26"/>
        <v>229788.12164321725</v>
      </c>
      <c r="BB31" s="30">
        <f t="shared" ca="1" si="26"/>
        <v>207170.75665818702</v>
      </c>
      <c r="BC31" s="30">
        <f t="shared" ca="1" si="26"/>
        <v>197991.95585176806</v>
      </c>
      <c r="BD31" s="30">
        <f t="shared" ca="1" si="26"/>
        <v>209294.69578911102</v>
      </c>
      <c r="BE31" s="30">
        <f t="shared" ca="1" si="26"/>
        <v>252494.64243393249</v>
      </c>
      <c r="BF31" s="30">
        <f t="shared" ca="1" si="26"/>
        <v>232776.87733271689</v>
      </c>
      <c r="BG31" s="30">
        <f t="shared" ca="1" si="26"/>
        <v>277179.74570825155</v>
      </c>
      <c r="BH31" s="30">
        <f t="shared" ca="1" si="26"/>
        <v>251787.72306190027</v>
      </c>
      <c r="BI31" s="30">
        <f t="shared" ca="1" si="26"/>
        <v>244125.94298324714</v>
      </c>
      <c r="BJ31" s="30">
        <f t="shared" ca="1" si="26"/>
        <v>245390.21285706069</v>
      </c>
      <c r="BK31" s="30">
        <f t="shared" ca="1" si="26"/>
        <v>261125.04152753513</v>
      </c>
      <c r="BL31" s="30">
        <f t="shared" ca="1" si="26"/>
        <v>256497.50914603451</v>
      </c>
      <c r="BM31" s="30">
        <f t="shared" ca="1" si="26"/>
        <v>240040.20707037614</v>
      </c>
      <c r="BN31" s="30">
        <f t="shared" ca="1" si="26"/>
        <v>216413.75964755233</v>
      </c>
      <c r="BO31" s="30">
        <f t="shared" ca="1" si="26"/>
        <v>206825.44311284693</v>
      </c>
      <c r="BP31" s="30">
        <f t="shared" ca="1" si="26"/>
        <v>218632.45913970211</v>
      </c>
      <c r="BQ31" s="30">
        <f t="shared" ref="BQ31:EB31" ca="1" si="27">+BP14*BP7</f>
        <v>258735.79205717117</v>
      </c>
      <c r="BR31" s="30">
        <f t="shared" ca="1" si="27"/>
        <v>238530.64424935126</v>
      </c>
      <c r="BS31" s="30">
        <f t="shared" ca="1" si="27"/>
        <v>284031.06044832221</v>
      </c>
      <c r="BT31" s="30">
        <f t="shared" ca="1" si="27"/>
        <v>258011.39908835336</v>
      </c>
      <c r="BU31" s="30">
        <f t="shared" ca="1" si="27"/>
        <v>250160.23552262795</v>
      </c>
      <c r="BV31" s="30">
        <f t="shared" ca="1" si="27"/>
        <v>251455.755554348</v>
      </c>
      <c r="BW31" s="30">
        <f t="shared" ca="1" si="27"/>
        <v>267579.51691298495</v>
      </c>
      <c r="BX31" s="30">
        <f t="shared" ca="1" si="27"/>
        <v>262830.61774814531</v>
      </c>
      <c r="BY31" s="30">
        <f t="shared" ca="1" si="27"/>
        <v>245966.97300783545</v>
      </c>
      <c r="BZ31" s="30">
        <f t="shared" ca="1" si="27"/>
        <v>221757.17154812848</v>
      </c>
      <c r="CA31" s="30">
        <f t="shared" ca="1" si="27"/>
        <v>211932.11255877753</v>
      </c>
      <c r="CB31" s="30">
        <f t="shared" ca="1" si="27"/>
        <v>224030.65233186283</v>
      </c>
      <c r="CC31" s="30">
        <f t="shared" ca="1" si="27"/>
        <v>270272.20752776158</v>
      </c>
      <c r="CD31" s="30">
        <f t="shared" ca="1" si="27"/>
        <v>249166.16008830437</v>
      </c>
      <c r="CE31" s="30">
        <f t="shared" ca="1" si="27"/>
        <v>296695.33195800259</v>
      </c>
      <c r="CF31" s="30">
        <f t="shared" ca="1" si="27"/>
        <v>269515.51559409697</v>
      </c>
      <c r="CG31" s="30">
        <f t="shared" ca="1" si="27"/>
        <v>261314.28726113687</v>
      </c>
      <c r="CH31" s="30">
        <f t="shared" ca="1" si="27"/>
        <v>262667.57145921973</v>
      </c>
      <c r="CI31" s="30">
        <f t="shared" ca="1" si="27"/>
        <v>279510.2531052393</v>
      </c>
      <c r="CJ31" s="30">
        <f t="shared" ca="1" si="27"/>
        <v>274542.24112966901</v>
      </c>
      <c r="CK31" s="30">
        <f t="shared" ca="1" si="27"/>
        <v>256927.15936984267</v>
      </c>
      <c r="CL31" s="30">
        <f t="shared" ca="1" si="27"/>
        <v>231638.57919224203</v>
      </c>
      <c r="CM31" s="30">
        <f t="shared" ca="1" si="27"/>
        <v>221375.71964688887</v>
      </c>
      <c r="CN31" s="30">
        <f t="shared" ca="1" si="27"/>
        <v>234013.36533732407</v>
      </c>
      <c r="CO31" s="30">
        <f t="shared" ca="1" si="27"/>
        <v>282315.42506526806</v>
      </c>
      <c r="CP31" s="30">
        <f t="shared" ca="1" si="27"/>
        <v>269564.21878983389</v>
      </c>
      <c r="CQ31" s="30">
        <f t="shared" ca="1" si="27"/>
        <v>309915.95296753017</v>
      </c>
      <c r="CR31" s="30">
        <f t="shared" ca="1" si="27"/>
        <v>281525.01525269408</v>
      </c>
      <c r="CS31" s="30">
        <f t="shared" ca="1" si="27"/>
        <v>272958.34358469013</v>
      </c>
      <c r="CT31" s="30">
        <f t="shared" ca="1" si="27"/>
        <v>274371.92956569279</v>
      </c>
      <c r="CU31" s="30">
        <f t="shared" ca="1" si="27"/>
        <v>291965.11412443651</v>
      </c>
      <c r="CV31" s="30">
        <f t="shared" ca="1" si="27"/>
        <v>286767.95030497451</v>
      </c>
      <c r="CW31" s="30">
        <f t="shared" ca="1" si="27"/>
        <v>268368.44693553093</v>
      </c>
      <c r="CX31" s="30">
        <f t="shared" ca="1" si="27"/>
        <v>241953.73467189659</v>
      </c>
      <c r="CY31" s="30">
        <f t="shared" ca="1" si="27"/>
        <v>231233.85716241444</v>
      </c>
      <c r="CZ31" s="30">
        <f t="shared" ca="1" si="27"/>
        <v>244434.2730125018</v>
      </c>
      <c r="DA31" s="30">
        <f t="shared" ca="1" si="27"/>
        <v>294887.28383770585</v>
      </c>
      <c r="DB31" s="30">
        <f t="shared" ca="1" si="27"/>
        <v>271859.00039375603</v>
      </c>
      <c r="DC31" s="30">
        <f t="shared" ca="1" si="27"/>
        <v>323716.89774811559</v>
      </c>
      <c r="DD31" s="30">
        <f t="shared" ca="1" si="27"/>
        <v>294061.67608816561</v>
      </c>
      <c r="DE31" s="30">
        <f t="shared" ca="1" si="27"/>
        <v>285113.51982244587</v>
      </c>
      <c r="DF31" s="30">
        <f t="shared" ca="1" si="27"/>
        <v>286590.05455416505</v>
      </c>
      <c r="DG31" s="30">
        <f t="shared" ca="1" si="27"/>
        <v>304966.68561279034</v>
      </c>
      <c r="DH31" s="30">
        <f t="shared" ca="1" si="27"/>
        <v>299529.87479498651</v>
      </c>
      <c r="DI31" s="30">
        <f t="shared" ca="1" si="27"/>
        <v>280311.54535936355</v>
      </c>
      <c r="DJ31" s="30">
        <f t="shared" ca="1" si="27"/>
        <v>252721.30925153597</v>
      </c>
      <c r="DK31" s="30">
        <f t="shared" ca="1" si="27"/>
        <v>241524.3691303753</v>
      </c>
      <c r="DL31" s="30">
        <f t="shared" ca="1" si="27"/>
        <v>255312.238041854</v>
      </c>
      <c r="DM31" s="30">
        <f t="shared" ca="1" si="27"/>
        <v>308010.53992472414</v>
      </c>
      <c r="DN31" s="30">
        <f t="shared" ca="1" si="27"/>
        <v>283957.43758405402</v>
      </c>
      <c r="DO31" s="30">
        <f t="shared" ca="1" si="27"/>
        <v>338123.14712434058</v>
      </c>
      <c r="DP31" s="30">
        <f t="shared" ca="1" si="27"/>
        <v>307148.19046905264</v>
      </c>
      <c r="DQ31" s="30">
        <f t="shared" ca="1" si="27"/>
        <v>297801.81782501546</v>
      </c>
      <c r="DR31" s="30">
        <f t="shared" ca="1" si="27"/>
        <v>299344.06221757032</v>
      </c>
      <c r="DS31" s="30">
        <f t="shared" ca="1" si="27"/>
        <v>318538.50146466837</v>
      </c>
      <c r="DT31" s="30">
        <f t="shared" ca="1" si="27"/>
        <v>311195.77518173872</v>
      </c>
      <c r="DU31" s="30">
        <f t="shared" ca="1" si="27"/>
        <v>300936.57380212093</v>
      </c>
      <c r="DV31" s="30">
        <f t="shared" ca="1" si="27"/>
        <v>262564.13919080631</v>
      </c>
      <c r="DW31" s="30">
        <f t="shared" ca="1" si="27"/>
        <v>259295.47797481029</v>
      </c>
      <c r="DX31" s="30">
        <f t="shared" ca="1" si="27"/>
        <v>265255.97783927358</v>
      </c>
      <c r="DY31" s="30">
        <f t="shared" ca="1" si="27"/>
        <v>320006.73990073975</v>
      </c>
      <c r="DZ31" s="30">
        <f t="shared" ca="1" si="27"/>
        <v>295016.83252153831</v>
      </c>
      <c r="EA31" s="30">
        <f t="shared" ca="1" si="27"/>
        <v>351292.15390707803</v>
      </c>
      <c r="EB31" s="30">
        <f t="shared" ca="1" si="27"/>
        <v>319110.8042031104</v>
      </c>
      <c r="EC31" s="30">
        <f t="shared" ref="EC31:GN31" ca="1" si="28">+EB14*EB7</f>
        <v>309400.41494030552</v>
      </c>
      <c r="ED31" s="30">
        <f t="shared" ca="1" si="28"/>
        <v>311002.72569341253</v>
      </c>
      <c r="EE31" s="30">
        <f t="shared" ca="1" si="28"/>
        <v>330944.73783750291</v>
      </c>
      <c r="EF31" s="30">
        <f t="shared" ca="1" si="28"/>
        <v>323279.44092017849</v>
      </c>
      <c r="EG31" s="30">
        <f t="shared" ca="1" si="28"/>
        <v>312621.87693379901</v>
      </c>
      <c r="EH31" s="30">
        <f t="shared" ca="1" si="28"/>
        <v>272759.44885087485</v>
      </c>
      <c r="EI31" s="30">
        <f t="shared" ca="1" si="28"/>
        <v>269363.86621532153</v>
      </c>
      <c r="EJ31" s="30">
        <f t="shared" ca="1" si="28"/>
        <v>275555.81102133048</v>
      </c>
      <c r="EK31" s="30">
        <f t="shared" ca="1" si="28"/>
        <v>332432.53352454514</v>
      </c>
      <c r="EL31" s="30">
        <f t="shared" ca="1" si="28"/>
        <v>317417.71169305401</v>
      </c>
      <c r="EM31" s="30">
        <f t="shared" ca="1" si="28"/>
        <v>364932.75350027852</v>
      </c>
      <c r="EN31" s="30">
        <f t="shared" ca="1" si="28"/>
        <v>331501.80883440142</v>
      </c>
      <c r="EO31" s="30">
        <f t="shared" ca="1" si="28"/>
        <v>321414.36722256208</v>
      </c>
      <c r="EP31" s="30">
        <f t="shared" ca="1" si="28"/>
        <v>323078.89536129503</v>
      </c>
      <c r="EQ31" s="30">
        <f t="shared" ca="1" si="28"/>
        <v>343795.25159395911</v>
      </c>
      <c r="ER31" s="30">
        <f t="shared" ca="1" si="28"/>
        <v>335793.48379450798</v>
      </c>
      <c r="ES31" s="30">
        <f t="shared" ca="1" si="28"/>
        <v>324723.36894413969</v>
      </c>
      <c r="ET31" s="30">
        <f t="shared" ca="1" si="28"/>
        <v>283317.87912897323</v>
      </c>
      <c r="EU31" s="30">
        <f t="shared" ca="1" si="28"/>
        <v>279790.85458494688</v>
      </c>
      <c r="EV31" s="30">
        <f t="shared" ca="1" si="28"/>
        <v>286222.48757699493</v>
      </c>
      <c r="EW31" s="30">
        <f t="shared" ca="1" si="28"/>
        <v>345300.8896609791</v>
      </c>
      <c r="EX31" s="30">
        <f t="shared" ca="1" si="28"/>
        <v>318335.71619850665</v>
      </c>
      <c r="EY31" s="30">
        <f t="shared" ca="1" si="28"/>
        <v>379059.18266803125</v>
      </c>
      <c r="EZ31" s="30">
        <f t="shared" ca="1" si="28"/>
        <v>344334.13691831374</v>
      </c>
      <c r="FA31" s="30">
        <f t="shared" ca="1" si="28"/>
        <v>333856.21369569353</v>
      </c>
      <c r="FB31" s="30">
        <f t="shared" ca="1" si="28"/>
        <v>335585.17518173228</v>
      </c>
      <c r="FC31" s="30">
        <f t="shared" ca="1" si="28"/>
        <v>357103.45488146722</v>
      </c>
      <c r="FD31" s="30">
        <f t="shared" ca="1" si="28"/>
        <v>348750.73235397</v>
      </c>
      <c r="FE31" s="30">
        <f t="shared" ca="1" si="28"/>
        <v>337253.45546317985</v>
      </c>
      <c r="FF31" s="30">
        <f t="shared" ca="1" si="28"/>
        <v>294250.25381275429</v>
      </c>
      <c r="FG31" s="30">
        <f t="shared" ca="1" si="28"/>
        <v>290587.13212599646</v>
      </c>
      <c r="FH31" s="30">
        <f t="shared" ca="1" si="28"/>
        <v>297266.94226067245</v>
      </c>
      <c r="FI31" s="30">
        <f t="shared" ca="1" si="28"/>
        <v>358625.00007724512</v>
      </c>
      <c r="FJ31" s="30">
        <f t="shared" ca="1" si="28"/>
        <v>330619.32263877516</v>
      </c>
      <c r="FK31" s="30">
        <f t="shared" ca="1" si="28"/>
        <v>393685.92286880844</v>
      </c>
      <c r="FL31" s="30">
        <f t="shared" ca="1" si="28"/>
        <v>357620.94328853133</v>
      </c>
      <c r="FM31" s="30">
        <f t="shared" ca="1" si="28"/>
        <v>346738.70889808174</v>
      </c>
      <c r="FN31" s="30">
        <f t="shared" ca="1" si="28"/>
        <v>348534.38574581</v>
      </c>
      <c r="FO31" s="30">
        <f t="shared" ca="1" si="28"/>
        <v>370882.99036874122</v>
      </c>
      <c r="FP31" s="30">
        <f t="shared" ca="1" si="28"/>
        <v>362164.22205989191</v>
      </c>
      <c r="FQ31" s="30">
        <f t="shared" ca="1" si="28"/>
        <v>350224.74221176363</v>
      </c>
      <c r="FR31" s="30">
        <f t="shared" ca="1" si="28"/>
        <v>305567.57126709097</v>
      </c>
      <c r="FS31" s="30">
        <f t="shared" ca="1" si="28"/>
        <v>301763.56028468866</v>
      </c>
      <c r="FT31" s="30">
        <f t="shared" ca="1" si="28"/>
        <v>308700.28619377525</v>
      </c>
      <c r="FU31" s="30">
        <f t="shared" ca="1" si="28"/>
        <v>372418.26931098528</v>
      </c>
      <c r="FV31" s="30">
        <f t="shared" ca="1" si="28"/>
        <v>343335.4504325742</v>
      </c>
      <c r="FW31" s="30">
        <f t="shared" ca="1" si="28"/>
        <v>408827.6891329934</v>
      </c>
      <c r="FX31" s="30">
        <f t="shared" ca="1" si="28"/>
        <v>371375.59495347482</v>
      </c>
      <c r="FY31" s="30">
        <f t="shared" ca="1" si="28"/>
        <v>360074.81308646948</v>
      </c>
      <c r="FZ31" s="30">
        <f t="shared" ca="1" si="28"/>
        <v>361939.55442834116</v>
      </c>
      <c r="GA31" s="30">
        <f t="shared" ca="1" si="28"/>
        <v>385147.72076753894</v>
      </c>
      <c r="GB31" s="30">
        <f t="shared" ca="1" si="28"/>
        <v>376047.18390552117</v>
      </c>
      <c r="GC31" s="30">
        <f t="shared" ca="1" si="28"/>
        <v>363650.02399654791</v>
      </c>
      <c r="GD31" s="30">
        <f t="shared" ca="1" si="28"/>
        <v>317280.99483232945</v>
      </c>
      <c r="GE31" s="30">
        <f t="shared" ca="1" si="28"/>
        <v>313331.16342893505</v>
      </c>
      <c r="GF31" s="30">
        <f t="shared" ca="1" si="28"/>
        <v>320533.79716453666</v>
      </c>
      <c r="GG31" s="30">
        <f t="shared" ca="1" si="28"/>
        <v>386694.30296790646</v>
      </c>
      <c r="GH31" s="30">
        <f t="shared" ca="1" si="28"/>
        <v>369228.6656526975</v>
      </c>
      <c r="GI31" s="30">
        <f t="shared" ca="1" si="28"/>
        <v>424499.41721642489</v>
      </c>
      <c r="GJ31" s="30">
        <f t="shared" ca="1" si="28"/>
        <v>385611.65942669136</v>
      </c>
      <c r="GK31" s="30">
        <f t="shared" ca="1" si="28"/>
        <v>373877.6809214509</v>
      </c>
      <c r="GL31" s="30">
        <f t="shared" ca="1" si="28"/>
        <v>375813.90401476086</v>
      </c>
      <c r="GM31" s="30">
        <f t="shared" ca="1" si="28"/>
        <v>399911.71673029463</v>
      </c>
      <c r="GN31" s="30">
        <f t="shared" ca="1" si="28"/>
        <v>390413.03138056357</v>
      </c>
      <c r="GO31" s="30">
        <f t="shared" ref="GO31:IH31" ca="1" si="29">+GN14*GN7</f>
        <v>377542.27210428118</v>
      </c>
      <c r="GP31" s="30">
        <f t="shared" ca="1" si="29"/>
        <v>329401.84182592412</v>
      </c>
      <c r="GQ31" s="30">
        <f t="shared" ca="1" si="29"/>
        <v>325301.11798689433</v>
      </c>
      <c r="GR31" s="30">
        <f t="shared" ca="1" si="29"/>
        <v>332778.90851688973</v>
      </c>
      <c r="GS31" s="30">
        <f t="shared" ca="1" si="29"/>
        <v>401466.8943172422</v>
      </c>
      <c r="GT31" s="30">
        <f t="shared" ca="1" si="29"/>
        <v>370115.61556631501</v>
      </c>
      <c r="GU31" s="30">
        <f t="shared" ca="1" si="29"/>
        <v>440716.24888536689</v>
      </c>
      <c r="GV31" s="30">
        <f t="shared" ca="1" si="29"/>
        <v>400342.89135984587</v>
      </c>
      <c r="GW31" s="30">
        <f t="shared" ca="1" si="29"/>
        <v>388160.64850721409</v>
      </c>
      <c r="GX31" s="30">
        <f t="shared" ca="1" si="29"/>
        <v>390170.83967375179</v>
      </c>
      <c r="GY31" s="30">
        <f t="shared" ca="1" si="29"/>
        <v>415189.24298740702</v>
      </c>
      <c r="GZ31" s="30">
        <f t="shared" ca="1" si="29"/>
        <v>405275.34564334637</v>
      </c>
      <c r="HA31" s="30">
        <f t="shared" ca="1" si="29"/>
        <v>391914.61996279651</v>
      </c>
      <c r="HB31" s="30">
        <f t="shared" ca="1" si="29"/>
        <v>341941.57103179739</v>
      </c>
      <c r="HC31" s="30">
        <f t="shared" ca="1" si="29"/>
        <v>337684.74009207735</v>
      </c>
      <c r="HD31" s="30">
        <f t="shared" ca="1" si="29"/>
        <v>345447.19651156676</v>
      </c>
      <c r="HE31" s="30">
        <f t="shared" ca="1" si="29"/>
        <v>416750.0090440918</v>
      </c>
      <c r="HF31" s="30">
        <f t="shared" ca="1" si="29"/>
        <v>384205.24411344191</v>
      </c>
      <c r="HG31" s="30">
        <f t="shared" ca="1" si="29"/>
        <v>457493.5151781622</v>
      </c>
      <c r="HH31" s="30">
        <f t="shared" ca="1" si="29"/>
        <v>415583.21733774908</v>
      </c>
      <c r="HI31" s="30">
        <f t="shared" ca="1" si="29"/>
        <v>402937.21864925016</v>
      </c>
      <c r="HJ31" s="30">
        <f t="shared" ca="1" si="29"/>
        <v>405023.93413860485</v>
      </c>
      <c r="HK31" s="30">
        <f t="shared" ca="1" si="29"/>
        <v>430994.7425784049</v>
      </c>
      <c r="HL31" s="30">
        <f t="shared" ca="1" si="29"/>
        <v>420647.85875395604</v>
      </c>
      <c r="HM31" s="30">
        <f t="shared" ca="1" si="29"/>
        <v>406780.34692690265</v>
      </c>
      <c r="HN31" s="30">
        <f t="shared" ca="1" si="29"/>
        <v>354911.7685536932</v>
      </c>
      <c r="HO31" s="30">
        <f t="shared" ca="1" si="29"/>
        <v>350493.47161281132</v>
      </c>
      <c r="HP31" s="30">
        <f t="shared" ca="1" si="29"/>
        <v>358550.36603441933</v>
      </c>
      <c r="HQ31" s="30">
        <f t="shared" ca="1" si="29"/>
        <v>432557.76800783334</v>
      </c>
      <c r="HR31" s="30">
        <f t="shared" ca="1" si="29"/>
        <v>398778.54647636553</v>
      </c>
      <c r="HS31" s="30">
        <f t="shared" ca="1" si="29"/>
        <v>474846.71747802355</v>
      </c>
      <c r="HT31" s="30">
        <f t="shared" ca="1" si="29"/>
        <v>431346.71868504316</v>
      </c>
      <c r="HU31" s="30">
        <f t="shared" ca="1" si="29"/>
        <v>418221.04418422177</v>
      </c>
      <c r="HV31" s="30">
        <f t="shared" ca="1" si="29"/>
        <v>420386.91095075896</v>
      </c>
      <c r="HW31" s="30">
        <f t="shared" ca="1" si="29"/>
        <v>447342.81902103411</v>
      </c>
      <c r="HX31" s="30">
        <f t="shared" ca="1" si="29"/>
        <v>436544.43481151847</v>
      </c>
      <c r="HY31" s="30">
        <f t="shared" ca="1" si="29"/>
        <v>422152.86003751232</v>
      </c>
      <c r="HZ31" s="30">
        <f t="shared" ca="1" si="29"/>
        <v>368324.13190019905</v>
      </c>
      <c r="IA31" s="30">
        <f t="shared" ca="1" si="29"/>
        <v>363738.86443538847</v>
      </c>
      <c r="IB31" s="30">
        <f t="shared" ca="1" si="29"/>
        <v>372100.23451827822</v>
      </c>
      <c r="IC31" s="30">
        <f t="shared" ca="1" si="29"/>
        <v>448904.42784533865</v>
      </c>
      <c r="ID31" s="30">
        <f t="shared" ca="1" si="29"/>
        <v>428628.97546405863</v>
      </c>
      <c r="IE31" s="30">
        <f t="shared" ca="1" si="29"/>
        <v>492791.50621992559</v>
      </c>
      <c r="IF31" s="30">
        <f t="shared" ca="1" si="29"/>
        <v>447647.61212372204</v>
      </c>
      <c r="IG31" s="30">
        <f t="shared" ca="1" si="29"/>
        <v>434025.90922606731</v>
      </c>
      <c r="IH31" s="30">
        <f t="shared" ca="1" si="29"/>
        <v>436273.62560878176</v>
      </c>
    </row>
    <row r="32" spans="1:242" x14ac:dyDescent="0.3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69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</row>
    <row r="33" spans="1:242" x14ac:dyDescent="0.3">
      <c r="A33" s="6" t="s">
        <v>920</v>
      </c>
      <c r="C33" s="31">
        <f t="shared" ref="C33:BN33" si="30">+SUM(C25:C31)</f>
        <v>0</v>
      </c>
      <c r="D33" s="31">
        <f>+SUM(D25:D31)</f>
        <v>-398353.05252871301</v>
      </c>
      <c r="E33" s="31">
        <f t="shared" si="30"/>
        <v>-188904.451780784</v>
      </c>
      <c r="F33" s="31">
        <f t="shared" si="30"/>
        <v>-157878.52582726814</v>
      </c>
      <c r="G33" s="31">
        <f t="shared" si="30"/>
        <v>504468.67264100624</v>
      </c>
      <c r="H33" s="31">
        <f t="shared" si="30"/>
        <v>404354.48417312215</v>
      </c>
      <c r="I33" s="31">
        <f t="shared" ca="1" si="30"/>
        <v>644707.06769255572</v>
      </c>
      <c r="J33" s="31">
        <f t="shared" ca="1" si="30"/>
        <v>444734.64774674881</v>
      </c>
      <c r="K33" s="31">
        <f t="shared" ca="1" si="30"/>
        <v>212319.46453304961</v>
      </c>
      <c r="L33" s="31">
        <f t="shared" ca="1" si="30"/>
        <v>39816.1426908914</v>
      </c>
      <c r="M33" s="31">
        <f ca="1">+SUM(M25:M31)</f>
        <v>51305.75022480567</v>
      </c>
      <c r="N33" s="31">
        <f t="shared" ca="1" si="30"/>
        <v>129083.16477883255</v>
      </c>
      <c r="O33" s="31">
        <f t="shared" ca="1" si="30"/>
        <v>-92660.395815811644</v>
      </c>
      <c r="P33" s="31">
        <f t="shared" ca="1" si="30"/>
        <v>-51833.504029617528</v>
      </c>
      <c r="Q33" s="31">
        <f t="shared" ca="1" si="30"/>
        <v>71319.990326068364</v>
      </c>
      <c r="R33" s="31">
        <f t="shared" ca="1" si="30"/>
        <v>62203.21824176464</v>
      </c>
      <c r="S33" s="31">
        <f t="shared" ca="1" si="30"/>
        <v>615960.24360129039</v>
      </c>
      <c r="T33" s="31">
        <f t="shared" ca="1" si="30"/>
        <v>558278.49737650808</v>
      </c>
      <c r="U33" s="31">
        <f t="shared" ca="1" si="30"/>
        <v>624897.44915953651</v>
      </c>
      <c r="V33" s="31">
        <f t="shared" ca="1" si="30"/>
        <v>444623.87930381083</v>
      </c>
      <c r="W33" s="31">
        <f t="shared" ca="1" si="30"/>
        <v>226853.6365553897</v>
      </c>
      <c r="X33" s="31">
        <f t="shared" ca="1" si="30"/>
        <v>54675.561908092059</v>
      </c>
      <c r="Y33" s="31">
        <f t="shared" ca="1" si="30"/>
        <v>64335.391455438279</v>
      </c>
      <c r="Z33" s="31">
        <f t="shared" ca="1" si="30"/>
        <v>142515.70174773168</v>
      </c>
      <c r="AA33" s="31">
        <f t="shared" ca="1" si="30"/>
        <v>-79592.406521407305</v>
      </c>
      <c r="AB33" s="31">
        <f t="shared" ca="1" si="30"/>
        <v>-56344.312807760056</v>
      </c>
      <c r="AC33" s="31">
        <f t="shared" ca="1" si="30"/>
        <v>72388.414965900243</v>
      </c>
      <c r="AD33" s="31">
        <f t="shared" ca="1" si="30"/>
        <v>63213.258203906196</v>
      </c>
      <c r="AE33" s="31">
        <f t="shared" ca="1" si="30"/>
        <v>637749.09307395364</v>
      </c>
      <c r="AF33" s="31">
        <f t="shared" ca="1" si="30"/>
        <v>578525.85439066042</v>
      </c>
      <c r="AG33" s="31">
        <f t="shared" ca="1" si="30"/>
        <v>647865.59419457568</v>
      </c>
      <c r="AH33" s="31">
        <f t="shared" ca="1" si="30"/>
        <v>461854.17438674782</v>
      </c>
      <c r="AI33" s="31">
        <f t="shared" ca="1" si="30"/>
        <v>234831.2010640775</v>
      </c>
      <c r="AJ33" s="31">
        <f t="shared" ca="1" si="30"/>
        <v>54908.932204375596</v>
      </c>
      <c r="AK33" s="31">
        <f t="shared" ca="1" si="30"/>
        <v>78162.362792588887</v>
      </c>
      <c r="AL33" s="31">
        <f t="shared" ca="1" si="30"/>
        <v>156759.76055535645</v>
      </c>
      <c r="AM33" s="31">
        <f t="shared" ca="1" si="30"/>
        <v>-65697.635186684784</v>
      </c>
      <c r="AN33" s="31">
        <f t="shared" ca="1" si="30"/>
        <v>-61142.893239635247</v>
      </c>
      <c r="AO33" s="31">
        <f t="shared" ca="1" si="30"/>
        <v>73430.97519799904</v>
      </c>
      <c r="AP33" s="31">
        <f t="shared" ca="1" si="30"/>
        <v>64206.867125996767</v>
      </c>
      <c r="AQ33" s="31">
        <f t="shared" ca="1" si="30"/>
        <v>660353.35482376837</v>
      </c>
      <c r="AR33" s="31">
        <f t="shared" ca="1" si="30"/>
        <v>599551.61252544774</v>
      </c>
      <c r="AS33" s="31">
        <f t="shared" ca="1" si="30"/>
        <v>667054.92500704643</v>
      </c>
      <c r="AT33" s="31">
        <f t="shared" ca="1" si="30"/>
        <v>483408.1243946075</v>
      </c>
      <c r="AU33" s="31">
        <f t="shared" ca="1" si="30"/>
        <v>237970.33670404379</v>
      </c>
      <c r="AV33" s="31">
        <f t="shared" ca="1" si="30"/>
        <v>50413.138888777554</v>
      </c>
      <c r="AW33" s="31">
        <f t="shared" ca="1" si="30"/>
        <v>88084.367701998097</v>
      </c>
      <c r="AX33" s="31">
        <f t="shared" ca="1" si="30"/>
        <v>167088.994474801</v>
      </c>
      <c r="AY33" s="31">
        <f t="shared" ca="1" si="30"/>
        <v>-56006.593031116558</v>
      </c>
      <c r="AZ33" s="31">
        <f t="shared" ca="1" si="30"/>
        <v>-71013.549909189693</v>
      </c>
      <c r="BA33" s="31">
        <f t="shared" ca="1" si="30"/>
        <v>69981.876038489077</v>
      </c>
      <c r="BB33" s="31">
        <f t="shared" ca="1" si="30"/>
        <v>61158.285855412221</v>
      </c>
      <c r="BC33" s="31">
        <f t="shared" ca="1" si="30"/>
        <v>679960.88679581298</v>
      </c>
      <c r="BD33" s="31">
        <f t="shared" ca="1" si="30"/>
        <v>617323.49967476074</v>
      </c>
      <c r="BE33" s="31">
        <f t="shared" ca="1" si="30"/>
        <v>691621.95839413675</v>
      </c>
      <c r="BF33" s="31">
        <f t="shared" ca="1" si="30"/>
        <v>493946.5429262488</v>
      </c>
      <c r="BG33" s="31">
        <f t="shared" ca="1" si="30"/>
        <v>246293.38558650506</v>
      </c>
      <c r="BH33" s="31">
        <f t="shared" ca="1" si="30"/>
        <v>50276.194269252272</v>
      </c>
      <c r="BI33" s="31">
        <f t="shared" ca="1" si="30"/>
        <v>102946.89684648815</v>
      </c>
      <c r="BJ33" s="31">
        <f t="shared" ca="1" si="30"/>
        <v>182395.01378235585</v>
      </c>
      <c r="BK33" s="31">
        <f t="shared" ca="1" si="30"/>
        <v>-41058.661311940174</v>
      </c>
      <c r="BL33" s="31">
        <f t="shared" ca="1" si="30"/>
        <v>-77729.015769077145</v>
      </c>
      <c r="BM33" s="31">
        <f t="shared" ca="1" si="30"/>
        <v>69752.608392284077</v>
      </c>
      <c r="BN33" s="31">
        <f t="shared" ca="1" si="30"/>
        <v>61020.495040820504</v>
      </c>
      <c r="BO33" s="31">
        <f t="shared" ref="BO33:DZ33" ca="1" si="31">+SUM(BO25:BO31)</f>
        <v>703253.44198521331</v>
      </c>
      <c r="BP33" s="31">
        <f t="shared" ca="1" si="31"/>
        <v>638902.12714192143</v>
      </c>
      <c r="BQ33" s="31">
        <f t="shared" ca="1" si="31"/>
        <v>711036.92749618157</v>
      </c>
      <c r="BR33" s="31">
        <f t="shared" ca="1" si="31"/>
        <v>507535.39981068915</v>
      </c>
      <c r="BS33" s="31">
        <f t="shared" ca="1" si="31"/>
        <v>248210.46585540069</v>
      </c>
      <c r="BT33" s="31">
        <f t="shared" ca="1" si="31"/>
        <v>43952.955378270592</v>
      </c>
      <c r="BU33" s="31">
        <f t="shared" ca="1" si="31"/>
        <v>101667.20904424184</v>
      </c>
      <c r="BV33" s="31">
        <f t="shared" ca="1" si="31"/>
        <v>192436.83900980203</v>
      </c>
      <c r="BW33" s="31">
        <f t="shared" ca="1" si="31"/>
        <v>-31752.658604874567</v>
      </c>
      <c r="BX33" s="31">
        <f t="shared" ca="1" si="31"/>
        <v>-90005.148755812552</v>
      </c>
      <c r="BY33" s="31">
        <f t="shared" ca="1" si="31"/>
        <v>64599.222378917446</v>
      </c>
      <c r="BZ33" s="31">
        <f t="shared" ca="1" si="31"/>
        <v>56451.668339327181</v>
      </c>
      <c r="CA33" s="31">
        <f t="shared" ca="1" si="31"/>
        <v>723252.9513973149</v>
      </c>
      <c r="CB33" s="31">
        <f t="shared" ca="1" si="31"/>
        <v>656908.41037414875</v>
      </c>
      <c r="CC33" s="31">
        <f t="shared" ca="1" si="31"/>
        <v>736142.37702994223</v>
      </c>
      <c r="CD33" s="31">
        <f t="shared" ca="1" si="31"/>
        <v>526241.05831648246</v>
      </c>
      <c r="CE33" s="31">
        <f t="shared" ca="1" si="31"/>
        <v>255592.09367639467</v>
      </c>
      <c r="CF33" s="31">
        <f t="shared" ca="1" si="31"/>
        <v>42208.671066373703</v>
      </c>
      <c r="CG33" s="31">
        <f t="shared" ca="1" si="31"/>
        <v>102938.18822274468</v>
      </c>
      <c r="CH33" s="31">
        <f t="shared" ca="1" si="31"/>
        <v>207744.22592073737</v>
      </c>
      <c r="CI33" s="31">
        <f t="shared" ca="1" si="31"/>
        <v>-32060.031776667223</v>
      </c>
      <c r="CJ33" s="31">
        <f t="shared" ca="1" si="31"/>
        <v>-97890.166502870154</v>
      </c>
      <c r="CK33" s="31">
        <f t="shared" ca="1" si="31"/>
        <v>221509.12000743399</v>
      </c>
      <c r="CL33" s="31">
        <f t="shared" ca="1" si="31"/>
        <v>201407.76998581161</v>
      </c>
      <c r="CM33" s="31">
        <f t="shared" ca="1" si="31"/>
        <v>748036.18365058245</v>
      </c>
      <c r="CN33" s="31">
        <f t="shared" ca="1" si="31"/>
        <v>679877.45612087846</v>
      </c>
      <c r="CO33" s="31">
        <f t="shared" ca="1" si="31"/>
        <v>762161.69965251419</v>
      </c>
      <c r="CP33" s="31">
        <f t="shared" ca="1" si="31"/>
        <v>554951.3639648573</v>
      </c>
      <c r="CQ33" s="31">
        <f t="shared" ca="1" si="31"/>
        <v>263161.1903940303</v>
      </c>
      <c r="CR33" s="31">
        <f t="shared" ca="1" si="31"/>
        <v>40230.985507484118</v>
      </c>
      <c r="CS33" s="31">
        <f t="shared" ca="1" si="31"/>
        <v>104131.26572120891</v>
      </c>
      <c r="CT33" s="31">
        <f t="shared" ca="1" si="31"/>
        <v>221465.54654407458</v>
      </c>
      <c r="CU33" s="31">
        <f t="shared" ca="1" si="31"/>
        <v>-37200.475225233473</v>
      </c>
      <c r="CV33" s="31">
        <f t="shared" ca="1" si="31"/>
        <v>-106299.57609667646</v>
      </c>
      <c r="CW33" s="31">
        <f t="shared" ca="1" si="31"/>
        <v>237033.44887224995</v>
      </c>
      <c r="CX33" s="31">
        <f t="shared" ca="1" si="31"/>
        <v>215132.51278327324</v>
      </c>
      <c r="CY33" s="31">
        <f t="shared" ca="1" si="31"/>
        <v>773694.13508621883</v>
      </c>
      <c r="CZ33" s="31">
        <f t="shared" ca="1" si="31"/>
        <v>703674.28651956294</v>
      </c>
      <c r="DA33" s="31">
        <f t="shared" ca="1" si="31"/>
        <v>789128.94666256942</v>
      </c>
      <c r="DB33" s="31">
        <f t="shared" ca="1" si="31"/>
        <v>565807.75992403016</v>
      </c>
      <c r="DC33" s="31">
        <f t="shared" ca="1" si="31"/>
        <v>270920.14379679476</v>
      </c>
      <c r="DD33" s="31">
        <f t="shared" ca="1" si="31"/>
        <v>38002.446574861649</v>
      </c>
      <c r="DE33" s="31">
        <f t="shared" ca="1" si="31"/>
        <v>105236.94897642621</v>
      </c>
      <c r="DF33" s="31">
        <f t="shared" ca="1" si="31"/>
        <v>228141.69152791065</v>
      </c>
      <c r="DG33" s="31">
        <f t="shared" ca="1" si="31"/>
        <v>-42734.477134741261</v>
      </c>
      <c r="DH33" s="31">
        <f t="shared" ca="1" si="31"/>
        <v>-115264.93126585631</v>
      </c>
      <c r="DI33" s="31">
        <f t="shared" ca="1" si="31"/>
        <v>253182.07983418414</v>
      </c>
      <c r="DJ33" s="31">
        <f t="shared" ca="1" si="31"/>
        <v>229411.96230025392</v>
      </c>
      <c r="DK33" s="31">
        <f t="shared" ca="1" si="31"/>
        <v>800258.45539189375</v>
      </c>
      <c r="DL33" s="31">
        <f t="shared" ca="1" si="31"/>
        <v>728329.45195412694</v>
      </c>
      <c r="DM33" s="31">
        <f t="shared" ca="1" si="31"/>
        <v>817079.45263433363</v>
      </c>
      <c r="DN33" s="31">
        <f t="shared" ca="1" si="31"/>
        <v>586724.65990023641</v>
      </c>
      <c r="DO33" s="31">
        <f t="shared" ca="1" si="31"/>
        <v>278871.17462883343</v>
      </c>
      <c r="DP33" s="31">
        <f t="shared" ca="1" si="31"/>
        <v>35504.486250824935</v>
      </c>
      <c r="DQ33" s="31">
        <f t="shared" ca="1" si="31"/>
        <v>106245.03517464938</v>
      </c>
      <c r="DR33" s="31">
        <f t="shared" ca="1" si="31"/>
        <v>234989.72036084131</v>
      </c>
      <c r="DS33" s="31">
        <f t="shared" ca="1" si="31"/>
        <v>-48687.332168529334</v>
      </c>
      <c r="DT33" s="31">
        <f t="shared" ca="1" si="31"/>
        <v>-126474.89162142895</v>
      </c>
      <c r="DU33" s="31">
        <f t="shared" ca="1" si="31"/>
        <v>278138.80679118616</v>
      </c>
      <c r="DV33" s="31">
        <f t="shared" ca="1" si="31"/>
        <v>242872.02342498582</v>
      </c>
      <c r="DW33" s="31">
        <f t="shared" ca="1" si="31"/>
        <v>834791.58682417427</v>
      </c>
      <c r="DX33" s="31">
        <f t="shared" ca="1" si="31"/>
        <v>752463.70816891466</v>
      </c>
      <c r="DY33" s="31">
        <f t="shared" ca="1" si="31"/>
        <v>844347.71999163739</v>
      </c>
      <c r="DZ33" s="31">
        <f t="shared" ca="1" si="31"/>
        <v>606867.07150720619</v>
      </c>
      <c r="EA33" s="31">
        <f t="shared" ref="EA33:GL33" ca="1" si="32">+SUM(EA25:EA31)</f>
        <v>285147.74051477661</v>
      </c>
      <c r="EB33" s="31">
        <f t="shared" ca="1" si="32"/>
        <v>31019.956147835066</v>
      </c>
      <c r="EC33" s="31">
        <f t="shared" ca="1" si="32"/>
        <v>105498.81839751438</v>
      </c>
      <c r="ED33" s="31">
        <f t="shared" ca="1" si="32"/>
        <v>240357.59924431026</v>
      </c>
      <c r="EE33" s="31">
        <f t="shared" ca="1" si="32"/>
        <v>-56846.188608092896</v>
      </c>
      <c r="EF33" s="31">
        <f t="shared" ca="1" si="32"/>
        <v>-138474.96327560861</v>
      </c>
      <c r="EG33" s="31">
        <f t="shared" ca="1" si="32"/>
        <v>294285.75939253625</v>
      </c>
      <c r="EH33" s="31">
        <f t="shared" ca="1" si="32"/>
        <v>256793.08120607972</v>
      </c>
      <c r="EI33" s="31">
        <f t="shared" ca="1" si="32"/>
        <v>862124.85833016643</v>
      </c>
      <c r="EJ33" s="31">
        <f t="shared" ca="1" si="32"/>
        <v>777379.7732608607</v>
      </c>
      <c r="EK33" s="31">
        <f t="shared" ca="1" si="32"/>
        <v>872503.74301816989</v>
      </c>
      <c r="EL33" s="31">
        <f t="shared" ca="1" si="32"/>
        <v>638623.45784829184</v>
      </c>
      <c r="EM33" s="31">
        <f t="shared" ca="1" si="32"/>
        <v>291433.38189818256</v>
      </c>
      <c r="EN33" s="31">
        <f t="shared" ca="1" si="32"/>
        <v>26055.510991441901</v>
      </c>
      <c r="EO33" s="31">
        <f t="shared" ca="1" si="32"/>
        <v>104467.70684992743</v>
      </c>
      <c r="EP33" s="31">
        <f t="shared" ca="1" si="32"/>
        <v>245736.25306521475</v>
      </c>
      <c r="EQ33" s="31">
        <f t="shared" ca="1" si="32"/>
        <v>-65655.136338576791</v>
      </c>
      <c r="ER33" s="31">
        <f t="shared" ca="1" si="32"/>
        <v>-151314.85078510357</v>
      </c>
      <c r="ES33" s="31">
        <f t="shared" ca="1" si="32"/>
        <v>310982.75035663898</v>
      </c>
      <c r="ET33" s="31">
        <f t="shared" ca="1" si="32"/>
        <v>271189.03204883425</v>
      </c>
      <c r="EU33" s="31">
        <f t="shared" ca="1" si="32"/>
        <v>890334.67646323715</v>
      </c>
      <c r="EV33" s="31">
        <f t="shared" ca="1" si="32"/>
        <v>803101.16868371121</v>
      </c>
      <c r="EW33" s="31">
        <f t="shared" ca="1" si="32"/>
        <v>901574.23543941253</v>
      </c>
      <c r="EX33" s="31">
        <f t="shared" ca="1" si="32"/>
        <v>649177.63473840174</v>
      </c>
      <c r="EY33" s="31">
        <f t="shared" ca="1" si="32"/>
        <v>378856.59643685096</v>
      </c>
      <c r="EZ33" s="31">
        <f t="shared" ca="1" si="32"/>
        <v>148086.2346514138</v>
      </c>
      <c r="FA33" s="31">
        <f t="shared" ca="1" si="32"/>
        <v>159383.76156912436</v>
      </c>
      <c r="FB33" s="31">
        <f t="shared" ca="1" si="32"/>
        <v>259063.9290600486</v>
      </c>
      <c r="FC33" s="31">
        <f t="shared" ca="1" si="32"/>
        <v>-19032.162159126659</v>
      </c>
      <c r="FD33" s="31">
        <f t="shared" ca="1" si="32"/>
        <v>51495.081135653716</v>
      </c>
      <c r="FE33" s="31">
        <f t="shared" ca="1" si="32"/>
        <v>328246.20079805411</v>
      </c>
      <c r="FF33" s="31">
        <f t="shared" ca="1" si="32"/>
        <v>286074.05291421118</v>
      </c>
      <c r="FG33" s="31">
        <f t="shared" ca="1" si="32"/>
        <v>919447.26866063545</v>
      </c>
      <c r="FH33" s="31">
        <f t="shared" ca="1" si="32"/>
        <v>829651.98380059027</v>
      </c>
      <c r="FI33" s="31">
        <f t="shared" ca="1" si="32"/>
        <v>931586.54622903164</v>
      </c>
      <c r="FJ33" s="31">
        <f t="shared" ca="1" si="32"/>
        <v>671386.49873486697</v>
      </c>
      <c r="FK33" s="31">
        <f t="shared" ca="1" si="32"/>
        <v>399924.7037721927</v>
      </c>
      <c r="FL33" s="31">
        <f t="shared" ca="1" si="32"/>
        <v>166068.96748862439</v>
      </c>
      <c r="FM33" s="31">
        <f t="shared" ca="1" si="32"/>
        <v>176801.57881421549</v>
      </c>
      <c r="FN33" s="31">
        <f t="shared" ca="1" si="32"/>
        <v>277050.17536847584</v>
      </c>
      <c r="FO33" s="31">
        <f t="shared" ca="1" si="32"/>
        <v>-1640.3971745704766</v>
      </c>
      <c r="FP33" s="31">
        <f t="shared" ca="1" si="32"/>
        <v>68514.904402026208</v>
      </c>
      <c r="FQ33" s="31">
        <f t="shared" ca="1" si="32"/>
        <v>346092.85238668416</v>
      </c>
      <c r="FR33" s="31">
        <f t="shared" ca="1" si="32"/>
        <v>301462.59593559155</v>
      </c>
      <c r="FS33" s="31">
        <f t="shared" ca="1" si="32"/>
        <v>949489.50091536669</v>
      </c>
      <c r="FT33" s="31">
        <f t="shared" ca="1" si="32"/>
        <v>857056.87897989049</v>
      </c>
      <c r="FU33" s="31">
        <f t="shared" ca="1" si="32"/>
        <v>962568.66184732527</v>
      </c>
      <c r="FV33" s="31">
        <f t="shared" ca="1" si="32"/>
        <v>694325.64181154885</v>
      </c>
      <c r="FW33" s="31">
        <f t="shared" ca="1" si="32"/>
        <v>421701.07818497921</v>
      </c>
      <c r="FX33" s="31">
        <f t="shared" ca="1" si="32"/>
        <v>184660.42341457066</v>
      </c>
      <c r="FY33" s="31">
        <f t="shared" ca="1" si="32"/>
        <v>194809.06470658729</v>
      </c>
      <c r="FZ33" s="31">
        <f t="shared" ca="1" si="32"/>
        <v>295643.49086768698</v>
      </c>
      <c r="GA33" s="31">
        <f t="shared" ca="1" si="32"/>
        <v>16344.929606427904</v>
      </c>
      <c r="GB33" s="31">
        <f t="shared" ca="1" si="32"/>
        <v>86112.389814919443</v>
      </c>
      <c r="GC33" s="31">
        <f t="shared" ca="1" si="32"/>
        <v>364539.75995671604</v>
      </c>
      <c r="GD33" s="31">
        <f t="shared" ca="1" si="32"/>
        <v>317369.38183488505</v>
      </c>
      <c r="GE33" s="31">
        <f t="shared" ca="1" si="32"/>
        <v>980488.88227853342</v>
      </c>
      <c r="GF33" s="31">
        <f t="shared" ca="1" si="32"/>
        <v>885341.08773423545</v>
      </c>
      <c r="GG33" s="31">
        <f t="shared" ca="1" si="32"/>
        <v>994549.20728033665</v>
      </c>
      <c r="GH33" s="31">
        <f t="shared" ca="1" si="32"/>
        <v>730748.56277304143</v>
      </c>
      <c r="GI33" s="31">
        <f t="shared" ca="1" si="32"/>
        <v>444206.45266147028</v>
      </c>
      <c r="GJ33" s="31">
        <f t="shared" ca="1" si="32"/>
        <v>203878.39627662007</v>
      </c>
      <c r="GK33" s="31">
        <f t="shared" ca="1" si="32"/>
        <v>213423.45569667223</v>
      </c>
      <c r="GL33" s="31">
        <f t="shared" ca="1" si="32"/>
        <v>314861.63167528703</v>
      </c>
      <c r="GM33" s="31">
        <f t="shared" ref="GM33:IH33" ca="1" si="33">+SUM(GM25:GM31)</f>
        <v>34941.139842850273</v>
      </c>
      <c r="GN33" s="31">
        <f t="shared" ca="1" si="33"/>
        <v>104304.19656424382</v>
      </c>
      <c r="GO33" s="31">
        <f t="shared" ca="1" si="33"/>
        <v>383604.28262325434</v>
      </c>
      <c r="GP33" s="31">
        <f t="shared" ca="1" si="33"/>
        <v>333809.39203255635</v>
      </c>
      <c r="GQ33" s="31">
        <f t="shared" ca="1" si="33"/>
        <v>1012473.5684019808</v>
      </c>
      <c r="GR33" s="31">
        <f t="shared" ca="1" si="33"/>
        <v>914530.41780367936</v>
      </c>
      <c r="GS33" s="31">
        <f t="shared" ca="1" si="33"/>
        <v>1027557.4457590453</v>
      </c>
      <c r="GT33" s="31">
        <f t="shared" ca="1" si="33"/>
        <v>742481.10960026924</v>
      </c>
      <c r="GU33" s="31">
        <f t="shared" ca="1" si="33"/>
        <v>467461.94011526369</v>
      </c>
      <c r="GV33" s="31">
        <f t="shared" ca="1" si="33"/>
        <v>223740.99385027247</v>
      </c>
      <c r="GW33" s="31">
        <f t="shared" ca="1" si="33"/>
        <v>232662.29213219206</v>
      </c>
      <c r="GX33" s="31">
        <f t="shared" ca="1" si="33"/>
        <v>334722.67229209375</v>
      </c>
      <c r="GY33" s="31">
        <f t="shared" ca="1" si="33"/>
        <v>54165.846801839361</v>
      </c>
      <c r="GZ33" s="31">
        <f t="shared" ca="1" si="33"/>
        <v>123107.24887953704</v>
      </c>
      <c r="HA33" s="31">
        <f t="shared" ca="1" si="33"/>
        <v>403304.07327733887</v>
      </c>
      <c r="HB33" s="31">
        <f t="shared" ca="1" si="33"/>
        <v>350797.85933862859</v>
      </c>
      <c r="HC33" s="31">
        <f t="shared" ca="1" si="33"/>
        <v>1045472.3640196165</v>
      </c>
      <c r="HD33" s="31">
        <f t="shared" ca="1" si="33"/>
        <v>944651.25107696024</v>
      </c>
      <c r="HE33" s="31">
        <f t="shared" ca="1" si="33"/>
        <v>1061623.2770291492</v>
      </c>
      <c r="HF33" s="31">
        <f t="shared" ca="1" si="33"/>
        <v>767741.70296841487</v>
      </c>
      <c r="HG33" s="31">
        <f t="shared" ca="1" si="33"/>
        <v>491489.02186645585</v>
      </c>
      <c r="HH33" s="31">
        <f t="shared" ca="1" si="33"/>
        <v>244266.62643788842</v>
      </c>
      <c r="HI33" s="31">
        <f t="shared" ca="1" si="33"/>
        <v>252543.40718947744</v>
      </c>
      <c r="HJ33" s="31">
        <f t="shared" ca="1" si="33"/>
        <v>355244.99486349709</v>
      </c>
      <c r="HK33" s="31">
        <f t="shared" ca="1" si="33"/>
        <v>74036.942515770264</v>
      </c>
      <c r="HL33" s="31">
        <f t="shared" ca="1" si="33"/>
        <v>142538.72218423244</v>
      </c>
      <c r="HM33" s="31">
        <f t="shared" ca="1" si="33"/>
        <v>423657.06632088131</v>
      </c>
      <c r="HN33" s="31">
        <f t="shared" ca="1" si="33"/>
        <v>368350.25710372941</v>
      </c>
      <c r="HO33" s="31">
        <f t="shared" ca="1" si="33"/>
        <v>1079514.7242581765</v>
      </c>
      <c r="HP33" s="31">
        <f t="shared" ca="1" si="33"/>
        <v>975730.54223677446</v>
      </c>
      <c r="HQ33" s="31">
        <f t="shared" ca="1" si="33"/>
        <v>1096777.2340324423</v>
      </c>
      <c r="HR33" s="31">
        <f t="shared" ca="1" si="33"/>
        <v>793821.09909698763</v>
      </c>
      <c r="HS33" s="31">
        <f t="shared" ca="1" si="33"/>
        <v>516309.53408846608</v>
      </c>
      <c r="HT33" s="31">
        <f t="shared" ca="1" si="33"/>
        <v>265473.99359318672</v>
      </c>
      <c r="HU33" s="31">
        <f t="shared" ca="1" si="33"/>
        <v>273084.91398715589</v>
      </c>
      <c r="HV33" s="31">
        <f t="shared" ca="1" si="33"/>
        <v>376447.27662539796</v>
      </c>
      <c r="HW33" s="31">
        <f t="shared" ca="1" si="33"/>
        <v>94572.58296502044</v>
      </c>
      <c r="HX33" s="31">
        <f t="shared" ca="1" si="33"/>
        <v>162616.02724170312</v>
      </c>
      <c r="HY33" s="31">
        <f t="shared" ca="1" si="33"/>
        <v>444681.46349331032</v>
      </c>
      <c r="HZ33" s="31">
        <f t="shared" ca="1" si="33"/>
        <v>386482.28670073627</v>
      </c>
      <c r="IA33" s="31">
        <f t="shared" ca="1" si="33"/>
        <v>1114630.7546601146</v>
      </c>
      <c r="IB33" s="31">
        <f t="shared" ca="1" si="33"/>
        <v>1007795.8160067042</v>
      </c>
      <c r="IC33" s="31">
        <f t="shared" ca="1" si="33"/>
        <v>1133050.4778506858</v>
      </c>
      <c r="ID33" s="31">
        <f t="shared" ca="1" si="33"/>
        <v>835522.80466329935</v>
      </c>
      <c r="IE33" s="31">
        <f t="shared" ca="1" si="33"/>
        <v>541945.65205018141</v>
      </c>
      <c r="IF33" s="31">
        <f t="shared" ca="1" si="33"/>
        <v>287382.06881410989</v>
      </c>
      <c r="IG33" s="31">
        <f t="shared" ca="1" si="33"/>
        <v>294305.19072958943</v>
      </c>
      <c r="IH33" s="31">
        <f t="shared" ca="1" si="33"/>
        <v>398348.47538165993</v>
      </c>
    </row>
    <row r="34" spans="1:242" x14ac:dyDescent="0.3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</row>
    <row r="35" spans="1:242" x14ac:dyDescent="0.3">
      <c r="C35">
        <v>2024</v>
      </c>
      <c r="D35">
        <v>2025</v>
      </c>
      <c r="E35">
        <v>2026</v>
      </c>
      <c r="F35">
        <v>2027</v>
      </c>
      <c r="G35">
        <v>2028</v>
      </c>
      <c r="H35">
        <v>2029</v>
      </c>
      <c r="I35">
        <v>2030</v>
      </c>
      <c r="J35">
        <v>2031</v>
      </c>
      <c r="K35">
        <v>2032</v>
      </c>
      <c r="L35">
        <v>2033</v>
      </c>
      <c r="M35">
        <v>2034</v>
      </c>
      <c r="N35">
        <v>2035</v>
      </c>
      <c r="O35">
        <v>2036</v>
      </c>
      <c r="P35">
        <v>2037</v>
      </c>
      <c r="Q35">
        <v>2038</v>
      </c>
      <c r="R35">
        <v>2039</v>
      </c>
      <c r="S35">
        <v>2040</v>
      </c>
      <c r="T35">
        <v>2041</v>
      </c>
      <c r="U35">
        <v>2042</v>
      </c>
      <c r="V35">
        <v>2043</v>
      </c>
      <c r="W35">
        <v>2044</v>
      </c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</row>
    <row r="36" spans="1:242" x14ac:dyDescent="0.3">
      <c r="A36" s="6" t="s">
        <v>921</v>
      </c>
      <c r="C36" s="31">
        <f t="shared" ref="C36:W36" si="34">+SUMIFS(33:33,12:12,C35)</f>
        <v>-240667.35749575897</v>
      </c>
      <c r="D36" s="31">
        <f t="shared" ca="1" si="34"/>
        <v>2531310.2741637002</v>
      </c>
      <c r="E36" s="31">
        <f t="shared" ca="1" si="34"/>
        <v>2753594.1644211002</v>
      </c>
      <c r="F36" s="31">
        <f t="shared" ca="1" si="34"/>
        <v>2884058.5483098263</v>
      </c>
      <c r="G36" s="31">
        <f t="shared" ca="1" si="34"/>
        <v>2977652.4054461299</v>
      </c>
      <c r="H36" s="31">
        <f t="shared" ca="1" si="34"/>
        <v>3100042.3598170485</v>
      </c>
      <c r="I36" s="31">
        <f t="shared" ca="1" si="34"/>
        <v>3166287.9584913794</v>
      </c>
      <c r="J36" s="31">
        <f t="shared" ca="1" si="34"/>
        <v>3568777.8999711145</v>
      </c>
      <c r="K36" s="31">
        <f t="shared" ca="1" si="34"/>
        <v>3708339.5533248801</v>
      </c>
      <c r="L36" s="31">
        <f t="shared" ca="1" si="34"/>
        <v>3825765.3131078901</v>
      </c>
      <c r="M36" s="31">
        <f t="shared" ca="1" si="34"/>
        <v>3968384.1741542332</v>
      </c>
      <c r="N36" s="31">
        <f t="shared" ca="1" si="34"/>
        <v>4083585.1610172754</v>
      </c>
      <c r="O36" s="31">
        <f t="shared" ca="1" si="34"/>
        <v>4211736.2986771194</v>
      </c>
      <c r="P36" s="31">
        <f t="shared" ca="1" si="34"/>
        <v>4865474.00192839</v>
      </c>
      <c r="Q36" s="31">
        <f t="shared" ca="1" si="34"/>
        <v>5116389.9106730949</v>
      </c>
      <c r="R36" s="31">
        <f t="shared" ca="1" si="34"/>
        <v>5375620.5833040699</v>
      </c>
      <c r="S36" s="31">
        <f t="shared" ca="1" si="34"/>
        <v>5656141.3735625492</v>
      </c>
      <c r="T36" s="31">
        <f t="shared" ca="1" si="34"/>
        <v>5920004.2638697764</v>
      </c>
      <c r="U36" s="31">
        <f t="shared" ca="1" si="34"/>
        <v>6205657.9938146323</v>
      </c>
      <c r="V36" s="31">
        <f t="shared" ca="1" si="34"/>
        <v>6500627.708721295</v>
      </c>
      <c r="W36" s="31">
        <f t="shared" ca="1" si="34"/>
        <v>4498350.4854962304</v>
      </c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</row>
    <row r="38" spans="1:242" x14ac:dyDescent="0.3">
      <c r="A38" t="s">
        <v>922</v>
      </c>
      <c r="C38" s="31">
        <f t="shared" ref="C38:BN38" si="35">+C19-C33</f>
        <v>0</v>
      </c>
      <c r="D38" s="31">
        <f t="shared" si="35"/>
        <v>1716802.7485287129</v>
      </c>
      <c r="E38" s="31">
        <f t="shared" si="35"/>
        <v>1945498.6277807839</v>
      </c>
      <c r="F38" s="31">
        <f t="shared" si="35"/>
        <v>1763268.0458272682</v>
      </c>
      <c r="G38" s="31">
        <f t="shared" si="35"/>
        <v>1828563.9953589938</v>
      </c>
      <c r="H38" s="31">
        <f t="shared" si="35"/>
        <v>1915537.3558268782</v>
      </c>
      <c r="I38" s="31">
        <f t="shared" ca="1" si="35"/>
        <v>1977884.5083074442</v>
      </c>
      <c r="J38" s="31">
        <f t="shared" ca="1" si="35"/>
        <v>1890894.9282532511</v>
      </c>
      <c r="K38" s="31">
        <f t="shared" ca="1" si="35"/>
        <v>1973958.7354669506</v>
      </c>
      <c r="L38" s="31">
        <f t="shared" ca="1" si="35"/>
        <v>1589350.5853091085</v>
      </c>
      <c r="M38" s="31">
        <f t="shared" ca="1" si="35"/>
        <v>1565407.3057751944</v>
      </c>
      <c r="N38" s="31">
        <f t="shared" ca="1" si="35"/>
        <v>1629403.9392211672</v>
      </c>
      <c r="O38" s="31">
        <f t="shared" ca="1" si="35"/>
        <v>1401031.2078158115</v>
      </c>
      <c r="P38" s="31">
        <f t="shared" ca="1" si="35"/>
        <v>1498358.7440296174</v>
      </c>
      <c r="Q38" s="31">
        <f t="shared" ca="1" si="35"/>
        <v>1561928.0096739316</v>
      </c>
      <c r="R38" s="31">
        <f t="shared" ca="1" si="35"/>
        <v>1430806.7817582353</v>
      </c>
      <c r="S38" s="31">
        <f t="shared" ca="1" si="35"/>
        <v>1430853.3443987095</v>
      </c>
      <c r="T38" s="31">
        <f t="shared" ca="1" si="35"/>
        <v>1477073.6986234919</v>
      </c>
      <c r="U38" s="31">
        <f t="shared" ca="1" si="35"/>
        <v>1675976.9948404636</v>
      </c>
      <c r="V38" s="31">
        <f t="shared" ca="1" si="35"/>
        <v>1525780.4286961888</v>
      </c>
      <c r="W38" s="31">
        <f t="shared" ca="1" si="35"/>
        <v>2025012.9094446104</v>
      </c>
      <c r="X38" s="31">
        <f t="shared" ca="1" si="35"/>
        <v>1623366.167931908</v>
      </c>
      <c r="Y38" s="31">
        <f t="shared" ca="1" si="35"/>
        <v>1600879.0562245618</v>
      </c>
      <c r="Z38" s="31">
        <f t="shared" ca="1" si="35"/>
        <v>1668726.0153722682</v>
      </c>
      <c r="AA38" s="31">
        <f t="shared" ca="1" si="35"/>
        <v>1427214.3428814076</v>
      </c>
      <c r="AB38" s="31">
        <f t="shared" ca="1" si="35"/>
        <v>1546265.3100077601</v>
      </c>
      <c r="AC38" s="31">
        <f t="shared" ca="1" si="35"/>
        <v>1609857.0250340998</v>
      </c>
      <c r="AD38" s="31">
        <f t="shared" ca="1" si="35"/>
        <v>1474587.0417960938</v>
      </c>
      <c r="AE38" s="31">
        <f t="shared" ca="1" si="35"/>
        <v>1470468.9025660467</v>
      </c>
      <c r="AF38" s="31">
        <f t="shared" ca="1" si="35"/>
        <v>1517886.9074893398</v>
      </c>
      <c r="AG38" s="31">
        <f t="shared" ca="1" si="35"/>
        <v>1722035.0831254241</v>
      </c>
      <c r="AH38" s="31">
        <f t="shared" ca="1" si="35"/>
        <v>1567662.2628532522</v>
      </c>
      <c r="AI38" s="31">
        <f t="shared" ca="1" si="35"/>
        <v>2084591.341315923</v>
      </c>
      <c r="AJ38" s="31">
        <f t="shared" ca="1" si="35"/>
        <v>1673474.0495308246</v>
      </c>
      <c r="AK38" s="31">
        <f t="shared" ca="1" si="35"/>
        <v>1637008.5183178112</v>
      </c>
      <c r="AL38" s="31">
        <f t="shared" ca="1" si="35"/>
        <v>1708819.2080782435</v>
      </c>
      <c r="AM38" s="31">
        <f t="shared" ca="1" si="35"/>
        <v>1453748.229637485</v>
      </c>
      <c r="AN38" s="31">
        <f t="shared" ca="1" si="35"/>
        <v>1595761.5203556353</v>
      </c>
      <c r="AO38" s="31">
        <f t="shared" ca="1" si="35"/>
        <v>1659281.8280020012</v>
      </c>
      <c r="AP38" s="31">
        <f t="shared" ca="1" si="35"/>
        <v>1519727.4418740033</v>
      </c>
      <c r="AQ38" s="31">
        <f t="shared" ca="1" si="35"/>
        <v>1511111.1806854319</v>
      </c>
      <c r="AR38" s="31">
        <f t="shared" ca="1" si="35"/>
        <v>1559753.5322109521</v>
      </c>
      <c r="AS38" s="31">
        <f t="shared" ca="1" si="35"/>
        <v>1773942.7726325539</v>
      </c>
      <c r="AT38" s="31">
        <f t="shared" ca="1" si="35"/>
        <v>1606993.8059625926</v>
      </c>
      <c r="AU38" s="31">
        <f t="shared" ca="1" si="35"/>
        <v>2151034.8819473567</v>
      </c>
      <c r="AV38" s="31">
        <f t="shared" ca="1" si="35"/>
        <v>1729821.3322984788</v>
      </c>
      <c r="AW38" s="31">
        <f t="shared" ca="1" si="35"/>
        <v>1678541.6398417139</v>
      </c>
      <c r="AX38" s="31">
        <f t="shared" ca="1" si="35"/>
        <v>1754457.3432178069</v>
      </c>
      <c r="AY38" s="31">
        <f t="shared" ca="1" si="35"/>
        <v>1485698.7053154407</v>
      </c>
      <c r="AZ38" s="31">
        <f t="shared" ca="1" si="35"/>
        <v>1651670.7358386703</v>
      </c>
      <c r="BA38" s="31">
        <f t="shared" ca="1" si="35"/>
        <v>1714712.3112575109</v>
      </c>
      <c r="BB38" s="31">
        <f t="shared" ca="1" si="35"/>
        <v>1570294.0524145879</v>
      </c>
      <c r="BC38" s="31">
        <f t="shared" ca="1" si="35"/>
        <v>1556647.584778663</v>
      </c>
      <c r="BD38" s="31">
        <f t="shared" ca="1" si="35"/>
        <v>1606760.7994037312</v>
      </c>
      <c r="BE38" s="31">
        <f t="shared" ca="1" si="35"/>
        <v>1822605.6701746518</v>
      </c>
      <c r="BF38" s="31">
        <f t="shared" ca="1" si="35"/>
        <v>1659167.4453416674</v>
      </c>
      <c r="BG38" s="31">
        <f t="shared" ca="1" si="35"/>
        <v>2214381.9896244379</v>
      </c>
      <c r="BH38" s="31">
        <f t="shared" ca="1" si="35"/>
        <v>1783365.3110536218</v>
      </c>
      <c r="BI38" s="31">
        <f t="shared" ca="1" si="35"/>
        <v>1716677.8909235357</v>
      </c>
      <c r="BJ38" s="31">
        <f t="shared" ca="1" si="35"/>
        <v>1796797.7140410303</v>
      </c>
      <c r="BK38" s="31">
        <f t="shared" ca="1" si="35"/>
        <v>1513641.5369647942</v>
      </c>
      <c r="BL38" s="31">
        <f t="shared" ca="1" si="35"/>
        <v>1705805.9172764418</v>
      </c>
      <c r="BM38" s="31">
        <f t="shared" ca="1" si="35"/>
        <v>1768482.4045225959</v>
      </c>
      <c r="BN38" s="31">
        <f t="shared" ca="1" si="35"/>
        <v>1619375.4133772794</v>
      </c>
      <c r="BO38" s="31">
        <f t="shared" ref="BO38:DZ38" ca="1" si="36">+BO19-BO33</f>
        <v>1600453.2837364972</v>
      </c>
      <c r="BP38" s="31">
        <f t="shared" ca="1" si="36"/>
        <v>1651904.7009089258</v>
      </c>
      <c r="BQ38" s="31">
        <f t="shared" ca="1" si="36"/>
        <v>1878617.5299296707</v>
      </c>
      <c r="BR38" s="31">
        <f t="shared" ca="1" si="36"/>
        <v>1710172.0081052645</v>
      </c>
      <c r="BS38" s="31">
        <f t="shared" ca="1" si="36"/>
        <v>2286285.1706118705</v>
      </c>
      <c r="BT38" s="31">
        <f t="shared" ca="1" si="36"/>
        <v>1844697.7951042894</v>
      </c>
      <c r="BU38" s="31">
        <f t="shared" ca="1" si="36"/>
        <v>1772546.3223588825</v>
      </c>
      <c r="BV38" s="31">
        <f t="shared" ca="1" si="36"/>
        <v>1846131.6706482854</v>
      </c>
      <c r="BW38" s="31">
        <f t="shared" ca="1" si="36"/>
        <v>1548513.0205273142</v>
      </c>
      <c r="BX38" s="31">
        <f t="shared" ca="1" si="36"/>
        <v>1766924.3573083982</v>
      </c>
      <c r="BY38" s="31">
        <f t="shared" ca="1" si="36"/>
        <v>1828782.840923409</v>
      </c>
      <c r="BZ38" s="31">
        <f t="shared" ca="1" si="36"/>
        <v>1674356.1173313158</v>
      </c>
      <c r="CA38" s="31">
        <f t="shared" ca="1" si="36"/>
        <v>1649564.9760960469</v>
      </c>
      <c r="CB38" s="31">
        <f t="shared" ca="1" si="36"/>
        <v>1702622.6225182237</v>
      </c>
      <c r="CC38" s="31">
        <f t="shared" ca="1" si="36"/>
        <v>1931201.7141186851</v>
      </c>
      <c r="CD38" s="31">
        <f t="shared" ca="1" si="36"/>
        <v>1757997.57183695</v>
      </c>
      <c r="CE38" s="31">
        <f t="shared" ca="1" si="36"/>
        <v>2354938.4118848941</v>
      </c>
      <c r="CF38" s="31">
        <f t="shared" ca="1" si="36"/>
        <v>1903101.6019306635</v>
      </c>
      <c r="CG38" s="31">
        <f t="shared" ca="1" si="36"/>
        <v>1827501.7491224734</v>
      </c>
      <c r="CH38" s="31">
        <f t="shared" ca="1" si="36"/>
        <v>1891981.3390270933</v>
      </c>
      <c r="CI38" s="31">
        <f t="shared" ca="1" si="36"/>
        <v>1594323.2045567799</v>
      </c>
      <c r="CJ38" s="31">
        <f t="shared" ca="1" si="36"/>
        <v>1825116.9513120335</v>
      </c>
      <c r="CK38" s="31">
        <f t="shared" ca="1" si="36"/>
        <v>1728674.4051939626</v>
      </c>
      <c r="CL38" s="31">
        <f t="shared" ca="1" si="36"/>
        <v>1581324.249254951</v>
      </c>
      <c r="CM38" s="31">
        <f t="shared" ca="1" si="36"/>
        <v>1695966.2816675804</v>
      </c>
      <c r="CN38" s="31">
        <f t="shared" ca="1" si="36"/>
        <v>1750439.5077582654</v>
      </c>
      <c r="CO38" s="31">
        <f t="shared" ca="1" si="36"/>
        <v>1985202.7142305726</v>
      </c>
      <c r="CP38" s="31">
        <f t="shared" ca="1" si="36"/>
        <v>1797814.4250931779</v>
      </c>
      <c r="CQ38" s="31">
        <f t="shared" ca="1" si="36"/>
        <v>2425685.2303340971</v>
      </c>
      <c r="CR38" s="31">
        <f t="shared" ca="1" si="36"/>
        <v>1963438.5956794643</v>
      </c>
      <c r="CS38" s="31">
        <f t="shared" ca="1" si="36"/>
        <v>1884221.8697443658</v>
      </c>
      <c r="CT38" s="31">
        <f t="shared" ca="1" si="36"/>
        <v>1941251.785352191</v>
      </c>
      <c r="CU38" s="31">
        <f t="shared" ca="1" si="36"/>
        <v>1646331.5431887498</v>
      </c>
      <c r="CV38" s="31">
        <f t="shared" ca="1" si="36"/>
        <v>1885343.1644501151</v>
      </c>
      <c r="CW38" s="31">
        <f t="shared" ca="1" si="36"/>
        <v>1771655.5820851885</v>
      </c>
      <c r="CX38" s="31">
        <f t="shared" ca="1" si="36"/>
        <v>1621081.4670347124</v>
      </c>
      <c r="CY38" s="31">
        <f t="shared" ca="1" si="36"/>
        <v>1743628.4041914889</v>
      </c>
      <c r="CZ38" s="31">
        <f t="shared" ca="1" si="36"/>
        <v>1799552.1862759553</v>
      </c>
      <c r="DA38" s="31">
        <f t="shared" ca="1" si="36"/>
        <v>2040656.3996370099</v>
      </c>
      <c r="DB38" s="31">
        <f t="shared" ca="1" si="36"/>
        <v>1857541.0028057464</v>
      </c>
      <c r="DC38" s="31">
        <f t="shared" ca="1" si="36"/>
        <v>2498591.6695531765</v>
      </c>
      <c r="DD38" s="31">
        <f t="shared" ca="1" si="36"/>
        <v>2025777.2220476952</v>
      </c>
      <c r="DE38" s="31">
        <f t="shared" ca="1" si="36"/>
        <v>1942766.780553116</v>
      </c>
      <c r="DF38" s="31">
        <f t="shared" ca="1" si="36"/>
        <v>1999457.1603252431</v>
      </c>
      <c r="DG38" s="31">
        <f t="shared" ca="1" si="36"/>
        <v>1700139.4771371633</v>
      </c>
      <c r="DH38" s="31">
        <f t="shared" ca="1" si="36"/>
        <v>1947679.827269898</v>
      </c>
      <c r="DI38" s="31">
        <f t="shared" ca="1" si="36"/>
        <v>1815767.6220519776</v>
      </c>
      <c r="DJ38" s="31">
        <f t="shared" ca="1" si="36"/>
        <v>1661888.4369122712</v>
      </c>
      <c r="DK38" s="31">
        <f t="shared" ca="1" si="36"/>
        <v>1792583.7600641456</v>
      </c>
      <c r="DL38" s="31">
        <f t="shared" ca="1" si="36"/>
        <v>1849993.8150252574</v>
      </c>
      <c r="DM38" s="31">
        <f t="shared" ca="1" si="36"/>
        <v>2097599.4540542332</v>
      </c>
      <c r="DN38" s="31">
        <f t="shared" ca="1" si="36"/>
        <v>1909324.5657114335</v>
      </c>
      <c r="DO38" s="31">
        <f t="shared" ca="1" si="36"/>
        <v>2573725.9931216375</v>
      </c>
      <c r="DP38" s="31">
        <f t="shared" ca="1" si="36"/>
        <v>2090188.5724304088</v>
      </c>
      <c r="DQ38" s="31">
        <f t="shared" ca="1" si="36"/>
        <v>2003198.8062407791</v>
      </c>
      <c r="DR38" s="31">
        <f t="shared" ca="1" si="36"/>
        <v>2059437.0970479066</v>
      </c>
      <c r="DS38" s="31">
        <f t="shared" ca="1" si="36"/>
        <v>1755814.482171024</v>
      </c>
      <c r="DT38" s="31">
        <f t="shared" ca="1" si="36"/>
        <v>2013862.2345055919</v>
      </c>
      <c r="DU38" s="31">
        <f t="shared" ca="1" si="36"/>
        <v>1852879.3861515608</v>
      </c>
      <c r="DV38" s="31">
        <f t="shared" ca="1" si="36"/>
        <v>1705167.3877639154</v>
      </c>
      <c r="DW38" s="31">
        <f t="shared" ca="1" si="36"/>
        <v>1835835.8950955456</v>
      </c>
      <c r="DX38" s="31">
        <f t="shared" ca="1" si="36"/>
        <v>1903209.2568198503</v>
      </c>
      <c r="DY38" s="31">
        <f t="shared" ca="1" si="36"/>
        <v>2157771.5538975862</v>
      </c>
      <c r="DZ38" s="31">
        <f t="shared" ca="1" si="36"/>
        <v>1964063.630872814</v>
      </c>
      <c r="EA38" s="31">
        <f t="shared" ref="EA38:GL38" ca="1" si="37">+EA19-EA33</f>
        <v>2653027.342268208</v>
      </c>
      <c r="EB38" s="31">
        <f t="shared" ca="1" si="37"/>
        <v>2158443.8942938354</v>
      </c>
      <c r="EC38" s="31">
        <f t="shared" ca="1" si="37"/>
        <v>2067228.3382603771</v>
      </c>
      <c r="ED38" s="31">
        <f t="shared" ca="1" si="37"/>
        <v>2122902.0226867008</v>
      </c>
      <c r="EE38" s="31">
        <f t="shared" ca="1" si="37"/>
        <v>1815187.1531106622</v>
      </c>
      <c r="EF38" s="31">
        <f t="shared" ca="1" si="37"/>
        <v>2082483.9264462963</v>
      </c>
      <c r="EG38" s="31">
        <f t="shared" ca="1" si="37"/>
        <v>1900662.9793384932</v>
      </c>
      <c r="EH38" s="31">
        <f t="shared" ca="1" si="37"/>
        <v>1749687.5123184882</v>
      </c>
      <c r="EI38" s="31">
        <f t="shared" ca="1" si="37"/>
        <v>1888621.4480471457</v>
      </c>
      <c r="EJ38" s="31">
        <f t="shared" ca="1" si="37"/>
        <v>1957963.3806775678</v>
      </c>
      <c r="EK38" s="31">
        <f t="shared" ca="1" si="37"/>
        <v>2219679.1090877308</v>
      </c>
      <c r="EL38" s="31">
        <f t="shared" ca="1" si="37"/>
        <v>2009435.1656031287</v>
      </c>
      <c r="EM38" s="31">
        <f t="shared" ca="1" si="37"/>
        <v>2734886.9533682917</v>
      </c>
      <c r="EN38" s="31">
        <f t="shared" ca="1" si="37"/>
        <v>2229092.2549634785</v>
      </c>
      <c r="EO38" s="31">
        <f t="shared" ca="1" si="37"/>
        <v>2133441.2645077002</v>
      </c>
      <c r="EP38" s="31">
        <f t="shared" ca="1" si="37"/>
        <v>2188421.1575237261</v>
      </c>
      <c r="EQ38" s="31">
        <f t="shared" ca="1" si="37"/>
        <v>1876746.3297762233</v>
      </c>
      <c r="ER38" s="31">
        <f t="shared" ca="1" si="37"/>
        <v>2153644.0828509121</v>
      </c>
      <c r="ES38" s="31">
        <f t="shared" ca="1" si="37"/>
        <v>1949814.4505363212</v>
      </c>
      <c r="ET38" s="31">
        <f t="shared" ca="1" si="37"/>
        <v>1795485.9792814709</v>
      </c>
      <c r="EU38" s="31">
        <f t="shared" ca="1" si="37"/>
        <v>1942934.0191053944</v>
      </c>
      <c r="EV38" s="31">
        <f t="shared" ca="1" si="37"/>
        <v>2014302.2798728698</v>
      </c>
      <c r="EW38" s="31">
        <f t="shared" ca="1" si="37"/>
        <v>2283374.102229665</v>
      </c>
      <c r="EX38" s="31">
        <f t="shared" ca="1" si="37"/>
        <v>2078322.7474165617</v>
      </c>
      <c r="EY38" s="31">
        <f t="shared" ca="1" si="37"/>
        <v>2738253.3488876177</v>
      </c>
      <c r="EZ38" s="31">
        <f t="shared" ca="1" si="37"/>
        <v>2174715.9642821546</v>
      </c>
      <c r="FA38" s="31">
        <f t="shared" ca="1" si="37"/>
        <v>2145662.4789292328</v>
      </c>
      <c r="FB38" s="31">
        <f t="shared" ca="1" si="37"/>
        <v>2248118.2038465613</v>
      </c>
      <c r="FC38" s="31">
        <f t="shared" ca="1" si="37"/>
        <v>1884456.0913999025</v>
      </c>
      <c r="FD38" s="31">
        <f t="shared" ca="1" si="37"/>
        <v>2010904.0278921295</v>
      </c>
      <c r="FE38" s="31">
        <f t="shared" ca="1" si="37"/>
        <v>2000374.9161216947</v>
      </c>
      <c r="FF38" s="31">
        <f t="shared" ca="1" si="37"/>
        <v>1842601.2087560035</v>
      </c>
      <c r="FG38" s="31">
        <f t="shared" ca="1" si="37"/>
        <v>1998819.487775055</v>
      </c>
      <c r="FH38" s="31">
        <f t="shared" ca="1" si="37"/>
        <v>2072273.5682126887</v>
      </c>
      <c r="FI38" s="31">
        <f t="shared" ca="1" si="37"/>
        <v>2348910.2415701179</v>
      </c>
      <c r="FJ38" s="31">
        <f t="shared" ca="1" si="37"/>
        <v>2137938.8948847447</v>
      </c>
      <c r="FK38" s="31">
        <f t="shared" ca="1" si="37"/>
        <v>2810698.5399120096</v>
      </c>
      <c r="FL38" s="31">
        <f t="shared" ca="1" si="37"/>
        <v>2226417.2974129515</v>
      </c>
      <c r="FM38" s="31">
        <f t="shared" ca="1" si="37"/>
        <v>2197396.0488990922</v>
      </c>
      <c r="FN38" s="31">
        <f t="shared" ca="1" si="37"/>
        <v>2305347.4215253321</v>
      </c>
      <c r="FO38" s="31">
        <f t="shared" ca="1" si="37"/>
        <v>1923027.0442925696</v>
      </c>
      <c r="FP38" s="31">
        <f t="shared" ca="1" si="37"/>
        <v>2055756.1778965907</v>
      </c>
      <c r="FQ38" s="31">
        <f t="shared" ca="1" si="37"/>
        <v>2052386.8980406574</v>
      </c>
      <c r="FR38" s="31">
        <f t="shared" ca="1" si="37"/>
        <v>1891072.9235847294</v>
      </c>
      <c r="FS38" s="31">
        <f t="shared" ca="1" si="37"/>
        <v>2056325.2582133943</v>
      </c>
      <c r="FT38" s="31">
        <f t="shared" ca="1" si="37"/>
        <v>2131926.4395937864</v>
      </c>
      <c r="FU38" s="31">
        <f t="shared" ca="1" si="37"/>
        <v>2416343.0295857983</v>
      </c>
      <c r="FV38" s="31">
        <f t="shared" ca="1" si="37"/>
        <v>2199279.5136166518</v>
      </c>
      <c r="FW38" s="31">
        <f t="shared" ca="1" si="37"/>
        <v>2885240.8628097498</v>
      </c>
      <c r="FX38" s="31">
        <f t="shared" ca="1" si="37"/>
        <v>2279600.4294340517</v>
      </c>
      <c r="FY38" s="31">
        <f t="shared" ca="1" si="37"/>
        <v>2250614.4918381199</v>
      </c>
      <c r="FZ38" s="31">
        <f t="shared" ca="1" si="37"/>
        <v>2364226.0339329354</v>
      </c>
      <c r="GA38" s="31">
        <f t="shared" ca="1" si="37"/>
        <v>1962683.3169251112</v>
      </c>
      <c r="GB38" s="31">
        <f t="shared" ca="1" si="37"/>
        <v>2101886.8249526559</v>
      </c>
      <c r="GC38" s="31">
        <f t="shared" ca="1" si="37"/>
        <v>2105894.3829834461</v>
      </c>
      <c r="GD38" s="31">
        <f t="shared" ca="1" si="37"/>
        <v>1940942.2032710458</v>
      </c>
      <c r="GE38" s="31">
        <f t="shared" ca="1" si="37"/>
        <v>2115500.3196240906</v>
      </c>
      <c r="GF38" s="31">
        <f t="shared" ca="1" si="37"/>
        <v>2193311.7303966517</v>
      </c>
      <c r="GG38" s="31">
        <f t="shared" ca="1" si="37"/>
        <v>2485729.8348957812</v>
      </c>
      <c r="GH38" s="31">
        <f t="shared" ca="1" si="37"/>
        <v>2249664.7473180052</v>
      </c>
      <c r="GI38" s="31">
        <f t="shared" ca="1" si="37"/>
        <v>2961943.7465631003</v>
      </c>
      <c r="GJ38" s="31">
        <f t="shared" ca="1" si="37"/>
        <v>2334310.2821574612</v>
      </c>
      <c r="GK38" s="31">
        <f t="shared" ca="1" si="37"/>
        <v>2305362.8075443758</v>
      </c>
      <c r="GL38" s="31">
        <f t="shared" ca="1" si="37"/>
        <v>2424803.9788693544</v>
      </c>
      <c r="GM38" s="31">
        <f t="shared" ref="GM38:IH38" ca="1" si="38">+GM19-GM33</f>
        <v>2003457.9540846352</v>
      </c>
      <c r="GN38" s="31">
        <f t="shared" ca="1" si="38"/>
        <v>2149334.9946463588</v>
      </c>
      <c r="GO38" s="31">
        <f t="shared" ca="1" si="38"/>
        <v>2160942.8846051125</v>
      </c>
      <c r="GP38" s="31">
        <f t="shared" ca="1" si="38"/>
        <v>1992251.5406265524</v>
      </c>
      <c r="GQ38" s="31">
        <f t="shared" ca="1" si="38"/>
        <v>2176395.3095577224</v>
      </c>
      <c r="GR38" s="31">
        <f t="shared" ca="1" si="38"/>
        <v>2256481.9848711351</v>
      </c>
      <c r="GS38" s="31">
        <f t="shared" ca="1" si="38"/>
        <v>2557129.967682356</v>
      </c>
      <c r="GT38" s="31">
        <f t="shared" ca="1" si="38"/>
        <v>2327344.5997935091</v>
      </c>
      <c r="GU38" s="31">
        <f t="shared" ca="1" si="38"/>
        <v>3040872.7650860441</v>
      </c>
      <c r="GV38" s="31">
        <f t="shared" ca="1" si="38"/>
        <v>2390593.3449368309</v>
      </c>
      <c r="GW38" s="31">
        <f t="shared" ca="1" si="38"/>
        <v>2361687.5590060875</v>
      </c>
      <c r="GX38" s="31">
        <f t="shared" ca="1" si="38"/>
        <v>2487132.9065688867</v>
      </c>
      <c r="GY38" s="31">
        <f t="shared" ca="1" si="38"/>
        <v>2045385.2199434708</v>
      </c>
      <c r="GZ38" s="31">
        <f t="shared" ca="1" si="38"/>
        <v>2198141.1180673838</v>
      </c>
      <c r="HA38" s="31">
        <f t="shared" ca="1" si="38"/>
        <v>2217579.5089678788</v>
      </c>
      <c r="HB38" s="31">
        <f t="shared" ca="1" si="38"/>
        <v>2045044.9013002533</v>
      </c>
      <c r="HC38" s="31">
        <f t="shared" ca="1" si="38"/>
        <v>2239062.5802788772</v>
      </c>
      <c r="HD38" s="31">
        <f t="shared" ca="1" si="38"/>
        <v>2321491.5236780988</v>
      </c>
      <c r="HE38" s="31">
        <f t="shared" ca="1" si="38"/>
        <v>2630604.7588154944</v>
      </c>
      <c r="HF38" s="31">
        <f t="shared" ca="1" si="38"/>
        <v>2394178.7777071767</v>
      </c>
      <c r="HG38" s="31">
        <f t="shared" ca="1" si="38"/>
        <v>3122095.7244908917</v>
      </c>
      <c r="HH38" s="31">
        <f t="shared" ca="1" si="38"/>
        <v>2448497.7425128282</v>
      </c>
      <c r="HI38" s="31">
        <f t="shared" ca="1" si="38"/>
        <v>2419636.9394829506</v>
      </c>
      <c r="HJ38" s="31">
        <f t="shared" ca="1" si="38"/>
        <v>2551266.2513633128</v>
      </c>
      <c r="HK38" s="31">
        <f t="shared" ca="1" si="38"/>
        <v>2088500.656231899</v>
      </c>
      <c r="HL38" s="31">
        <f t="shared" ca="1" si="38"/>
        <v>2248347.0957710957</v>
      </c>
      <c r="HM38" s="31">
        <f t="shared" ca="1" si="38"/>
        <v>2275853.0233916934</v>
      </c>
      <c r="HN38" s="31">
        <f t="shared" ca="1" si="38"/>
        <v>2099367.7863543192</v>
      </c>
      <c r="HO38" s="31">
        <f t="shared" ca="1" si="38"/>
        <v>2303556.2683692728</v>
      </c>
      <c r="HP38" s="31">
        <f t="shared" ca="1" si="38"/>
        <v>2388396.5157609358</v>
      </c>
      <c r="HQ38" s="31">
        <f t="shared" ca="1" si="38"/>
        <v>2706217.6428875411</v>
      </c>
      <c r="HR38" s="31">
        <f t="shared" ca="1" si="38"/>
        <v>2462956.9959988724</v>
      </c>
      <c r="HS38" s="31">
        <f t="shared" ca="1" si="38"/>
        <v>3205682.7546596015</v>
      </c>
      <c r="HT38" s="31">
        <f t="shared" ca="1" si="38"/>
        <v>2508073.306426052</v>
      </c>
      <c r="HU38" s="31">
        <f t="shared" ca="1" si="38"/>
        <v>2479260.8430854445</v>
      </c>
      <c r="HV38" s="31">
        <f t="shared" ca="1" si="38"/>
        <v>2617259.3069882165</v>
      </c>
      <c r="HW38" s="31">
        <f t="shared" ca="1" si="38"/>
        <v>2132841.1437450787</v>
      </c>
      <c r="HX38" s="31">
        <f t="shared" ca="1" si="38"/>
        <v>2299996.3652522853</v>
      </c>
      <c r="HY38" s="31">
        <f t="shared" ca="1" si="38"/>
        <v>2335813.9289106415</v>
      </c>
      <c r="HZ38" s="31">
        <f t="shared" ca="1" si="38"/>
        <v>2155267.2980610542</v>
      </c>
      <c r="IA38" s="31">
        <f t="shared" ca="1" si="38"/>
        <v>2369932.3677461576</v>
      </c>
      <c r="IB38" s="31">
        <f t="shared" ca="1" si="38"/>
        <v>2457255.0537309377</v>
      </c>
      <c r="IC38" s="31">
        <f t="shared" ca="1" si="38"/>
        <v>2784034.245376897</v>
      </c>
      <c r="ID38" s="31">
        <f t="shared" ca="1" si="38"/>
        <v>2518958.6332854358</v>
      </c>
      <c r="IE38" s="31">
        <f t="shared" ca="1" si="38"/>
        <v>3291706.4053603285</v>
      </c>
      <c r="IF38" s="31">
        <f t="shared" ca="1" si="38"/>
        <v>2569371.6502057053</v>
      </c>
      <c r="IG38" s="31">
        <f t="shared" ca="1" si="38"/>
        <v>2540610.9390551895</v>
      </c>
      <c r="IH38" s="31">
        <f t="shared" ca="1" si="38"/>
        <v>2685169.3057403634</v>
      </c>
    </row>
    <row r="39" spans="1:242" x14ac:dyDescent="0.3">
      <c r="A39" t="s">
        <v>923</v>
      </c>
      <c r="C39" s="31">
        <f>+C38</f>
        <v>0</v>
      </c>
      <c r="D39" s="31">
        <f>+D38+C39</f>
        <v>1716802.7485287129</v>
      </c>
      <c r="E39" s="31">
        <f>+D39+E38</f>
        <v>3662301.3763094968</v>
      </c>
      <c r="F39" s="31">
        <f t="shared" ref="F39:BQ39" si="39">+E39+F38</f>
        <v>5425569.422136765</v>
      </c>
      <c r="G39" s="31">
        <f t="shared" si="39"/>
        <v>7254133.4174957592</v>
      </c>
      <c r="H39" s="31">
        <f t="shared" si="39"/>
        <v>9169670.7733226381</v>
      </c>
      <c r="I39" s="31">
        <f t="shared" ca="1" si="39"/>
        <v>11147555.281630082</v>
      </c>
      <c r="J39" s="31">
        <f t="shared" ca="1" si="39"/>
        <v>13038450.209883332</v>
      </c>
      <c r="K39" s="31">
        <f t="shared" ca="1" si="39"/>
        <v>15012408.945350282</v>
      </c>
      <c r="L39" s="31">
        <f t="shared" ca="1" si="39"/>
        <v>16601759.530659391</v>
      </c>
      <c r="M39" s="31">
        <f t="shared" ca="1" si="39"/>
        <v>18167166.836434584</v>
      </c>
      <c r="N39" s="31">
        <f t="shared" ca="1" si="39"/>
        <v>19796570.77565575</v>
      </c>
      <c r="O39" s="31">
        <f t="shared" ca="1" si="39"/>
        <v>21197601.983471561</v>
      </c>
      <c r="P39" s="31">
        <f t="shared" ca="1" si="39"/>
        <v>22695960.72750118</v>
      </c>
      <c r="Q39" s="31">
        <f t="shared" ca="1" si="39"/>
        <v>24257888.737175111</v>
      </c>
      <c r="R39" s="31">
        <f t="shared" ca="1" si="39"/>
        <v>25688695.518933345</v>
      </c>
      <c r="S39" s="31">
        <f t="shared" ca="1" si="39"/>
        <v>27119548.863332056</v>
      </c>
      <c r="T39" s="31">
        <f t="shared" ca="1" si="39"/>
        <v>28596622.561955549</v>
      </c>
      <c r="U39" s="31">
        <f t="shared" ca="1" si="39"/>
        <v>30272599.556796014</v>
      </c>
      <c r="V39" s="31">
        <f t="shared" ca="1" si="39"/>
        <v>31798379.985492203</v>
      </c>
      <c r="W39" s="31">
        <f t="shared" ca="1" si="39"/>
        <v>33823392.894936815</v>
      </c>
      <c r="X39" s="31">
        <f t="shared" ca="1" si="39"/>
        <v>35446759.062868722</v>
      </c>
      <c r="Y39" s="31">
        <f t="shared" ca="1" si="39"/>
        <v>37047638.119093284</v>
      </c>
      <c r="Z39" s="31">
        <f t="shared" ca="1" si="39"/>
        <v>38716364.134465553</v>
      </c>
      <c r="AA39" s="31">
        <f t="shared" ca="1" si="39"/>
        <v>40143578.477346957</v>
      </c>
      <c r="AB39" s="31">
        <f t="shared" ca="1" si="39"/>
        <v>41689843.787354715</v>
      </c>
      <c r="AC39" s="31">
        <f t="shared" ca="1" si="39"/>
        <v>43299700.812388815</v>
      </c>
      <c r="AD39" s="31">
        <f t="shared" ca="1" si="39"/>
        <v>44774287.854184911</v>
      </c>
      <c r="AE39" s="31">
        <f t="shared" ca="1" si="39"/>
        <v>46244756.756750956</v>
      </c>
      <c r="AF39" s="31">
        <f t="shared" ca="1" si="39"/>
        <v>47762643.664240293</v>
      </c>
      <c r="AG39" s="31">
        <f t="shared" ca="1" si="39"/>
        <v>49484678.747365721</v>
      </c>
      <c r="AH39" s="31">
        <f t="shared" ca="1" si="39"/>
        <v>51052341.01021897</v>
      </c>
      <c r="AI39" s="31">
        <f t="shared" ca="1" si="39"/>
        <v>53136932.351534896</v>
      </c>
      <c r="AJ39" s="31">
        <f t="shared" ca="1" si="39"/>
        <v>54810406.401065722</v>
      </c>
      <c r="AK39" s="31">
        <f t="shared" ca="1" si="39"/>
        <v>56447414.919383533</v>
      </c>
      <c r="AL39" s="31">
        <f t="shared" ca="1" si="39"/>
        <v>58156234.127461776</v>
      </c>
      <c r="AM39" s="31">
        <f t="shared" ca="1" si="39"/>
        <v>59609982.357099265</v>
      </c>
      <c r="AN39" s="31">
        <f t="shared" ca="1" si="39"/>
        <v>61205743.877454899</v>
      </c>
      <c r="AO39" s="31">
        <f t="shared" ca="1" si="39"/>
        <v>62865025.705456898</v>
      </c>
      <c r="AP39" s="31">
        <f t="shared" ca="1" si="39"/>
        <v>64384753.147330903</v>
      </c>
      <c r="AQ39" s="31">
        <f t="shared" ca="1" si="39"/>
        <v>65895864.328016333</v>
      </c>
      <c r="AR39" s="31">
        <f t="shared" ca="1" si="39"/>
        <v>67455617.860227287</v>
      </c>
      <c r="AS39" s="31">
        <f t="shared" ca="1" si="39"/>
        <v>69229560.632859841</v>
      </c>
      <c r="AT39" s="31">
        <f t="shared" ca="1" si="39"/>
        <v>70836554.438822433</v>
      </c>
      <c r="AU39" s="31">
        <f t="shared" ca="1" si="39"/>
        <v>72987589.320769787</v>
      </c>
      <c r="AV39" s="31">
        <f t="shared" ca="1" si="39"/>
        <v>74717410.653068259</v>
      </c>
      <c r="AW39" s="31">
        <f t="shared" ca="1" si="39"/>
        <v>76395952.29290998</v>
      </c>
      <c r="AX39" s="31">
        <f t="shared" ca="1" si="39"/>
        <v>78150409.636127785</v>
      </c>
      <c r="AY39" s="31">
        <f t="shared" ca="1" si="39"/>
        <v>79636108.341443226</v>
      </c>
      <c r="AZ39" s="31">
        <f t="shared" ca="1" si="39"/>
        <v>81287779.077281892</v>
      </c>
      <c r="BA39" s="31">
        <f t="shared" ca="1" si="39"/>
        <v>83002491.388539404</v>
      </c>
      <c r="BB39" s="31">
        <f t="shared" ca="1" si="39"/>
        <v>84572785.440953985</v>
      </c>
      <c r="BC39" s="31">
        <f t="shared" ca="1" si="39"/>
        <v>86129433.025732651</v>
      </c>
      <c r="BD39" s="31">
        <f t="shared" ca="1" si="39"/>
        <v>87736193.825136378</v>
      </c>
      <c r="BE39" s="31">
        <f t="shared" ca="1" si="39"/>
        <v>89558799.495311037</v>
      </c>
      <c r="BF39" s="31">
        <f t="shared" ca="1" si="39"/>
        <v>91217966.940652698</v>
      </c>
      <c r="BG39" s="31">
        <f t="shared" ca="1" si="39"/>
        <v>93432348.930277139</v>
      </c>
      <c r="BH39" s="31">
        <f t="shared" ca="1" si="39"/>
        <v>95215714.241330758</v>
      </c>
      <c r="BI39" s="31">
        <f t="shared" ca="1" si="39"/>
        <v>96932392.132254288</v>
      </c>
      <c r="BJ39" s="31">
        <f t="shared" ca="1" si="39"/>
        <v>98729189.846295312</v>
      </c>
      <c r="BK39" s="31">
        <f t="shared" ca="1" si="39"/>
        <v>100242831.3832601</v>
      </c>
      <c r="BL39" s="31">
        <f t="shared" ca="1" si="39"/>
        <v>101948637.30053654</v>
      </c>
      <c r="BM39" s="31">
        <f t="shared" ca="1" si="39"/>
        <v>103717119.70505914</v>
      </c>
      <c r="BN39" s="31">
        <f t="shared" ca="1" si="39"/>
        <v>105336495.11843643</v>
      </c>
      <c r="BO39" s="31">
        <f t="shared" ca="1" si="39"/>
        <v>106936948.40217292</v>
      </c>
      <c r="BP39" s="31">
        <f t="shared" ca="1" si="39"/>
        <v>108588853.10308185</v>
      </c>
      <c r="BQ39" s="31">
        <f t="shared" ca="1" si="39"/>
        <v>110467470.63301152</v>
      </c>
      <c r="BR39" s="31">
        <f t="shared" ref="BR39:EC39" ca="1" si="40">+BQ39+BR38</f>
        <v>112177642.64111678</v>
      </c>
      <c r="BS39" s="31">
        <f t="shared" ca="1" si="40"/>
        <v>114463927.81172866</v>
      </c>
      <c r="BT39" s="31">
        <f t="shared" ca="1" si="40"/>
        <v>116308625.60683295</v>
      </c>
      <c r="BU39" s="31">
        <f t="shared" ca="1" si="40"/>
        <v>118081171.92919183</v>
      </c>
      <c r="BV39" s="31">
        <f t="shared" ca="1" si="40"/>
        <v>119927303.59984012</v>
      </c>
      <c r="BW39" s="31">
        <f t="shared" ca="1" si="40"/>
        <v>121475816.62036744</v>
      </c>
      <c r="BX39" s="31">
        <f t="shared" ca="1" si="40"/>
        <v>123242740.97767584</v>
      </c>
      <c r="BY39" s="31">
        <f t="shared" ca="1" si="40"/>
        <v>125071523.81859925</v>
      </c>
      <c r="BZ39" s="31">
        <f t="shared" ca="1" si="40"/>
        <v>126745879.93593056</v>
      </c>
      <c r="CA39" s="31">
        <f t="shared" ca="1" si="40"/>
        <v>128395444.91202661</v>
      </c>
      <c r="CB39" s="31">
        <f t="shared" ca="1" si="40"/>
        <v>130098067.53454484</v>
      </c>
      <c r="CC39" s="31">
        <f t="shared" ca="1" si="40"/>
        <v>132029269.24866353</v>
      </c>
      <c r="CD39" s="31">
        <f t="shared" ca="1" si="40"/>
        <v>133787266.82050048</v>
      </c>
      <c r="CE39" s="31">
        <f t="shared" ca="1" si="40"/>
        <v>136142205.23238537</v>
      </c>
      <c r="CF39" s="31">
        <f t="shared" ca="1" si="40"/>
        <v>138045306.83431605</v>
      </c>
      <c r="CG39" s="31">
        <f t="shared" ca="1" si="40"/>
        <v>139872808.58343852</v>
      </c>
      <c r="CH39" s="31">
        <f t="shared" ca="1" si="40"/>
        <v>141764789.92246562</v>
      </c>
      <c r="CI39" s="31">
        <f t="shared" ca="1" si="40"/>
        <v>143359113.12702242</v>
      </c>
      <c r="CJ39" s="31">
        <f t="shared" ca="1" si="40"/>
        <v>145184230.07833445</v>
      </c>
      <c r="CK39" s="31">
        <f t="shared" ca="1" si="40"/>
        <v>146912904.48352841</v>
      </c>
      <c r="CL39" s="31">
        <f t="shared" ca="1" si="40"/>
        <v>148494228.73278335</v>
      </c>
      <c r="CM39" s="31">
        <f t="shared" ca="1" si="40"/>
        <v>150190195.01445094</v>
      </c>
      <c r="CN39" s="31">
        <f t="shared" ca="1" si="40"/>
        <v>151940634.5222092</v>
      </c>
      <c r="CO39" s="31">
        <f t="shared" ca="1" si="40"/>
        <v>153925837.23643976</v>
      </c>
      <c r="CP39" s="31">
        <f t="shared" ca="1" si="40"/>
        <v>155723651.66153294</v>
      </c>
      <c r="CQ39" s="31">
        <f t="shared" ca="1" si="40"/>
        <v>158149336.89186704</v>
      </c>
      <c r="CR39" s="31">
        <f t="shared" ca="1" si="40"/>
        <v>160112775.4875465</v>
      </c>
      <c r="CS39" s="31">
        <f t="shared" ca="1" si="40"/>
        <v>161996997.35729086</v>
      </c>
      <c r="CT39" s="31">
        <f t="shared" ca="1" si="40"/>
        <v>163938249.14264306</v>
      </c>
      <c r="CU39" s="31">
        <f t="shared" ca="1" si="40"/>
        <v>165584580.68583182</v>
      </c>
      <c r="CV39" s="31">
        <f t="shared" ca="1" si="40"/>
        <v>167469923.85028192</v>
      </c>
      <c r="CW39" s="31">
        <f t="shared" ca="1" si="40"/>
        <v>169241579.43236712</v>
      </c>
      <c r="CX39" s="31">
        <f t="shared" ca="1" si="40"/>
        <v>170862660.89940184</v>
      </c>
      <c r="CY39" s="31">
        <f t="shared" ca="1" si="40"/>
        <v>172606289.30359334</v>
      </c>
      <c r="CZ39" s="31">
        <f t="shared" ca="1" si="40"/>
        <v>174405841.4898693</v>
      </c>
      <c r="DA39" s="31">
        <f t="shared" ca="1" si="40"/>
        <v>176446497.88950631</v>
      </c>
      <c r="DB39" s="31">
        <f t="shared" ca="1" si="40"/>
        <v>178304038.89231205</v>
      </c>
      <c r="DC39" s="31">
        <f t="shared" ca="1" si="40"/>
        <v>180802630.56186524</v>
      </c>
      <c r="DD39" s="31">
        <f t="shared" ca="1" si="40"/>
        <v>182828407.78391293</v>
      </c>
      <c r="DE39" s="31">
        <f t="shared" ca="1" si="40"/>
        <v>184771174.56446603</v>
      </c>
      <c r="DF39" s="31">
        <f t="shared" ca="1" si="40"/>
        <v>186770631.72479126</v>
      </c>
      <c r="DG39" s="31">
        <f t="shared" ca="1" si="40"/>
        <v>188470771.20192844</v>
      </c>
      <c r="DH39" s="31">
        <f t="shared" ca="1" si="40"/>
        <v>190418451.02919835</v>
      </c>
      <c r="DI39" s="31">
        <f t="shared" ca="1" si="40"/>
        <v>192234218.65125033</v>
      </c>
      <c r="DJ39" s="31">
        <f t="shared" ca="1" si="40"/>
        <v>193896107.0881626</v>
      </c>
      <c r="DK39" s="31">
        <f t="shared" ca="1" si="40"/>
        <v>195688690.84822676</v>
      </c>
      <c r="DL39" s="31">
        <f t="shared" ca="1" si="40"/>
        <v>197538684.66325203</v>
      </c>
      <c r="DM39" s="31">
        <f t="shared" ca="1" si="40"/>
        <v>199636284.11730626</v>
      </c>
      <c r="DN39" s="31">
        <f t="shared" ca="1" si="40"/>
        <v>201545608.6830177</v>
      </c>
      <c r="DO39" s="31">
        <f t="shared" ca="1" si="40"/>
        <v>204119334.67613932</v>
      </c>
      <c r="DP39" s="31">
        <f t="shared" ca="1" si="40"/>
        <v>206209523.24856973</v>
      </c>
      <c r="DQ39" s="31">
        <f t="shared" ca="1" si="40"/>
        <v>208212722.05481049</v>
      </c>
      <c r="DR39" s="31">
        <f t="shared" ca="1" si="40"/>
        <v>210272159.15185839</v>
      </c>
      <c r="DS39" s="31">
        <f t="shared" ca="1" si="40"/>
        <v>212027973.63402942</v>
      </c>
      <c r="DT39" s="31">
        <f t="shared" ca="1" si="40"/>
        <v>214041835.86853501</v>
      </c>
      <c r="DU39" s="31">
        <f t="shared" ca="1" si="40"/>
        <v>215894715.25468656</v>
      </c>
      <c r="DV39" s="31">
        <f t="shared" ca="1" si="40"/>
        <v>217599882.64245048</v>
      </c>
      <c r="DW39" s="31">
        <f t="shared" ca="1" si="40"/>
        <v>219435718.53754604</v>
      </c>
      <c r="DX39" s="31">
        <f t="shared" ca="1" si="40"/>
        <v>221338927.79436588</v>
      </c>
      <c r="DY39" s="31">
        <f t="shared" ca="1" si="40"/>
        <v>223496699.34826347</v>
      </c>
      <c r="DZ39" s="31">
        <f t="shared" ca="1" si="40"/>
        <v>225460762.97913629</v>
      </c>
      <c r="EA39" s="31">
        <f t="shared" ca="1" si="40"/>
        <v>228113790.32140449</v>
      </c>
      <c r="EB39" s="31">
        <f t="shared" ca="1" si="40"/>
        <v>230272234.21569833</v>
      </c>
      <c r="EC39" s="31">
        <f t="shared" ca="1" si="40"/>
        <v>232339462.55395871</v>
      </c>
      <c r="ED39" s="31">
        <f t="shared" ref="ED39:GO39" ca="1" si="41">+EC39+ED38</f>
        <v>234462364.5766454</v>
      </c>
      <c r="EE39" s="31">
        <f t="shared" ca="1" si="41"/>
        <v>236277551.72975606</v>
      </c>
      <c r="EF39" s="31">
        <f t="shared" ca="1" si="41"/>
        <v>238360035.65620235</v>
      </c>
      <c r="EG39" s="31">
        <f t="shared" ca="1" si="41"/>
        <v>240260698.63554084</v>
      </c>
      <c r="EH39" s="31">
        <f t="shared" ca="1" si="41"/>
        <v>242010386.14785933</v>
      </c>
      <c r="EI39" s="31">
        <f t="shared" ca="1" si="41"/>
        <v>243899007.59590647</v>
      </c>
      <c r="EJ39" s="31">
        <f t="shared" ca="1" si="41"/>
        <v>245856970.97658405</v>
      </c>
      <c r="EK39" s="31">
        <f t="shared" ca="1" si="41"/>
        <v>248076650.08567178</v>
      </c>
      <c r="EL39" s="31">
        <f t="shared" ca="1" si="41"/>
        <v>250086085.25127491</v>
      </c>
      <c r="EM39" s="31">
        <f t="shared" ca="1" si="41"/>
        <v>252820972.20464322</v>
      </c>
      <c r="EN39" s="31">
        <f t="shared" ca="1" si="41"/>
        <v>255050064.45960671</v>
      </c>
      <c r="EO39" s="31">
        <f t="shared" ca="1" si="41"/>
        <v>257183505.72411442</v>
      </c>
      <c r="EP39" s="31">
        <f t="shared" ca="1" si="41"/>
        <v>259371926.88163814</v>
      </c>
      <c r="EQ39" s="31">
        <f t="shared" ca="1" si="41"/>
        <v>261248673.21141437</v>
      </c>
      <c r="ER39" s="31">
        <f t="shared" ca="1" si="41"/>
        <v>263402317.29426527</v>
      </c>
      <c r="ES39" s="31">
        <f t="shared" ca="1" si="41"/>
        <v>265352131.74480158</v>
      </c>
      <c r="ET39" s="31">
        <f t="shared" ca="1" si="41"/>
        <v>267147617.72408307</v>
      </c>
      <c r="EU39" s="31">
        <f t="shared" ca="1" si="41"/>
        <v>269090551.74318844</v>
      </c>
      <c r="EV39" s="31">
        <f t="shared" ca="1" si="41"/>
        <v>271104854.02306134</v>
      </c>
      <c r="EW39" s="31">
        <f t="shared" ca="1" si="41"/>
        <v>273388228.12529099</v>
      </c>
      <c r="EX39" s="31">
        <f t="shared" ca="1" si="41"/>
        <v>275466550.87270755</v>
      </c>
      <c r="EY39" s="31">
        <f t="shared" ca="1" si="41"/>
        <v>278204804.22159517</v>
      </c>
      <c r="EZ39" s="31">
        <f t="shared" ca="1" si="41"/>
        <v>280379520.18587732</v>
      </c>
      <c r="FA39" s="31">
        <f t="shared" ca="1" si="41"/>
        <v>282525182.66480654</v>
      </c>
      <c r="FB39" s="31">
        <f t="shared" ca="1" si="41"/>
        <v>284773300.86865312</v>
      </c>
      <c r="FC39" s="31">
        <f t="shared" ca="1" si="41"/>
        <v>286657756.96005303</v>
      </c>
      <c r="FD39" s="31">
        <f t="shared" ca="1" si="41"/>
        <v>288668660.98794514</v>
      </c>
      <c r="FE39" s="31">
        <f t="shared" ca="1" si="41"/>
        <v>290669035.90406686</v>
      </c>
      <c r="FF39" s="31">
        <f t="shared" ca="1" si="41"/>
        <v>292511637.11282289</v>
      </c>
      <c r="FG39" s="31">
        <f t="shared" ca="1" si="41"/>
        <v>294510456.60059792</v>
      </c>
      <c r="FH39" s="31">
        <f t="shared" ca="1" si="41"/>
        <v>296582730.16881061</v>
      </c>
      <c r="FI39" s="31">
        <f t="shared" ca="1" si="41"/>
        <v>298931640.41038072</v>
      </c>
      <c r="FJ39" s="31">
        <f t="shared" ca="1" si="41"/>
        <v>301069579.30526549</v>
      </c>
      <c r="FK39" s="31">
        <f t="shared" ca="1" si="41"/>
        <v>303880277.84517747</v>
      </c>
      <c r="FL39" s="31">
        <f t="shared" ca="1" si="41"/>
        <v>306106695.1425904</v>
      </c>
      <c r="FM39" s="31">
        <f t="shared" ca="1" si="41"/>
        <v>308304091.19148952</v>
      </c>
      <c r="FN39" s="31">
        <f t="shared" ca="1" si="41"/>
        <v>310609438.61301488</v>
      </c>
      <c r="FO39" s="31">
        <f t="shared" ca="1" si="41"/>
        <v>312532465.65730745</v>
      </c>
      <c r="FP39" s="31">
        <f t="shared" ca="1" si="41"/>
        <v>314588221.83520406</v>
      </c>
      <c r="FQ39" s="31">
        <f t="shared" ca="1" si="41"/>
        <v>316640608.73324472</v>
      </c>
      <c r="FR39" s="31">
        <f t="shared" ca="1" si="41"/>
        <v>318531681.65682948</v>
      </c>
      <c r="FS39" s="31">
        <f t="shared" ca="1" si="41"/>
        <v>320588006.91504288</v>
      </c>
      <c r="FT39" s="31">
        <f t="shared" ca="1" si="41"/>
        <v>322719933.35463667</v>
      </c>
      <c r="FU39" s="31">
        <f t="shared" ca="1" si="41"/>
        <v>325136276.38422245</v>
      </c>
      <c r="FV39" s="31">
        <f t="shared" ca="1" si="41"/>
        <v>327335555.89783913</v>
      </c>
      <c r="FW39" s="31">
        <f t="shared" ca="1" si="41"/>
        <v>330220796.76064891</v>
      </c>
      <c r="FX39" s="31">
        <f t="shared" ca="1" si="41"/>
        <v>332500397.19008297</v>
      </c>
      <c r="FY39" s="31">
        <f t="shared" ca="1" si="41"/>
        <v>334751011.68192106</v>
      </c>
      <c r="FZ39" s="31">
        <f t="shared" ca="1" si="41"/>
        <v>337115237.71585399</v>
      </c>
      <c r="GA39" s="31">
        <f t="shared" ca="1" si="41"/>
        <v>339077921.0327791</v>
      </c>
      <c r="GB39" s="31">
        <f t="shared" ca="1" si="41"/>
        <v>341179807.85773176</v>
      </c>
      <c r="GC39" s="31">
        <f t="shared" ca="1" si="41"/>
        <v>343285702.24071521</v>
      </c>
      <c r="GD39" s="31">
        <f t="shared" ca="1" si="41"/>
        <v>345226644.44398624</v>
      </c>
      <c r="GE39" s="31">
        <f t="shared" ca="1" si="41"/>
        <v>347342144.7636103</v>
      </c>
      <c r="GF39" s="31">
        <f t="shared" ca="1" si="41"/>
        <v>349535456.49400693</v>
      </c>
      <c r="GG39" s="31">
        <f t="shared" ca="1" si="41"/>
        <v>352021186.32890272</v>
      </c>
      <c r="GH39" s="31">
        <f t="shared" ca="1" si="41"/>
        <v>354270851.07622075</v>
      </c>
      <c r="GI39" s="31">
        <f t="shared" ca="1" si="41"/>
        <v>357232794.82278383</v>
      </c>
      <c r="GJ39" s="31">
        <f t="shared" ca="1" si="41"/>
        <v>359567105.10494131</v>
      </c>
      <c r="GK39" s="31">
        <f t="shared" ca="1" si="41"/>
        <v>361872467.91248566</v>
      </c>
      <c r="GL39" s="31">
        <f t="shared" ca="1" si="41"/>
        <v>364297271.89135504</v>
      </c>
      <c r="GM39" s="31">
        <f t="shared" ca="1" si="41"/>
        <v>366300729.84543967</v>
      </c>
      <c r="GN39" s="31">
        <f t="shared" ca="1" si="41"/>
        <v>368450064.84008604</v>
      </c>
      <c r="GO39" s="31">
        <f t="shared" ca="1" si="41"/>
        <v>370611007.72469115</v>
      </c>
      <c r="GP39" s="31">
        <f t="shared" ref="GP39:IH39" ca="1" si="42">+GO39+GP38</f>
        <v>372603259.26531768</v>
      </c>
      <c r="GQ39" s="31">
        <f t="shared" ca="1" si="42"/>
        <v>374779654.57487541</v>
      </c>
      <c r="GR39" s="31">
        <f t="shared" ca="1" si="42"/>
        <v>377036136.55974656</v>
      </c>
      <c r="GS39" s="31">
        <f t="shared" ca="1" si="42"/>
        <v>379593266.52742893</v>
      </c>
      <c r="GT39" s="31">
        <f t="shared" ca="1" si="42"/>
        <v>381920611.12722242</v>
      </c>
      <c r="GU39" s="31">
        <f t="shared" ca="1" si="42"/>
        <v>384961483.89230847</v>
      </c>
      <c r="GV39" s="31">
        <f t="shared" ca="1" si="42"/>
        <v>387352077.23724532</v>
      </c>
      <c r="GW39" s="31">
        <f t="shared" ca="1" si="42"/>
        <v>389713764.79625142</v>
      </c>
      <c r="GX39" s="31">
        <f t="shared" ca="1" si="42"/>
        <v>392200897.7028203</v>
      </c>
      <c r="GY39" s="31">
        <f t="shared" ca="1" si="42"/>
        <v>394246282.92276376</v>
      </c>
      <c r="GZ39" s="31">
        <f t="shared" ca="1" si="42"/>
        <v>396444424.04083115</v>
      </c>
      <c r="HA39" s="31">
        <f t="shared" ca="1" si="42"/>
        <v>398662003.54979903</v>
      </c>
      <c r="HB39" s="31">
        <f t="shared" ca="1" si="42"/>
        <v>400707048.45109928</v>
      </c>
      <c r="HC39" s="31">
        <f t="shared" ca="1" si="42"/>
        <v>402946111.03137815</v>
      </c>
      <c r="HD39" s="31">
        <f t="shared" ca="1" si="42"/>
        <v>405267602.55505627</v>
      </c>
      <c r="HE39" s="31">
        <f t="shared" ca="1" si="42"/>
        <v>407898207.31387174</v>
      </c>
      <c r="HF39" s="31">
        <f t="shared" ca="1" si="42"/>
        <v>410292386.0915789</v>
      </c>
      <c r="HG39" s="31">
        <f t="shared" ca="1" si="42"/>
        <v>413414481.81606978</v>
      </c>
      <c r="HH39" s="31">
        <f t="shared" ca="1" si="42"/>
        <v>415862979.5585826</v>
      </c>
      <c r="HI39" s="31">
        <f t="shared" ca="1" si="42"/>
        <v>418282616.49806553</v>
      </c>
      <c r="HJ39" s="31">
        <f t="shared" ca="1" si="42"/>
        <v>420833882.74942887</v>
      </c>
      <c r="HK39" s="31">
        <f t="shared" ca="1" si="42"/>
        <v>422922383.40566075</v>
      </c>
      <c r="HL39" s="31">
        <f t="shared" ca="1" si="42"/>
        <v>425170730.50143182</v>
      </c>
      <c r="HM39" s="31">
        <f t="shared" ca="1" si="42"/>
        <v>427446583.52482349</v>
      </c>
      <c r="HN39" s="31">
        <f t="shared" ca="1" si="42"/>
        <v>429545951.31117779</v>
      </c>
      <c r="HO39" s="31">
        <f t="shared" ca="1" si="42"/>
        <v>431849507.57954705</v>
      </c>
      <c r="HP39" s="31">
        <f t="shared" ca="1" si="42"/>
        <v>434237904.09530801</v>
      </c>
      <c r="HQ39" s="31">
        <f t="shared" ca="1" si="42"/>
        <v>436944121.73819554</v>
      </c>
      <c r="HR39" s="31">
        <f t="shared" ca="1" si="42"/>
        <v>439407078.7341944</v>
      </c>
      <c r="HS39" s="31">
        <f t="shared" ca="1" si="42"/>
        <v>442612761.48885399</v>
      </c>
      <c r="HT39" s="31">
        <f t="shared" ca="1" si="42"/>
        <v>445120834.79528004</v>
      </c>
      <c r="HU39" s="31">
        <f t="shared" ca="1" si="42"/>
        <v>447600095.63836551</v>
      </c>
      <c r="HV39" s="31">
        <f t="shared" ca="1" si="42"/>
        <v>450217354.94535375</v>
      </c>
      <c r="HW39" s="31">
        <f t="shared" ca="1" si="42"/>
        <v>452350196.08909881</v>
      </c>
      <c r="HX39" s="31">
        <f t="shared" ca="1" si="42"/>
        <v>454650192.45435107</v>
      </c>
      <c r="HY39" s="31">
        <f t="shared" ca="1" si="42"/>
        <v>456986006.38326168</v>
      </c>
      <c r="HZ39" s="31">
        <f t="shared" ca="1" si="42"/>
        <v>459141273.68132275</v>
      </c>
      <c r="IA39" s="31">
        <f t="shared" ca="1" si="42"/>
        <v>461511206.04906893</v>
      </c>
      <c r="IB39" s="31">
        <f t="shared" ca="1" si="42"/>
        <v>463968461.10279989</v>
      </c>
      <c r="IC39" s="31">
        <f t="shared" ca="1" si="42"/>
        <v>466752495.34817678</v>
      </c>
      <c r="ID39" s="31">
        <f t="shared" ca="1" si="42"/>
        <v>469271453.98146224</v>
      </c>
      <c r="IE39" s="31">
        <f t="shared" ca="1" si="42"/>
        <v>472563160.38682258</v>
      </c>
      <c r="IF39" s="31">
        <f t="shared" ca="1" si="42"/>
        <v>475132532.03702831</v>
      </c>
      <c r="IG39" s="31">
        <f t="shared" ca="1" si="42"/>
        <v>477673142.97608352</v>
      </c>
      <c r="IH39" s="31">
        <f t="shared" ca="1" si="42"/>
        <v>480358312.28182387</v>
      </c>
    </row>
    <row r="41" spans="1:242" x14ac:dyDescent="0.3">
      <c r="B41" s="32"/>
      <c r="C41">
        <v>2024</v>
      </c>
      <c r="D41">
        <v>2025</v>
      </c>
      <c r="E41">
        <v>2026</v>
      </c>
      <c r="F41">
        <v>2027</v>
      </c>
      <c r="G41">
        <v>2028</v>
      </c>
      <c r="H41">
        <v>2029</v>
      </c>
      <c r="I41">
        <v>2030</v>
      </c>
      <c r="J41">
        <v>2031</v>
      </c>
      <c r="K41">
        <v>2032</v>
      </c>
      <c r="L41">
        <v>2033</v>
      </c>
      <c r="M41">
        <v>2034</v>
      </c>
      <c r="N41">
        <v>2035</v>
      </c>
      <c r="O41">
        <v>2036</v>
      </c>
      <c r="P41">
        <v>2037</v>
      </c>
      <c r="Q41">
        <v>2038</v>
      </c>
      <c r="R41">
        <v>2039</v>
      </c>
      <c r="S41">
        <v>2040</v>
      </c>
      <c r="T41">
        <v>2041</v>
      </c>
      <c r="U41">
        <v>2042</v>
      </c>
      <c r="V41">
        <v>2043</v>
      </c>
      <c r="W41">
        <v>2044</v>
      </c>
    </row>
    <row r="42" spans="1:242" x14ac:dyDescent="0.3">
      <c r="A42" t="s">
        <v>924</v>
      </c>
      <c r="B42" s="32"/>
      <c r="C42" s="30">
        <f t="shared" ref="C42:W42" si="43">+SUMIFS(38:38,12:12,C41)</f>
        <v>7254133.4174957592</v>
      </c>
      <c r="D42" s="30">
        <f t="shared" ca="1" si="43"/>
        <v>19865415.445836298</v>
      </c>
      <c r="E42" s="30">
        <f t="shared" ca="1" si="43"/>
        <v>19125207.893418901</v>
      </c>
      <c r="F42" s="30">
        <f t="shared" ca="1" si="43"/>
        <v>19651107.571265377</v>
      </c>
      <c r="G42" s="30">
        <f t="shared" ca="1" si="43"/>
        <v>20233568.697716326</v>
      </c>
      <c r="H42" s="30">
        <f t="shared" ca="1" si="43"/>
        <v>20807515.376440287</v>
      </c>
      <c r="I42" s="69">
        <f t="shared" ca="1" si="43"/>
        <v>21458496.509853672</v>
      </c>
      <c r="J42" s="30">
        <f t="shared" ca="1" si="43"/>
        <v>21794750.10242429</v>
      </c>
      <c r="K42" s="30">
        <f t="shared" ca="1" si="43"/>
        <v>22416094.289142393</v>
      </c>
      <c r="L42" s="30">
        <f t="shared" ca="1" si="43"/>
        <v>23082401.544633396</v>
      </c>
      <c r="M42" s="30">
        <f t="shared" ca="1" si="43"/>
        <v>23747027.68931929</v>
      </c>
      <c r="N42" s="30">
        <f t="shared" ca="1" si="43"/>
        <v>24463289.058360457</v>
      </c>
      <c r="O42" s="30">
        <f t="shared" ca="1" si="43"/>
        <v>25191544.147281941</v>
      </c>
      <c r="P42" s="30">
        <f t="shared" ca="1" si="43"/>
        <v>25419904.857409444</v>
      </c>
      <c r="Q42" s="30">
        <f t="shared" ca="1" si="43"/>
        <v>26077550.314444873</v>
      </c>
      <c r="R42" s="30">
        <f t="shared" ca="1" si="43"/>
        <v>26754137.848567441</v>
      </c>
      <c r="S42" s="30">
        <f t="shared" ca="1" si="43"/>
        <v>27437509.811265115</v>
      </c>
      <c r="T42" s="30">
        <f t="shared" ca="1" si="43"/>
        <v>28166456.456502717</v>
      </c>
      <c r="U42" s="30">
        <f t="shared" ca="1" si="43"/>
        <v>28903396.548169035</v>
      </c>
      <c r="V42" s="30">
        <f t="shared" ca="1" si="43"/>
        <v>29661698.469521888</v>
      </c>
      <c r="W42" s="30">
        <f t="shared" ca="1" si="43"/>
        <v>18847106.232754856</v>
      </c>
    </row>
    <row r="43" spans="1:242" x14ac:dyDescent="0.3">
      <c r="A43" t="s">
        <v>925</v>
      </c>
      <c r="B43" s="35"/>
      <c r="C43" s="33">
        <f>+C42</f>
        <v>7254133.4174957592</v>
      </c>
      <c r="D43" s="33">
        <f ca="1">+C43+D42</f>
        <v>27119548.863332056</v>
      </c>
      <c r="E43" s="33">
        <f t="shared" ref="E43:W43" ca="1" si="44">+D43+E42</f>
        <v>46244756.756750956</v>
      </c>
      <c r="F43" s="33">
        <f t="shared" ca="1" si="44"/>
        <v>65895864.328016333</v>
      </c>
      <c r="G43" s="33">
        <f t="shared" ca="1" si="44"/>
        <v>86129433.025732666</v>
      </c>
      <c r="H43" s="33">
        <f t="shared" ca="1" si="44"/>
        <v>106936948.40217295</v>
      </c>
      <c r="I43" s="33">
        <f t="shared" ca="1" si="44"/>
        <v>128395444.91202663</v>
      </c>
      <c r="J43" s="33">
        <f t="shared" ca="1" si="44"/>
        <v>150190195.01445091</v>
      </c>
      <c r="K43" s="33">
        <f t="shared" ca="1" si="44"/>
        <v>172606289.30359331</v>
      </c>
      <c r="L43" s="33">
        <f t="shared" ca="1" si="44"/>
        <v>195688690.8482267</v>
      </c>
      <c r="M43" s="33">
        <f t="shared" ca="1" si="44"/>
        <v>219435718.53754598</v>
      </c>
      <c r="N43" s="33">
        <f t="shared" ca="1" si="44"/>
        <v>243899007.59590644</v>
      </c>
      <c r="O43" s="33">
        <f t="shared" ca="1" si="44"/>
        <v>269090551.74318838</v>
      </c>
      <c r="P43" s="33">
        <f t="shared" ca="1" si="44"/>
        <v>294510456.6005978</v>
      </c>
      <c r="Q43" s="33">
        <f t="shared" ca="1" si="44"/>
        <v>320588006.9150427</v>
      </c>
      <c r="R43" s="33">
        <f t="shared" ca="1" si="44"/>
        <v>347342144.76361012</v>
      </c>
      <c r="S43" s="33">
        <f t="shared" ca="1" si="44"/>
        <v>374779654.57487524</v>
      </c>
      <c r="T43" s="33">
        <f t="shared" ca="1" si="44"/>
        <v>402946111.03137797</v>
      </c>
      <c r="U43" s="33">
        <f t="shared" ca="1" si="44"/>
        <v>431849507.57954699</v>
      </c>
      <c r="V43" s="33">
        <f t="shared" ca="1" si="44"/>
        <v>461511206.04906887</v>
      </c>
      <c r="W43" s="33">
        <f t="shared" ca="1" si="44"/>
        <v>480358312.28182375</v>
      </c>
    </row>
    <row r="44" spans="1:242" x14ac:dyDescent="0.3">
      <c r="B44" s="35"/>
    </row>
    <row r="45" spans="1:242" x14ac:dyDescent="0.3">
      <c r="B45" s="35"/>
    </row>
    <row r="46" spans="1:242" x14ac:dyDescent="0.3">
      <c r="A46" s="6" t="s">
        <v>926</v>
      </c>
      <c r="B46" s="43" t="s">
        <v>927</v>
      </c>
      <c r="C46" s="43" t="s">
        <v>928</v>
      </c>
      <c r="D46" s="43" t="s">
        <v>945</v>
      </c>
      <c r="E46" s="43"/>
    </row>
    <row r="47" spans="1:242" x14ac:dyDescent="0.3">
      <c r="A47" t="s">
        <v>929</v>
      </c>
      <c r="B47" s="35">
        <f>+NPV(15%,C22:H22)</f>
        <v>72180006.419122919</v>
      </c>
      <c r="C47" s="35">
        <f>+NPV(15%,C22:M22)</f>
        <v>109763479.13492785</v>
      </c>
      <c r="D47" s="35">
        <f>+NPV(15%,C22:R22)</f>
        <v>131425243.54572776</v>
      </c>
      <c r="E47" s="35"/>
    </row>
    <row r="48" spans="1:242" x14ac:dyDescent="0.3">
      <c r="A48" t="s">
        <v>941</v>
      </c>
      <c r="B48" s="35">
        <f ca="1">+NPV(15%,C36:H36)</f>
        <v>7984914.3292822288</v>
      </c>
      <c r="C48" s="35">
        <f ca="1">+NPV(15%,C36:M36)</f>
        <v>13194668.581971565</v>
      </c>
      <c r="D48" s="35">
        <f ca="1">+NPV(15%,C36:R36)</f>
        <v>16533316.212883519</v>
      </c>
      <c r="E48" s="35"/>
    </row>
    <row r="49" spans="1:122" x14ac:dyDescent="0.3">
      <c r="A49" t="s">
        <v>854</v>
      </c>
      <c r="B49" s="35">
        <f ca="1">+B47-B48</f>
        <v>64195092.089840688</v>
      </c>
      <c r="C49" s="35">
        <f ca="1">+C47-C48</f>
        <v>96568810.552956283</v>
      </c>
      <c r="D49" s="35">
        <f ca="1">+D47-D48</f>
        <v>114891927.33284424</v>
      </c>
      <c r="E49" s="35"/>
    </row>
    <row r="50" spans="1:122" hidden="1" x14ac:dyDescent="0.3">
      <c r="A50" t="s">
        <v>932</v>
      </c>
      <c r="B50" s="35">
        <f ca="1">+NPV(15%,C42:H42)</f>
        <v>64195092.089840695</v>
      </c>
      <c r="C50" s="35">
        <f ca="1">+NPV(15%,C42:M42)</f>
        <v>96568810.552956283</v>
      </c>
      <c r="D50" s="35">
        <f ca="1">+NPV(15%,D42:N42)</f>
        <v>109058216.90680839</v>
      </c>
      <c r="E50" s="35"/>
    </row>
    <row r="51" spans="1:122" x14ac:dyDescent="0.3">
      <c r="A51" t="s">
        <v>942</v>
      </c>
      <c r="B51" s="38">
        <f ca="1">+B49/B47</f>
        <v>0.8893749844947817</v>
      </c>
      <c r="C51" s="38">
        <f ca="1">+C49/C47</f>
        <v>0.87978999312009876</v>
      </c>
      <c r="D51" s="38">
        <f ca="1">+D49/D47</f>
        <v>0.87419984344840906</v>
      </c>
      <c r="E51" s="38"/>
    </row>
    <row r="52" spans="1:122" x14ac:dyDescent="0.3">
      <c r="B52" s="38"/>
      <c r="C52" s="38"/>
      <c r="D52" s="38"/>
      <c r="E52" s="38"/>
    </row>
    <row r="53" spans="1:122" x14ac:dyDescent="0.3">
      <c r="A53" s="6"/>
    </row>
    <row r="54" spans="1:122" x14ac:dyDescent="0.3">
      <c r="A54" s="6" t="s">
        <v>935</v>
      </c>
      <c r="B54" s="6" t="s">
        <v>788</v>
      </c>
      <c r="C54" s="6" t="s">
        <v>936</v>
      </c>
      <c r="D54" s="6" t="s">
        <v>798</v>
      </c>
    </row>
    <row r="55" spans="1:122" x14ac:dyDescent="0.3">
      <c r="A55" t="s">
        <v>929</v>
      </c>
      <c r="B55" s="31">
        <f>+SUM(C22:H22)</f>
        <v>120942938.79683499</v>
      </c>
      <c r="C55" s="31">
        <f>+SUM(C22:M22)</f>
        <v>251679263.83125755</v>
      </c>
      <c r="D55" s="31">
        <f>+SUM(C22:R22)</f>
        <v>403238496.01292175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</row>
    <row r="56" spans="1:122" x14ac:dyDescent="0.3">
      <c r="A56" t="s">
        <v>937</v>
      </c>
      <c r="B56" s="31">
        <f ca="1">+SUM(C36:H36)</f>
        <v>14005990.394662047</v>
      </c>
      <c r="C56" s="31">
        <f ca="1">+SUM(C36:M36)</f>
        <v>32243545.293711543</v>
      </c>
      <c r="D56" s="31">
        <f ca="1">+SUM(C36:R36)</f>
        <v>55896351.249311492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</row>
    <row r="57" spans="1:122" x14ac:dyDescent="0.3">
      <c r="A57" t="s">
        <v>854</v>
      </c>
      <c r="B57" s="31">
        <f ca="1">+B55-B56</f>
        <v>106936948.40217294</v>
      </c>
      <c r="C57" s="31">
        <f ca="1">+C55-C56</f>
        <v>219435718.53754601</v>
      </c>
      <c r="D57" s="31">
        <f ca="1">+D55-D56</f>
        <v>347342144.76361024</v>
      </c>
      <c r="E57" s="30"/>
      <c r="F57" s="30"/>
      <c r="G57" s="30"/>
      <c r="H57" s="30"/>
      <c r="I57" s="6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</row>
    <row r="58" spans="1:122" x14ac:dyDescent="0.3">
      <c r="A58" t="s">
        <v>938</v>
      </c>
      <c r="B58" s="38">
        <f ca="1">+B57/B55</f>
        <v>0.88419340116920841</v>
      </c>
      <c r="C58" s="38">
        <f ca="1">+C57/C55</f>
        <v>0.87188636519800955</v>
      </c>
      <c r="D58" s="38">
        <f ca="1">+D57/D55</f>
        <v>0.86138141124422729</v>
      </c>
      <c r="E58" s="30"/>
      <c r="F58" s="30"/>
      <c r="G58" s="30"/>
      <c r="H58" s="30"/>
      <c r="I58" s="6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</row>
    <row r="59" spans="1:122" x14ac:dyDescent="0.3"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</row>
    <row r="60" spans="1:122" x14ac:dyDescent="0.3"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</row>
    <row r="61" spans="1:122" x14ac:dyDescent="0.3"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</row>
    <row r="62" spans="1:122" x14ac:dyDescent="0.3">
      <c r="C62" s="30"/>
      <c r="D62" s="30"/>
      <c r="E62" s="30"/>
      <c r="F62" s="30"/>
      <c r="G62" s="30"/>
      <c r="H62" s="30"/>
      <c r="I62" s="6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</row>
    <row r="63" spans="1:122" x14ac:dyDescent="0.3"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</row>
    <row r="65" spans="1:122" x14ac:dyDescent="0.3">
      <c r="A65" s="6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</row>
    <row r="66" spans="1:122" x14ac:dyDescent="0.3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</row>
    <row r="67" spans="1:122" x14ac:dyDescent="0.3"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</row>
    <row r="68" spans="1:122" x14ac:dyDescent="0.3">
      <c r="A68" s="6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</row>
    <row r="70" spans="1:122" x14ac:dyDescent="0.3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</row>
    <row r="71" spans="1:122" x14ac:dyDescent="0.3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</row>
    <row r="74" spans="1:122" x14ac:dyDescent="0.3">
      <c r="C74" s="30"/>
      <c r="D74" s="30"/>
      <c r="E74" s="30"/>
      <c r="F74" s="30"/>
      <c r="G74" s="30"/>
      <c r="H74" s="30"/>
      <c r="I74" s="69"/>
      <c r="J74" s="30"/>
      <c r="K74" s="30"/>
      <c r="L74" s="30"/>
      <c r="M74" s="30"/>
    </row>
    <row r="75" spans="1:122" x14ac:dyDescent="0.3">
      <c r="B75" s="35"/>
      <c r="C75" s="30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8" spans="1:122" x14ac:dyDescent="0.3">
      <c r="A78" s="6"/>
      <c r="B78" s="43"/>
      <c r="C78" s="43"/>
    </row>
    <row r="79" spans="1:122" x14ac:dyDescent="0.3">
      <c r="B79" s="35"/>
      <c r="C79" s="35"/>
    </row>
    <row r="80" spans="1:122" x14ac:dyDescent="0.3">
      <c r="B80" s="35"/>
      <c r="C80" s="35"/>
    </row>
    <row r="81" spans="2:3" x14ac:dyDescent="0.3">
      <c r="B81" s="35"/>
      <c r="C81" s="35"/>
    </row>
    <row r="82" spans="2:3" x14ac:dyDescent="0.3">
      <c r="B82" s="35"/>
      <c r="C82" s="35"/>
    </row>
    <row r="83" spans="2:3" x14ac:dyDescent="0.3">
      <c r="B83" s="38"/>
      <c r="C83" s="38"/>
    </row>
    <row r="84" spans="2:3" x14ac:dyDescent="0.3">
      <c r="B84" s="35"/>
    </row>
    <row r="86" spans="2:3" x14ac:dyDescent="0.3">
      <c r="B86" s="38"/>
      <c r="C86" s="38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C77A-3DB3-4260-9C86-69E71539C9C9}">
  <dimension ref="A1:XFD1048576"/>
  <sheetViews>
    <sheetView zoomScale="80" zoomScaleNormal="80" workbookViewId="0">
      <selection activeCell="F39" sqref="F39"/>
    </sheetView>
  </sheetViews>
  <sheetFormatPr baseColWidth="10" defaultColWidth="11.44140625" defaultRowHeight="14.4" x14ac:dyDescent="0.3"/>
  <cols>
    <col min="1" max="1" width="22.44140625" bestFit="1" customWidth="1"/>
    <col min="2" max="2" width="17.44140625" bestFit="1" customWidth="1"/>
    <col min="3" max="3" width="16.44140625" bestFit="1" customWidth="1"/>
    <col min="4" max="4" width="15.44140625" bestFit="1" customWidth="1"/>
    <col min="5" max="14" width="13.5546875" bestFit="1" customWidth="1"/>
    <col min="15" max="15" width="24.44140625" bestFit="1" customWidth="1"/>
    <col min="16" max="16" width="13.5546875" bestFit="1" customWidth="1"/>
    <col min="17" max="23" width="15.44140625" bestFit="1" customWidth="1"/>
    <col min="24" max="26" width="11.5546875" bestFit="1" customWidth="1"/>
    <col min="27" max="68" width="12.5546875" bestFit="1" customWidth="1"/>
    <col min="69" max="169" width="13.5546875" bestFit="1" customWidth="1"/>
    <col min="170" max="247" width="15.44140625" bestFit="1" customWidth="1"/>
    <col min="16384" max="16384" width="11.44140625" bestFit="1" customWidth="1"/>
  </cols>
  <sheetData>
    <row r="1" spans="1:249" x14ac:dyDescent="0.3">
      <c r="A1" s="6" t="s">
        <v>906</v>
      </c>
      <c r="B1" s="9"/>
    </row>
    <row r="2" spans="1:249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M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  <c r="II2">
        <f t="shared" si="3"/>
        <v>2044</v>
      </c>
      <c r="IJ2">
        <f t="shared" si="3"/>
        <v>2044</v>
      </c>
      <c r="IK2">
        <f t="shared" si="3"/>
        <v>2044</v>
      </c>
      <c r="IL2">
        <f t="shared" si="3"/>
        <v>2044</v>
      </c>
      <c r="IM2">
        <f t="shared" si="3"/>
        <v>2044</v>
      </c>
    </row>
    <row r="3" spans="1:249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  <c r="II3" s="14">
        <v>52810</v>
      </c>
      <c r="IJ3" s="14">
        <v>52841</v>
      </c>
      <c r="IK3" s="14">
        <v>52871</v>
      </c>
      <c r="IL3" s="14">
        <v>52902</v>
      </c>
      <c r="IM3" s="14">
        <v>52932</v>
      </c>
      <c r="IN3" s="14"/>
      <c r="IO3" s="14"/>
    </row>
    <row r="4" spans="1:249" x14ac:dyDescent="0.3">
      <c r="A4" t="s">
        <v>946</v>
      </c>
      <c r="B4">
        <v>0</v>
      </c>
      <c r="C4" s="10"/>
      <c r="D4" s="10"/>
      <c r="E4" s="10"/>
      <c r="F4" s="10"/>
      <c r="G4" s="10"/>
      <c r="H4" s="10"/>
      <c r="I4" s="10"/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  <c r="II4" s="10">
        <f>+Producción!IK8</f>
        <v>1887.0819824999992</v>
      </c>
      <c r="IJ4" s="10">
        <f>+Producción!IL8</f>
        <v>1829.1143734285722</v>
      </c>
      <c r="IK4" s="10">
        <f>+Producción!IM8</f>
        <v>1599.5866731428541</v>
      </c>
      <c r="IL4" s="10">
        <f>+Producción!IN8</f>
        <v>1583.3300685714269</v>
      </c>
      <c r="IM4" s="10">
        <f>+Producción!IO8</f>
        <v>1623.4672409999998</v>
      </c>
      <c r="IN4" s="10"/>
      <c r="IO4" s="10"/>
    </row>
    <row r="5" spans="1:249" x14ac:dyDescent="0.3">
      <c r="A5" t="s">
        <v>907</v>
      </c>
      <c r="B5">
        <v>0</v>
      </c>
      <c r="C5" s="10"/>
      <c r="D5" s="10"/>
      <c r="E5" s="10"/>
      <c r="F5" s="10"/>
      <c r="G5" s="10"/>
      <c r="H5" s="10"/>
      <c r="I5" s="10">
        <f ca="1">+Tarifas!AA10</f>
        <v>117.76437779643383</v>
      </c>
      <c r="J5" s="10">
        <f ca="1">+Tarifas!AB10</f>
        <v>117.76437779643383</v>
      </c>
      <c r="K5" s="10">
        <f ca="1">+Tarifas!AC10</f>
        <v>117.76437779643383</v>
      </c>
      <c r="L5" s="10">
        <f ca="1">+Tarifas!AD10</f>
        <v>117.76437779643383</v>
      </c>
      <c r="M5" s="10">
        <f ca="1">+Tarifas!AE10</f>
        <v>117.76437779643383</v>
      </c>
      <c r="N5" s="10">
        <f ca="1">+Tarifas!AF10</f>
        <v>117.76437779643383</v>
      </c>
      <c r="O5" s="10">
        <f ca="1">+Tarifas!AG10</f>
        <v>117.76437779643383</v>
      </c>
      <c r="P5" s="10">
        <f ca="1">+Tarifas!AH10</f>
        <v>117.76437779643383</v>
      </c>
      <c r="Q5" s="10">
        <f ca="1">+Tarifas!AI10</f>
        <v>117.76437779643383</v>
      </c>
      <c r="R5" s="10">
        <f ca="1">+Tarifas!AJ10</f>
        <v>117.76437779643383</v>
      </c>
      <c r="S5" s="10">
        <f ca="1">+Tarifas!AK10</f>
        <v>117.76437779643383</v>
      </c>
      <c r="T5" s="10">
        <f ca="1">+Tarifas!AL10</f>
        <v>121.29730913032685</v>
      </c>
      <c r="U5" s="10">
        <f ca="1">+Tarifas!AM10</f>
        <v>121.29730913032685</v>
      </c>
      <c r="V5" s="10">
        <f ca="1">+Tarifas!AN10</f>
        <v>121.29730913032685</v>
      </c>
      <c r="W5" s="10">
        <f ca="1">+Tarifas!AO10</f>
        <v>121.29730913032685</v>
      </c>
      <c r="X5" s="10">
        <f ca="1">+Tarifas!AP10</f>
        <v>121.29730913032685</v>
      </c>
      <c r="Y5" s="10">
        <f ca="1">+Tarifas!AQ10</f>
        <v>121.29730913032685</v>
      </c>
      <c r="Z5" s="10">
        <f ca="1">+Tarifas!AR10</f>
        <v>121.29730913032685</v>
      </c>
      <c r="AA5" s="10">
        <f ca="1">+Tarifas!AS10</f>
        <v>121.29730913032685</v>
      </c>
      <c r="AB5" s="10">
        <f ca="1">+Tarifas!AT10</f>
        <v>121.29730913032685</v>
      </c>
      <c r="AC5" s="10">
        <f ca="1">+Tarifas!AU10</f>
        <v>121.29730913032685</v>
      </c>
      <c r="AD5" s="10">
        <f ca="1">+Tarifas!AV10</f>
        <v>121.29730913032685</v>
      </c>
      <c r="AE5" s="10">
        <f ca="1">+Tarifas!AW10</f>
        <v>121.29730913032685</v>
      </c>
      <c r="AF5" s="10">
        <f ca="1">+Tarifas!AX10</f>
        <v>124.93622840423666</v>
      </c>
      <c r="AG5" s="10">
        <f ca="1">+Tarifas!AY10</f>
        <v>124.93622840423666</v>
      </c>
      <c r="AH5" s="10">
        <f ca="1">+Tarifas!AZ10</f>
        <v>124.93622840423666</v>
      </c>
      <c r="AI5" s="10">
        <f ca="1">+Tarifas!BA10</f>
        <v>124.93622840423666</v>
      </c>
      <c r="AJ5" s="10">
        <f ca="1">+Tarifas!BB10</f>
        <v>124.93622840423666</v>
      </c>
      <c r="AK5" s="10">
        <f ca="1">+Tarifas!BC10</f>
        <v>124.93622840423666</v>
      </c>
      <c r="AL5" s="10">
        <f ca="1">+Tarifas!BD10</f>
        <v>124.93622840423666</v>
      </c>
      <c r="AM5" s="10">
        <f ca="1">+Tarifas!BE10</f>
        <v>124.93622840423666</v>
      </c>
      <c r="AN5" s="10">
        <f ca="1">+Tarifas!BF10</f>
        <v>124.93622840423666</v>
      </c>
      <c r="AO5" s="10">
        <f ca="1">+Tarifas!BG10</f>
        <v>124.93622840423666</v>
      </c>
      <c r="AP5" s="10">
        <f ca="1">+Tarifas!BH10</f>
        <v>124.93622840423666</v>
      </c>
      <c r="AQ5" s="10">
        <f ca="1">+Tarifas!BI10</f>
        <v>124.93622840423666</v>
      </c>
      <c r="AR5" s="10">
        <f ca="1">+Tarifas!BJ10</f>
        <v>128.68431525636376</v>
      </c>
      <c r="AS5" s="10">
        <f ca="1">+Tarifas!BK10</f>
        <v>128.68431525636376</v>
      </c>
      <c r="AT5" s="10">
        <f ca="1">+Tarifas!BL10</f>
        <v>128.68431525636376</v>
      </c>
      <c r="AU5" s="10">
        <f ca="1">+Tarifas!BM10</f>
        <v>128.68431525636376</v>
      </c>
      <c r="AV5" s="10">
        <f ca="1">+Tarifas!BN10</f>
        <v>128.68431525636376</v>
      </c>
      <c r="AW5" s="10">
        <f ca="1">+Tarifas!BO10</f>
        <v>128.68431525636376</v>
      </c>
      <c r="AX5" s="10">
        <f ca="1">+Tarifas!BP10</f>
        <v>128.68431525636376</v>
      </c>
      <c r="AY5" s="10">
        <f ca="1">+Tarifas!BQ10</f>
        <v>128.68431525636376</v>
      </c>
      <c r="AZ5" s="10">
        <f ca="1">+Tarifas!BR10</f>
        <v>128.68431525636376</v>
      </c>
      <c r="BA5" s="10">
        <f ca="1">+Tarifas!BS10</f>
        <v>128.68431525636376</v>
      </c>
      <c r="BB5" s="10">
        <f ca="1">+Tarifas!BT10</f>
        <v>128.68431525636376</v>
      </c>
      <c r="BC5" s="10">
        <f ca="1">+Tarifas!BU10</f>
        <v>128.68431525636376</v>
      </c>
      <c r="BD5" s="10">
        <f ca="1">+Tarifas!BV10</f>
        <v>132.54484471405468</v>
      </c>
      <c r="BE5" s="10">
        <f ca="1">+Tarifas!BW10</f>
        <v>132.54484471405468</v>
      </c>
      <c r="BF5" s="10">
        <f ca="1">+Tarifas!BX10</f>
        <v>132.54484471405468</v>
      </c>
      <c r="BG5" s="10">
        <f ca="1">+Tarifas!BY10</f>
        <v>132.54484471405468</v>
      </c>
      <c r="BH5" s="10">
        <f ca="1">+Tarifas!BZ10</f>
        <v>132.54484471405468</v>
      </c>
      <c r="BI5" s="10">
        <f ca="1">+Tarifas!CA10</f>
        <v>132.54484471405468</v>
      </c>
      <c r="BJ5" s="10">
        <f ca="1">+Tarifas!CB10</f>
        <v>132.54484471405468</v>
      </c>
      <c r="BK5" s="10">
        <f ca="1">+Tarifas!CC10</f>
        <v>132.54484471405468</v>
      </c>
      <c r="BL5" s="10">
        <f ca="1">+Tarifas!CD10</f>
        <v>132.54484471405468</v>
      </c>
      <c r="BM5" s="10">
        <f ca="1">+Tarifas!CE10</f>
        <v>132.54484471405468</v>
      </c>
      <c r="BN5" s="10">
        <f ca="1">+Tarifas!CF10</f>
        <v>132.54484471405468</v>
      </c>
      <c r="BO5" s="10">
        <f ca="1">+Tarifas!CG10</f>
        <v>132.54484471405468</v>
      </c>
      <c r="BP5" s="10">
        <f ca="1">+Tarifas!CH10</f>
        <v>136.52119005547632</v>
      </c>
      <c r="BQ5" s="10">
        <f ca="1">+Tarifas!CI10</f>
        <v>136.52119005547632</v>
      </c>
      <c r="BR5" s="10">
        <f ca="1">+Tarifas!CJ10</f>
        <v>136.52119005547632</v>
      </c>
      <c r="BS5" s="10">
        <f ca="1">+Tarifas!CK10</f>
        <v>136.52119005547632</v>
      </c>
      <c r="BT5" s="10">
        <f ca="1">+Tarifas!CL10</f>
        <v>136.52119005547632</v>
      </c>
      <c r="BU5" s="10">
        <f ca="1">+Tarifas!CM10</f>
        <v>136.52119005547632</v>
      </c>
      <c r="BV5" s="10">
        <f ca="1">+Tarifas!CN10</f>
        <v>136.52119005547632</v>
      </c>
      <c r="BW5" s="10">
        <f ca="1">+Tarifas!CO10</f>
        <v>136.52119005547632</v>
      </c>
      <c r="BX5" s="10">
        <f ca="1">+Tarifas!CP10</f>
        <v>136.52119005547632</v>
      </c>
      <c r="BY5" s="10">
        <f ca="1">+Tarifas!CQ10</f>
        <v>136.52119005547632</v>
      </c>
      <c r="BZ5" s="10">
        <f ca="1">+Tarifas!CR10</f>
        <v>136.52119005547632</v>
      </c>
      <c r="CA5" s="10">
        <f ca="1">+Tarifas!CS10</f>
        <v>136.52119005547632</v>
      </c>
      <c r="CB5" s="10">
        <f ca="1">+Tarifas!CT10</f>
        <v>140.61682575714062</v>
      </c>
      <c r="CC5" s="10">
        <f ca="1">+Tarifas!CU10</f>
        <v>140.61682575714062</v>
      </c>
      <c r="CD5" s="10">
        <f ca="1">+Tarifas!CV10</f>
        <v>140.61682575714062</v>
      </c>
      <c r="CE5" s="10">
        <f ca="1">+Tarifas!CW10</f>
        <v>140.61682575714062</v>
      </c>
      <c r="CF5" s="10">
        <f ca="1">+Tarifas!CX10</f>
        <v>140.61682575714062</v>
      </c>
      <c r="CG5" s="10">
        <f ca="1">+Tarifas!CY10</f>
        <v>140.61682575714062</v>
      </c>
      <c r="CH5" s="10">
        <f ca="1">+Tarifas!CZ10</f>
        <v>140.61682575714062</v>
      </c>
      <c r="CI5" s="10">
        <f ca="1">+Tarifas!DA10</f>
        <v>140.61682575714062</v>
      </c>
      <c r="CJ5" s="10">
        <f ca="1">+Tarifas!DB10</f>
        <v>140.61682575714062</v>
      </c>
      <c r="CK5" s="10">
        <f ca="1">+Tarifas!DC10</f>
        <v>140.61682575714062</v>
      </c>
      <c r="CL5" s="10">
        <f ca="1">+Tarifas!DD10</f>
        <v>140.61682575714062</v>
      </c>
      <c r="CM5" s="10">
        <f ca="1">+Tarifas!DE10</f>
        <v>140.61682575714062</v>
      </c>
      <c r="CN5" s="10">
        <f ca="1">+Tarifas!DF10</f>
        <v>144.83533052985484</v>
      </c>
      <c r="CO5" s="10">
        <f ca="1">+Tarifas!DG10</f>
        <v>144.83533052985484</v>
      </c>
      <c r="CP5" s="10">
        <f ca="1">+Tarifas!DH10</f>
        <v>144.83533052985484</v>
      </c>
      <c r="CQ5" s="10">
        <f ca="1">+Tarifas!DI10</f>
        <v>144.83533052985484</v>
      </c>
      <c r="CR5" s="10">
        <f ca="1">+Tarifas!DJ10</f>
        <v>144.83533052985484</v>
      </c>
      <c r="CS5" s="10">
        <f ca="1">+Tarifas!DK10</f>
        <v>144.83533052985484</v>
      </c>
      <c r="CT5" s="10">
        <f ca="1">+Tarifas!DL10</f>
        <v>144.83533052985484</v>
      </c>
      <c r="CU5" s="10">
        <f ca="1">+Tarifas!DM10</f>
        <v>144.83533052985484</v>
      </c>
      <c r="CV5" s="10">
        <f ca="1">+Tarifas!DN10</f>
        <v>144.83533052985484</v>
      </c>
      <c r="CW5" s="10">
        <f ca="1">+Tarifas!DO10</f>
        <v>144.83533052985484</v>
      </c>
      <c r="CX5" s="10">
        <f ca="1">+Tarifas!DP10</f>
        <v>144.83533052985484</v>
      </c>
      <c r="CY5" s="10">
        <f ca="1">+Tarifas!DQ10</f>
        <v>144.83533052985484</v>
      </c>
      <c r="CZ5" s="10">
        <f ca="1">+Tarifas!DR10</f>
        <v>149.1803904457505</v>
      </c>
      <c r="DA5" s="10">
        <f ca="1">+Tarifas!DS10</f>
        <v>149.1803904457505</v>
      </c>
      <c r="DB5" s="10">
        <f ca="1">+Tarifas!DT10</f>
        <v>149.1803904457505</v>
      </c>
      <c r="DC5" s="10">
        <f ca="1">+Tarifas!DU10</f>
        <v>149.1803904457505</v>
      </c>
      <c r="DD5" s="10">
        <f ca="1">+Tarifas!DV10</f>
        <v>149.1803904457505</v>
      </c>
      <c r="DE5" s="10">
        <f ca="1">+Tarifas!DW10</f>
        <v>149.1803904457505</v>
      </c>
      <c r="DF5" s="10">
        <f ca="1">+Tarifas!DX10</f>
        <v>149.1803904457505</v>
      </c>
      <c r="DG5" s="10">
        <f ca="1">+Tarifas!DY10</f>
        <v>149.1803904457505</v>
      </c>
      <c r="DH5" s="10">
        <f ca="1">+Tarifas!DZ10</f>
        <v>149.1803904457505</v>
      </c>
      <c r="DI5" s="10">
        <f ca="1">+Tarifas!EA10</f>
        <v>149.1803904457505</v>
      </c>
      <c r="DJ5" s="10">
        <f ca="1">+Tarifas!EB10</f>
        <v>149.1803904457505</v>
      </c>
      <c r="DK5" s="10">
        <f ca="1">+Tarifas!EC10</f>
        <v>149.1803904457505</v>
      </c>
      <c r="DL5" s="10">
        <f ca="1">+Tarifas!ED10</f>
        <v>153.65580215912303</v>
      </c>
      <c r="DM5" s="10">
        <f ca="1">+Tarifas!EE10</f>
        <v>153.65580215912303</v>
      </c>
      <c r="DN5" s="10">
        <f ca="1">+Tarifas!EF10</f>
        <v>153.65580215912303</v>
      </c>
      <c r="DO5" s="10">
        <f ca="1">+Tarifas!EG10</f>
        <v>153.65580215912303</v>
      </c>
      <c r="DP5" s="10">
        <f ca="1">+Tarifas!EH10</f>
        <v>153.65580215912303</v>
      </c>
      <c r="DQ5" s="10">
        <f ca="1">+Tarifas!EI10</f>
        <v>153.65580215912303</v>
      </c>
      <c r="DR5" s="10">
        <f ca="1">+Tarifas!EJ10</f>
        <v>153.65580215912303</v>
      </c>
      <c r="DS5" s="10">
        <f ca="1">+Tarifas!EK10</f>
        <v>153.65580215912303</v>
      </c>
      <c r="DT5" s="10">
        <f ca="1">+Tarifas!EL10</f>
        <v>153.65580215912303</v>
      </c>
      <c r="DU5" s="10">
        <f ca="1">+Tarifas!EM10</f>
        <v>153.65580215912303</v>
      </c>
      <c r="DV5" s="10">
        <f ca="1">+Tarifas!EN10</f>
        <v>153.65580215912303</v>
      </c>
      <c r="DW5" s="10">
        <f ca="1">+Tarifas!EO10</f>
        <v>153.65580215912303</v>
      </c>
      <c r="DX5" s="10">
        <f ca="1">+Tarifas!EP10</f>
        <v>158.26547622389671</v>
      </c>
      <c r="DY5" s="10">
        <f ca="1">+Tarifas!EQ10</f>
        <v>158.26547622389671</v>
      </c>
      <c r="DZ5" s="10">
        <f ca="1">+Tarifas!ER10</f>
        <v>158.26547622389671</v>
      </c>
      <c r="EA5" s="10">
        <f ca="1">+Tarifas!ES10</f>
        <v>158.26547622389671</v>
      </c>
      <c r="EB5" s="10">
        <f ca="1">+Tarifas!ET10</f>
        <v>158.26547622389671</v>
      </c>
      <c r="EC5" s="10">
        <f ca="1">+Tarifas!EU10</f>
        <v>158.26547622389671</v>
      </c>
      <c r="ED5" s="10">
        <f ca="1">+Tarifas!EV10</f>
        <v>158.26547622389671</v>
      </c>
      <c r="EE5" s="10">
        <f ca="1">+Tarifas!EW10</f>
        <v>158.26547622389671</v>
      </c>
      <c r="EF5" s="10">
        <f ca="1">+Tarifas!EX10</f>
        <v>158.26547622389671</v>
      </c>
      <c r="EG5" s="10">
        <f ca="1">+Tarifas!EY10</f>
        <v>158.26547622389671</v>
      </c>
      <c r="EH5" s="10">
        <f ca="1">+Tarifas!EZ10</f>
        <v>158.26547622389671</v>
      </c>
      <c r="EI5" s="10">
        <f ca="1">+Tarifas!FA10</f>
        <v>158.26547622389671</v>
      </c>
      <c r="EJ5" s="10">
        <f ca="1">+Tarifas!FB10</f>
        <v>163.01344051061361</v>
      </c>
      <c r="EK5" s="10">
        <f ca="1">+Tarifas!FC10</f>
        <v>163.01344051061361</v>
      </c>
      <c r="EL5" s="10">
        <f ca="1">+Tarifas!FD10</f>
        <v>163.01344051061361</v>
      </c>
      <c r="EM5" s="10">
        <f ca="1">+Tarifas!FE10</f>
        <v>163.01344051061361</v>
      </c>
      <c r="EN5" s="10">
        <f ca="1">+Tarifas!FF10</f>
        <v>163.01344051061361</v>
      </c>
      <c r="EO5" s="10">
        <f ca="1">+Tarifas!FG10</f>
        <v>163.01344051061361</v>
      </c>
      <c r="EP5" s="10">
        <f ca="1">+Tarifas!FH10</f>
        <v>163.01344051061361</v>
      </c>
      <c r="EQ5" s="10">
        <f ca="1">+Tarifas!FI10</f>
        <v>163.01344051061361</v>
      </c>
      <c r="ER5" s="10">
        <f ca="1">+Tarifas!FJ10</f>
        <v>163.01344051061361</v>
      </c>
      <c r="ES5" s="10">
        <f ca="1">+Tarifas!FK10</f>
        <v>163.01344051061361</v>
      </c>
      <c r="ET5" s="10">
        <f ca="1">+Tarifas!FL10</f>
        <v>163.01344051061361</v>
      </c>
      <c r="EU5" s="10">
        <f ca="1">+Tarifas!FM10</f>
        <v>163.01344051061361</v>
      </c>
      <c r="EV5" s="10">
        <f ca="1">+Tarifas!FN10</f>
        <v>167.90384372593201</v>
      </c>
      <c r="EW5" s="10">
        <f ca="1">+Tarifas!FO10</f>
        <v>167.90384372593201</v>
      </c>
      <c r="EX5" s="10">
        <f ca="1">+Tarifas!FP10</f>
        <v>167.90384372593201</v>
      </c>
      <c r="EY5" s="10">
        <f ca="1">+Tarifas!FQ10</f>
        <v>167.90384372593201</v>
      </c>
      <c r="EZ5" s="10">
        <f ca="1">+Tarifas!FR10</f>
        <v>167.90384372593201</v>
      </c>
      <c r="FA5" s="10">
        <f ca="1">+Tarifas!FS10</f>
        <v>167.90384372593201</v>
      </c>
      <c r="FB5" s="10">
        <f ca="1">+Tarifas!FT10</f>
        <v>167.90384372593201</v>
      </c>
      <c r="FC5" s="10">
        <f ca="1">+Tarifas!FU10</f>
        <v>167.90384372593201</v>
      </c>
      <c r="FD5" s="10">
        <f ca="1">+Tarifas!FV10</f>
        <v>167.90384372593201</v>
      </c>
      <c r="FE5" s="10">
        <f ca="1">+Tarifas!FW10</f>
        <v>167.90384372593201</v>
      </c>
      <c r="FF5" s="10">
        <f ca="1">+Tarifas!FX10</f>
        <v>167.90384372593201</v>
      </c>
      <c r="FG5" s="10">
        <f ca="1">+Tarifas!FY10</f>
        <v>167.90384372593201</v>
      </c>
      <c r="FH5" s="10">
        <f ca="1">+Tarifas!FZ10</f>
        <v>172.94095903770997</v>
      </c>
      <c r="FI5" s="10">
        <f ca="1">+Tarifas!GA10</f>
        <v>172.94095903770997</v>
      </c>
      <c r="FJ5" s="10">
        <f ca="1">+Tarifas!GB10</f>
        <v>172.94095903770997</v>
      </c>
      <c r="FK5" s="10">
        <f ca="1">+Tarifas!GC10</f>
        <v>172.94095903770997</v>
      </c>
      <c r="FL5" s="10">
        <f ca="1">+Tarifas!GD10</f>
        <v>172.94095903770997</v>
      </c>
      <c r="FM5" s="10">
        <f ca="1">+Tarifas!GE10</f>
        <v>172.94095903770997</v>
      </c>
      <c r="FN5" s="10">
        <f ca="1">+Tarifas!GF10</f>
        <v>172.94095903770997</v>
      </c>
      <c r="FO5" s="10">
        <f ca="1">+Tarifas!GG10</f>
        <v>172.94095903770997</v>
      </c>
      <c r="FP5" s="10">
        <f ca="1">+Tarifas!GH10</f>
        <v>172.94095903770997</v>
      </c>
      <c r="FQ5" s="10">
        <f ca="1">+Tarifas!GI10</f>
        <v>172.94095903770997</v>
      </c>
      <c r="FR5" s="10">
        <f ca="1">+Tarifas!GJ10</f>
        <v>172.94095903770997</v>
      </c>
      <c r="FS5" s="10">
        <f ca="1">+Tarifas!GK10</f>
        <v>172.94095903770997</v>
      </c>
      <c r="FT5" s="10">
        <f ca="1">+Tarifas!GL10</f>
        <v>178.12918780884127</v>
      </c>
      <c r="FU5" s="10">
        <f ca="1">+Tarifas!GM10</f>
        <v>178.12918780884127</v>
      </c>
      <c r="FV5" s="10">
        <f ca="1">+Tarifas!GN10</f>
        <v>178.12918780884127</v>
      </c>
      <c r="FW5" s="10">
        <f ca="1">+Tarifas!GO10</f>
        <v>178.12918780884127</v>
      </c>
      <c r="FX5" s="10">
        <f ca="1">+Tarifas!GP10</f>
        <v>178.12918780884127</v>
      </c>
      <c r="FY5" s="10">
        <f ca="1">+Tarifas!GQ10</f>
        <v>178.12918780884127</v>
      </c>
      <c r="FZ5" s="10">
        <f ca="1">+Tarifas!GR10</f>
        <v>178.12918780884127</v>
      </c>
      <c r="GA5" s="10">
        <f ca="1">+Tarifas!GS10</f>
        <v>178.12918780884127</v>
      </c>
      <c r="GB5" s="10">
        <f ca="1">+Tarifas!GT10</f>
        <v>178.12918780884127</v>
      </c>
      <c r="GC5" s="10">
        <f ca="1">+Tarifas!GU10</f>
        <v>178.12918780884127</v>
      </c>
      <c r="GD5" s="10">
        <f ca="1">+Tarifas!GV10</f>
        <v>178.12918780884127</v>
      </c>
      <c r="GE5" s="10">
        <f ca="1">+Tarifas!GW10</f>
        <v>178.12918780884127</v>
      </c>
      <c r="GF5" s="10">
        <f ca="1">+Tarifas!GX10</f>
        <v>183.4730634431065</v>
      </c>
      <c r="GG5" s="10">
        <f ca="1">+Tarifas!GY10</f>
        <v>183.4730634431065</v>
      </c>
      <c r="GH5" s="10">
        <f ca="1">+Tarifas!GZ10</f>
        <v>183.4730634431065</v>
      </c>
      <c r="GI5" s="10">
        <f ca="1">+Tarifas!HA10</f>
        <v>183.4730634431065</v>
      </c>
      <c r="GJ5" s="10">
        <f ca="1">+Tarifas!HB10</f>
        <v>183.4730634431065</v>
      </c>
      <c r="GK5" s="10">
        <f ca="1">+Tarifas!HC10</f>
        <v>183.4730634431065</v>
      </c>
      <c r="GL5" s="10">
        <f ca="1">+Tarifas!HD10</f>
        <v>183.4730634431065</v>
      </c>
      <c r="GM5" s="10">
        <f ca="1">+Tarifas!HE10</f>
        <v>183.4730634431065</v>
      </c>
      <c r="GN5" s="10">
        <f ca="1">+Tarifas!HF10</f>
        <v>183.4730634431065</v>
      </c>
      <c r="GO5" s="10">
        <f ca="1">+Tarifas!HG10</f>
        <v>183.4730634431065</v>
      </c>
      <c r="GP5" s="10">
        <f ca="1">+Tarifas!HH10</f>
        <v>183.4730634431065</v>
      </c>
      <c r="GQ5" s="10">
        <f ca="1">+Tarifas!HI10</f>
        <v>183.4730634431065</v>
      </c>
      <c r="GR5" s="10">
        <f ca="1">+Tarifas!HJ10</f>
        <v>188.97725534639969</v>
      </c>
      <c r="GS5" s="10">
        <f ca="1">+Tarifas!HK10</f>
        <v>188.97725534639969</v>
      </c>
      <c r="GT5" s="10">
        <f ca="1">+Tarifas!HL10</f>
        <v>188.97725534639969</v>
      </c>
      <c r="GU5" s="10">
        <f ca="1">+Tarifas!HM10</f>
        <v>188.97725534639969</v>
      </c>
      <c r="GV5" s="10">
        <f ca="1">+Tarifas!HN10</f>
        <v>188.97725534639969</v>
      </c>
      <c r="GW5" s="10">
        <f ca="1">+Tarifas!HO10</f>
        <v>188.97725534639969</v>
      </c>
      <c r="GX5" s="10">
        <f ca="1">+Tarifas!HP10</f>
        <v>188.97725534639969</v>
      </c>
      <c r="GY5" s="10">
        <f ca="1">+Tarifas!HQ10</f>
        <v>188.97725534639969</v>
      </c>
      <c r="GZ5" s="10">
        <f ca="1">+Tarifas!HR10</f>
        <v>188.97725534639969</v>
      </c>
      <c r="HA5" s="10">
        <f ca="1">+Tarifas!HS10</f>
        <v>188.97725534639969</v>
      </c>
      <c r="HB5" s="10">
        <f ca="1">+Tarifas!HT10</f>
        <v>188.97725534639969</v>
      </c>
      <c r="HC5" s="10">
        <f ca="1">+Tarifas!HU10</f>
        <v>188.97725534639969</v>
      </c>
      <c r="HD5" s="10">
        <f ca="1">+Tarifas!HV10</f>
        <v>194.64657300679167</v>
      </c>
      <c r="HE5" s="10">
        <f ca="1">+Tarifas!HW10</f>
        <v>194.64657300679167</v>
      </c>
      <c r="HF5" s="10">
        <f ca="1">+Tarifas!HX10</f>
        <v>194.64657300679167</v>
      </c>
      <c r="HG5" s="10">
        <f ca="1">+Tarifas!HY10</f>
        <v>194.64657300679167</v>
      </c>
      <c r="HH5" s="10">
        <f ca="1">+Tarifas!HZ10</f>
        <v>194.64657300679167</v>
      </c>
      <c r="HI5" s="10">
        <f ca="1">+Tarifas!IA10</f>
        <v>194.64657300679167</v>
      </c>
      <c r="HJ5" s="10">
        <f ca="1">+Tarifas!IB10</f>
        <v>194.64657300679167</v>
      </c>
      <c r="HK5" s="10">
        <f ca="1">+Tarifas!IC10</f>
        <v>194.64657300679167</v>
      </c>
      <c r="HL5" s="10">
        <f ca="1">+Tarifas!ID10</f>
        <v>194.64657300679167</v>
      </c>
      <c r="HM5" s="10">
        <f ca="1">+Tarifas!IE10</f>
        <v>194.64657300679167</v>
      </c>
      <c r="HN5" s="10">
        <f ca="1">+Tarifas!IF10</f>
        <v>194.64657300679167</v>
      </c>
      <c r="HO5" s="10">
        <f ca="1">+Tarifas!IG10</f>
        <v>194.64657300679167</v>
      </c>
      <c r="HP5" s="10">
        <f ca="1">+Tarifas!IH10</f>
        <v>200.48597019699542</v>
      </c>
      <c r="HQ5" s="10">
        <f ca="1">+Tarifas!II10</f>
        <v>200.48597019699542</v>
      </c>
      <c r="HR5" s="10">
        <f ca="1">+Tarifas!IJ10</f>
        <v>200.48597019699542</v>
      </c>
      <c r="HS5" s="10">
        <f ca="1">+Tarifas!IK10</f>
        <v>200.48597019699542</v>
      </c>
      <c r="HT5" s="10">
        <f ca="1">+Tarifas!IL10</f>
        <v>200.48597019699542</v>
      </c>
      <c r="HU5" s="10">
        <f ca="1">+Tarifas!IM10</f>
        <v>200.48597019699542</v>
      </c>
      <c r="HV5" s="10">
        <f ca="1">+Tarifas!IN10</f>
        <v>200.48597019699542</v>
      </c>
      <c r="HW5" s="10">
        <f ca="1">+Tarifas!IO10</f>
        <v>200.48597019699542</v>
      </c>
      <c r="HX5" s="10">
        <f ca="1">+Tarifas!IP10</f>
        <v>200.48597019699542</v>
      </c>
      <c r="HY5" s="10">
        <f ca="1">+Tarifas!IQ10</f>
        <v>200.48597019699542</v>
      </c>
      <c r="HZ5" s="10">
        <f ca="1">+Tarifas!IR10</f>
        <v>200.48597019699542</v>
      </c>
      <c r="IA5" s="10">
        <f ca="1">+Tarifas!IS10</f>
        <v>200.48597019699542</v>
      </c>
      <c r="IB5" s="10">
        <f ca="1">+Tarifas!IT10</f>
        <v>206.50054930290528</v>
      </c>
      <c r="IC5" s="10">
        <f ca="1">+Tarifas!IU10</f>
        <v>206.50054930290528</v>
      </c>
      <c r="ID5" s="10">
        <f ca="1">+Tarifas!IV10</f>
        <v>206.50054930290528</v>
      </c>
      <c r="IE5" s="10">
        <f ca="1">+Tarifas!IW10</f>
        <v>206.50054930290528</v>
      </c>
      <c r="IF5" s="10">
        <f ca="1">+Tarifas!IX10</f>
        <v>206.50054930290528</v>
      </c>
      <c r="IG5" s="10">
        <f ca="1">+Tarifas!IY10</f>
        <v>206.50054930290528</v>
      </c>
      <c r="IH5" s="10">
        <f ca="1">+Tarifas!IZ10</f>
        <v>206.50054930290528</v>
      </c>
      <c r="II5" s="10">
        <f ca="1">+Tarifas!JA10</f>
        <v>206.50054930290528</v>
      </c>
      <c r="IJ5" s="10">
        <f ca="1">+Tarifas!JB10</f>
        <v>206.50054930290528</v>
      </c>
      <c r="IK5" s="10">
        <f ca="1">+Tarifas!JC10</f>
        <v>206.50054930290528</v>
      </c>
      <c r="IL5" s="10">
        <f ca="1">+Tarifas!JD10</f>
        <v>206.50054930290528</v>
      </c>
      <c r="IM5" s="10">
        <f ca="1">+Tarifas!JE10</f>
        <v>206.50054930290528</v>
      </c>
      <c r="IN5" s="10"/>
      <c r="IO5" s="10"/>
    </row>
    <row r="6" spans="1:249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9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si="4"/>
        <v>0</v>
      </c>
      <c r="J8" s="33">
        <f ca="1">+I4*I5</f>
        <v>0</v>
      </c>
      <c r="K8" s="33">
        <f ca="1">+J4*J5</f>
        <v>278021.6345918703</v>
      </c>
      <c r="L8" s="33">
        <f t="shared" ca="1" si="4"/>
        <v>252552.48776191767</v>
      </c>
      <c r="M8" s="33">
        <f t="shared" ca="1" si="4"/>
        <v>244867.4362589386</v>
      </c>
      <c r="N8" s="33">
        <f t="shared" ca="1" si="4"/>
        <v>246135.54614909223</v>
      </c>
      <c r="O8" s="33">
        <f t="shared" ca="1" si="4"/>
        <v>261918.16683016066</v>
      </c>
      <c r="P8" s="33">
        <f t="shared" ca="1" si="4"/>
        <v>258074.98628871058</v>
      </c>
      <c r="Q8" s="33">
        <f t="shared" ca="1" si="4"/>
        <v>241516.47068493298</v>
      </c>
      <c r="R8" s="33">
        <f ca="1">+Q4*Q5</f>
        <v>217744.71900205518</v>
      </c>
      <c r="S8" s="33">
        <f t="shared" ca="1" si="4"/>
        <v>208097.43366792329</v>
      </c>
      <c r="T8" s="33">
        <f t="shared" ca="1" si="4"/>
        <v>219977.06364712282</v>
      </c>
      <c r="U8" s="33">
        <f t="shared" ca="1" si="4"/>
        <v>260327.03479212502</v>
      </c>
      <c r="V8" s="33">
        <f t="shared" ca="1" si="4"/>
        <v>239997.6239497932</v>
      </c>
      <c r="W8" s="33">
        <f t="shared" ca="1" si="4"/>
        <v>285777.87080589251</v>
      </c>
      <c r="X8" s="33">
        <f t="shared" ca="1" si="4"/>
        <v>259598.18675723489</v>
      </c>
      <c r="Y8" s="33">
        <f t="shared" ca="1" si="4"/>
        <v>251698.73800110121</v>
      </c>
      <c r="Z8" s="33">
        <f t="shared" ca="1" si="4"/>
        <v>253002.2255692108</v>
      </c>
      <c r="AA8" s="33">
        <f t="shared" ca="1" si="4"/>
        <v>269225.149157851</v>
      </c>
      <c r="AB8" s="33">
        <f t="shared" ca="1" si="4"/>
        <v>265545.43911267107</v>
      </c>
      <c r="AC8" s="33">
        <f t="shared" ca="1" si="4"/>
        <v>248507.60696825653</v>
      </c>
      <c r="AD8" s="33">
        <f t="shared" ca="1" si="4"/>
        <v>224047.73842429265</v>
      </c>
      <c r="AE8" s="33">
        <f t="shared" ca="1" si="4"/>
        <v>214121.19475906738</v>
      </c>
      <c r="AF8" s="33">
        <f t="shared" ca="1" si="4"/>
        <v>226344.70237089586</v>
      </c>
      <c r="AG8" s="33">
        <f t="shared" ca="1" si="4"/>
        <v>267862.67728186434</v>
      </c>
      <c r="AH8" s="33">
        <f t="shared" ca="1" si="4"/>
        <v>246944.79443447484</v>
      </c>
      <c r="AI8" s="33">
        <f t="shared" ca="1" si="4"/>
        <v>294050.23432584631</v>
      </c>
      <c r="AJ8" s="33">
        <f t="shared" ca="1" si="4"/>
        <v>267112.73140661861</v>
      </c>
      <c r="AK8" s="33">
        <f t="shared" ca="1" si="4"/>
        <v>258984.61864814741</v>
      </c>
      <c r="AL8" s="33">
        <f t="shared" ca="1" si="4"/>
        <v>260325.83804964466</v>
      </c>
      <c r="AM8" s="33">
        <f t="shared" ca="1" si="4"/>
        <v>277018.36385382112</v>
      </c>
      <c r="AN8" s="33">
        <f t="shared" ca="1" si="4"/>
        <v>273231.85161840945</v>
      </c>
      <c r="AO8" s="33">
        <f t="shared" ca="1" si="4"/>
        <v>255700.84660496312</v>
      </c>
      <c r="AP8" s="33">
        <f t="shared" ca="1" si="4"/>
        <v>230532.96876476245</v>
      </c>
      <c r="AQ8" s="33">
        <f t="shared" ca="1" si="4"/>
        <v>220319.09382537901</v>
      </c>
      <c r="AR8" s="33">
        <f t="shared" ca="1" si="4"/>
        <v>232896.4200608129</v>
      </c>
      <c r="AS8" s="33">
        <f t="shared" ca="1" si="4"/>
        <v>275616.16398967517</v>
      </c>
      <c r="AT8" s="33">
        <f t="shared" ca="1" si="4"/>
        <v>263167.54004692117</v>
      </c>
      <c r="AU8" s="33">
        <f t="shared" ca="1" si="4"/>
        <v>302561.739573272</v>
      </c>
      <c r="AV8" s="33">
        <f t="shared" ca="1" si="4"/>
        <v>274844.51036688389</v>
      </c>
      <c r="AW8" s="33">
        <f t="shared" ca="1" si="4"/>
        <v>266481.12326981546</v>
      </c>
      <c r="AX8" s="33">
        <f t="shared" ca="1" si="4"/>
        <v>267861.16527589236</v>
      </c>
      <c r="AY8" s="33">
        <f t="shared" ca="1" si="4"/>
        <v>285036.86879730748</v>
      </c>
      <c r="AZ8" s="33">
        <f t="shared" ca="1" si="4"/>
        <v>281140.45797929069</v>
      </c>
      <c r="BA8" s="33">
        <f t="shared" ca="1" si="4"/>
        <v>263102.02377360064</v>
      </c>
      <c r="BB8" s="33">
        <f t="shared" ca="1" si="4"/>
        <v>237205.66996107853</v>
      </c>
      <c r="BC8" s="33">
        <f t="shared" ca="1" si="4"/>
        <v>226696.15776038609</v>
      </c>
      <c r="BD8" s="33">
        <f t="shared" ca="1" si="4"/>
        <v>239637.53057999117</v>
      </c>
      <c r="BE8" s="33">
        <f t="shared" ca="1" si="4"/>
        <v>283593.78349040088</v>
      </c>
      <c r="BF8" s="33">
        <f t="shared" ca="1" si="4"/>
        <v>261447.42999503168</v>
      </c>
      <c r="BG8" s="33">
        <f t="shared" ca="1" si="4"/>
        <v>311319.28992465005</v>
      </c>
      <c r="BH8" s="33">
        <f t="shared" ca="1" si="4"/>
        <v>282799.7946064992</v>
      </c>
      <c r="BI8" s="33">
        <f t="shared" ca="1" si="4"/>
        <v>274194.33201200014</v>
      </c>
      <c r="BJ8" s="33">
        <f t="shared" ca="1" si="4"/>
        <v>275614.31888147019</v>
      </c>
      <c r="BK8" s="33">
        <f t="shared" ca="1" si="4"/>
        <v>293287.16750993434</v>
      </c>
      <c r="BL8" s="33">
        <f t="shared" ca="1" si="4"/>
        <v>288089.67340216337</v>
      </c>
      <c r="BM8" s="33">
        <f t="shared" ca="1" si="4"/>
        <v>269605.36610482499</v>
      </c>
      <c r="BN8" s="33">
        <f t="shared" ca="1" si="4"/>
        <v>243068.90754678319</v>
      </c>
      <c r="BO8" s="33">
        <f t="shared" ca="1" si="4"/>
        <v>232299.62176246333</v>
      </c>
      <c r="BP8" s="33">
        <f t="shared" ca="1" si="4"/>
        <v>245560.87877176324</v>
      </c>
      <c r="BQ8" s="33">
        <f t="shared" ref="BQ8:EB8" ca="1" si="5">+BP4*BP5</f>
        <v>290603.64008744562</v>
      </c>
      <c r="BR8" s="33">
        <f t="shared" ca="1" si="5"/>
        <v>267909.87416208844</v>
      </c>
      <c r="BS8" s="33">
        <f t="shared" ca="1" si="5"/>
        <v>319014.46416791581</v>
      </c>
      <c r="BT8" s="33">
        <f t="shared" ca="1" si="5"/>
        <v>289790.02542702906</v>
      </c>
      <c r="BU8" s="33">
        <f t="shared" ca="1" si="5"/>
        <v>280971.85344942502</v>
      </c>
      <c r="BV8" s="33">
        <f t="shared" ca="1" si="5"/>
        <v>282426.93948151468</v>
      </c>
      <c r="BW8" s="33">
        <f t="shared" ca="1" si="5"/>
        <v>300536.62467607739</v>
      </c>
      <c r="BX8" s="33">
        <f t="shared" ca="1" si="5"/>
        <v>295202.81533822708</v>
      </c>
      <c r="BY8" s="33">
        <f t="shared" ca="1" si="5"/>
        <v>276262.11715452664</v>
      </c>
      <c r="BZ8" s="33">
        <f t="shared" ca="1" si="5"/>
        <v>249070.45428466509</v>
      </c>
      <c r="CA8" s="33">
        <f t="shared" ca="1" si="5"/>
        <v>238035.26706268088</v>
      </c>
      <c r="CB8" s="33">
        <f t="shared" ca="1" si="5"/>
        <v>251623.95407751971</v>
      </c>
      <c r="CC8" s="33">
        <f t="shared" ca="1" si="5"/>
        <v>297778.85367517179</v>
      </c>
      <c r="CD8" s="33">
        <f t="shared" ca="1" si="5"/>
        <v>274524.76229217305</v>
      </c>
      <c r="CE8" s="33">
        <f t="shared" ca="1" si="5"/>
        <v>326891.16150484525</v>
      </c>
      <c r="CF8" s="33">
        <f t="shared" ca="1" si="5"/>
        <v>296945.15028164483</v>
      </c>
      <c r="CG8" s="33">
        <f t="shared" ca="1" si="5"/>
        <v>287909.2512742845</v>
      </c>
      <c r="CH8" s="33">
        <f t="shared" ca="1" si="5"/>
        <v>289400.26443056861</v>
      </c>
      <c r="CI8" s="33">
        <f t="shared" ca="1" si="5"/>
        <v>307957.09082143009</v>
      </c>
      <c r="CJ8" s="33">
        <f t="shared" ca="1" si="5"/>
        <v>302483.46508439281</v>
      </c>
      <c r="CK8" s="33">
        <f t="shared" ca="1" si="5"/>
        <v>283075.62843771605</v>
      </c>
      <c r="CL8" s="33">
        <f t="shared" ca="1" si="5"/>
        <v>255213.33181002786</v>
      </c>
      <c r="CM8" s="33">
        <f t="shared" ca="1" si="5"/>
        <v>243905.98142132521</v>
      </c>
      <c r="CN8" s="33">
        <f t="shared" ca="1" si="5"/>
        <v>257829.8091107269</v>
      </c>
      <c r="CO8" s="33">
        <f t="shared" ca="1" si="5"/>
        <v>305123.03680208279</v>
      </c>
      <c r="CP8" s="33">
        <f t="shared" ca="1" si="5"/>
        <v>291341.68999557802</v>
      </c>
      <c r="CQ8" s="33">
        <f t="shared" ca="1" si="5"/>
        <v>334953.34766423941</v>
      </c>
      <c r="CR8" s="33">
        <f t="shared" ca="1" si="5"/>
        <v>304268.77160465339</v>
      </c>
      <c r="CS8" s="33">
        <f t="shared" ca="1" si="5"/>
        <v>295010.01830053108</v>
      </c>
      <c r="CT8" s="33">
        <f t="shared" ca="1" si="5"/>
        <v>296537.8046310324</v>
      </c>
      <c r="CU8" s="33">
        <f t="shared" ca="1" si="5"/>
        <v>315552.30197329546</v>
      </c>
      <c r="CV8" s="33">
        <f t="shared" ca="1" si="5"/>
        <v>309935.27128152386</v>
      </c>
      <c r="CW8" s="33">
        <f t="shared" ca="1" si="5"/>
        <v>290049.31449245766</v>
      </c>
      <c r="CX8" s="33">
        <f t="shared" ca="1" si="5"/>
        <v>261500.61857805619</v>
      </c>
      <c r="CY8" s="33">
        <f t="shared" ca="1" si="5"/>
        <v>249914.70690113187</v>
      </c>
      <c r="CZ8" s="33">
        <f t="shared" ca="1" si="5"/>
        <v>264181.55388725683</v>
      </c>
      <c r="DA8" s="33">
        <f t="shared" ca="1" si="5"/>
        <v>312639.86994830082</v>
      </c>
      <c r="DB8" s="33">
        <f t="shared" ca="1" si="5"/>
        <v>288225.25482026621</v>
      </c>
      <c r="DC8" s="33">
        <f t="shared" ca="1" si="5"/>
        <v>343205.06294784287</v>
      </c>
      <c r="DD8" s="33">
        <f t="shared" ca="1" si="5"/>
        <v>311764.55957178882</v>
      </c>
      <c r="DE8" s="33">
        <f t="shared" ca="1" si="5"/>
        <v>302277.71302220569</v>
      </c>
      <c r="DF8" s="33">
        <f t="shared" ca="1" si="5"/>
        <v>303843.13700553653</v>
      </c>
      <c r="DG8" s="33">
        <f t="shared" ca="1" si="5"/>
        <v>323326.06441253342</v>
      </c>
      <c r="DH8" s="33">
        <f t="shared" ca="1" si="5"/>
        <v>317561.95073190698</v>
      </c>
      <c r="DI8" s="33">
        <f t="shared" ca="1" si="5"/>
        <v>297186.65364488994</v>
      </c>
      <c r="DJ8" s="33">
        <f t="shared" ca="1" si="5"/>
        <v>267935.45055353717</v>
      </c>
      <c r="DK8" s="33">
        <f t="shared" ca="1" si="5"/>
        <v>256064.4405264477</v>
      </c>
      <c r="DL8" s="33">
        <f t="shared" ca="1" si="5"/>
        <v>270682.35652217886</v>
      </c>
      <c r="DM8" s="33">
        <f t="shared" ca="1" si="5"/>
        <v>320333.10235016997</v>
      </c>
      <c r="DN8" s="33">
        <f t="shared" ca="1" si="5"/>
        <v>295317.70873469161</v>
      </c>
      <c r="DO8" s="33">
        <f t="shared" ca="1" si="5"/>
        <v>351650.42313556466</v>
      </c>
      <c r="DP8" s="33">
        <f t="shared" ca="1" si="5"/>
        <v>319436.25292250834</v>
      </c>
      <c r="DQ8" s="33">
        <f t="shared" ca="1" si="5"/>
        <v>309715.96041071025</v>
      </c>
      <c r="DR8" s="33">
        <f t="shared" ca="1" si="5"/>
        <v>311319.90529834293</v>
      </c>
      <c r="DS8" s="33">
        <f t="shared" ca="1" si="5"/>
        <v>331282.25552634965</v>
      </c>
      <c r="DT8" s="33">
        <f t="shared" ca="1" si="5"/>
        <v>323645.76915645512</v>
      </c>
      <c r="DU8" s="33">
        <f t="shared" ca="1" si="5"/>
        <v>312976.12841503351</v>
      </c>
      <c r="DV8" s="33">
        <f t="shared" ca="1" si="5"/>
        <v>273068.52971151017</v>
      </c>
      <c r="DW8" s="33">
        <f t="shared" ca="1" si="5"/>
        <v>269669.09932803182</v>
      </c>
      <c r="DX8" s="33">
        <f t="shared" ca="1" si="5"/>
        <v>275868.06061555113</v>
      </c>
      <c r="DY8" s="33">
        <f t="shared" ca="1" si="5"/>
        <v>326470.01020572061</v>
      </c>
      <c r="DZ8" s="33">
        <f t="shared" ca="1" si="5"/>
        <v>300975.37431255623</v>
      </c>
      <c r="EA8" s="33">
        <f t="shared" ca="1" si="5"/>
        <v>358387.30492616171</v>
      </c>
      <c r="EB8" s="33">
        <f t="shared" ca="1" si="5"/>
        <v>325555.97903112893</v>
      </c>
      <c r="EC8" s="33">
        <f t="shared" ref="EC8:GN8" ca="1" si="6">+EB4*EB5</f>
        <v>315649.46617857856</v>
      </c>
      <c r="ED8" s="33">
        <f t="shared" ca="1" si="6"/>
        <v>317284.13927353226</v>
      </c>
      <c r="EE8" s="33">
        <f t="shared" ca="1" si="6"/>
        <v>337628.92610590713</v>
      </c>
      <c r="EF8" s="33">
        <f t="shared" ca="1" si="6"/>
        <v>329808.81093081733</v>
      </c>
      <c r="EG8" s="33">
        <f t="shared" ca="1" si="6"/>
        <v>318935.99298804323</v>
      </c>
      <c r="EH8" s="33">
        <f t="shared" ca="1" si="6"/>
        <v>278268.45171346341</v>
      </c>
      <c r="EI8" s="33">
        <f t="shared" ca="1" si="6"/>
        <v>274804.28749608685</v>
      </c>
      <c r="EJ8" s="33">
        <f t="shared" ca="1" si="6"/>
        <v>281121.29283365578</v>
      </c>
      <c r="EK8" s="33">
        <f t="shared" ca="1" si="6"/>
        <v>332686.8327404891</v>
      </c>
      <c r="EL8" s="33">
        <f t="shared" ca="1" si="6"/>
        <v>317660.52509748976</v>
      </c>
      <c r="EM8" s="33">
        <f t="shared" ca="1" si="6"/>
        <v>365211.91424337274</v>
      </c>
      <c r="EN8" s="33">
        <f t="shared" ca="1" si="6"/>
        <v>331755.39607863658</v>
      </c>
      <c r="EO8" s="33">
        <f t="shared" ca="1" si="6"/>
        <v>321660.23792814935</v>
      </c>
      <c r="EP8" s="33">
        <f t="shared" ca="1" si="6"/>
        <v>323326.03937246435</v>
      </c>
      <c r="EQ8" s="33">
        <f t="shared" ca="1" si="6"/>
        <v>344058.2428902642</v>
      </c>
      <c r="ER8" s="33">
        <f t="shared" ca="1" si="6"/>
        <v>336050.35401940055</v>
      </c>
      <c r="ES8" s="33">
        <f t="shared" ca="1" si="6"/>
        <v>324971.77091985993</v>
      </c>
      <c r="ET8" s="33">
        <f t="shared" ca="1" si="6"/>
        <v>283534.60735879344</v>
      </c>
      <c r="EU8" s="33">
        <f t="shared" ca="1" si="6"/>
        <v>280004.88476483</v>
      </c>
      <c r="EV8" s="33">
        <f t="shared" ca="1" si="6"/>
        <v>286441.43773029267</v>
      </c>
      <c r="EW8" s="33">
        <f t="shared" ca="1" si="6"/>
        <v>338982.84161815856</v>
      </c>
      <c r="EX8" s="33">
        <f t="shared" ca="1" si="6"/>
        <v>312511.05599950592</v>
      </c>
      <c r="EY8" s="33">
        <f t="shared" ca="1" si="6"/>
        <v>372123.45154518279</v>
      </c>
      <c r="EZ8" s="33">
        <f t="shared" ca="1" si="6"/>
        <v>338033.77776786668</v>
      </c>
      <c r="FA8" s="33">
        <f t="shared" ca="1" si="6"/>
        <v>327747.57146313367</v>
      </c>
      <c r="FB8" s="33">
        <f t="shared" ca="1" si="6"/>
        <v>329444.89775198628</v>
      </c>
      <c r="FC8" s="33">
        <f t="shared" ca="1" si="6"/>
        <v>350569.45264818752</v>
      </c>
      <c r="FD8" s="33">
        <f t="shared" ca="1" si="6"/>
        <v>342369.56176346104</v>
      </c>
      <c r="FE8" s="33">
        <f t="shared" ca="1" si="6"/>
        <v>331082.65313389641</v>
      </c>
      <c r="FF8" s="33">
        <f t="shared" ca="1" si="6"/>
        <v>288866.29073630116</v>
      </c>
      <c r="FG8" s="33">
        <f t="shared" ca="1" si="6"/>
        <v>285270.19401095127</v>
      </c>
      <c r="FH8" s="33">
        <f t="shared" ca="1" si="6"/>
        <v>291827.78215717751</v>
      </c>
      <c r="FI8" s="33">
        <f t="shared" ca="1" si="6"/>
        <v>345357.19287902175</v>
      </c>
      <c r="FJ8" s="33">
        <f t="shared" ca="1" si="6"/>
        <v>318387.62259601842</v>
      </c>
      <c r="FK8" s="33">
        <f t="shared" ca="1" si="6"/>
        <v>379120.99036228238</v>
      </c>
      <c r="FL8" s="33">
        <f t="shared" ca="1" si="6"/>
        <v>344390.28250197991</v>
      </c>
      <c r="FM8" s="33">
        <f t="shared" ca="1" si="6"/>
        <v>333910.65079608181</v>
      </c>
      <c r="FN8" s="33">
        <f t="shared" ca="1" si="6"/>
        <v>335639.89419884427</v>
      </c>
      <c r="FO8" s="33">
        <f t="shared" ca="1" si="6"/>
        <v>357161.68257298495</v>
      </c>
      <c r="FP8" s="33">
        <f t="shared" ca="1" si="6"/>
        <v>348765.47665354767</v>
      </c>
      <c r="FQ8" s="33">
        <f t="shared" ca="1" si="6"/>
        <v>337267.71368694719</v>
      </c>
      <c r="FR8" s="33">
        <f t="shared" ca="1" si="6"/>
        <v>294262.69396983646</v>
      </c>
      <c r="FS8" s="33">
        <f t="shared" ca="1" si="6"/>
        <v>290599.41741555143</v>
      </c>
      <c r="FT8" s="33">
        <f t="shared" ca="1" si="6"/>
        <v>297279.50995571824</v>
      </c>
      <c r="FU8" s="33">
        <f t="shared" ca="1" si="6"/>
        <v>351808.92065808037</v>
      </c>
      <c r="FV8" s="33">
        <f t="shared" ca="1" si="6"/>
        <v>324335.52323792205</v>
      </c>
      <c r="FW8" s="33">
        <f t="shared" ca="1" si="6"/>
        <v>386203.47040201735</v>
      </c>
      <c r="FX8" s="33">
        <f t="shared" ca="1" si="6"/>
        <v>350823.94712014875</v>
      </c>
      <c r="FY8" s="33">
        <f t="shared" ca="1" si="6"/>
        <v>340148.54207468987</v>
      </c>
      <c r="FZ8" s="33">
        <f t="shared" ca="1" si="6"/>
        <v>341910.090024537</v>
      </c>
      <c r="GA8" s="33">
        <f t="shared" ca="1" si="6"/>
        <v>363833.93378588685</v>
      </c>
      <c r="GB8" s="33">
        <f t="shared" ca="1" si="6"/>
        <v>355237.01383145241</v>
      </c>
      <c r="GC8" s="33">
        <f t="shared" ca="1" si="6"/>
        <v>343525.90348536056</v>
      </c>
      <c r="GD8" s="33">
        <f t="shared" ca="1" si="6"/>
        <v>299722.90173572121</v>
      </c>
      <c r="GE8" s="33">
        <f t="shared" ca="1" si="6"/>
        <v>295991.6510498178</v>
      </c>
      <c r="GF8" s="33">
        <f t="shared" ca="1" si="6"/>
        <v>302795.6964182299</v>
      </c>
      <c r="GG8" s="33">
        <f t="shared" ca="1" si="6"/>
        <v>358336.93063029146</v>
      </c>
      <c r="GH8" s="33">
        <f t="shared" ca="1" si="6"/>
        <v>342152.09723864641</v>
      </c>
      <c r="GI8" s="33">
        <f t="shared" ca="1" si="6"/>
        <v>393369.69035281031</v>
      </c>
      <c r="GJ8" s="33">
        <f t="shared" ca="1" si="6"/>
        <v>357333.68036115589</v>
      </c>
      <c r="GK8" s="33">
        <f t="shared" ca="1" si="6"/>
        <v>346460.18724429799</v>
      </c>
      <c r="GL8" s="33">
        <f t="shared" ca="1" si="6"/>
        <v>348254.42169499217</v>
      </c>
      <c r="GM8" s="33">
        <f t="shared" ca="1" si="6"/>
        <v>370585.07455724716</v>
      </c>
      <c r="GN8" s="33">
        <f t="shared" ca="1" si="6"/>
        <v>361782.9543110432</v>
      </c>
      <c r="GO8" s="33">
        <f t="shared" ref="GO8:IM8" ca="1" si="7">+GN4*GN5</f>
        <v>349856.04372936039</v>
      </c>
      <c r="GP8" s="33">
        <f t="shared" ca="1" si="7"/>
        <v>305245.88554298616</v>
      </c>
      <c r="GQ8" s="33">
        <f t="shared" ca="1" si="7"/>
        <v>301445.87922646606</v>
      </c>
      <c r="GR8" s="33">
        <f t="shared" ca="1" si="7"/>
        <v>308375.30250953214</v>
      </c>
      <c r="GS8" s="33">
        <f t="shared" ca="1" si="7"/>
        <v>364939.99317224283</v>
      </c>
      <c r="GT8" s="33">
        <f t="shared" ca="1" si="7"/>
        <v>336441.16645637562</v>
      </c>
      <c r="GU8" s="33">
        <f t="shared" ca="1" si="7"/>
        <v>400618.30037728901</v>
      </c>
      <c r="GV8" s="33">
        <f t="shared" ca="1" si="7"/>
        <v>363918.25604421535</v>
      </c>
      <c r="GW8" s="33">
        <f t="shared" ca="1" si="7"/>
        <v>352844.39743621531</v>
      </c>
      <c r="GX8" s="33">
        <f t="shared" ca="1" si="7"/>
        <v>354671.69418465276</v>
      </c>
      <c r="GY8" s="33">
        <f t="shared" ca="1" si="7"/>
        <v>377413.8332344818</v>
      </c>
      <c r="GZ8" s="33">
        <f t="shared" ca="1" si="7"/>
        <v>368401.93790696113</v>
      </c>
      <c r="HA8" s="33">
        <f t="shared" ca="1" si="7"/>
        <v>356256.81907486351</v>
      </c>
      <c r="HB8" s="33">
        <f t="shared" ca="1" si="7"/>
        <v>310830.49776712491</v>
      </c>
      <c r="HC8" s="33">
        <f t="shared" ca="1" si="7"/>
        <v>306960.96860776853</v>
      </c>
      <c r="HD8" s="33">
        <f t="shared" ca="1" si="7"/>
        <v>314017.16883953603</v>
      </c>
      <c r="HE8" s="33">
        <f t="shared" ca="1" si="7"/>
        <v>371616.73622914409</v>
      </c>
      <c r="HF8" s="33">
        <f t="shared" ca="1" si="7"/>
        <v>342596.51052449801</v>
      </c>
      <c r="HG8" s="33">
        <f t="shared" ca="1" si="7"/>
        <v>407947.79428191896</v>
      </c>
      <c r="HH8" s="33">
        <f t="shared" ca="1" si="7"/>
        <v>370576.30595593335</v>
      </c>
      <c r="HI8" s="33">
        <f t="shared" ca="1" si="7"/>
        <v>359299.84607112792</v>
      </c>
      <c r="HJ8" s="33">
        <f t="shared" ca="1" si="7"/>
        <v>361160.57404416741</v>
      </c>
      <c r="HK8" s="33">
        <f t="shared" ca="1" si="7"/>
        <v>384318.790865249</v>
      </c>
      <c r="HL8" s="33">
        <f t="shared" ca="1" si="7"/>
        <v>375092.45585975412</v>
      </c>
      <c r="HM8" s="33">
        <f t="shared" ca="1" si="7"/>
        <v>362726.77050174034</v>
      </c>
      <c r="HN8" s="33">
        <f t="shared" ca="1" si="7"/>
        <v>316475.46542772325</v>
      </c>
      <c r="HO8" s="33">
        <f t="shared" ca="1" si="7"/>
        <v>312535.66206064518</v>
      </c>
      <c r="HP8" s="33">
        <f t="shared" ca="1" si="7"/>
        <v>319720.00937708159</v>
      </c>
      <c r="HQ8" s="33">
        <f t="shared" ca="1" si="7"/>
        <v>378365.63787560444</v>
      </c>
      <c r="HR8" s="33">
        <f t="shared" ca="1" si="7"/>
        <v>348818.37818689691</v>
      </c>
      <c r="HS8" s="33">
        <f t="shared" ca="1" si="7"/>
        <v>415356.50135048712</v>
      </c>
      <c r="HT8" s="33">
        <f t="shared" ca="1" si="7"/>
        <v>377306.31243191479</v>
      </c>
      <c r="HU8" s="33">
        <f t="shared" ca="1" si="7"/>
        <v>365825.06166644266</v>
      </c>
      <c r="HV8" s="33">
        <f t="shared" ca="1" si="7"/>
        <v>367719.5821704868</v>
      </c>
      <c r="HW8" s="33">
        <f t="shared" ca="1" si="7"/>
        <v>391298.37350395124</v>
      </c>
      <c r="HX8" s="33">
        <f t="shared" ca="1" si="7"/>
        <v>381852.84314559866</v>
      </c>
      <c r="HY8" s="33">
        <f t="shared" ca="1" si="7"/>
        <v>369264.28787706239</v>
      </c>
      <c r="HZ8" s="33">
        <f t="shared" ca="1" si="7"/>
        <v>322179.38369996712</v>
      </c>
      <c r="IA8" s="33">
        <f t="shared" ca="1" si="7"/>
        <v>318168.57224894752</v>
      </c>
      <c r="IB8" s="33">
        <f t="shared" ca="1" si="7"/>
        <v>325482.40489492437</v>
      </c>
      <c r="IC8" s="33">
        <f t="shared" ca="1" si="7"/>
        <v>385185.01855824614</v>
      </c>
      <c r="ID8" s="33">
        <f t="shared" ca="1" si="7"/>
        <v>367787.55037276662</v>
      </c>
      <c r="IE8" s="33">
        <f t="shared" ca="1" si="7"/>
        <v>422842.57782831567</v>
      </c>
      <c r="IF8" s="33">
        <f t="shared" ca="1" si="7"/>
        <v>384106.60062109458</v>
      </c>
      <c r="IG8" s="33">
        <f t="shared" ca="1" si="7"/>
        <v>372418.42033601226</v>
      </c>
      <c r="IH8" s="33">
        <f t="shared" ca="1" si="7"/>
        <v>374347.08626774553</v>
      </c>
      <c r="II8" s="33">
        <f t="shared" ca="1" si="7"/>
        <v>398350.84418919694</v>
      </c>
      <c r="IJ8" s="33">
        <f t="shared" ca="1" si="7"/>
        <v>389683.46596586535</v>
      </c>
      <c r="IK8" s="33">
        <f t="shared" ca="1" si="7"/>
        <v>377713.12285083957</v>
      </c>
      <c r="IL8" s="33">
        <f t="shared" ca="1" si="7"/>
        <v>330315.52666160621</v>
      </c>
      <c r="IM8" s="33">
        <f t="shared" ca="1" si="7"/>
        <v>326958.52888780634</v>
      </c>
      <c r="IN8" s="33"/>
      <c r="IO8" s="33"/>
    </row>
    <row r="9" spans="1:249" x14ac:dyDescent="0.3">
      <c r="A9" t="s">
        <v>813</v>
      </c>
      <c r="B9" s="30"/>
      <c r="C9" s="30"/>
      <c r="D9" s="30"/>
      <c r="E9" s="30"/>
      <c r="F9" s="30"/>
      <c r="G9" s="30"/>
      <c r="H9" s="30"/>
      <c r="I9" s="30" t="e">
        <f>+#REF!</f>
        <v>#REF!</v>
      </c>
      <c r="J9" s="30"/>
      <c r="K9" s="30">
        <f>+SUM(Producción!M24:M26)</f>
        <v>0</v>
      </c>
      <c r="L9" s="30">
        <f>+SUM(Producción!N24:N26)</f>
        <v>0</v>
      </c>
      <c r="M9" s="30">
        <f>+SUM(Producción!O24:O26)</f>
        <v>0</v>
      </c>
      <c r="N9" s="30">
        <f>+SUM(Producción!P24:P26)</f>
        <v>0</v>
      </c>
      <c r="O9" s="30">
        <f>+SUM(Producción!Q24:Q26)</f>
        <v>0</v>
      </c>
      <c r="P9" s="30">
        <f>+SUM(Producción!R24:R26)</f>
        <v>0</v>
      </c>
      <c r="Q9" s="30">
        <f>+SUM(Producción!S24:S26)</f>
        <v>0</v>
      </c>
      <c r="R9" s="30">
        <f>+SUM(Producción!T24:T26)</f>
        <v>0</v>
      </c>
      <c r="S9" s="30">
        <f>+SUM(Producción!U24:U26)</f>
        <v>0</v>
      </c>
      <c r="T9" s="30">
        <f>+SUM(Producción!V24:V26)</f>
        <v>0</v>
      </c>
      <c r="U9" s="30">
        <f>+SUM(Producción!W24:W26)</f>
        <v>0</v>
      </c>
      <c r="V9" s="30">
        <f>+SUM(Producción!X24:X26)</f>
        <v>0</v>
      </c>
      <c r="W9" s="30">
        <f>+SUM(Producción!Y24:Y26)</f>
        <v>0</v>
      </c>
      <c r="X9" s="30">
        <f>+SUM(Producción!Z24:Z26)</f>
        <v>0</v>
      </c>
      <c r="Y9" s="30">
        <f>+SUM(Producción!AA24:AA26)</f>
        <v>0</v>
      </c>
      <c r="Z9" s="30">
        <f>+SUM(Producción!AB24:AB26)</f>
        <v>0</v>
      </c>
      <c r="AA9" s="30">
        <f>+SUM(Producción!AC24:AC26)</f>
        <v>0</v>
      </c>
      <c r="AB9" s="30">
        <f>+SUM(Producción!AD24:AD26)</f>
        <v>0</v>
      </c>
      <c r="AC9" s="30">
        <f>+SUM(Producción!AE24:AE26)</f>
        <v>0</v>
      </c>
      <c r="AD9" s="30">
        <f>+SUM(Producción!AF24:AF26)</f>
        <v>25000</v>
      </c>
      <c r="AE9" s="30">
        <f>+SUM(Producción!AG24:AG26)</f>
        <v>25000</v>
      </c>
      <c r="AF9" s="30">
        <f>+SUM(Producción!AH24:AH26)</f>
        <v>225750</v>
      </c>
      <c r="AG9" s="30">
        <f>+SUM(Producción!AI24:AI26)</f>
        <v>25750</v>
      </c>
      <c r="AH9" s="30">
        <f>+SUM(Producción!AJ24:AJ26)</f>
        <v>25750</v>
      </c>
      <c r="AI9" s="30">
        <f>+SUM(Producción!AK24:AK26)</f>
        <v>231750</v>
      </c>
      <c r="AJ9" s="30">
        <f>+SUM(Producción!AL24:AL26)</f>
        <v>25750</v>
      </c>
      <c r="AK9" s="30">
        <f>+SUM(Producción!AM24:AM26)</f>
        <v>25750</v>
      </c>
      <c r="AL9" s="30">
        <f>+SUM(Producción!AN24:AN26)</f>
        <v>231750</v>
      </c>
      <c r="AM9" s="30">
        <f>+SUM(Producción!AO24:AO26)</f>
        <v>25750</v>
      </c>
      <c r="AN9" s="30">
        <f>+SUM(Producción!AP24:AP26)</f>
        <v>25750</v>
      </c>
      <c r="AO9" s="30">
        <f>+SUM(Producción!AQ24:AQ26)</f>
        <v>231750</v>
      </c>
      <c r="AP9" s="30">
        <f>+SUM(Producción!AR24:AR26)</f>
        <v>25750</v>
      </c>
      <c r="AQ9" s="30">
        <f>+SUM(Producción!AS24:AS26)</f>
        <v>25750</v>
      </c>
      <c r="AR9" s="30">
        <f>+SUM(Producción!AT24:AT26)</f>
        <v>232522.5</v>
      </c>
      <c r="AS9" s="30">
        <f>+SUM(Producción!AU24:AU26)</f>
        <v>26522.5</v>
      </c>
      <c r="AT9" s="30">
        <f>+SUM(Producción!AV24:AV26)</f>
        <v>26522.5</v>
      </c>
      <c r="AU9" s="30">
        <f>+SUM(Producción!AW24:AW26)</f>
        <v>232522.5</v>
      </c>
      <c r="AV9" s="30">
        <f>+SUM(Producción!AX24:AX26)</f>
        <v>26522.5</v>
      </c>
      <c r="AW9" s="30">
        <f>+SUM(Producción!AY24:AY26)</f>
        <v>26522.5</v>
      </c>
      <c r="AX9" s="30">
        <f>+SUM(Producción!AZ24:AZ26)</f>
        <v>232522.5</v>
      </c>
      <c r="AY9" s="30">
        <f>+SUM(Producción!BA24:BA26)</f>
        <v>26522.5</v>
      </c>
      <c r="AZ9" s="30">
        <f>+SUM(Producción!BB24:BB26)</f>
        <v>26522.5</v>
      </c>
      <c r="BA9" s="30">
        <f>+SUM(Producción!BC24:BC26)</f>
        <v>232522.5</v>
      </c>
      <c r="BB9" s="30">
        <f>+SUM(Producción!BD24:BD26)</f>
        <v>26522.5</v>
      </c>
      <c r="BC9" s="30">
        <f>+SUM(Producción!BE24:BE26)</f>
        <v>26522.5</v>
      </c>
      <c r="BD9" s="30">
        <f>+SUM(Producción!BF24:BF26)</f>
        <v>233318.17499999999</v>
      </c>
      <c r="BE9" s="30">
        <f>+SUM(Producción!BG24:BG26)</f>
        <v>27318.174999999999</v>
      </c>
      <c r="BF9" s="30">
        <f>+SUM(Producción!BH24:BH26)</f>
        <v>27318.174999999999</v>
      </c>
      <c r="BG9" s="30">
        <f>+SUM(Producción!BI24:BI26)</f>
        <v>233318.17499999999</v>
      </c>
      <c r="BH9" s="30">
        <f>+SUM(Producción!BJ24:BJ26)</f>
        <v>27318.174999999999</v>
      </c>
      <c r="BI9" s="30">
        <f>+SUM(Producción!BK24:BK26)</f>
        <v>27318.174999999999</v>
      </c>
      <c r="BJ9" s="30">
        <f>+SUM(Producción!BL24:BL26)</f>
        <v>233318.17499999999</v>
      </c>
      <c r="BK9" s="30">
        <f>+SUM(Producción!BM24:BM26)</f>
        <v>27318.174999999999</v>
      </c>
      <c r="BL9" s="30">
        <f>+SUM(Producción!BN24:BN26)</f>
        <v>27318.174999999999</v>
      </c>
      <c r="BM9" s="30">
        <f>+SUM(Producción!BO24:BO26)</f>
        <v>233318.17499999999</v>
      </c>
      <c r="BN9" s="30">
        <f>+SUM(Producción!BP24:BP26)</f>
        <v>27318.174999999999</v>
      </c>
      <c r="BO9" s="30">
        <f>+SUM(Producción!BQ24:BQ26)</f>
        <v>27318.174999999999</v>
      </c>
      <c r="BP9" s="30">
        <f>+SUM(Producción!BR24:BR26)</f>
        <v>234137.72025000001</v>
      </c>
      <c r="BQ9" s="30">
        <f>+SUM(Producción!BS24:BS26)</f>
        <v>28137.720249999998</v>
      </c>
      <c r="BR9" s="30">
        <f>+SUM(Producción!BT24:BT26)</f>
        <v>28137.720249999998</v>
      </c>
      <c r="BS9" s="30">
        <f>+SUM(Producción!BU24:BU26)</f>
        <v>234137.72025000001</v>
      </c>
      <c r="BT9" s="30">
        <f>+SUM(Producción!BV24:BV26)</f>
        <v>28137.720249999998</v>
      </c>
      <c r="BU9" s="30">
        <f>+SUM(Producción!BW24:BW26)</f>
        <v>89905.306428486569</v>
      </c>
      <c r="BV9" s="30">
        <f>+SUM(Producción!BX24:BX26)</f>
        <v>295905.3064284866</v>
      </c>
      <c r="BW9" s="30">
        <f>+SUM(Producción!BY24:BY26)</f>
        <v>89905.306428486569</v>
      </c>
      <c r="BX9" s="30">
        <f>+SUM(Producción!BZ24:BZ26)</f>
        <v>89905.306428486569</v>
      </c>
      <c r="BY9" s="30">
        <f>+SUM(Producción!CA24:CA26)</f>
        <v>295905.3064284866</v>
      </c>
      <c r="BZ9" s="30">
        <f>+SUM(Producción!CB24:CB26)</f>
        <v>89905.306428486569</v>
      </c>
      <c r="CA9" s="30">
        <f>+SUM(Producción!CC24:CC26)</f>
        <v>89905.306428486569</v>
      </c>
      <c r="CB9" s="30">
        <f>+SUM(Producción!CD24:CD26)</f>
        <v>298602.46562134114</v>
      </c>
      <c r="CC9" s="30">
        <f>+SUM(Producción!CE24:CE26)</f>
        <v>92602.465621341165</v>
      </c>
      <c r="CD9" s="30">
        <f>+SUM(Producción!CF24:CF26)</f>
        <v>92602.465621341165</v>
      </c>
      <c r="CE9" s="30">
        <f>+SUM(Producción!CG24:CG26)</f>
        <v>298602.46562134114</v>
      </c>
      <c r="CF9" s="30">
        <f>+SUM(Producción!CH24:CH26)</f>
        <v>92602.465621341165</v>
      </c>
      <c r="CG9" s="30">
        <f>+SUM(Producción!CI24:CI26)</f>
        <v>92602.465621341165</v>
      </c>
      <c r="CH9" s="30">
        <f>+SUM(Producción!CJ24:CJ26)</f>
        <v>298602.46562134114</v>
      </c>
      <c r="CI9" s="30">
        <f>+SUM(Producción!CK24:CK26)</f>
        <v>92602.465621341165</v>
      </c>
      <c r="CJ9" s="30">
        <f>+SUM(Producción!CL24:CL26)</f>
        <v>92602.465621341165</v>
      </c>
      <c r="CK9" s="30">
        <f>+SUM(Producción!CM24:CM26)</f>
        <v>298602.46562134114</v>
      </c>
      <c r="CL9" s="30">
        <f>+SUM(Producción!CN24:CN26)</f>
        <v>92602.465621341165</v>
      </c>
      <c r="CM9" s="30">
        <f>+SUM(Producción!CO24:CO26)</f>
        <v>92602.465621341165</v>
      </c>
      <c r="CN9" s="30">
        <f>+SUM(Producción!CP24:CP26)</f>
        <v>301380.53958998137</v>
      </c>
      <c r="CO9" s="30">
        <f>+SUM(Producción!CQ24:CQ26)</f>
        <v>95380.539589981403</v>
      </c>
      <c r="CP9" s="30">
        <f>+SUM(Producción!CR24:CR26)</f>
        <v>95380.539589981403</v>
      </c>
      <c r="CQ9" s="30">
        <f>+SUM(Producción!CS24:CS26)</f>
        <v>301380.53958998137</v>
      </c>
      <c r="CR9" s="30">
        <f>+SUM(Producción!CT24:CT26)</f>
        <v>95380.539589981403</v>
      </c>
      <c r="CS9" s="30">
        <f>+SUM(Producción!CU24:CU26)</f>
        <v>95380.539589981403</v>
      </c>
      <c r="CT9" s="30">
        <f>+SUM(Producción!CV24:CV26)</f>
        <v>301380.53958998137</v>
      </c>
      <c r="CU9" s="30">
        <f>+SUM(Producción!CW24:CW26)</f>
        <v>95380.539589981403</v>
      </c>
      <c r="CV9" s="30">
        <f>+SUM(Producción!CX24:CX26)</f>
        <v>95380.539589981403</v>
      </c>
      <c r="CW9" s="30">
        <f>+SUM(Producción!CY24:CY26)</f>
        <v>301380.53958998137</v>
      </c>
      <c r="CX9" s="30">
        <f>+SUM(Producción!CZ24:CZ26)</f>
        <v>95380.539589981403</v>
      </c>
      <c r="CY9" s="30">
        <f>+SUM(Producción!DA24:DA26)</f>
        <v>95380.539589981403</v>
      </c>
      <c r="CZ9" s="30">
        <f>+SUM(Producción!DB24:DB26)</f>
        <v>304241.95577768085</v>
      </c>
      <c r="DA9" s="30">
        <f>+SUM(Producción!DC24:DC26)</f>
        <v>98241.955777680851</v>
      </c>
      <c r="DB9" s="30">
        <f>+SUM(Producción!DD24:DD26)</f>
        <v>98241.955777680851</v>
      </c>
      <c r="DC9" s="30">
        <f>+SUM(Producción!DE24:DE26)</f>
        <v>304241.95577768085</v>
      </c>
      <c r="DD9" s="30">
        <f>+SUM(Producción!DF24:DF26)</f>
        <v>98241.955777680851</v>
      </c>
      <c r="DE9" s="30">
        <f>+SUM(Producción!DG24:DG26)</f>
        <v>98241.955777680851</v>
      </c>
      <c r="DF9" s="30">
        <f>+SUM(Producción!DH24:DH26)</f>
        <v>304241.95577768085</v>
      </c>
      <c r="DG9" s="30">
        <f>+SUM(Producción!DI24:DI26)</f>
        <v>98241.955777680851</v>
      </c>
      <c r="DH9" s="30">
        <f>+SUM(Producción!DJ24:DJ26)</f>
        <v>98241.955777680851</v>
      </c>
      <c r="DI9" s="30">
        <f>+SUM(Producción!DK24:DK26)</f>
        <v>304241.95577768085</v>
      </c>
      <c r="DJ9" s="30">
        <f>+SUM(Producción!DL24:DL26)</f>
        <v>98241.955777680851</v>
      </c>
      <c r="DK9" s="30">
        <f>+SUM(Producción!DM24:DM26)</f>
        <v>98241.955777680851</v>
      </c>
      <c r="DL9" s="30">
        <f>+SUM(Producción!DN24:DN26)</f>
        <v>307189.21445101127</v>
      </c>
      <c r="DM9" s="30">
        <f>+SUM(Producción!DO24:DO26)</f>
        <v>101189.21445101127</v>
      </c>
      <c r="DN9" s="30">
        <f>+SUM(Producción!DP24:DP26)</f>
        <v>101189.21445101127</v>
      </c>
      <c r="DO9" s="30">
        <f>+SUM(Producción!DQ24:DQ26)</f>
        <v>307189.21445101127</v>
      </c>
      <c r="DP9" s="30">
        <f>+SUM(Producción!DR24:DR26)</f>
        <v>101189.21445101127</v>
      </c>
      <c r="DQ9" s="30">
        <f>+SUM(Producción!DS24:DS26)</f>
        <v>101189.21445101127</v>
      </c>
      <c r="DR9" s="30">
        <f>+SUM(Producción!DT24:DT26)</f>
        <v>307189.21445101127</v>
      </c>
      <c r="DS9" s="30">
        <f>+SUM(Producción!DU24:DU26)</f>
        <v>101189.21445101127</v>
      </c>
      <c r="DT9" s="30">
        <f>+SUM(Producción!DV24:DV26)</f>
        <v>101189.21445101127</v>
      </c>
      <c r="DU9" s="30">
        <f>+SUM(Producción!DW24:DW26)</f>
        <v>307189.21445101127</v>
      </c>
      <c r="DV9" s="30">
        <f>+SUM(Producción!DX24:DX26)</f>
        <v>101189.21445101127</v>
      </c>
      <c r="DW9" s="30">
        <f>+SUM(Producción!DY24:DY26)</f>
        <v>101189.21445101127</v>
      </c>
      <c r="DX9" s="30">
        <f>+SUM(Producción!DZ24:DZ26)</f>
        <v>310224.89088454162</v>
      </c>
      <c r="DY9" s="30">
        <f>+SUM(Producción!EA24:EA26)</f>
        <v>104224.89088454162</v>
      </c>
      <c r="DZ9" s="30">
        <f>+SUM(Producción!EB24:EB26)</f>
        <v>104224.89088454162</v>
      </c>
      <c r="EA9" s="30">
        <f>+SUM(Producción!EC24:EC26)</f>
        <v>310224.89088454162</v>
      </c>
      <c r="EB9" s="30">
        <f>+SUM(Producción!ED24:ED26)</f>
        <v>104224.89088454162</v>
      </c>
      <c r="EC9" s="30">
        <f>+SUM(Producción!EE24:EE26)</f>
        <v>104224.89088454162</v>
      </c>
      <c r="ED9" s="30">
        <f>+SUM(Producción!EF24:EF26)</f>
        <v>310224.89088454162</v>
      </c>
      <c r="EE9" s="30">
        <f>+SUM(Producción!EG24:EG26)</f>
        <v>104224.89088454162</v>
      </c>
      <c r="EF9" s="30">
        <f>+SUM(Producción!EH24:EH26)</f>
        <v>104224.89088454162</v>
      </c>
      <c r="EG9" s="30">
        <f>+SUM(Producción!EI24:EI26)</f>
        <v>310224.89088454162</v>
      </c>
      <c r="EH9" s="30">
        <f>+SUM(Producción!EJ24:EJ26)</f>
        <v>104224.89088454162</v>
      </c>
      <c r="EI9" s="30">
        <f>+SUM(Producción!EK24:EK26)</f>
        <v>104224.89088454162</v>
      </c>
      <c r="EJ9" s="30">
        <f>+SUM(Producción!EL24:EL26)</f>
        <v>313351.63761107781</v>
      </c>
      <c r="EK9" s="30">
        <f>+SUM(Producción!EM24:EM26)</f>
        <v>107351.63761107787</v>
      </c>
      <c r="EL9" s="30">
        <f>+SUM(Producción!EN24:EN26)</f>
        <v>107351.63761107787</v>
      </c>
      <c r="EM9" s="30">
        <f>+SUM(Producción!EO24:EO26)</f>
        <v>313351.63761107781</v>
      </c>
      <c r="EN9" s="30">
        <f>+SUM(Producción!EP24:EP26)</f>
        <v>107351.63761107787</v>
      </c>
      <c r="EO9" s="30">
        <f>+SUM(Producción!EQ24:EQ26)</f>
        <v>107351.63761107787</v>
      </c>
      <c r="EP9" s="30">
        <f>+SUM(Producción!ER24:ER26)</f>
        <v>313351.63761107781</v>
      </c>
      <c r="EQ9" s="30">
        <f>+SUM(Producción!ES24:ES26)</f>
        <v>107351.63761107787</v>
      </c>
      <c r="ER9" s="30">
        <f>+SUM(Producción!ET24:ET26)</f>
        <v>107351.63761107787</v>
      </c>
      <c r="ES9" s="30">
        <f>+SUM(Producción!EU24:EU26)</f>
        <v>313351.63761107781</v>
      </c>
      <c r="ET9" s="30">
        <f>+SUM(Producción!EV24:EV26)</f>
        <v>107351.63761107787</v>
      </c>
      <c r="EU9" s="30">
        <f>+SUM(Producción!EW24:EW26)</f>
        <v>107351.63761107787</v>
      </c>
      <c r="EV9" s="30">
        <f>+SUM(Producción!EX24:EX26)</f>
        <v>316572.18673941022</v>
      </c>
      <c r="EW9" s="30">
        <f>+SUM(Producción!EY24:EY26)</f>
        <v>110572.18673941019</v>
      </c>
      <c r="EX9" s="30">
        <f>+SUM(Producción!EZ24:EZ26)</f>
        <v>110572.18673941019</v>
      </c>
      <c r="EY9" s="30">
        <f>+SUM(Producción!FA24:FA26)</f>
        <v>316572.18673941022</v>
      </c>
      <c r="EZ9" s="30">
        <f>+SUM(Producción!FB24:FB26)</f>
        <v>110572.18673941019</v>
      </c>
      <c r="FA9" s="30">
        <f>+SUM(Producción!FC24:FC26)</f>
        <v>110572.18673941019</v>
      </c>
      <c r="FB9" s="30">
        <f>+SUM(Producción!FD24:FD26)</f>
        <v>316572.18673941022</v>
      </c>
      <c r="FC9" s="30">
        <f>+SUM(Producción!FE24:FE26)</f>
        <v>110572.18673941019</v>
      </c>
      <c r="FD9" s="30">
        <f>+SUM(Producción!FF24:FF26)</f>
        <v>110572.18673941019</v>
      </c>
      <c r="FE9" s="30">
        <f>+SUM(Producción!FG24:FG26)</f>
        <v>316572.18673941022</v>
      </c>
      <c r="FF9" s="30">
        <f>+SUM(Producción!FH24:FH26)</f>
        <v>110572.18673941019</v>
      </c>
      <c r="FG9" s="30">
        <f>+SUM(Producción!FI24:FI26)</f>
        <v>110572.18673941019</v>
      </c>
      <c r="FH9" s="30">
        <f>+SUM(Producción!FJ24:FJ26)</f>
        <v>319889.35234159254</v>
      </c>
      <c r="FI9" s="30">
        <f>+SUM(Producción!FK24:FK26)</f>
        <v>113889.35234159252</v>
      </c>
      <c r="FJ9" s="30">
        <f>+SUM(Producción!FL24:FL26)</f>
        <v>113889.35234159252</v>
      </c>
      <c r="FK9" s="30">
        <f>+SUM(Producción!FM24:FM26)</f>
        <v>319889.35234159254</v>
      </c>
      <c r="FL9" s="30">
        <f>+SUM(Producción!FN24:FN26)</f>
        <v>113889.35234159252</v>
      </c>
      <c r="FM9" s="30">
        <f>+SUM(Producción!FO24:FO26)</f>
        <v>113889.35234159252</v>
      </c>
      <c r="FN9" s="30">
        <f>+SUM(Producción!FP24:FP26)</f>
        <v>319889.35234159254</v>
      </c>
      <c r="FO9" s="30">
        <f>+SUM(Producción!FQ24:FQ26)</f>
        <v>113889.35234159252</v>
      </c>
      <c r="FP9" s="30">
        <f>+SUM(Producción!FR24:FR26)</f>
        <v>113889.35234159252</v>
      </c>
      <c r="FQ9" s="30">
        <f>+SUM(Producción!FS24:FS26)</f>
        <v>319889.35234159254</v>
      </c>
      <c r="FR9" s="30">
        <f>+SUM(Producción!FT24:FT26)</f>
        <v>113889.35234159252</v>
      </c>
      <c r="FS9" s="30">
        <f>+SUM(Producción!FU24:FU26)</f>
        <v>113889.35234159252</v>
      </c>
      <c r="FT9" s="30">
        <f>+SUM(Producción!FV24:FV26)</f>
        <v>323306.03291184024</v>
      </c>
      <c r="FU9" s="30">
        <f>+SUM(Producción!FW24:FW26)</f>
        <v>117306.03291184029</v>
      </c>
      <c r="FV9" s="30">
        <f>+SUM(Producción!FX24:FX26)</f>
        <v>117306.03291184029</v>
      </c>
      <c r="FW9" s="30">
        <f>+SUM(Producción!FY24:FY26)</f>
        <v>323306.03291184024</v>
      </c>
      <c r="FX9" s="30">
        <f>+SUM(Producción!FZ24:FZ26)</f>
        <v>117306.03291184029</v>
      </c>
      <c r="FY9" s="30">
        <f>+SUM(Producción!GA24:GA26)</f>
        <v>117306.03291184029</v>
      </c>
      <c r="FZ9" s="30">
        <f>+SUM(Producción!GB24:GB26)</f>
        <v>323306.03291184024</v>
      </c>
      <c r="GA9" s="30">
        <f>+SUM(Producción!GC24:GC26)</f>
        <v>117306.03291184029</v>
      </c>
      <c r="GB9" s="30">
        <f>+SUM(Producción!GD24:GD26)</f>
        <v>117306.03291184029</v>
      </c>
      <c r="GC9" s="30">
        <f>+SUM(Producción!GE24:GE26)</f>
        <v>323306.03291184024</v>
      </c>
      <c r="GD9" s="30">
        <f>+SUM(Producción!GF24:GF26)</f>
        <v>117306.03291184029</v>
      </c>
      <c r="GE9" s="30">
        <f>+SUM(Producción!GG24:GG26)</f>
        <v>117306.03291184029</v>
      </c>
      <c r="GF9" s="30">
        <f>+SUM(Producción!GH24:GH26)</f>
        <v>326825.21389919549</v>
      </c>
      <c r="GG9" s="30">
        <f>+SUM(Producción!GI24:GI26)</f>
        <v>120825.2138991955</v>
      </c>
      <c r="GH9" s="30">
        <f>+SUM(Producción!GJ24:GJ26)</f>
        <v>120825.2138991955</v>
      </c>
      <c r="GI9" s="30">
        <f>+SUM(Producción!GK24:GK26)</f>
        <v>326825.21389919549</v>
      </c>
      <c r="GJ9" s="30">
        <f>+SUM(Producción!GL24:GL26)</f>
        <v>120825.2138991955</v>
      </c>
      <c r="GK9" s="30">
        <f>+SUM(Producción!GM24:GM26)</f>
        <v>120825.2138991955</v>
      </c>
      <c r="GL9" s="30">
        <f>+SUM(Producción!GN24:GN26)</f>
        <v>326825.21389919549</v>
      </c>
      <c r="GM9" s="30">
        <f>+SUM(Producción!GO24:GO26)</f>
        <v>120825.2138991955</v>
      </c>
      <c r="GN9" s="30">
        <f>+SUM(Producción!GP24:GP26)</f>
        <v>120825.2138991955</v>
      </c>
      <c r="GO9" s="30">
        <f>+SUM(Producción!GQ24:GQ26)</f>
        <v>326825.21389919549</v>
      </c>
      <c r="GP9" s="30">
        <f>+SUM(Producción!GR24:GR26)</f>
        <v>120825.2138991955</v>
      </c>
      <c r="GQ9" s="30">
        <f>+SUM(Producción!GS24:GS26)</f>
        <v>120825.2138991955</v>
      </c>
      <c r="GR9" s="30">
        <f>+SUM(Producción!GT24:GT26)</f>
        <v>330449.97031617136</v>
      </c>
      <c r="GS9" s="30">
        <f>+SUM(Producción!GU24:GU26)</f>
        <v>124449.97031617137</v>
      </c>
      <c r="GT9" s="30">
        <f>+SUM(Producción!GV24:GV26)</f>
        <v>124449.97031617137</v>
      </c>
      <c r="GU9" s="30">
        <f>+SUM(Producción!GW24:GW26)</f>
        <v>330449.97031617136</v>
      </c>
      <c r="GV9" s="30">
        <f>+SUM(Producción!GX24:GX26)</f>
        <v>124449.97031617137</v>
      </c>
      <c r="GW9" s="30">
        <f>+SUM(Producción!GY24:GY26)</f>
        <v>124449.97031617137</v>
      </c>
      <c r="GX9" s="30">
        <f>+SUM(Producción!GZ24:GZ26)</f>
        <v>330449.97031617136</v>
      </c>
      <c r="GY9" s="30">
        <f>+SUM(Producción!HA24:HA26)</f>
        <v>124449.97031617137</v>
      </c>
      <c r="GZ9" s="30">
        <f>+SUM(Producción!HB24:HB26)</f>
        <v>124449.97031617137</v>
      </c>
      <c r="HA9" s="30">
        <f>+SUM(Producción!HC24:HC26)</f>
        <v>330449.97031617136</v>
      </c>
      <c r="HB9" s="30">
        <f>+SUM(Producción!HD24:HD26)</f>
        <v>124449.97031617137</v>
      </c>
      <c r="HC9" s="30">
        <f>+SUM(Producción!HE24:HE26)</f>
        <v>124449.97031617137</v>
      </c>
      <c r="HD9" s="30">
        <f>+SUM(Producción!HF24:HF26)</f>
        <v>334183.46942565654</v>
      </c>
      <c r="HE9" s="30">
        <f>+SUM(Producción!HG24:HG26)</f>
        <v>128183.46942565651</v>
      </c>
      <c r="HF9" s="30">
        <f>+SUM(Producción!HH24:HH26)</f>
        <v>128183.46942565651</v>
      </c>
      <c r="HG9" s="30">
        <f>+SUM(Producción!HI24:HI26)</f>
        <v>334183.46942565654</v>
      </c>
      <c r="HH9" s="30">
        <f>+SUM(Producción!HJ24:HJ26)</f>
        <v>128183.46942565651</v>
      </c>
      <c r="HI9" s="30">
        <f>+SUM(Producción!HK24:HK26)</f>
        <v>128183.46942565651</v>
      </c>
      <c r="HJ9" s="30">
        <f>+SUM(Producción!HL24:HL26)</f>
        <v>334183.46942565654</v>
      </c>
      <c r="HK9" s="30">
        <f>+SUM(Producción!HM24:HM26)</f>
        <v>128183.46942565651</v>
      </c>
      <c r="HL9" s="30">
        <f>+SUM(Producción!HN24:HN26)</f>
        <v>128183.46942565651</v>
      </c>
      <c r="HM9" s="30">
        <f>+SUM(Producción!HO24:HO26)</f>
        <v>334183.46942565654</v>
      </c>
      <c r="HN9" s="30">
        <f>+SUM(Producción!HP24:HP26)</f>
        <v>128183.46942565651</v>
      </c>
      <c r="HO9" s="30">
        <f>+SUM(Producción!HQ24:HQ26)</f>
        <v>128183.46942565651</v>
      </c>
      <c r="HP9" s="30">
        <f>+SUM(Producción!HR24:HR26)</f>
        <v>338028.97350842622</v>
      </c>
      <c r="HQ9" s="30">
        <f>+SUM(Producción!HS24:HS26)</f>
        <v>132028.97350842622</v>
      </c>
      <c r="HR9" s="30">
        <f>+SUM(Producción!HT24:HT26)</f>
        <v>132028.97350842622</v>
      </c>
      <c r="HS9" s="30">
        <f>+SUM(Producción!HU24:HU26)</f>
        <v>338028.97350842622</v>
      </c>
      <c r="HT9" s="30">
        <f>+SUM(Producción!HV24:HV26)</f>
        <v>132028.97350842622</v>
      </c>
      <c r="HU9" s="30">
        <f>+SUM(Producción!HW24:HW26)</f>
        <v>132028.97350842622</v>
      </c>
      <c r="HV9" s="30">
        <f>+SUM(Producción!HX24:HX26)</f>
        <v>338028.97350842622</v>
      </c>
      <c r="HW9" s="30">
        <f>+SUM(Producción!HY24:HY26)</f>
        <v>132028.97350842622</v>
      </c>
      <c r="HX9" s="30">
        <f>+SUM(Producción!HZ24:HZ26)</f>
        <v>132028.97350842622</v>
      </c>
      <c r="HY9" s="30">
        <f>+SUM(Producción!IA24:IA26)</f>
        <v>338028.97350842622</v>
      </c>
      <c r="HZ9" s="30">
        <f>+SUM(Producción!IB24:IB26)</f>
        <v>132028.97350842622</v>
      </c>
      <c r="IA9" s="30">
        <f>+SUM(Producción!IC24:IC26)</f>
        <v>132028.97350842622</v>
      </c>
      <c r="IB9" s="30">
        <f>+SUM(Producción!ID24:ID26)</f>
        <v>341989.84271367895</v>
      </c>
      <c r="IC9" s="30">
        <f>+SUM(Producción!IE24:IE26)</f>
        <v>135989.84271367898</v>
      </c>
      <c r="ID9" s="30">
        <f>+SUM(Producción!IF24:IF26)</f>
        <v>135989.84271367898</v>
      </c>
      <c r="IE9" s="30">
        <f>+SUM(Producción!IG24:IG26)</f>
        <v>341989.84271367895</v>
      </c>
      <c r="IF9" s="30">
        <f>+SUM(Producción!IH24:IH26)</f>
        <v>135989.84271367898</v>
      </c>
      <c r="IG9" s="30">
        <f>+SUM(Producción!II24:II26)</f>
        <v>135989.84271367898</v>
      </c>
      <c r="IH9" s="30">
        <f>+SUM(Producción!IJ24:IJ26)</f>
        <v>341989.84271367895</v>
      </c>
      <c r="II9" s="30">
        <f>+SUM(Producción!IK24:IK26)</f>
        <v>137266.6675096089</v>
      </c>
      <c r="IJ9" s="30">
        <f>+SUM(Producción!IL24:IL26)</f>
        <v>138581.79704941675</v>
      </c>
      <c r="IK9" s="30">
        <f>+SUM(Producción!IM24:IM26)</f>
        <v>344581.79704941675</v>
      </c>
      <c r="IL9" s="30">
        <f>+SUM(Producción!IN24:IN26)</f>
        <v>138581.79704941675</v>
      </c>
      <c r="IM9" s="30">
        <f>+SUM(Producción!IO24:IO26)</f>
        <v>138581.79704941675</v>
      </c>
      <c r="IN9" s="30"/>
      <c r="IO9" s="30"/>
    </row>
    <row r="10" spans="1:249" x14ac:dyDescent="0.3">
      <c r="A10" t="s">
        <v>943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</row>
    <row r="12" spans="1:249" x14ac:dyDescent="0.3">
      <c r="A12" t="s">
        <v>922</v>
      </c>
      <c r="B12" s="33">
        <f>+B8-B9</f>
        <v>0</v>
      </c>
      <c r="C12" s="33">
        <f>+C8-C9</f>
        <v>0</v>
      </c>
      <c r="D12" s="33">
        <f t="shared" ref="D12:BO12" si="8">+D8-D9</f>
        <v>0</v>
      </c>
      <c r="E12" s="33">
        <f t="shared" si="8"/>
        <v>0</v>
      </c>
      <c r="F12" s="33">
        <f>+F8-F9</f>
        <v>0</v>
      </c>
      <c r="G12" s="33">
        <f t="shared" si="8"/>
        <v>0</v>
      </c>
      <c r="H12" s="33">
        <f t="shared" si="8"/>
        <v>0</v>
      </c>
      <c r="I12" s="33" t="e">
        <f>+I8-I9</f>
        <v>#REF!</v>
      </c>
      <c r="J12" s="33">
        <f ca="1">+J8-J9</f>
        <v>0</v>
      </c>
      <c r="K12" s="33">
        <f ca="1">+K8-K9</f>
        <v>278021.6345918703</v>
      </c>
      <c r="L12" s="33">
        <f t="shared" ca="1" si="8"/>
        <v>252552.48776191767</v>
      </c>
      <c r="M12" s="33">
        <f t="shared" ca="1" si="8"/>
        <v>244867.4362589386</v>
      </c>
      <c r="N12" s="33">
        <f t="shared" ca="1" si="8"/>
        <v>246135.54614909223</v>
      </c>
      <c r="O12" s="33">
        <f t="shared" ca="1" si="8"/>
        <v>261918.16683016066</v>
      </c>
      <c r="P12" s="33">
        <f t="shared" ca="1" si="8"/>
        <v>258074.98628871058</v>
      </c>
      <c r="Q12" s="33">
        <f t="shared" ca="1" si="8"/>
        <v>241516.47068493298</v>
      </c>
      <c r="R12" s="33">
        <f t="shared" ca="1" si="8"/>
        <v>217744.71900205518</v>
      </c>
      <c r="S12" s="33">
        <f t="shared" ca="1" si="8"/>
        <v>208097.43366792329</v>
      </c>
      <c r="T12" s="33">
        <f t="shared" ca="1" si="8"/>
        <v>219977.06364712282</v>
      </c>
      <c r="U12" s="33">
        <f t="shared" ca="1" si="8"/>
        <v>260327.03479212502</v>
      </c>
      <c r="V12" s="33">
        <f t="shared" ca="1" si="8"/>
        <v>239997.6239497932</v>
      </c>
      <c r="W12" s="33">
        <f t="shared" ca="1" si="8"/>
        <v>285777.87080589251</v>
      </c>
      <c r="X12" s="33">
        <f t="shared" ca="1" si="8"/>
        <v>259598.18675723489</v>
      </c>
      <c r="Y12" s="33">
        <f t="shared" ca="1" si="8"/>
        <v>251698.73800110121</v>
      </c>
      <c r="Z12" s="33">
        <f t="shared" ca="1" si="8"/>
        <v>253002.2255692108</v>
      </c>
      <c r="AA12" s="33">
        <f t="shared" ca="1" si="8"/>
        <v>269225.149157851</v>
      </c>
      <c r="AB12" s="33">
        <f t="shared" ca="1" si="8"/>
        <v>265545.43911267107</v>
      </c>
      <c r="AC12" s="33">
        <f t="shared" ca="1" si="8"/>
        <v>248507.60696825653</v>
      </c>
      <c r="AD12" s="33">
        <f t="shared" ca="1" si="8"/>
        <v>199047.73842429265</v>
      </c>
      <c r="AE12" s="33">
        <f t="shared" ca="1" si="8"/>
        <v>189121.19475906738</v>
      </c>
      <c r="AF12" s="33">
        <f t="shared" ca="1" si="8"/>
        <v>594.70237089585862</v>
      </c>
      <c r="AG12" s="33">
        <f t="shared" ca="1" si="8"/>
        <v>242112.67728186434</v>
      </c>
      <c r="AH12" s="33">
        <f t="shared" ca="1" si="8"/>
        <v>221194.79443447484</v>
      </c>
      <c r="AI12" s="33">
        <f t="shared" ca="1" si="8"/>
        <v>62300.234325846308</v>
      </c>
      <c r="AJ12" s="33">
        <f t="shared" ca="1" si="8"/>
        <v>241362.73140661861</v>
      </c>
      <c r="AK12" s="33">
        <f t="shared" ca="1" si="8"/>
        <v>233234.61864814741</v>
      </c>
      <c r="AL12" s="33">
        <f t="shared" ca="1" si="8"/>
        <v>28575.838049644663</v>
      </c>
      <c r="AM12" s="33">
        <f t="shared" ca="1" si="8"/>
        <v>251268.36385382112</v>
      </c>
      <c r="AN12" s="33">
        <f t="shared" ca="1" si="8"/>
        <v>247481.85161840945</v>
      </c>
      <c r="AO12" s="33">
        <f t="shared" ca="1" si="8"/>
        <v>23950.846604963124</v>
      </c>
      <c r="AP12" s="33">
        <f t="shared" ca="1" si="8"/>
        <v>204782.96876476245</v>
      </c>
      <c r="AQ12" s="33">
        <f t="shared" ca="1" si="8"/>
        <v>194569.09382537901</v>
      </c>
      <c r="AR12" s="33">
        <f t="shared" ca="1" si="8"/>
        <v>373.9200608129031</v>
      </c>
      <c r="AS12" s="33">
        <f t="shared" ca="1" si="8"/>
        <v>249093.66398967517</v>
      </c>
      <c r="AT12" s="33">
        <f t="shared" ca="1" si="8"/>
        <v>236645.04004692117</v>
      </c>
      <c r="AU12" s="33">
        <f t="shared" ca="1" si="8"/>
        <v>70039.239573272003</v>
      </c>
      <c r="AV12" s="33">
        <f t="shared" ca="1" si="8"/>
        <v>248322.01036688389</v>
      </c>
      <c r="AW12" s="33">
        <f t="shared" ca="1" si="8"/>
        <v>239958.62326981546</v>
      </c>
      <c r="AX12" s="33">
        <f t="shared" ca="1" si="8"/>
        <v>35338.665275892359</v>
      </c>
      <c r="AY12" s="33">
        <f t="shared" ca="1" si="8"/>
        <v>258514.36879730748</v>
      </c>
      <c r="AZ12" s="33">
        <f t="shared" ca="1" si="8"/>
        <v>254617.95797929069</v>
      </c>
      <c r="BA12" s="33">
        <f t="shared" ca="1" si="8"/>
        <v>30579.523773600638</v>
      </c>
      <c r="BB12" s="33">
        <f t="shared" ca="1" si="8"/>
        <v>210683.16996107853</v>
      </c>
      <c r="BC12" s="33">
        <f t="shared" ca="1" si="8"/>
        <v>200173.65776038609</v>
      </c>
      <c r="BD12" s="33">
        <f t="shared" ca="1" si="8"/>
        <v>6319.3555799911846</v>
      </c>
      <c r="BE12" s="33">
        <f t="shared" ca="1" si="8"/>
        <v>256275.60849040089</v>
      </c>
      <c r="BF12" s="33">
        <f t="shared" ca="1" si="8"/>
        <v>234129.25499503169</v>
      </c>
      <c r="BG12" s="33">
        <f t="shared" ca="1" si="8"/>
        <v>78001.114924650057</v>
      </c>
      <c r="BH12" s="33">
        <f t="shared" ca="1" si="8"/>
        <v>255481.61960649921</v>
      </c>
      <c r="BI12" s="33">
        <f t="shared" ca="1" si="8"/>
        <v>246876.15701200016</v>
      </c>
      <c r="BJ12" s="33">
        <f t="shared" ca="1" si="8"/>
        <v>42296.143881470198</v>
      </c>
      <c r="BK12" s="33">
        <f t="shared" ca="1" si="8"/>
        <v>265968.99250993435</v>
      </c>
      <c r="BL12" s="33">
        <f t="shared" ca="1" si="8"/>
        <v>260771.49840216339</v>
      </c>
      <c r="BM12" s="33">
        <f t="shared" ca="1" si="8"/>
        <v>36287.191104825004</v>
      </c>
      <c r="BN12" s="33">
        <f t="shared" ca="1" si="8"/>
        <v>215750.7325467832</v>
      </c>
      <c r="BO12" s="33">
        <f t="shared" ca="1" si="8"/>
        <v>204981.44676246334</v>
      </c>
      <c r="BP12" s="33">
        <f t="shared" ref="BP12:DR12" ca="1" si="9">+BP8-BP9</f>
        <v>11423.158521763224</v>
      </c>
      <c r="BQ12" s="33">
        <f t="shared" ca="1" si="9"/>
        <v>262465.9198374456</v>
      </c>
      <c r="BR12" s="33">
        <f t="shared" ca="1" si="9"/>
        <v>239772.15391208843</v>
      </c>
      <c r="BS12" s="33">
        <f t="shared" ca="1" si="9"/>
        <v>84876.743917915795</v>
      </c>
      <c r="BT12" s="33">
        <f t="shared" ca="1" si="9"/>
        <v>261652.30517702905</v>
      </c>
      <c r="BU12" s="33">
        <f t="shared" ca="1" si="9"/>
        <v>191066.54702093845</v>
      </c>
      <c r="BV12" s="33">
        <f t="shared" ca="1" si="9"/>
        <v>-13478.366946971917</v>
      </c>
      <c r="BW12" s="33">
        <f t="shared" ca="1" si="9"/>
        <v>210631.31824759083</v>
      </c>
      <c r="BX12" s="33">
        <f t="shared" ca="1" si="9"/>
        <v>205297.50890974051</v>
      </c>
      <c r="BY12" s="33">
        <f t="shared" ca="1" si="9"/>
        <v>-19643.189273959957</v>
      </c>
      <c r="BZ12" s="33">
        <f t="shared" ca="1" si="9"/>
        <v>159165.14785617852</v>
      </c>
      <c r="CA12" s="33">
        <f t="shared" ca="1" si="9"/>
        <v>148129.96063419431</v>
      </c>
      <c r="CB12" s="33">
        <f t="shared" ca="1" si="9"/>
        <v>-46978.511543821427</v>
      </c>
      <c r="CC12" s="33">
        <f t="shared" ca="1" si="9"/>
        <v>205176.38805383063</v>
      </c>
      <c r="CD12" s="33">
        <f t="shared" ca="1" si="9"/>
        <v>181922.29667083189</v>
      </c>
      <c r="CE12" s="33">
        <f t="shared" ca="1" si="9"/>
        <v>28288.695883504115</v>
      </c>
      <c r="CF12" s="33">
        <f t="shared" ca="1" si="9"/>
        <v>204342.68466030367</v>
      </c>
      <c r="CG12" s="33">
        <f t="shared" ca="1" si="9"/>
        <v>195306.78565294333</v>
      </c>
      <c r="CH12" s="33">
        <f t="shared" ca="1" si="9"/>
        <v>-9202.2011907725246</v>
      </c>
      <c r="CI12" s="33">
        <f t="shared" ca="1" si="9"/>
        <v>215354.62520008892</v>
      </c>
      <c r="CJ12" s="33">
        <f t="shared" ca="1" si="9"/>
        <v>209880.99946305164</v>
      </c>
      <c r="CK12" s="33">
        <f t="shared" ca="1" si="9"/>
        <v>-15526.837183625088</v>
      </c>
      <c r="CL12" s="33">
        <f t="shared" ca="1" si="9"/>
        <v>162610.86618868669</v>
      </c>
      <c r="CM12" s="33">
        <f t="shared" ca="1" si="9"/>
        <v>151303.51579998404</v>
      </c>
      <c r="CN12" s="33">
        <f t="shared" ca="1" si="9"/>
        <v>-43550.730479254475</v>
      </c>
      <c r="CO12" s="33">
        <f t="shared" ca="1" si="9"/>
        <v>209742.49721210139</v>
      </c>
      <c r="CP12" s="33">
        <f t="shared" ca="1" si="9"/>
        <v>195961.15040559662</v>
      </c>
      <c r="CQ12" s="33">
        <f t="shared" ca="1" si="9"/>
        <v>33572.808074258035</v>
      </c>
      <c r="CR12" s="33">
        <f t="shared" ca="1" si="9"/>
        <v>208888.23201467199</v>
      </c>
      <c r="CS12" s="33">
        <f t="shared" ca="1" si="9"/>
        <v>199629.47871054968</v>
      </c>
      <c r="CT12" s="33">
        <f t="shared" ca="1" si="9"/>
        <v>-4842.734958948975</v>
      </c>
      <c r="CU12" s="33">
        <f t="shared" ca="1" si="9"/>
        <v>220171.76238331405</v>
      </c>
      <c r="CV12" s="33">
        <f t="shared" ca="1" si="9"/>
        <v>214554.73169154246</v>
      </c>
      <c r="CW12" s="33">
        <f t="shared" ca="1" si="9"/>
        <v>-11331.225097523711</v>
      </c>
      <c r="CX12" s="33">
        <f t="shared" ca="1" si="9"/>
        <v>166120.07898807479</v>
      </c>
      <c r="CY12" s="33">
        <f t="shared" ca="1" si="9"/>
        <v>154534.16731115046</v>
      </c>
      <c r="CZ12" s="33">
        <f t="shared" ca="1" si="9"/>
        <v>-40060.401890424022</v>
      </c>
      <c r="DA12" s="33">
        <f t="shared" ca="1" si="9"/>
        <v>214397.91417061997</v>
      </c>
      <c r="DB12" s="33">
        <f t="shared" ca="1" si="9"/>
        <v>189983.29904258536</v>
      </c>
      <c r="DC12" s="33">
        <f t="shared" ca="1" si="9"/>
        <v>38963.107170162024</v>
      </c>
      <c r="DD12" s="33">
        <f t="shared" ca="1" si="9"/>
        <v>213522.60379410797</v>
      </c>
      <c r="DE12" s="33">
        <f t="shared" ca="1" si="9"/>
        <v>204035.75724452484</v>
      </c>
      <c r="DF12" s="33">
        <f t="shared" ca="1" si="9"/>
        <v>-398.81877214432461</v>
      </c>
      <c r="DG12" s="33">
        <f t="shared" ca="1" si="9"/>
        <v>225084.10863485257</v>
      </c>
      <c r="DH12" s="33">
        <f t="shared" ca="1" si="9"/>
        <v>219319.99495422613</v>
      </c>
      <c r="DI12" s="33">
        <f t="shared" ca="1" si="9"/>
        <v>-7055.3021327909082</v>
      </c>
      <c r="DJ12" s="33">
        <f t="shared" ca="1" si="9"/>
        <v>169693.49477585632</v>
      </c>
      <c r="DK12" s="33">
        <f t="shared" ca="1" si="9"/>
        <v>157822.48474876684</v>
      </c>
      <c r="DL12" s="33">
        <f t="shared" ca="1" si="9"/>
        <v>-36506.857928832411</v>
      </c>
      <c r="DM12" s="33">
        <f t="shared" ca="1" si="9"/>
        <v>219143.8878991587</v>
      </c>
      <c r="DN12" s="33">
        <f t="shared" ca="1" si="9"/>
        <v>194128.49428368034</v>
      </c>
      <c r="DO12" s="33">
        <f t="shared" ca="1" si="9"/>
        <v>44461.208684553392</v>
      </c>
      <c r="DP12" s="33">
        <f t="shared" ca="1" si="9"/>
        <v>218247.03847149707</v>
      </c>
      <c r="DQ12" s="33">
        <f t="shared" ca="1" si="9"/>
        <v>208526.74595969898</v>
      </c>
      <c r="DR12" s="33">
        <f t="shared" ca="1" si="9"/>
        <v>4130.690847331658</v>
      </c>
      <c r="DS12" s="33">
        <f ca="1">+DS8-DS9</f>
        <v>230093.04107533838</v>
      </c>
      <c r="DT12" s="33">
        <f t="shared" ref="DT12:DU12" ca="1" si="10">+DT8-DT9</f>
        <v>222456.55470544385</v>
      </c>
      <c r="DU12" s="33">
        <f t="shared" ca="1" si="10"/>
        <v>5786.913964022242</v>
      </c>
      <c r="DV12" s="33">
        <f ca="1">+DV8-DV9</f>
        <v>171879.3152604989</v>
      </c>
      <c r="DW12" s="33">
        <f t="shared" ref="DW12:DX12" ca="1" si="11">+DW8-DW9</f>
        <v>168479.88487702055</v>
      </c>
      <c r="DX12" s="33">
        <f t="shared" ca="1" si="11"/>
        <v>-34356.830268990481</v>
      </c>
      <c r="DY12" s="33">
        <f ca="1">+DY8-DY9</f>
        <v>222245.11932117899</v>
      </c>
      <c r="DZ12" s="33">
        <f t="shared" ref="DZ12:GK12" ca="1" si="12">+DZ8-DZ9</f>
        <v>196750.48342801462</v>
      </c>
      <c r="EA12" s="33">
        <f t="shared" ca="1" si="12"/>
        <v>48162.414041620097</v>
      </c>
      <c r="EB12" s="33">
        <f t="shared" ca="1" si="12"/>
        <v>221331.08814658731</v>
      </c>
      <c r="EC12" s="33">
        <f t="shared" ca="1" si="12"/>
        <v>211424.57529403694</v>
      </c>
      <c r="ED12" s="33">
        <f t="shared" ca="1" si="12"/>
        <v>7059.2483889906434</v>
      </c>
      <c r="EE12" s="33">
        <f t="shared" ca="1" si="12"/>
        <v>233404.03522136551</v>
      </c>
      <c r="EF12" s="33">
        <f t="shared" ca="1" si="12"/>
        <v>225583.92004627571</v>
      </c>
      <c r="EG12" s="33">
        <f t="shared" ca="1" si="12"/>
        <v>8711.1021035016165</v>
      </c>
      <c r="EH12" s="33">
        <f t="shared" ca="1" si="12"/>
        <v>174043.56082892179</v>
      </c>
      <c r="EI12" s="33">
        <f t="shared" ca="1" si="12"/>
        <v>170579.39661154523</v>
      </c>
      <c r="EJ12" s="33">
        <f t="shared" ca="1" si="12"/>
        <v>-32230.344777422026</v>
      </c>
      <c r="EK12" s="33">
        <f t="shared" ca="1" si="12"/>
        <v>225335.19512941124</v>
      </c>
      <c r="EL12" s="33">
        <f t="shared" ca="1" si="12"/>
        <v>210308.8874864119</v>
      </c>
      <c r="EM12" s="33">
        <f t="shared" ca="1" si="12"/>
        <v>51860.276632294932</v>
      </c>
      <c r="EN12" s="33">
        <f t="shared" ca="1" si="12"/>
        <v>224403.75846755871</v>
      </c>
      <c r="EO12" s="33">
        <f t="shared" ca="1" si="12"/>
        <v>214308.60031707148</v>
      </c>
      <c r="EP12" s="33">
        <f t="shared" ca="1" si="12"/>
        <v>9974.4017613865435</v>
      </c>
      <c r="EQ12" s="33">
        <f t="shared" ca="1" si="12"/>
        <v>236706.60527918633</v>
      </c>
      <c r="ER12" s="33">
        <f t="shared" ca="1" si="12"/>
        <v>228698.71640832268</v>
      </c>
      <c r="ES12" s="33">
        <f t="shared" ca="1" si="12"/>
        <v>11620.133308782126</v>
      </c>
      <c r="ET12" s="33">
        <f t="shared" ca="1" si="12"/>
        <v>176182.96974771557</v>
      </c>
      <c r="EU12" s="33">
        <f t="shared" ca="1" si="12"/>
        <v>172653.24715375213</v>
      </c>
      <c r="EV12" s="33">
        <f t="shared" ca="1" si="12"/>
        <v>-30130.749009117542</v>
      </c>
      <c r="EW12" s="33">
        <f t="shared" ca="1" si="12"/>
        <v>228410.65487874838</v>
      </c>
      <c r="EX12" s="33">
        <f t="shared" ca="1" si="12"/>
        <v>201938.86926009573</v>
      </c>
      <c r="EY12" s="33">
        <f t="shared" ca="1" si="12"/>
        <v>55551.264805772575</v>
      </c>
      <c r="EZ12" s="33">
        <f t="shared" ca="1" si="12"/>
        <v>227461.59102845649</v>
      </c>
      <c r="FA12" s="33">
        <f t="shared" ca="1" si="12"/>
        <v>217175.38472372349</v>
      </c>
      <c r="FB12" s="33">
        <f t="shared" ca="1" si="12"/>
        <v>12872.711012576066</v>
      </c>
      <c r="FC12" s="33">
        <f t="shared" ca="1" si="12"/>
        <v>239997.26590877734</v>
      </c>
      <c r="FD12" s="33">
        <f t="shared" ca="1" si="12"/>
        <v>231797.37502405085</v>
      </c>
      <c r="FE12" s="33">
        <f t="shared" ca="1" si="12"/>
        <v>14510.466394486197</v>
      </c>
      <c r="FF12" s="33">
        <f t="shared" ca="1" si="12"/>
        <v>178294.10399689098</v>
      </c>
      <c r="FG12" s="33">
        <f t="shared" ca="1" si="12"/>
        <v>174698.00727154108</v>
      </c>
      <c r="FH12" s="33">
        <f t="shared" ca="1" si="12"/>
        <v>-28061.570184415032</v>
      </c>
      <c r="FI12" s="33">
        <f t="shared" ca="1" si="12"/>
        <v>231467.84053742923</v>
      </c>
      <c r="FJ12" s="33">
        <f t="shared" ca="1" si="12"/>
        <v>204498.27025442591</v>
      </c>
      <c r="FK12" s="33">
        <f t="shared" ca="1" si="12"/>
        <v>59231.638020689832</v>
      </c>
      <c r="FL12" s="33">
        <f t="shared" ca="1" si="12"/>
        <v>230500.93016038739</v>
      </c>
      <c r="FM12" s="33">
        <f t="shared" ca="1" si="12"/>
        <v>220021.2984544893</v>
      </c>
      <c r="FN12" s="33">
        <f t="shared" ca="1" si="12"/>
        <v>15750.541857251723</v>
      </c>
      <c r="FO12" s="33">
        <f t="shared" ca="1" si="12"/>
        <v>243272.33023139244</v>
      </c>
      <c r="FP12" s="33">
        <f t="shared" ca="1" si="12"/>
        <v>234876.12431195515</v>
      </c>
      <c r="FQ12" s="33">
        <f t="shared" ca="1" si="12"/>
        <v>17378.361345354642</v>
      </c>
      <c r="FR12" s="33">
        <f t="shared" ca="1" si="12"/>
        <v>180373.34162824394</v>
      </c>
      <c r="FS12" s="33">
        <f t="shared" ca="1" si="12"/>
        <v>176710.06507395892</v>
      </c>
      <c r="FT12" s="33">
        <f t="shared" ca="1" si="12"/>
        <v>-26026.522956122004</v>
      </c>
      <c r="FU12" s="33">
        <f t="shared" ca="1" si="12"/>
        <v>234502.88774624007</v>
      </c>
      <c r="FV12" s="33">
        <f t="shared" ca="1" si="12"/>
        <v>207029.49032608175</v>
      </c>
      <c r="FW12" s="33">
        <f t="shared" ca="1" si="12"/>
        <v>62897.437490177108</v>
      </c>
      <c r="FX12" s="33">
        <f t="shared" ca="1" si="12"/>
        <v>233517.91420830844</v>
      </c>
      <c r="FY12" s="33">
        <f t="shared" ca="1" si="12"/>
        <v>222842.50916284957</v>
      </c>
      <c r="FZ12" s="33">
        <f t="shared" ca="1" si="12"/>
        <v>18604.057112696755</v>
      </c>
      <c r="GA12" s="33">
        <f t="shared" ca="1" si="12"/>
        <v>246527.90087404655</v>
      </c>
      <c r="GB12" s="33">
        <f t="shared" ca="1" si="12"/>
        <v>237930.98091961211</v>
      </c>
      <c r="GC12" s="33">
        <f t="shared" ca="1" si="12"/>
        <v>20219.870573520311</v>
      </c>
      <c r="GD12" s="33">
        <f t="shared" ca="1" si="12"/>
        <v>182416.86882388091</v>
      </c>
      <c r="GE12" s="33">
        <f t="shared" ca="1" si="12"/>
        <v>178685.61813797749</v>
      </c>
      <c r="GF12" s="33">
        <f t="shared" ca="1" si="12"/>
        <v>-24029.517480965587</v>
      </c>
      <c r="GG12" s="33">
        <f t="shared" ca="1" si="12"/>
        <v>237511.71673109598</v>
      </c>
      <c r="GH12" s="33">
        <f t="shared" ca="1" si="12"/>
        <v>221326.88333945093</v>
      </c>
      <c r="GI12" s="33">
        <f t="shared" ca="1" si="12"/>
        <v>66544.476453614829</v>
      </c>
      <c r="GJ12" s="33">
        <f t="shared" ca="1" si="12"/>
        <v>236508.4664619604</v>
      </c>
      <c r="GK12" s="33">
        <f t="shared" ca="1" si="12"/>
        <v>225634.97334510251</v>
      </c>
      <c r="GL12" s="33">
        <f t="shared" ref="GL12:IM12" ca="1" si="13">+GL8-GL9</f>
        <v>21429.207795796683</v>
      </c>
      <c r="GM12" s="33">
        <f t="shared" ca="1" si="13"/>
        <v>249759.86065805168</v>
      </c>
      <c r="GN12" s="33">
        <f t="shared" ca="1" si="13"/>
        <v>240957.74041184771</v>
      </c>
      <c r="GO12" s="33">
        <f t="shared" ca="1" si="13"/>
        <v>23030.829830164905</v>
      </c>
      <c r="GP12" s="33">
        <f t="shared" ca="1" si="13"/>
        <v>184420.67164379067</v>
      </c>
      <c r="GQ12" s="33">
        <f t="shared" ca="1" si="13"/>
        <v>180620.66532727057</v>
      </c>
      <c r="GR12" s="33">
        <f t="shared" ca="1" si="13"/>
        <v>-22074.66780663922</v>
      </c>
      <c r="GS12" s="33">
        <f t="shared" ca="1" si="13"/>
        <v>240490.02285607147</v>
      </c>
      <c r="GT12" s="33">
        <f t="shared" ca="1" si="13"/>
        <v>211991.19614020427</v>
      </c>
      <c r="GU12" s="33">
        <f t="shared" ca="1" si="13"/>
        <v>70168.330061117653</v>
      </c>
      <c r="GV12" s="33">
        <f t="shared" ca="1" si="13"/>
        <v>239468.28572804399</v>
      </c>
      <c r="GW12" s="33">
        <f t="shared" ca="1" si="13"/>
        <v>228394.42712004395</v>
      </c>
      <c r="GX12" s="33">
        <f t="shared" ca="1" si="13"/>
        <v>24221.723868481407</v>
      </c>
      <c r="GY12" s="33">
        <f t="shared" ca="1" si="13"/>
        <v>252963.86291831045</v>
      </c>
      <c r="GZ12" s="33">
        <f t="shared" ca="1" si="13"/>
        <v>243951.96759078978</v>
      </c>
      <c r="HA12" s="33">
        <f t="shared" ca="1" si="13"/>
        <v>25806.848758692155</v>
      </c>
      <c r="HB12" s="33">
        <f t="shared" ca="1" si="13"/>
        <v>186380.52745095355</v>
      </c>
      <c r="HC12" s="33">
        <f t="shared" ca="1" si="13"/>
        <v>182510.99829159718</v>
      </c>
      <c r="HD12" s="33">
        <f t="shared" ca="1" si="13"/>
        <v>-20166.300586120517</v>
      </c>
      <c r="HE12" s="33">
        <f t="shared" ca="1" si="13"/>
        <v>243433.26680348758</v>
      </c>
      <c r="HF12" s="33">
        <f t="shared" ca="1" si="13"/>
        <v>214413.0410988415</v>
      </c>
      <c r="HG12" s="33">
        <f t="shared" ca="1" si="13"/>
        <v>73764.324856262421</v>
      </c>
      <c r="HH12" s="33">
        <f t="shared" ca="1" si="13"/>
        <v>242392.83653027684</v>
      </c>
      <c r="HI12" s="33">
        <f t="shared" ca="1" si="13"/>
        <v>231116.37664547141</v>
      </c>
      <c r="HJ12" s="33">
        <f t="shared" ca="1" si="13"/>
        <v>26977.104618510872</v>
      </c>
      <c r="HK12" s="33">
        <f t="shared" ca="1" si="13"/>
        <v>256135.32143959249</v>
      </c>
      <c r="HL12" s="33">
        <f t="shared" ca="1" si="13"/>
        <v>246908.98643409761</v>
      </c>
      <c r="HM12" s="33">
        <f t="shared" ca="1" si="13"/>
        <v>28543.301076083793</v>
      </c>
      <c r="HN12" s="33">
        <f t="shared" ca="1" si="13"/>
        <v>188291.99600206673</v>
      </c>
      <c r="HO12" s="33">
        <f t="shared" ca="1" si="13"/>
        <v>184352.19263498866</v>
      </c>
      <c r="HP12" s="33">
        <f t="shared" ca="1" si="13"/>
        <v>-18308.964131344634</v>
      </c>
      <c r="HQ12" s="33">
        <f t="shared" ca="1" si="13"/>
        <v>246336.66436717822</v>
      </c>
      <c r="HR12" s="33">
        <f t="shared" ca="1" si="13"/>
        <v>216789.40467847069</v>
      </c>
      <c r="HS12" s="33">
        <f t="shared" ca="1" si="13"/>
        <v>77327.527842060896</v>
      </c>
      <c r="HT12" s="33">
        <f t="shared" ca="1" si="13"/>
        <v>245277.33892348857</v>
      </c>
      <c r="HU12" s="33">
        <f t="shared" ca="1" si="13"/>
        <v>233796.08815801644</v>
      </c>
      <c r="HV12" s="33">
        <f t="shared" ca="1" si="13"/>
        <v>29690.608662060578</v>
      </c>
      <c r="HW12" s="33">
        <f t="shared" ca="1" si="13"/>
        <v>259269.39999552502</v>
      </c>
      <c r="HX12" s="33">
        <f t="shared" ca="1" si="13"/>
        <v>249823.86963717244</v>
      </c>
      <c r="HY12" s="33">
        <f t="shared" ca="1" si="13"/>
        <v>31235.314368636173</v>
      </c>
      <c r="HZ12" s="33">
        <f t="shared" ca="1" si="13"/>
        <v>190150.4101915409</v>
      </c>
      <c r="IA12" s="33">
        <f t="shared" ca="1" si="13"/>
        <v>186139.59874052129</v>
      </c>
      <c r="IB12" s="33">
        <f t="shared" ca="1" si="13"/>
        <v>-16507.437818754581</v>
      </c>
      <c r="IC12" s="33">
        <f t="shared" ca="1" si="13"/>
        <v>249195.17584456716</v>
      </c>
      <c r="ID12" s="33">
        <f t="shared" ca="1" si="13"/>
        <v>231797.70765908764</v>
      </c>
      <c r="IE12" s="33">
        <f t="shared" ca="1" si="13"/>
        <v>80852.735114636715</v>
      </c>
      <c r="IF12" s="33">
        <f t="shared" ca="1" si="13"/>
        <v>248116.75790741559</v>
      </c>
      <c r="IG12" s="33">
        <f t="shared" ca="1" si="13"/>
        <v>236428.57762233328</v>
      </c>
      <c r="IH12" s="33">
        <f t="shared" ca="1" si="13"/>
        <v>32357.243554066576</v>
      </c>
      <c r="II12" s="33">
        <f t="shared" ca="1" si="13"/>
        <v>261084.17667958804</v>
      </c>
      <c r="IJ12" s="33">
        <f t="shared" ca="1" si="13"/>
        <v>251101.6689164486</v>
      </c>
      <c r="IK12" s="33">
        <f t="shared" ca="1" si="13"/>
        <v>33131.325801422819</v>
      </c>
      <c r="IL12" s="33">
        <f t="shared" ca="1" si="13"/>
        <v>191733.72961218946</v>
      </c>
      <c r="IM12" s="33">
        <f t="shared" ca="1" si="13"/>
        <v>188376.73183838959</v>
      </c>
      <c r="IN12" s="33"/>
      <c r="IO12" s="33"/>
    </row>
    <row r="13" spans="1:249" x14ac:dyDescent="0.3">
      <c r="A13" t="s">
        <v>923</v>
      </c>
      <c r="B13" s="33">
        <f>+B12</f>
        <v>0</v>
      </c>
      <c r="C13" s="33">
        <f>+B13+C12</f>
        <v>0</v>
      </c>
      <c r="D13" s="33">
        <f>+C13+D12</f>
        <v>0</v>
      </c>
      <c r="E13" s="33">
        <f>+D13+E12</f>
        <v>0</v>
      </c>
      <c r="F13" s="33">
        <f>+E13+F12</f>
        <v>0</v>
      </c>
      <c r="G13" s="33">
        <f t="shared" ref="G13:BR13" si="14">+F13+G12</f>
        <v>0</v>
      </c>
      <c r="H13" s="33">
        <f t="shared" si="14"/>
        <v>0</v>
      </c>
      <c r="I13" s="33" t="e">
        <f t="shared" si="14"/>
        <v>#REF!</v>
      </c>
      <c r="J13" s="33" t="e">
        <f t="shared" ca="1" si="14"/>
        <v>#REF!</v>
      </c>
      <c r="K13" s="33" t="e">
        <f t="shared" ca="1" si="14"/>
        <v>#REF!</v>
      </c>
      <c r="L13" s="33" t="e">
        <f t="shared" ca="1" si="14"/>
        <v>#REF!</v>
      </c>
      <c r="M13" s="33" t="e">
        <f t="shared" ca="1" si="14"/>
        <v>#REF!</v>
      </c>
      <c r="N13" s="33" t="e">
        <f t="shared" ca="1" si="14"/>
        <v>#REF!</v>
      </c>
      <c r="O13" s="33" t="e">
        <f t="shared" ca="1" si="14"/>
        <v>#REF!</v>
      </c>
      <c r="P13" s="33" t="e">
        <f t="shared" ca="1" si="14"/>
        <v>#REF!</v>
      </c>
      <c r="Q13" s="33" t="e">
        <f t="shared" ca="1" si="14"/>
        <v>#REF!</v>
      </c>
      <c r="R13" s="33" t="e">
        <f t="shared" ca="1" si="14"/>
        <v>#REF!</v>
      </c>
      <c r="S13" s="33" t="e">
        <f t="shared" ca="1" si="14"/>
        <v>#REF!</v>
      </c>
      <c r="T13" s="33" t="e">
        <f t="shared" ca="1" si="14"/>
        <v>#REF!</v>
      </c>
      <c r="U13" s="33" t="e">
        <f t="shared" ca="1" si="14"/>
        <v>#REF!</v>
      </c>
      <c r="V13" s="33" t="e">
        <f t="shared" ca="1" si="14"/>
        <v>#REF!</v>
      </c>
      <c r="W13" s="33" t="e">
        <f t="shared" ca="1" si="14"/>
        <v>#REF!</v>
      </c>
      <c r="X13" s="33" t="e">
        <f t="shared" ca="1" si="14"/>
        <v>#REF!</v>
      </c>
      <c r="Y13" s="33" t="e">
        <f t="shared" ca="1" si="14"/>
        <v>#REF!</v>
      </c>
      <c r="Z13" s="33" t="e">
        <f t="shared" ca="1" si="14"/>
        <v>#REF!</v>
      </c>
      <c r="AA13" s="33" t="e">
        <f t="shared" ca="1" si="14"/>
        <v>#REF!</v>
      </c>
      <c r="AB13" s="33" t="e">
        <f t="shared" ca="1" si="14"/>
        <v>#REF!</v>
      </c>
      <c r="AC13" s="33" t="e">
        <f t="shared" ca="1" si="14"/>
        <v>#REF!</v>
      </c>
      <c r="AD13" s="33" t="e">
        <f t="shared" ca="1" si="14"/>
        <v>#REF!</v>
      </c>
      <c r="AE13" s="33" t="e">
        <f t="shared" ca="1" si="14"/>
        <v>#REF!</v>
      </c>
      <c r="AF13" s="33" t="e">
        <f t="shared" ca="1" si="14"/>
        <v>#REF!</v>
      </c>
      <c r="AG13" s="33" t="e">
        <f t="shared" ca="1" si="14"/>
        <v>#REF!</v>
      </c>
      <c r="AH13" s="33" t="e">
        <f t="shared" ca="1" si="14"/>
        <v>#REF!</v>
      </c>
      <c r="AI13" s="33" t="e">
        <f t="shared" ca="1" si="14"/>
        <v>#REF!</v>
      </c>
      <c r="AJ13" s="33" t="e">
        <f t="shared" ca="1" si="14"/>
        <v>#REF!</v>
      </c>
      <c r="AK13" s="33" t="e">
        <f t="shared" ca="1" si="14"/>
        <v>#REF!</v>
      </c>
      <c r="AL13" s="33" t="e">
        <f t="shared" ca="1" si="14"/>
        <v>#REF!</v>
      </c>
      <c r="AM13" s="33" t="e">
        <f t="shared" ca="1" si="14"/>
        <v>#REF!</v>
      </c>
      <c r="AN13" s="33" t="e">
        <f t="shared" ca="1" si="14"/>
        <v>#REF!</v>
      </c>
      <c r="AO13" s="33" t="e">
        <f t="shared" ca="1" si="14"/>
        <v>#REF!</v>
      </c>
      <c r="AP13" s="33" t="e">
        <f t="shared" ca="1" si="14"/>
        <v>#REF!</v>
      </c>
      <c r="AQ13" s="33" t="e">
        <f t="shared" ca="1" si="14"/>
        <v>#REF!</v>
      </c>
      <c r="AR13" s="33" t="e">
        <f t="shared" ca="1" si="14"/>
        <v>#REF!</v>
      </c>
      <c r="AS13" s="33" t="e">
        <f t="shared" ca="1" si="14"/>
        <v>#REF!</v>
      </c>
      <c r="AT13" s="33" t="e">
        <f t="shared" ca="1" si="14"/>
        <v>#REF!</v>
      </c>
      <c r="AU13" s="33" t="e">
        <f t="shared" ca="1" si="14"/>
        <v>#REF!</v>
      </c>
      <c r="AV13" s="33" t="e">
        <f t="shared" ca="1" si="14"/>
        <v>#REF!</v>
      </c>
      <c r="AW13" s="33" t="e">
        <f t="shared" ca="1" si="14"/>
        <v>#REF!</v>
      </c>
      <c r="AX13" s="33" t="e">
        <f t="shared" ca="1" si="14"/>
        <v>#REF!</v>
      </c>
      <c r="AY13" s="33" t="e">
        <f t="shared" ca="1" si="14"/>
        <v>#REF!</v>
      </c>
      <c r="AZ13" s="33" t="e">
        <f t="shared" ca="1" si="14"/>
        <v>#REF!</v>
      </c>
      <c r="BA13" s="33" t="e">
        <f t="shared" ca="1" si="14"/>
        <v>#REF!</v>
      </c>
      <c r="BB13" s="33" t="e">
        <f t="shared" ca="1" si="14"/>
        <v>#REF!</v>
      </c>
      <c r="BC13" s="33" t="e">
        <f t="shared" ca="1" si="14"/>
        <v>#REF!</v>
      </c>
      <c r="BD13" s="33" t="e">
        <f t="shared" ca="1" si="14"/>
        <v>#REF!</v>
      </c>
      <c r="BE13" s="33" t="e">
        <f t="shared" ca="1" si="14"/>
        <v>#REF!</v>
      </c>
      <c r="BF13" s="33" t="e">
        <f t="shared" ca="1" si="14"/>
        <v>#REF!</v>
      </c>
      <c r="BG13" s="33" t="e">
        <f t="shared" ca="1" si="14"/>
        <v>#REF!</v>
      </c>
      <c r="BH13" s="33" t="e">
        <f t="shared" ca="1" si="14"/>
        <v>#REF!</v>
      </c>
      <c r="BI13" s="33" t="e">
        <f t="shared" ca="1" si="14"/>
        <v>#REF!</v>
      </c>
      <c r="BJ13" s="33" t="e">
        <f t="shared" ca="1" si="14"/>
        <v>#REF!</v>
      </c>
      <c r="BK13" s="33" t="e">
        <f t="shared" ca="1" si="14"/>
        <v>#REF!</v>
      </c>
      <c r="BL13" s="33" t="e">
        <f t="shared" ca="1" si="14"/>
        <v>#REF!</v>
      </c>
      <c r="BM13" s="33" t="e">
        <f t="shared" ca="1" si="14"/>
        <v>#REF!</v>
      </c>
      <c r="BN13" s="33" t="e">
        <f t="shared" ca="1" si="14"/>
        <v>#REF!</v>
      </c>
      <c r="BO13" s="33" t="e">
        <f t="shared" ca="1" si="14"/>
        <v>#REF!</v>
      </c>
      <c r="BP13" s="33" t="e">
        <f t="shared" ca="1" si="14"/>
        <v>#REF!</v>
      </c>
      <c r="BQ13" s="33" t="e">
        <f t="shared" ca="1" si="14"/>
        <v>#REF!</v>
      </c>
      <c r="BR13" s="33" t="e">
        <f t="shared" ca="1" si="14"/>
        <v>#REF!</v>
      </c>
      <c r="BS13" s="33" t="e">
        <f t="shared" ref="BS13:DR13" ca="1" si="15">+BR13+BS12</f>
        <v>#REF!</v>
      </c>
      <c r="BT13" s="33" t="e">
        <f t="shared" ca="1" si="15"/>
        <v>#REF!</v>
      </c>
      <c r="BU13" s="33" t="e">
        <f t="shared" ca="1" si="15"/>
        <v>#REF!</v>
      </c>
      <c r="BV13" s="33" t="e">
        <f t="shared" ca="1" si="15"/>
        <v>#REF!</v>
      </c>
      <c r="BW13" s="33" t="e">
        <f t="shared" ca="1" si="15"/>
        <v>#REF!</v>
      </c>
      <c r="BX13" s="33" t="e">
        <f t="shared" ca="1" si="15"/>
        <v>#REF!</v>
      </c>
      <c r="BY13" s="33" t="e">
        <f t="shared" ca="1" si="15"/>
        <v>#REF!</v>
      </c>
      <c r="BZ13" s="33" t="e">
        <f t="shared" ca="1" si="15"/>
        <v>#REF!</v>
      </c>
      <c r="CA13" s="33" t="e">
        <f t="shared" ca="1" si="15"/>
        <v>#REF!</v>
      </c>
      <c r="CB13" s="33" t="e">
        <f t="shared" ca="1" si="15"/>
        <v>#REF!</v>
      </c>
      <c r="CC13" s="33" t="e">
        <f t="shared" ca="1" si="15"/>
        <v>#REF!</v>
      </c>
      <c r="CD13" s="33" t="e">
        <f t="shared" ca="1" si="15"/>
        <v>#REF!</v>
      </c>
      <c r="CE13" s="33" t="e">
        <f t="shared" ca="1" si="15"/>
        <v>#REF!</v>
      </c>
      <c r="CF13" s="33" t="e">
        <f t="shared" ca="1" si="15"/>
        <v>#REF!</v>
      </c>
      <c r="CG13" s="33" t="e">
        <f t="shared" ca="1" si="15"/>
        <v>#REF!</v>
      </c>
      <c r="CH13" s="33" t="e">
        <f t="shared" ca="1" si="15"/>
        <v>#REF!</v>
      </c>
      <c r="CI13" s="33" t="e">
        <f t="shared" ca="1" si="15"/>
        <v>#REF!</v>
      </c>
      <c r="CJ13" s="33" t="e">
        <f t="shared" ca="1" si="15"/>
        <v>#REF!</v>
      </c>
      <c r="CK13" s="33" t="e">
        <f t="shared" ca="1" si="15"/>
        <v>#REF!</v>
      </c>
      <c r="CL13" s="33" t="e">
        <f t="shared" ca="1" si="15"/>
        <v>#REF!</v>
      </c>
      <c r="CM13" s="33" t="e">
        <f t="shared" ca="1" si="15"/>
        <v>#REF!</v>
      </c>
      <c r="CN13" s="33" t="e">
        <f t="shared" ca="1" si="15"/>
        <v>#REF!</v>
      </c>
      <c r="CO13" s="33" t="e">
        <f t="shared" ca="1" si="15"/>
        <v>#REF!</v>
      </c>
      <c r="CP13" s="33" t="e">
        <f t="shared" ca="1" si="15"/>
        <v>#REF!</v>
      </c>
      <c r="CQ13" s="33" t="e">
        <f t="shared" ca="1" si="15"/>
        <v>#REF!</v>
      </c>
      <c r="CR13" s="33" t="e">
        <f t="shared" ca="1" si="15"/>
        <v>#REF!</v>
      </c>
      <c r="CS13" s="33" t="e">
        <f t="shared" ca="1" si="15"/>
        <v>#REF!</v>
      </c>
      <c r="CT13" s="33" t="e">
        <f t="shared" ca="1" si="15"/>
        <v>#REF!</v>
      </c>
      <c r="CU13" s="33" t="e">
        <f t="shared" ca="1" si="15"/>
        <v>#REF!</v>
      </c>
      <c r="CV13" s="33" t="e">
        <f t="shared" ca="1" si="15"/>
        <v>#REF!</v>
      </c>
      <c r="CW13" s="33" t="e">
        <f t="shared" ca="1" si="15"/>
        <v>#REF!</v>
      </c>
      <c r="CX13" s="33" t="e">
        <f t="shared" ca="1" si="15"/>
        <v>#REF!</v>
      </c>
      <c r="CY13" s="33" t="e">
        <f t="shared" ca="1" si="15"/>
        <v>#REF!</v>
      </c>
      <c r="CZ13" s="33" t="e">
        <f t="shared" ca="1" si="15"/>
        <v>#REF!</v>
      </c>
      <c r="DA13" s="33" t="e">
        <f t="shared" ca="1" si="15"/>
        <v>#REF!</v>
      </c>
      <c r="DB13" s="33" t="e">
        <f t="shared" ca="1" si="15"/>
        <v>#REF!</v>
      </c>
      <c r="DC13" s="33" t="e">
        <f t="shared" ca="1" si="15"/>
        <v>#REF!</v>
      </c>
      <c r="DD13" s="33" t="e">
        <f t="shared" ca="1" si="15"/>
        <v>#REF!</v>
      </c>
      <c r="DE13" s="33" t="e">
        <f t="shared" ca="1" si="15"/>
        <v>#REF!</v>
      </c>
      <c r="DF13" s="33" t="e">
        <f t="shared" ca="1" si="15"/>
        <v>#REF!</v>
      </c>
      <c r="DG13" s="33" t="e">
        <f t="shared" ca="1" si="15"/>
        <v>#REF!</v>
      </c>
      <c r="DH13" s="33" t="e">
        <f t="shared" ca="1" si="15"/>
        <v>#REF!</v>
      </c>
      <c r="DI13" s="33" t="e">
        <f t="shared" ca="1" si="15"/>
        <v>#REF!</v>
      </c>
      <c r="DJ13" s="33" t="e">
        <f t="shared" ca="1" si="15"/>
        <v>#REF!</v>
      </c>
      <c r="DK13" s="33" t="e">
        <f t="shared" ca="1" si="15"/>
        <v>#REF!</v>
      </c>
      <c r="DL13" s="33" t="e">
        <f t="shared" ca="1" si="15"/>
        <v>#REF!</v>
      </c>
      <c r="DM13" s="33" t="e">
        <f t="shared" ca="1" si="15"/>
        <v>#REF!</v>
      </c>
      <c r="DN13" s="33" t="e">
        <f t="shared" ca="1" si="15"/>
        <v>#REF!</v>
      </c>
      <c r="DO13" s="33" t="e">
        <f t="shared" ca="1" si="15"/>
        <v>#REF!</v>
      </c>
      <c r="DP13" s="33" t="e">
        <f t="shared" ca="1" si="15"/>
        <v>#REF!</v>
      </c>
      <c r="DQ13" s="33" t="e">
        <f t="shared" ca="1" si="15"/>
        <v>#REF!</v>
      </c>
      <c r="DR13" s="33" t="e">
        <f t="shared" ca="1" si="15"/>
        <v>#REF!</v>
      </c>
      <c r="DS13" s="33" t="e">
        <f ca="1">+DR13+DS12</f>
        <v>#REF!</v>
      </c>
      <c r="DT13" s="33" t="e">
        <f ca="1">+DS13+DT12</f>
        <v>#REF!</v>
      </c>
      <c r="DU13" s="33" t="e">
        <f ca="1">+DT13+DU12</f>
        <v>#REF!</v>
      </c>
      <c r="DV13" s="33" t="e">
        <f ca="1">+DU13+DV12</f>
        <v>#REF!</v>
      </c>
      <c r="DW13" s="33" t="e">
        <f t="shared" ref="DW13:GH13" ca="1" si="16">+DV13+DW12</f>
        <v>#REF!</v>
      </c>
      <c r="DX13" s="33" t="e">
        <f t="shared" ca="1" si="16"/>
        <v>#REF!</v>
      </c>
      <c r="DY13" s="33" t="e">
        <f t="shared" ca="1" si="16"/>
        <v>#REF!</v>
      </c>
      <c r="DZ13" s="33" t="e">
        <f t="shared" ca="1" si="16"/>
        <v>#REF!</v>
      </c>
      <c r="EA13" s="33" t="e">
        <f t="shared" ca="1" si="16"/>
        <v>#REF!</v>
      </c>
      <c r="EB13" s="33" t="e">
        <f t="shared" ca="1" si="16"/>
        <v>#REF!</v>
      </c>
      <c r="EC13" s="33" t="e">
        <f t="shared" ca="1" si="16"/>
        <v>#REF!</v>
      </c>
      <c r="ED13" s="33" t="e">
        <f t="shared" ca="1" si="16"/>
        <v>#REF!</v>
      </c>
      <c r="EE13" s="33" t="e">
        <f t="shared" ca="1" si="16"/>
        <v>#REF!</v>
      </c>
      <c r="EF13" s="33" t="e">
        <f t="shared" ca="1" si="16"/>
        <v>#REF!</v>
      </c>
      <c r="EG13" s="33" t="e">
        <f t="shared" ca="1" si="16"/>
        <v>#REF!</v>
      </c>
      <c r="EH13" s="33" t="e">
        <f t="shared" ca="1" si="16"/>
        <v>#REF!</v>
      </c>
      <c r="EI13" s="33" t="e">
        <f t="shared" ca="1" si="16"/>
        <v>#REF!</v>
      </c>
      <c r="EJ13" s="33" t="e">
        <f t="shared" ca="1" si="16"/>
        <v>#REF!</v>
      </c>
      <c r="EK13" s="33" t="e">
        <f t="shared" ca="1" si="16"/>
        <v>#REF!</v>
      </c>
      <c r="EL13" s="33" t="e">
        <f t="shared" ca="1" si="16"/>
        <v>#REF!</v>
      </c>
      <c r="EM13" s="33" t="e">
        <f t="shared" ca="1" si="16"/>
        <v>#REF!</v>
      </c>
      <c r="EN13" s="33" t="e">
        <f t="shared" ca="1" si="16"/>
        <v>#REF!</v>
      </c>
      <c r="EO13" s="33" t="e">
        <f t="shared" ca="1" si="16"/>
        <v>#REF!</v>
      </c>
      <c r="EP13" s="33" t="e">
        <f t="shared" ca="1" si="16"/>
        <v>#REF!</v>
      </c>
      <c r="EQ13" s="33" t="e">
        <f t="shared" ca="1" si="16"/>
        <v>#REF!</v>
      </c>
      <c r="ER13" s="33" t="e">
        <f t="shared" ca="1" si="16"/>
        <v>#REF!</v>
      </c>
      <c r="ES13" s="33" t="e">
        <f t="shared" ca="1" si="16"/>
        <v>#REF!</v>
      </c>
      <c r="ET13" s="33" t="e">
        <f t="shared" ca="1" si="16"/>
        <v>#REF!</v>
      </c>
      <c r="EU13" s="33" t="e">
        <f t="shared" ca="1" si="16"/>
        <v>#REF!</v>
      </c>
      <c r="EV13" s="33" t="e">
        <f t="shared" ca="1" si="16"/>
        <v>#REF!</v>
      </c>
      <c r="EW13" s="33" t="e">
        <f t="shared" ca="1" si="16"/>
        <v>#REF!</v>
      </c>
      <c r="EX13" s="33" t="e">
        <f t="shared" ca="1" si="16"/>
        <v>#REF!</v>
      </c>
      <c r="EY13" s="33" t="e">
        <f t="shared" ca="1" si="16"/>
        <v>#REF!</v>
      </c>
      <c r="EZ13" s="33" t="e">
        <f t="shared" ca="1" si="16"/>
        <v>#REF!</v>
      </c>
      <c r="FA13" s="33" t="e">
        <f t="shared" ca="1" si="16"/>
        <v>#REF!</v>
      </c>
      <c r="FB13" s="33" t="e">
        <f t="shared" ca="1" si="16"/>
        <v>#REF!</v>
      </c>
      <c r="FC13" s="33" t="e">
        <f t="shared" ca="1" si="16"/>
        <v>#REF!</v>
      </c>
      <c r="FD13" s="33" t="e">
        <f t="shared" ca="1" si="16"/>
        <v>#REF!</v>
      </c>
      <c r="FE13" s="33" t="e">
        <f t="shared" ca="1" si="16"/>
        <v>#REF!</v>
      </c>
      <c r="FF13" s="33" t="e">
        <f t="shared" ca="1" si="16"/>
        <v>#REF!</v>
      </c>
      <c r="FG13" s="33" t="e">
        <f t="shared" ca="1" si="16"/>
        <v>#REF!</v>
      </c>
      <c r="FH13" s="33" t="e">
        <f t="shared" ca="1" si="16"/>
        <v>#REF!</v>
      </c>
      <c r="FI13" s="33" t="e">
        <f t="shared" ca="1" si="16"/>
        <v>#REF!</v>
      </c>
      <c r="FJ13" s="33" t="e">
        <f t="shared" ca="1" si="16"/>
        <v>#REF!</v>
      </c>
      <c r="FK13" s="33" t="e">
        <f t="shared" ca="1" si="16"/>
        <v>#REF!</v>
      </c>
      <c r="FL13" s="33" t="e">
        <f t="shared" ca="1" si="16"/>
        <v>#REF!</v>
      </c>
      <c r="FM13" s="33" t="e">
        <f t="shared" ca="1" si="16"/>
        <v>#REF!</v>
      </c>
      <c r="FN13" s="33" t="e">
        <f t="shared" ca="1" si="16"/>
        <v>#REF!</v>
      </c>
      <c r="FO13" s="33" t="e">
        <f t="shared" ca="1" si="16"/>
        <v>#REF!</v>
      </c>
      <c r="FP13" s="33" t="e">
        <f t="shared" ca="1" si="16"/>
        <v>#REF!</v>
      </c>
      <c r="FQ13" s="33" t="e">
        <f t="shared" ca="1" si="16"/>
        <v>#REF!</v>
      </c>
      <c r="FR13" s="33" t="e">
        <f t="shared" ca="1" si="16"/>
        <v>#REF!</v>
      </c>
      <c r="FS13" s="33" t="e">
        <f t="shared" ca="1" si="16"/>
        <v>#REF!</v>
      </c>
      <c r="FT13" s="33" t="e">
        <f t="shared" ca="1" si="16"/>
        <v>#REF!</v>
      </c>
      <c r="FU13" s="33" t="e">
        <f t="shared" ca="1" si="16"/>
        <v>#REF!</v>
      </c>
      <c r="FV13" s="33" t="e">
        <f t="shared" ca="1" si="16"/>
        <v>#REF!</v>
      </c>
      <c r="FW13" s="33" t="e">
        <f t="shared" ca="1" si="16"/>
        <v>#REF!</v>
      </c>
      <c r="FX13" s="33" t="e">
        <f t="shared" ca="1" si="16"/>
        <v>#REF!</v>
      </c>
      <c r="FY13" s="33" t="e">
        <f t="shared" ca="1" si="16"/>
        <v>#REF!</v>
      </c>
      <c r="FZ13" s="33" t="e">
        <f t="shared" ca="1" si="16"/>
        <v>#REF!</v>
      </c>
      <c r="GA13" s="33" t="e">
        <f t="shared" ca="1" si="16"/>
        <v>#REF!</v>
      </c>
      <c r="GB13" s="33" t="e">
        <f t="shared" ca="1" si="16"/>
        <v>#REF!</v>
      </c>
      <c r="GC13" s="33" t="e">
        <f t="shared" ca="1" si="16"/>
        <v>#REF!</v>
      </c>
      <c r="GD13" s="33" t="e">
        <f t="shared" ca="1" si="16"/>
        <v>#REF!</v>
      </c>
      <c r="GE13" s="33" t="e">
        <f t="shared" ca="1" si="16"/>
        <v>#REF!</v>
      </c>
      <c r="GF13" s="33" t="e">
        <f t="shared" ca="1" si="16"/>
        <v>#REF!</v>
      </c>
      <c r="GG13" s="33" t="e">
        <f t="shared" ca="1" si="16"/>
        <v>#REF!</v>
      </c>
      <c r="GH13" s="33" t="e">
        <f t="shared" ca="1" si="16"/>
        <v>#REF!</v>
      </c>
      <c r="GI13" s="33" t="e">
        <f t="shared" ref="GI13:IM13" ca="1" si="17">+GH13+GI12</f>
        <v>#REF!</v>
      </c>
      <c r="GJ13" s="33" t="e">
        <f t="shared" ca="1" si="17"/>
        <v>#REF!</v>
      </c>
      <c r="GK13" s="33" t="e">
        <f t="shared" ca="1" si="17"/>
        <v>#REF!</v>
      </c>
      <c r="GL13" s="33" t="e">
        <f t="shared" ca="1" si="17"/>
        <v>#REF!</v>
      </c>
      <c r="GM13" s="33" t="e">
        <f t="shared" ca="1" si="17"/>
        <v>#REF!</v>
      </c>
      <c r="GN13" s="33" t="e">
        <f t="shared" ca="1" si="17"/>
        <v>#REF!</v>
      </c>
      <c r="GO13" s="33" t="e">
        <f t="shared" ca="1" si="17"/>
        <v>#REF!</v>
      </c>
      <c r="GP13" s="33" t="e">
        <f t="shared" ca="1" si="17"/>
        <v>#REF!</v>
      </c>
      <c r="GQ13" s="33" t="e">
        <f t="shared" ca="1" si="17"/>
        <v>#REF!</v>
      </c>
      <c r="GR13" s="33" t="e">
        <f t="shared" ca="1" si="17"/>
        <v>#REF!</v>
      </c>
      <c r="GS13" s="33" t="e">
        <f t="shared" ca="1" si="17"/>
        <v>#REF!</v>
      </c>
      <c r="GT13" s="33" t="e">
        <f t="shared" ca="1" si="17"/>
        <v>#REF!</v>
      </c>
      <c r="GU13" s="33" t="e">
        <f t="shared" ca="1" si="17"/>
        <v>#REF!</v>
      </c>
      <c r="GV13" s="33" t="e">
        <f t="shared" ca="1" si="17"/>
        <v>#REF!</v>
      </c>
      <c r="GW13" s="33" t="e">
        <f t="shared" ca="1" si="17"/>
        <v>#REF!</v>
      </c>
      <c r="GX13" s="33" t="e">
        <f t="shared" ca="1" si="17"/>
        <v>#REF!</v>
      </c>
      <c r="GY13" s="33" t="e">
        <f t="shared" ca="1" si="17"/>
        <v>#REF!</v>
      </c>
      <c r="GZ13" s="33" t="e">
        <f t="shared" ca="1" si="17"/>
        <v>#REF!</v>
      </c>
      <c r="HA13" s="33" t="e">
        <f t="shared" ca="1" si="17"/>
        <v>#REF!</v>
      </c>
      <c r="HB13" s="33" t="e">
        <f t="shared" ca="1" si="17"/>
        <v>#REF!</v>
      </c>
      <c r="HC13" s="33" t="e">
        <f t="shared" ca="1" si="17"/>
        <v>#REF!</v>
      </c>
      <c r="HD13" s="33" t="e">
        <f t="shared" ca="1" si="17"/>
        <v>#REF!</v>
      </c>
      <c r="HE13" s="33" t="e">
        <f t="shared" ca="1" si="17"/>
        <v>#REF!</v>
      </c>
      <c r="HF13" s="33" t="e">
        <f t="shared" ca="1" si="17"/>
        <v>#REF!</v>
      </c>
      <c r="HG13" s="33" t="e">
        <f t="shared" ca="1" si="17"/>
        <v>#REF!</v>
      </c>
      <c r="HH13" s="33" t="e">
        <f t="shared" ca="1" si="17"/>
        <v>#REF!</v>
      </c>
      <c r="HI13" s="33" t="e">
        <f t="shared" ca="1" si="17"/>
        <v>#REF!</v>
      </c>
      <c r="HJ13" s="33" t="e">
        <f t="shared" ca="1" si="17"/>
        <v>#REF!</v>
      </c>
      <c r="HK13" s="33" t="e">
        <f t="shared" ca="1" si="17"/>
        <v>#REF!</v>
      </c>
      <c r="HL13" s="33" t="e">
        <f t="shared" ca="1" si="17"/>
        <v>#REF!</v>
      </c>
      <c r="HM13" s="33" t="e">
        <f t="shared" ca="1" si="17"/>
        <v>#REF!</v>
      </c>
      <c r="HN13" s="33" t="e">
        <f t="shared" ca="1" si="17"/>
        <v>#REF!</v>
      </c>
      <c r="HO13" s="33" t="e">
        <f t="shared" ca="1" si="17"/>
        <v>#REF!</v>
      </c>
      <c r="HP13" s="33" t="e">
        <f t="shared" ca="1" si="17"/>
        <v>#REF!</v>
      </c>
      <c r="HQ13" s="33" t="e">
        <f t="shared" ca="1" si="17"/>
        <v>#REF!</v>
      </c>
      <c r="HR13" s="33" t="e">
        <f t="shared" ca="1" si="17"/>
        <v>#REF!</v>
      </c>
      <c r="HS13" s="33" t="e">
        <f t="shared" ca="1" si="17"/>
        <v>#REF!</v>
      </c>
      <c r="HT13" s="33" t="e">
        <f t="shared" ca="1" si="17"/>
        <v>#REF!</v>
      </c>
      <c r="HU13" s="33" t="e">
        <f t="shared" ca="1" si="17"/>
        <v>#REF!</v>
      </c>
      <c r="HV13" s="33" t="e">
        <f t="shared" ca="1" si="17"/>
        <v>#REF!</v>
      </c>
      <c r="HW13" s="33" t="e">
        <f t="shared" ca="1" si="17"/>
        <v>#REF!</v>
      </c>
      <c r="HX13" s="33" t="e">
        <f t="shared" ca="1" si="17"/>
        <v>#REF!</v>
      </c>
      <c r="HY13" s="33" t="e">
        <f t="shared" ca="1" si="17"/>
        <v>#REF!</v>
      </c>
      <c r="HZ13" s="33" t="e">
        <f t="shared" ca="1" si="17"/>
        <v>#REF!</v>
      </c>
      <c r="IA13" s="33" t="e">
        <f t="shared" ca="1" si="17"/>
        <v>#REF!</v>
      </c>
      <c r="IB13" s="33" t="e">
        <f t="shared" ca="1" si="17"/>
        <v>#REF!</v>
      </c>
      <c r="IC13" s="33" t="e">
        <f t="shared" ca="1" si="17"/>
        <v>#REF!</v>
      </c>
      <c r="ID13" s="33" t="e">
        <f t="shared" ca="1" si="17"/>
        <v>#REF!</v>
      </c>
      <c r="IE13" s="33" t="e">
        <f t="shared" ca="1" si="17"/>
        <v>#REF!</v>
      </c>
      <c r="IF13" s="33" t="e">
        <f t="shared" ca="1" si="17"/>
        <v>#REF!</v>
      </c>
      <c r="IG13" s="33" t="e">
        <f t="shared" ca="1" si="17"/>
        <v>#REF!</v>
      </c>
      <c r="IH13" s="33" t="e">
        <f t="shared" ca="1" si="17"/>
        <v>#REF!</v>
      </c>
      <c r="II13" s="33" t="e">
        <f t="shared" ca="1" si="17"/>
        <v>#REF!</v>
      </c>
      <c r="IJ13" s="33" t="e">
        <f t="shared" ca="1" si="17"/>
        <v>#REF!</v>
      </c>
      <c r="IK13" s="33" t="e">
        <f t="shared" ca="1" si="17"/>
        <v>#REF!</v>
      </c>
      <c r="IL13" s="33" t="e">
        <f t="shared" ca="1" si="17"/>
        <v>#REF!</v>
      </c>
      <c r="IM13" s="33" t="e">
        <f t="shared" ca="1" si="17"/>
        <v>#REF!</v>
      </c>
      <c r="IN13" s="33"/>
      <c r="IO13" s="33"/>
    </row>
    <row r="15" spans="1:249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9" x14ac:dyDescent="0.3">
      <c r="B16" t="s">
        <v>947</v>
      </c>
      <c r="C16" s="30">
        <f>+SUMIFS(8:8,2:2,C15)</f>
        <v>0</v>
      </c>
      <c r="D16" s="30">
        <f t="shared" ref="D16:M16" ca="1" si="18">+SUMIFS(8:8,2:2,D15)</f>
        <v>2208928.8812356014</v>
      </c>
      <c r="E16" s="30">
        <f t="shared" ca="1" si="18"/>
        <v>2991825.8719446193</v>
      </c>
      <c r="F16" s="30">
        <f t="shared" ca="1" si="18"/>
        <v>3078428.7211848274</v>
      </c>
      <c r="G16" s="30">
        <f t="shared" ca="1" si="18"/>
        <v>3176609.8408549363</v>
      </c>
      <c r="H16" s="30">
        <f t="shared" ca="1" si="18"/>
        <v>3254957.2158162124</v>
      </c>
      <c r="I16" s="30">
        <f t="shared" ca="1" si="18"/>
        <v>3335384.9540633587</v>
      </c>
      <c r="J16" s="30">
        <f t="shared" ca="1" si="18"/>
        <v>3417708.8951110998</v>
      </c>
      <c r="K16" s="30">
        <f t="shared" ca="1" si="18"/>
        <v>3512016.6913353093</v>
      </c>
      <c r="L16" s="30">
        <f t="shared" ca="1" si="18"/>
        <v>3588211.7110725134</v>
      </c>
      <c r="M16" s="30">
        <f t="shared" ca="1" si="18"/>
        <v>3689097.4915115465</v>
      </c>
      <c r="N16" s="30">
        <f ca="1">+SUMIFS(8:8,2:2,N15)</f>
        <v>3759636.8037775471</v>
      </c>
      <c r="O16" s="30">
        <f t="shared" ref="O16:W16" ca="1" si="19">+SUMIFS(8:8,2:2,O15)</f>
        <v>3842042.0982474061</v>
      </c>
      <c r="P16" s="30">
        <f t="shared" ca="1" si="19"/>
        <v>3903443.186168924</v>
      </c>
      <c r="Q16" s="30">
        <f t="shared" ca="1" si="19"/>
        <v>3976691.399790274</v>
      </c>
      <c r="R16" s="30">
        <f t="shared" ca="1" si="19"/>
        <v>4050821.4073613528</v>
      </c>
      <c r="S16" s="30">
        <f t="shared" ca="1" si="19"/>
        <v>4137618.5413075266</v>
      </c>
      <c r="T16" s="30">
        <f t="shared" ca="1" si="19"/>
        <v>4201673.166771723</v>
      </c>
      <c r="U16" s="30">
        <f t="shared" ca="1" si="19"/>
        <v>4278364.0806614384</v>
      </c>
      <c r="V16" s="30">
        <f t="shared" ca="1" si="19"/>
        <v>4355874.9435344413</v>
      </c>
      <c r="W16" s="30">
        <f t="shared" ca="1" si="19"/>
        <v>4455191.147434419</v>
      </c>
    </row>
    <row r="17" spans="1:242" x14ac:dyDescent="0.3">
      <c r="B17" t="s">
        <v>948</v>
      </c>
      <c r="C17" s="30">
        <f>+SUMIFS(9:9,2:2,C15)</f>
        <v>0</v>
      </c>
      <c r="D17" s="30" t="e">
        <f>+SUMIFS(9:9,2:2,D15)</f>
        <v>#REF!</v>
      </c>
      <c r="E17" s="30">
        <f t="shared" ref="E17:W17" si="20">+SUMIFS(9:9,2:2,E15)</f>
        <v>50000</v>
      </c>
      <c r="F17" s="30">
        <f t="shared" si="20"/>
        <v>1127000</v>
      </c>
      <c r="G17" s="30">
        <f>+SUMIFS(9:9,2:2,G15)</f>
        <v>1142270</v>
      </c>
      <c r="H17" s="30">
        <f t="shared" si="20"/>
        <v>1151818.1000000003</v>
      </c>
      <c r="I17" s="30">
        <f t="shared" si="20"/>
        <v>1594025.7462494061</v>
      </c>
      <c r="J17" s="30">
        <f t="shared" si="20"/>
        <v>1935229.5874560941</v>
      </c>
      <c r="K17" s="30">
        <f t="shared" si="20"/>
        <v>1968566.4750797763</v>
      </c>
      <c r="L17" s="30">
        <f t="shared" si="20"/>
        <v>2002903.4693321707</v>
      </c>
      <c r="M17" s="30">
        <f t="shared" si="20"/>
        <v>2038270.5734121352</v>
      </c>
      <c r="N17" s="30">
        <f t="shared" si="20"/>
        <v>2074698.6906144999</v>
      </c>
      <c r="O17" s="30">
        <f t="shared" si="20"/>
        <v>2112219.6513329344</v>
      </c>
      <c r="P17" s="30">
        <f t="shared" si="20"/>
        <v>2150866.2408729228</v>
      </c>
      <c r="Q17" s="30">
        <f t="shared" si="20"/>
        <v>2190672.2280991105</v>
      </c>
      <c r="R17" s="30">
        <f t="shared" si="20"/>
        <v>2231672.3949420839</v>
      </c>
      <c r="S17" s="30">
        <f t="shared" si="20"/>
        <v>2273902.5667903461</v>
      </c>
      <c r="T17" s="30">
        <f t="shared" si="20"/>
        <v>2317399.6437940565</v>
      </c>
      <c r="U17" s="30">
        <f t="shared" si="20"/>
        <v>2362201.6331078783</v>
      </c>
      <c r="V17" s="30">
        <f t="shared" si="20"/>
        <v>2408347.6821011147</v>
      </c>
      <c r="W17" s="30">
        <f t="shared" si="20"/>
        <v>2467522.7547030286</v>
      </c>
    </row>
    <row r="18" spans="1:242" x14ac:dyDescent="0.3">
      <c r="B18" t="s">
        <v>924</v>
      </c>
      <c r="C18" s="33">
        <f>+C16-C17</f>
        <v>0</v>
      </c>
      <c r="D18" s="33" t="e">
        <f t="shared" ref="D18:W18" ca="1" si="21">+D16-D17</f>
        <v>#REF!</v>
      </c>
      <c r="E18" s="33">
        <f t="shared" ca="1" si="21"/>
        <v>2941825.8719446193</v>
      </c>
      <c r="F18" s="33">
        <f t="shared" ca="1" si="21"/>
        <v>1951428.7211848274</v>
      </c>
      <c r="G18" s="33">
        <f t="shared" ca="1" si="21"/>
        <v>2034339.8408549363</v>
      </c>
      <c r="H18" s="33">
        <f t="shared" ca="1" si="21"/>
        <v>2103139.1158162123</v>
      </c>
      <c r="I18" s="33">
        <f t="shared" ca="1" si="21"/>
        <v>1741359.2078139526</v>
      </c>
      <c r="J18" s="33">
        <f t="shared" ca="1" si="21"/>
        <v>1482479.3076550057</v>
      </c>
      <c r="K18" s="33">
        <f t="shared" ca="1" si="21"/>
        <v>1543450.216255533</v>
      </c>
      <c r="L18" s="33">
        <f t="shared" ca="1" si="21"/>
        <v>1585308.2417403427</v>
      </c>
      <c r="M18" s="33">
        <f t="shared" ca="1" si="21"/>
        <v>1650826.9180994113</v>
      </c>
      <c r="N18" s="33">
        <f t="shared" ca="1" si="21"/>
        <v>1684938.1131630472</v>
      </c>
      <c r="O18" s="33">
        <f t="shared" ca="1" si="21"/>
        <v>1729822.4469144717</v>
      </c>
      <c r="P18" s="33">
        <f t="shared" ca="1" si="21"/>
        <v>1752576.9452960012</v>
      </c>
      <c r="Q18" s="33">
        <f t="shared" ca="1" si="21"/>
        <v>1786019.1716911634</v>
      </c>
      <c r="R18" s="33">
        <f t="shared" ca="1" si="21"/>
        <v>1819149.012419269</v>
      </c>
      <c r="S18" s="33">
        <f t="shared" ca="1" si="21"/>
        <v>1863715.9745171806</v>
      </c>
      <c r="T18" s="33">
        <f t="shared" ca="1" si="21"/>
        <v>1884273.5229776665</v>
      </c>
      <c r="U18" s="33">
        <f t="shared" ca="1" si="21"/>
        <v>1916162.4475535601</v>
      </c>
      <c r="V18" s="33">
        <f t="shared" ca="1" si="21"/>
        <v>1947527.2614333266</v>
      </c>
      <c r="W18" s="33">
        <f t="shared" ca="1" si="21"/>
        <v>1987668.3927313904</v>
      </c>
    </row>
    <row r="19" spans="1:242" x14ac:dyDescent="0.3">
      <c r="B19" t="s">
        <v>925</v>
      </c>
      <c r="C19" s="33">
        <f>+C18</f>
        <v>0</v>
      </c>
      <c r="D19" s="33" t="e">
        <f ca="1">+D18+C19</f>
        <v>#REF!</v>
      </c>
      <c r="E19" s="33" t="e">
        <f t="shared" ref="E19:W19" ca="1" si="22">+E18+D19</f>
        <v>#REF!</v>
      </c>
      <c r="F19" s="33" t="e">
        <f t="shared" ca="1" si="22"/>
        <v>#REF!</v>
      </c>
      <c r="G19" s="33" t="e">
        <f t="shared" ca="1" si="22"/>
        <v>#REF!</v>
      </c>
      <c r="H19" s="33" t="e">
        <f t="shared" ca="1" si="22"/>
        <v>#REF!</v>
      </c>
      <c r="I19" s="33" t="e">
        <f t="shared" ca="1" si="22"/>
        <v>#REF!</v>
      </c>
      <c r="J19" s="33" t="e">
        <f t="shared" ca="1" si="22"/>
        <v>#REF!</v>
      </c>
      <c r="K19" s="33" t="e">
        <f t="shared" ca="1" si="22"/>
        <v>#REF!</v>
      </c>
      <c r="L19" s="33" t="e">
        <f t="shared" ca="1" si="22"/>
        <v>#REF!</v>
      </c>
      <c r="M19" s="33" t="e">
        <f t="shared" ca="1" si="22"/>
        <v>#REF!</v>
      </c>
      <c r="N19" s="33" t="e">
        <f t="shared" ca="1" si="22"/>
        <v>#REF!</v>
      </c>
      <c r="O19" s="33" t="e">
        <f t="shared" ca="1" si="22"/>
        <v>#REF!</v>
      </c>
      <c r="P19" s="33" t="e">
        <f t="shared" ca="1" si="22"/>
        <v>#REF!</v>
      </c>
      <c r="Q19" s="33" t="e">
        <f t="shared" ca="1" si="22"/>
        <v>#REF!</v>
      </c>
      <c r="R19" s="33" t="e">
        <f t="shared" ca="1" si="22"/>
        <v>#REF!</v>
      </c>
      <c r="S19" s="33" t="e">
        <f t="shared" ca="1" si="22"/>
        <v>#REF!</v>
      </c>
      <c r="T19" s="33" t="e">
        <f t="shared" ca="1" si="22"/>
        <v>#REF!</v>
      </c>
      <c r="U19" s="33" t="e">
        <f t="shared" ca="1" si="22"/>
        <v>#REF!</v>
      </c>
      <c r="V19" s="33" t="e">
        <f t="shared" ca="1" si="22"/>
        <v>#REF!</v>
      </c>
      <c r="W19" s="33" t="e">
        <f t="shared" ca="1" si="22"/>
        <v>#REF!</v>
      </c>
    </row>
    <row r="20" spans="1:242" x14ac:dyDescent="0.3">
      <c r="D20" s="30">
        <f ca="1">+D16/12</f>
        <v>184077.40676963344</v>
      </c>
      <c r="E20" s="30">
        <f t="shared" ref="E20:M20" ca="1" si="23">+E16/12</f>
        <v>249318.82266205162</v>
      </c>
      <c r="F20" s="30">
        <f t="shared" ca="1" si="23"/>
        <v>256535.72676540227</v>
      </c>
      <c r="G20" s="30">
        <f t="shared" ca="1" si="23"/>
        <v>264717.48673791136</v>
      </c>
      <c r="H20" s="30">
        <f t="shared" ca="1" si="23"/>
        <v>271246.43465135101</v>
      </c>
      <c r="I20" s="30">
        <f t="shared" ca="1" si="23"/>
        <v>277948.74617194658</v>
      </c>
      <c r="J20" s="30">
        <f t="shared" ca="1" si="23"/>
        <v>284809.07459259167</v>
      </c>
      <c r="K20" s="30">
        <f t="shared" ca="1" si="23"/>
        <v>292668.05761127576</v>
      </c>
      <c r="L20" s="30">
        <f t="shared" ca="1" si="23"/>
        <v>299017.64258937613</v>
      </c>
      <c r="M20" s="30">
        <f t="shared" ca="1" si="23"/>
        <v>307424.79095929553</v>
      </c>
      <c r="P20">
        <v>2025</v>
      </c>
      <c r="Q20">
        <v>2026</v>
      </c>
    </row>
    <row r="21" spans="1:242" x14ac:dyDescent="0.3">
      <c r="B21" s="44" t="s">
        <v>788</v>
      </c>
      <c r="C21" s="44" t="s">
        <v>949</v>
      </c>
      <c r="D21" s="44" t="s">
        <v>803</v>
      </c>
      <c r="E21" s="6"/>
      <c r="O21" t="s">
        <v>950</v>
      </c>
      <c r="P21" s="41">
        <f ca="1">+AVERAGE(J8:S8)/1000000</f>
        <v>0.22089288812356014</v>
      </c>
      <c r="Q21" s="41">
        <f ca="1">+AVERAGE(T8:AE8)/1000000</f>
        <v>0.24931882266205163</v>
      </c>
    </row>
    <row r="22" spans="1:242" x14ac:dyDescent="0.3">
      <c r="A22" t="s">
        <v>932</v>
      </c>
      <c r="B22" s="35" t="e">
        <f ca="1">+NPV(12%,D18,E18:H18)</f>
        <v>#REF!</v>
      </c>
      <c r="C22" s="35" t="e">
        <f ca="1">+NPV(12%,D18,E18:M18)</f>
        <v>#REF!</v>
      </c>
      <c r="D22" s="35" t="e">
        <f ca="1">+NPV(12%,D18,E18:W18)</f>
        <v>#REF!</v>
      </c>
      <c r="E22" s="35"/>
      <c r="O22" t="s">
        <v>951</v>
      </c>
      <c r="P22" s="41" t="e">
        <f>+AVERAGE(I9:S9)/1000000</f>
        <v>#REF!</v>
      </c>
      <c r="Q22" s="41">
        <f>+AVERAGE(T9:AE9)/1000000</f>
        <v>4.1666666666666666E-3</v>
      </c>
    </row>
    <row r="23" spans="1:242" x14ac:dyDescent="0.3">
      <c r="A23" t="s">
        <v>933</v>
      </c>
      <c r="B23" s="84" t="e">
        <f ca="1">+IRR(D18:H18)</f>
        <v>#VALUE!</v>
      </c>
      <c r="C23" s="84" t="e">
        <f ca="1">+IRR(D18:M18)</f>
        <v>#VALUE!</v>
      </c>
      <c r="D23" s="84" t="e">
        <f ca="1">+IRR(D18:W18)</f>
        <v>#VALUE!</v>
      </c>
      <c r="E23" s="9"/>
      <c r="O23" t="s">
        <v>952</v>
      </c>
      <c r="P23" s="41" t="e">
        <f ca="1">+P21-P22</f>
        <v>#REF!</v>
      </c>
      <c r="Q23" s="41">
        <f ca="1">+Q21-Q22</f>
        <v>0.24515215599538495</v>
      </c>
    </row>
    <row r="24" spans="1:242" x14ac:dyDescent="0.3">
      <c r="A24" t="s">
        <v>953</v>
      </c>
      <c r="B24" s="33">
        <f ca="1">+SUM(D16:H16)</f>
        <v>14710750.531036196</v>
      </c>
      <c r="C24" s="33">
        <f ca="1">+SUM(D16:M16)</f>
        <v>32253170.27413002</v>
      </c>
      <c r="D24" s="33">
        <f ca="1">+SUM(D16:W16)</f>
        <v>73214527.049185067</v>
      </c>
      <c r="E24" s="9"/>
    </row>
    <row r="25" spans="1:242" x14ac:dyDescent="0.3">
      <c r="A25" t="s">
        <v>954</v>
      </c>
      <c r="B25" s="33" t="e">
        <f>+SUM(D17:H17)</f>
        <v>#REF!</v>
      </c>
      <c r="C25" s="33" t="e">
        <f>+SUM(D17:M17)</f>
        <v>#REF!</v>
      </c>
      <c r="D25" s="33" t="e">
        <f>+SUM(D17:W17)</f>
        <v>#REF!</v>
      </c>
      <c r="E25" s="38"/>
    </row>
    <row r="26" spans="1:242" x14ac:dyDescent="0.3">
      <c r="A26" t="s">
        <v>955</v>
      </c>
      <c r="B26" s="33" t="e">
        <f ca="1">+B24-B25</f>
        <v>#REF!</v>
      </c>
      <c r="C26" s="33" t="e">
        <f ca="1">+C24-C25</f>
        <v>#REF!</v>
      </c>
      <c r="D26" s="33" t="e">
        <f ca="1">+D24-D25</f>
        <v>#REF!</v>
      </c>
    </row>
    <row r="27" spans="1:242" x14ac:dyDescent="0.3">
      <c r="A27" t="s">
        <v>956</v>
      </c>
      <c r="B27" s="85">
        <f ca="1">COUNTIFS(13:13,"&lt;0")/12</f>
        <v>0</v>
      </c>
      <c r="C27" s="85">
        <f ca="1">COUNTIFS(13:13,"&lt;0")/12</f>
        <v>0</v>
      </c>
      <c r="D27" s="85">
        <f ca="1">COUNTIFS(13:13,"&lt;0")/12</f>
        <v>0</v>
      </c>
    </row>
    <row r="28" spans="1:242" x14ac:dyDescent="0.3">
      <c r="A28" t="s">
        <v>818</v>
      </c>
      <c r="B28" s="35" t="e">
        <f>+#REF!</f>
        <v>#REF!</v>
      </c>
      <c r="C28" s="30" t="e">
        <f>+#REF!</f>
        <v>#REF!</v>
      </c>
      <c r="D28" s="35" t="e">
        <f>+B28</f>
        <v>#REF!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957</v>
      </c>
      <c r="B29" s="86" t="e">
        <f ca="1">+B26/B28</f>
        <v>#REF!</v>
      </c>
      <c r="C29" s="86" t="e">
        <f ca="1">+C26/C28</f>
        <v>#REF!</v>
      </c>
      <c r="D29" s="86" t="e">
        <f ca="1">+D26/D28</f>
        <v>#REF!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87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A31" t="s">
        <v>958</v>
      </c>
      <c r="B31" s="31">
        <f>+C5</f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3" spans="1:242" x14ac:dyDescent="0.3">
      <c r="C33" s="6" t="s">
        <v>906</v>
      </c>
      <c r="D33" s="6" t="s">
        <v>959</v>
      </c>
      <c r="E33" s="6" t="s">
        <v>960</v>
      </c>
      <c r="F33" s="9">
        <v>0.25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961</v>
      </c>
      <c r="C34" s="31">
        <f>+SUM(C4:BO4)</f>
        <v>119375.06785434998</v>
      </c>
      <c r="E34" s="31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783</v>
      </c>
      <c r="C35" s="31">
        <f>+C5</f>
        <v>0</v>
      </c>
      <c r="E35" s="33" t="e">
        <f>+(E37-E36)/C34</f>
        <v>#REF!</v>
      </c>
    </row>
    <row r="36" spans="1:242" x14ac:dyDescent="0.3">
      <c r="A36" t="s">
        <v>962</v>
      </c>
      <c r="C36" s="31">
        <v>0</v>
      </c>
      <c r="E36" s="31">
        <f>+C36</f>
        <v>0</v>
      </c>
    </row>
    <row r="37" spans="1:242" x14ac:dyDescent="0.3">
      <c r="A37" t="s">
        <v>963</v>
      </c>
      <c r="C37" s="31">
        <f>+(C34*C35)+C36</f>
        <v>0</v>
      </c>
      <c r="D37" s="30" t="e">
        <f>+#REF!</f>
        <v>#REF!</v>
      </c>
      <c r="E37" s="33" t="e">
        <f>+E38+E43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813</v>
      </c>
      <c r="C38" s="31" t="e">
        <f>+SUM(C39:C42)</f>
        <v>#REF!</v>
      </c>
      <c r="D38" s="30" t="e">
        <f>+SUM('Simulacion prestamo'!C12:F12)+SUM('Simulacion prestamo'!C15:F15)</f>
        <v>#REF!</v>
      </c>
      <c r="E38" s="31" t="e">
        <f>+C38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964</v>
      </c>
      <c r="C39" s="30" t="e">
        <f>+'Simulacion prestamo'!C16*'Simulacion prestamo'!B6</f>
        <v>#REF!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643</v>
      </c>
      <c r="C40" s="30">
        <f>(4*300000*5)+300000</f>
        <v>6300000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965</v>
      </c>
      <c r="C41" s="30" t="e">
        <f>+#REF!*17</f>
        <v>#REF!</v>
      </c>
    </row>
    <row r="42" spans="1:242" x14ac:dyDescent="0.3">
      <c r="A42" t="s">
        <v>644</v>
      </c>
      <c r="C42" s="30" t="e">
        <f>+#REF!*65</f>
        <v>#REF!</v>
      </c>
    </row>
    <row r="43" spans="1:242" x14ac:dyDescent="0.3">
      <c r="A43" t="s">
        <v>284</v>
      </c>
      <c r="C43" s="30" t="e">
        <f>+C37-C38</f>
        <v>#REF!</v>
      </c>
      <c r="D43" s="30" t="e">
        <f>+D37-D44-D38</f>
        <v>#REF!</v>
      </c>
      <c r="E43" s="30" t="e">
        <f>+E38*F33</f>
        <v>#REF!</v>
      </c>
      <c r="F43" s="38"/>
    </row>
    <row r="44" spans="1:242" x14ac:dyDescent="0.3">
      <c r="A44" t="s">
        <v>966</v>
      </c>
      <c r="C44" s="30" t="e">
        <f>+B28</f>
        <v>#REF!</v>
      </c>
      <c r="D44" s="33" t="e">
        <f>+C44</f>
        <v>#REF!</v>
      </c>
    </row>
    <row r="45" spans="1:242" x14ac:dyDescent="0.3">
      <c r="C45" s="38" t="e">
        <f>+C43/C38</f>
        <v>#REF!</v>
      </c>
      <c r="D45" s="38" t="e">
        <f>+D43/(D44+D38)</f>
        <v>#REF!</v>
      </c>
      <c r="G45" s="30"/>
      <c r="H45" s="30"/>
      <c r="I45" s="30"/>
      <c r="J45" s="30"/>
      <c r="K45" s="30"/>
      <c r="L45" s="30"/>
      <c r="M45" s="30"/>
    </row>
    <row r="48" spans="1:242" x14ac:dyDescent="0.3">
      <c r="B48" t="s">
        <v>967</v>
      </c>
      <c r="C48">
        <v>2024</v>
      </c>
      <c r="D48">
        <v>2025</v>
      </c>
      <c r="E48">
        <v>2026</v>
      </c>
      <c r="F48">
        <v>2027</v>
      </c>
      <c r="G48">
        <v>2028</v>
      </c>
      <c r="H48">
        <v>2029</v>
      </c>
      <c r="I48">
        <v>2030</v>
      </c>
      <c r="J48">
        <v>2031</v>
      </c>
      <c r="K48">
        <v>2032</v>
      </c>
      <c r="L48">
        <v>2033</v>
      </c>
      <c r="M48">
        <v>2034</v>
      </c>
      <c r="N48">
        <v>2035</v>
      </c>
      <c r="O48">
        <v>2036</v>
      </c>
      <c r="P48">
        <v>2037</v>
      </c>
      <c r="Q48">
        <v>2038</v>
      </c>
      <c r="R48">
        <v>2039</v>
      </c>
      <c r="S48">
        <v>2040</v>
      </c>
      <c r="T48">
        <v>2041</v>
      </c>
      <c r="U48">
        <v>2042</v>
      </c>
      <c r="V48">
        <v>2043</v>
      </c>
      <c r="W48">
        <v>2044</v>
      </c>
    </row>
    <row r="49" spans="2:23" x14ac:dyDescent="0.3">
      <c r="B49" t="s">
        <v>947</v>
      </c>
      <c r="C49" s="12">
        <f>+C16/1000000</f>
        <v>0</v>
      </c>
      <c r="D49" s="12">
        <f ca="1">+D16/1000000</f>
        <v>2.2089288812356012</v>
      </c>
      <c r="E49" s="12">
        <f t="shared" ref="E49:W49" ca="1" si="24">+E16/1000000</f>
        <v>2.9918258719446191</v>
      </c>
      <c r="F49" s="12">
        <f t="shared" ca="1" si="24"/>
        <v>3.0784287211848276</v>
      </c>
      <c r="G49" s="12">
        <f t="shared" ca="1" si="24"/>
        <v>3.1766098408549364</v>
      </c>
      <c r="H49" s="12">
        <f t="shared" ca="1" si="24"/>
        <v>3.2549572158162126</v>
      </c>
      <c r="I49" s="12">
        <f t="shared" ca="1" si="24"/>
        <v>3.3353849540633589</v>
      </c>
      <c r="J49" s="12">
        <f t="shared" ca="1" si="24"/>
        <v>3.4177088951110997</v>
      </c>
      <c r="K49" s="12">
        <f t="shared" ca="1" si="24"/>
        <v>3.5120166913353095</v>
      </c>
      <c r="L49" s="12">
        <f t="shared" ca="1" si="24"/>
        <v>3.5882117110725136</v>
      </c>
      <c r="M49" s="12">
        <f t="shared" ca="1" si="24"/>
        <v>3.6890974915115464</v>
      </c>
      <c r="N49" s="12">
        <f t="shared" ca="1" si="24"/>
        <v>3.7596368037775472</v>
      </c>
      <c r="O49" s="12">
        <f t="shared" ca="1" si="24"/>
        <v>3.8420420982474059</v>
      </c>
      <c r="P49" s="12">
        <f t="shared" ca="1" si="24"/>
        <v>3.9034431861689241</v>
      </c>
      <c r="Q49" s="12">
        <f t="shared" ca="1" si="24"/>
        <v>3.976691399790274</v>
      </c>
      <c r="R49" s="12">
        <f t="shared" ca="1" si="24"/>
        <v>4.0508214073613527</v>
      </c>
      <c r="S49" s="12">
        <f t="shared" ca="1" si="24"/>
        <v>4.1376185413075266</v>
      </c>
      <c r="T49" s="12">
        <f t="shared" ca="1" si="24"/>
        <v>4.2016731667717231</v>
      </c>
      <c r="U49" s="12">
        <f t="shared" ca="1" si="24"/>
        <v>4.2783640806614383</v>
      </c>
      <c r="V49" s="12">
        <f t="shared" ca="1" si="24"/>
        <v>4.3558749435344417</v>
      </c>
      <c r="W49" s="12">
        <f t="shared" ca="1" si="24"/>
        <v>4.4551911474344195</v>
      </c>
    </row>
    <row r="50" spans="2:23" x14ac:dyDescent="0.3">
      <c r="B50" t="s">
        <v>948</v>
      </c>
      <c r="C50" s="12">
        <f>+C17/1000000</f>
        <v>0</v>
      </c>
      <c r="D50" s="12" t="e">
        <f t="shared" ref="D50:W50" si="25">+D17/1000000</f>
        <v>#REF!</v>
      </c>
      <c r="E50" s="12">
        <f t="shared" si="25"/>
        <v>0.05</v>
      </c>
      <c r="F50" s="12">
        <f t="shared" si="25"/>
        <v>1.127</v>
      </c>
      <c r="G50" s="12">
        <f t="shared" si="25"/>
        <v>1.1422699999999999</v>
      </c>
      <c r="H50" s="12">
        <f t="shared" si="25"/>
        <v>1.1518181000000003</v>
      </c>
      <c r="I50" s="12">
        <f t="shared" si="25"/>
        <v>1.5940257462494061</v>
      </c>
      <c r="J50" s="12">
        <f t="shared" si="25"/>
        <v>1.9352295874560941</v>
      </c>
      <c r="K50" s="12">
        <f t="shared" si="25"/>
        <v>1.9685664750797762</v>
      </c>
      <c r="L50" s="12">
        <f t="shared" si="25"/>
        <v>2.0029034693321708</v>
      </c>
      <c r="M50" s="12">
        <f t="shared" si="25"/>
        <v>2.0382705734121354</v>
      </c>
      <c r="N50" s="12">
        <f t="shared" si="25"/>
        <v>2.0746986906145</v>
      </c>
      <c r="O50" s="12">
        <f t="shared" si="25"/>
        <v>2.1122196513329343</v>
      </c>
      <c r="P50" s="12">
        <f t="shared" si="25"/>
        <v>2.1508662408729227</v>
      </c>
      <c r="Q50" s="12">
        <f t="shared" si="25"/>
        <v>2.1906722280991104</v>
      </c>
      <c r="R50" s="12">
        <f t="shared" si="25"/>
        <v>2.231672394942084</v>
      </c>
      <c r="S50" s="12">
        <f t="shared" si="25"/>
        <v>2.2739025667903459</v>
      </c>
      <c r="T50" s="12">
        <f t="shared" si="25"/>
        <v>2.3173996437940563</v>
      </c>
      <c r="U50" s="12">
        <f t="shared" si="25"/>
        <v>2.3622016331078783</v>
      </c>
      <c r="V50" s="12">
        <f t="shared" si="25"/>
        <v>2.4083476821011147</v>
      </c>
      <c r="W50" s="12">
        <f t="shared" si="25"/>
        <v>2.4675227547030287</v>
      </c>
    </row>
    <row r="51" spans="2:23" x14ac:dyDescent="0.3">
      <c r="B51" t="s">
        <v>952</v>
      </c>
      <c r="C51" s="12">
        <f>+C49-C50</f>
        <v>0</v>
      </c>
      <c r="D51" s="12" t="e">
        <f ca="1">+D49-D50</f>
        <v>#REF!</v>
      </c>
      <c r="E51" s="12">
        <f t="shared" ref="E51:W51" ca="1" si="26">+E49-E50</f>
        <v>2.9418258719446193</v>
      </c>
      <c r="F51" s="12">
        <f t="shared" ca="1" si="26"/>
        <v>1.9514287211848276</v>
      </c>
      <c r="G51" s="12">
        <f t="shared" ca="1" si="26"/>
        <v>2.0343398408549365</v>
      </c>
      <c r="H51" s="12">
        <f t="shared" ca="1" si="26"/>
        <v>2.1031391158162123</v>
      </c>
      <c r="I51" s="12">
        <f t="shared" ca="1" si="26"/>
        <v>1.7413592078139528</v>
      </c>
      <c r="J51" s="12">
        <f t="shared" ca="1" si="26"/>
        <v>1.4824793076550056</v>
      </c>
      <c r="K51" s="12">
        <f t="shared" ca="1" si="26"/>
        <v>1.5434502162555332</v>
      </c>
      <c r="L51" s="12">
        <f t="shared" ca="1" si="26"/>
        <v>1.5853082417403428</v>
      </c>
      <c r="M51" s="12">
        <f t="shared" ca="1" si="26"/>
        <v>1.6508269180994111</v>
      </c>
      <c r="N51" s="12">
        <f t="shared" ca="1" si="26"/>
        <v>1.6849381131630472</v>
      </c>
      <c r="O51" s="12">
        <f t="shared" ca="1" si="26"/>
        <v>1.7298224469144716</v>
      </c>
      <c r="P51" s="12">
        <f t="shared" ca="1" si="26"/>
        <v>1.7525769452960014</v>
      </c>
      <c r="Q51" s="12">
        <f t="shared" ca="1" si="26"/>
        <v>1.7860191716911635</v>
      </c>
      <c r="R51" s="12">
        <f t="shared" ca="1" si="26"/>
        <v>1.8191490124192686</v>
      </c>
      <c r="S51" s="12">
        <f t="shared" ca="1" si="26"/>
        <v>1.8637159745171807</v>
      </c>
      <c r="T51" s="12">
        <f t="shared" ca="1" si="26"/>
        <v>1.8842735229776668</v>
      </c>
      <c r="U51" s="12">
        <f t="shared" ca="1" si="26"/>
        <v>1.9161624475535599</v>
      </c>
      <c r="V51" s="12">
        <f t="shared" ca="1" si="26"/>
        <v>1.947527261433327</v>
      </c>
      <c r="W51" s="12">
        <f t="shared" ca="1" si="26"/>
        <v>1.9876683927313907</v>
      </c>
    </row>
    <row r="52" spans="2:23" x14ac:dyDescent="0.3">
      <c r="B52" t="s">
        <v>923</v>
      </c>
      <c r="D52" s="12" t="e">
        <f ca="1">+D51</f>
        <v>#REF!</v>
      </c>
      <c r="E52" s="12" t="e">
        <f ca="1">+E51+D52</f>
        <v>#REF!</v>
      </c>
      <c r="F52" s="12" t="e">
        <f t="shared" ref="F52:W52" ca="1" si="27">+F51+E52</f>
        <v>#REF!</v>
      </c>
      <c r="G52" s="12" t="e">
        <f t="shared" ca="1" si="27"/>
        <v>#REF!</v>
      </c>
      <c r="H52" s="12" t="e">
        <f t="shared" ca="1" si="27"/>
        <v>#REF!</v>
      </c>
      <c r="I52" s="12" t="e">
        <f t="shared" ca="1" si="27"/>
        <v>#REF!</v>
      </c>
      <c r="J52" s="12" t="e">
        <f t="shared" ca="1" si="27"/>
        <v>#REF!</v>
      </c>
      <c r="K52" s="12" t="e">
        <f t="shared" ca="1" si="27"/>
        <v>#REF!</v>
      </c>
      <c r="L52" s="12" t="e">
        <f t="shared" ca="1" si="27"/>
        <v>#REF!</v>
      </c>
      <c r="M52" s="12" t="e">
        <f t="shared" ca="1" si="27"/>
        <v>#REF!</v>
      </c>
      <c r="N52" s="12" t="e">
        <f t="shared" ca="1" si="27"/>
        <v>#REF!</v>
      </c>
      <c r="O52" s="12" t="e">
        <f t="shared" ca="1" si="27"/>
        <v>#REF!</v>
      </c>
      <c r="P52" s="12" t="e">
        <f t="shared" ca="1" si="27"/>
        <v>#REF!</v>
      </c>
      <c r="Q52" s="12" t="e">
        <f t="shared" ca="1" si="27"/>
        <v>#REF!</v>
      </c>
      <c r="R52" s="12" t="e">
        <f t="shared" ca="1" si="27"/>
        <v>#REF!</v>
      </c>
      <c r="S52" s="12" t="e">
        <f t="shared" ca="1" si="27"/>
        <v>#REF!</v>
      </c>
      <c r="T52" s="12" t="e">
        <f t="shared" ca="1" si="27"/>
        <v>#REF!</v>
      </c>
      <c r="U52" s="12" t="e">
        <f t="shared" ca="1" si="27"/>
        <v>#REF!</v>
      </c>
      <c r="V52" s="12" t="e">
        <f t="shared" ca="1" si="27"/>
        <v>#REF!</v>
      </c>
      <c r="W52" s="12" t="e">
        <f t="shared" ca="1" si="27"/>
        <v>#REF!</v>
      </c>
    </row>
    <row r="53" spans="2:23" x14ac:dyDescent="0.3">
      <c r="D53" t="s">
        <v>114</v>
      </c>
      <c r="E53" t="s">
        <v>115</v>
      </c>
      <c r="F53" t="s">
        <v>116</v>
      </c>
      <c r="G53" t="s">
        <v>117</v>
      </c>
      <c r="H53" t="s">
        <v>118</v>
      </c>
      <c r="I53" t="s">
        <v>119</v>
      </c>
      <c r="J53" t="s">
        <v>120</v>
      </c>
      <c r="K53" t="s">
        <v>121</v>
      </c>
      <c r="L53" t="s">
        <v>122</v>
      </c>
      <c r="M53" t="s">
        <v>123</v>
      </c>
      <c r="N53" t="s">
        <v>124</v>
      </c>
      <c r="O53" t="s">
        <v>125</v>
      </c>
      <c r="P53" t="s">
        <v>114</v>
      </c>
      <c r="Q53" t="s">
        <v>115</v>
      </c>
    </row>
    <row r="54" spans="2:23" x14ac:dyDescent="0.3">
      <c r="C54" t="s">
        <v>947</v>
      </c>
      <c r="D54" s="3">
        <f>+H8/1000000</f>
        <v>0</v>
      </c>
      <c r="E54" s="3">
        <f t="shared" ref="E54:O55" si="28">+I8/1000000</f>
        <v>0</v>
      </c>
      <c r="F54" s="3">
        <f t="shared" ca="1" si="28"/>
        <v>0</v>
      </c>
      <c r="G54" s="3">
        <f t="shared" ca="1" si="28"/>
        <v>0.27802163459187029</v>
      </c>
      <c r="H54" s="3">
        <f t="shared" ca="1" si="28"/>
        <v>0.25255248776191769</v>
      </c>
      <c r="I54" s="3">
        <f t="shared" ca="1" si="28"/>
        <v>0.24486743625893859</v>
      </c>
      <c r="J54" s="3">
        <f t="shared" ca="1" si="28"/>
        <v>0.24613554614909222</v>
      </c>
      <c r="K54" s="3">
        <f t="shared" ca="1" si="28"/>
        <v>0.26191816683016067</v>
      </c>
      <c r="L54" s="3">
        <f t="shared" ca="1" si="28"/>
        <v>0.25807498628871056</v>
      </c>
      <c r="M54" s="3">
        <f t="shared" ca="1" si="28"/>
        <v>0.24151647068493298</v>
      </c>
      <c r="N54" s="3">
        <f ca="1">+R8/1000000</f>
        <v>0.21774471900205519</v>
      </c>
      <c r="O54" s="3">
        <f ca="1">+S8/1000000</f>
        <v>0.2080974336679233</v>
      </c>
      <c r="P54" s="3">
        <f ca="1">+T8/1000000</f>
        <v>0.21997706364712283</v>
      </c>
      <c r="Q54" s="3">
        <f t="shared" ref="P54:Q55" ca="1" si="29">+U8/1000000</f>
        <v>0.26032703479212504</v>
      </c>
    </row>
    <row r="55" spans="2:23" x14ac:dyDescent="0.3">
      <c r="C55" t="s">
        <v>948</v>
      </c>
      <c r="D55" s="3">
        <f>+H9/1000000</f>
        <v>0</v>
      </c>
      <c r="E55" s="3" t="e">
        <f>+I9/1000000</f>
        <v>#REF!</v>
      </c>
      <c r="F55" s="3">
        <f>+J9/1000000</f>
        <v>0</v>
      </c>
      <c r="G55" s="3">
        <f t="shared" si="28"/>
        <v>0</v>
      </c>
      <c r="H55" s="3">
        <f t="shared" si="28"/>
        <v>0</v>
      </c>
      <c r="I55" s="3">
        <f t="shared" si="28"/>
        <v>0</v>
      </c>
      <c r="J55" s="3">
        <f t="shared" si="28"/>
        <v>0</v>
      </c>
      <c r="K55" s="3">
        <f t="shared" si="28"/>
        <v>0</v>
      </c>
      <c r="L55" s="3">
        <f t="shared" si="28"/>
        <v>0</v>
      </c>
      <c r="M55" s="3">
        <f t="shared" si="28"/>
        <v>0</v>
      </c>
      <c r="N55" s="3">
        <f t="shared" si="28"/>
        <v>0</v>
      </c>
      <c r="O55" s="3">
        <f t="shared" si="28"/>
        <v>0</v>
      </c>
      <c r="P55" s="3">
        <f t="shared" si="29"/>
        <v>0</v>
      </c>
      <c r="Q55" s="3">
        <f t="shared" si="29"/>
        <v>0</v>
      </c>
    </row>
    <row r="56" spans="2:23" x14ac:dyDescent="0.3">
      <c r="C56" t="s">
        <v>952</v>
      </c>
      <c r="D56" s="3">
        <f>+D54-D55</f>
        <v>0</v>
      </c>
      <c r="E56" s="3" t="e">
        <f t="shared" ref="E56:Q56" si="30">+E54-E55</f>
        <v>#REF!</v>
      </c>
      <c r="F56" s="3">
        <f t="shared" ca="1" si="30"/>
        <v>0</v>
      </c>
      <c r="G56" s="3">
        <f t="shared" ca="1" si="30"/>
        <v>0.27802163459187029</v>
      </c>
      <c r="H56" s="3">
        <f t="shared" ca="1" si="30"/>
        <v>0.25255248776191769</v>
      </c>
      <c r="I56" s="3">
        <f t="shared" ca="1" si="30"/>
        <v>0.24486743625893859</v>
      </c>
      <c r="J56" s="3">
        <f t="shared" ca="1" si="30"/>
        <v>0.24613554614909222</v>
      </c>
      <c r="K56" s="3">
        <f t="shared" ca="1" si="30"/>
        <v>0.26191816683016067</v>
      </c>
      <c r="L56" s="3">
        <f t="shared" ca="1" si="30"/>
        <v>0.25807498628871056</v>
      </c>
      <c r="M56" s="3">
        <f t="shared" ca="1" si="30"/>
        <v>0.24151647068493298</v>
      </c>
      <c r="N56" s="3">
        <f t="shared" ca="1" si="30"/>
        <v>0.21774471900205519</v>
      </c>
      <c r="O56" s="3">
        <f t="shared" ca="1" si="30"/>
        <v>0.2080974336679233</v>
      </c>
      <c r="P56" s="3">
        <f t="shared" ca="1" si="30"/>
        <v>0.21997706364712283</v>
      </c>
      <c r="Q56" s="3">
        <f t="shared" ca="1" si="30"/>
        <v>0.26032703479212504</v>
      </c>
    </row>
    <row r="119" spans="2:3" x14ac:dyDescent="0.3">
      <c r="B119" s="6" t="s">
        <v>968</v>
      </c>
      <c r="C119" s="44">
        <v>2025</v>
      </c>
    </row>
    <row r="120" spans="2:3" x14ac:dyDescent="0.3">
      <c r="B120" t="s">
        <v>640</v>
      </c>
      <c r="C120" s="28">
        <f>+(Producción!C20/60)/1000000</f>
        <v>0.82356781571315429</v>
      </c>
    </row>
    <row r="121" spans="2:3" x14ac:dyDescent="0.3">
      <c r="B121" t="s">
        <v>969</v>
      </c>
      <c r="C121" s="28">
        <v>0</v>
      </c>
    </row>
    <row r="122" spans="2:3" x14ac:dyDescent="0.3">
      <c r="B122" t="s">
        <v>970</v>
      </c>
      <c r="C122" s="28">
        <f>+(SUM(Producción!K24:W24)+SUM(Producción!K26:V26))/1000000</f>
        <v>0</v>
      </c>
    </row>
    <row r="1048551" spans="16384:16384" x14ac:dyDescent="0.3">
      <c r="XFD1048551" t="e" cm="1">
        <f t="array" ref="XFD1048551">solver_pre</f>
        <v>#NAME?</v>
      </c>
    </row>
    <row r="1048552" spans="16384:16384" x14ac:dyDescent="0.3">
      <c r="XFD1048552" t="e" cm="1">
        <f t="array" ref="XFD1048552">solver_scl</f>
        <v>#NAME?</v>
      </c>
    </row>
    <row r="1048553" spans="16384:16384" x14ac:dyDescent="0.3">
      <c r="XFD1048553" t="e" cm="1">
        <f t="array" ref="XFD1048553">solver_rlx</f>
        <v>#NAME?</v>
      </c>
    </row>
    <row r="1048554" spans="16384:16384" x14ac:dyDescent="0.3">
      <c r="XFD1048554" t="e" cm="1">
        <f t="array" ref="XFD1048554">solver_tol</f>
        <v>#NAME?</v>
      </c>
    </row>
    <row r="1048555" spans="16384:16384" x14ac:dyDescent="0.3">
      <c r="XFD1048555" t="e" cm="1">
        <f t="array" ref="XFD1048555">solver_cvg</f>
        <v>#NAME?</v>
      </c>
    </row>
    <row r="1048556" spans="16384:16384" x14ac:dyDescent="0.3">
      <c r="XFD1048556" t="e" cm="1">
        <f t="array" ref="XFD1048556">AREAS(solver_adj1)</f>
        <v>#NAME?</v>
      </c>
    </row>
    <row r="1048557" spans="16384:16384" x14ac:dyDescent="0.3">
      <c r="XFD1048557" t="e" cm="1">
        <f t="array" ref="XFD1048557">solver_ssz</f>
        <v>#NAME?</v>
      </c>
    </row>
    <row r="1048558" spans="16384:16384" x14ac:dyDescent="0.3">
      <c r="XFD1048558" t="e" cm="1">
        <f t="array" ref="XFD1048558">solver_rsd</f>
        <v>#NAME?</v>
      </c>
    </row>
    <row r="1048559" spans="16384:16384" x14ac:dyDescent="0.3">
      <c r="XFD1048559" t="e" cm="1">
        <f t="array" ref="XFD1048559">solver_mrt</f>
        <v>#NAME?</v>
      </c>
    </row>
    <row r="1048560" spans="16384:16384" x14ac:dyDescent="0.3">
      <c r="XFD1048560" t="e" cm="1">
        <f t="array" ref="XFD1048560">solver_mni</f>
        <v>#NAME?</v>
      </c>
    </row>
    <row r="1048561" spans="16384:16384" x14ac:dyDescent="0.3">
      <c r="XFD1048561" t="e" cm="1">
        <f t="array" ref="XFD1048561">solver_rbv</f>
        <v>#NAME?</v>
      </c>
    </row>
    <row r="1048562" spans="16384:16384" x14ac:dyDescent="0.3">
      <c r="XFD1048562" t="e" cm="1">
        <f t="array" ref="XFD1048562">solver_neg</f>
        <v>#NAME?</v>
      </c>
    </row>
    <row r="1048563" spans="16384:16384" x14ac:dyDescent="0.3">
      <c r="XFD1048563" t="e" cm="1">
        <f t="array" ref="XFD1048563">solver_ntr</f>
        <v>#NAME?</v>
      </c>
    </row>
    <row r="1048564" spans="16384:16384" x14ac:dyDescent="0.3">
      <c r="XFD1048564" t="e" cm="1">
        <f t="array" ref="XFD1048564">solver_acc</f>
        <v>#NAME?</v>
      </c>
    </row>
    <row r="1048565" spans="16384:16384" x14ac:dyDescent="0.3">
      <c r="XFD1048565" t="e" cm="1">
        <f t="array" ref="XFD1048565">solver_res</f>
        <v>#NAME?</v>
      </c>
    </row>
    <row r="1048566" spans="16384:16384" x14ac:dyDescent="0.3">
      <c r="XFD1048566" t="e" cm="1">
        <f t="array" ref="XFD1048566">solver_ars</f>
        <v>#NAME?</v>
      </c>
    </row>
    <row r="1048567" spans="16384:16384" x14ac:dyDescent="0.3">
      <c r="XFD1048567" t="e" cm="1">
        <f t="array" ref="XFD1048567">solver_sta</f>
        <v>#NAME?</v>
      </c>
    </row>
    <row r="1048568" spans="16384:16384" x14ac:dyDescent="0.3">
      <c r="XFD1048568" t="e" cm="1">
        <f t="array" ref="XFD1048568">solver_met</f>
        <v>#NAME?</v>
      </c>
    </row>
    <row r="1048569" spans="16384:16384" x14ac:dyDescent="0.3">
      <c r="XFD1048569" t="e" cm="1">
        <f t="array" ref="XFD1048569">solver_soc</f>
        <v>#NAME?</v>
      </c>
    </row>
    <row r="1048570" spans="16384:16384" x14ac:dyDescent="0.3">
      <c r="XFD1048570" t="e" cm="1">
        <f t="array" ref="XFD1048570">solver_lpt</f>
        <v>#NAME?</v>
      </c>
    </row>
    <row r="1048571" spans="16384:16384" x14ac:dyDescent="0.3">
      <c r="XFD1048571" t="e" cm="1">
        <f t="array" ref="XFD1048571">solver_lpp</f>
        <v>#NAME?</v>
      </c>
    </row>
    <row r="1048572" spans="16384:16384" x14ac:dyDescent="0.3">
      <c r="XFD1048572" t="e" cm="1">
        <f t="array" ref="XFD1048572">solver_gap</f>
        <v>#NAME?</v>
      </c>
    </row>
    <row r="1048573" spans="16384:16384" x14ac:dyDescent="0.3">
      <c r="XFD1048573" t="e" cm="1">
        <f t="array" ref="XFD1048573">solver_ips</f>
        <v>#NAME?</v>
      </c>
    </row>
    <row r="1048574" spans="16384:16384" x14ac:dyDescent="0.3">
      <c r="XFD1048574" t="e" cm="1">
        <f t="array" ref="XFD1048574">solver_fea</f>
        <v>#NAME?</v>
      </c>
    </row>
    <row r="1048575" spans="16384:16384" x14ac:dyDescent="0.3">
      <c r="XFD1048575" t="e" cm="1">
        <f t="array" ref="XFD1048575">solver_ipi</f>
        <v>#NAME?</v>
      </c>
    </row>
    <row r="1048576" spans="16384:16384" x14ac:dyDescent="0.3">
      <c r="XFD1048576" t="e" cm="1">
        <f t="array" ref="XFD1048576">solver_ipd</f>
        <v>#NAME?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0987-880C-4C54-B3BC-453AFD819D9D}">
  <dimension ref="A1:XFD1048576"/>
  <sheetViews>
    <sheetView zoomScale="80" zoomScaleNormal="80" workbookViewId="0">
      <selection activeCell="G30" sqref="G30"/>
    </sheetView>
  </sheetViews>
  <sheetFormatPr baseColWidth="10" defaultColWidth="11.44140625" defaultRowHeight="14.4" x14ac:dyDescent="0.3"/>
  <cols>
    <col min="1" max="1" width="22.44140625" bestFit="1" customWidth="1"/>
    <col min="2" max="2" width="17.44140625" bestFit="1" customWidth="1"/>
    <col min="3" max="3" width="16.44140625" bestFit="1" customWidth="1"/>
    <col min="4" max="4" width="15.44140625" bestFit="1" customWidth="1"/>
    <col min="5" max="14" width="13.5546875" bestFit="1" customWidth="1"/>
    <col min="15" max="15" width="24.44140625" bestFit="1" customWidth="1"/>
    <col min="16" max="16" width="13.5546875" bestFit="1" customWidth="1"/>
    <col min="17" max="23" width="15.44140625" bestFit="1" customWidth="1"/>
    <col min="24" max="26" width="11.5546875" bestFit="1" customWidth="1"/>
    <col min="27" max="68" width="12.5546875" bestFit="1" customWidth="1"/>
    <col min="69" max="169" width="13.5546875" bestFit="1" customWidth="1"/>
    <col min="170" max="247" width="15.44140625" bestFit="1" customWidth="1"/>
    <col min="16384" max="16384" width="11.44140625" bestFit="1" customWidth="1"/>
  </cols>
  <sheetData>
    <row r="1" spans="1:249" x14ac:dyDescent="0.3">
      <c r="A1" s="6" t="s">
        <v>906</v>
      </c>
      <c r="B1" s="9"/>
    </row>
    <row r="2" spans="1:249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M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  <c r="II2">
        <f t="shared" si="3"/>
        <v>2044</v>
      </c>
      <c r="IJ2">
        <f t="shared" si="3"/>
        <v>2044</v>
      </c>
      <c r="IK2">
        <f t="shared" si="3"/>
        <v>2044</v>
      </c>
      <c r="IL2">
        <f t="shared" si="3"/>
        <v>2044</v>
      </c>
      <c r="IM2">
        <f t="shared" si="3"/>
        <v>2044</v>
      </c>
    </row>
    <row r="3" spans="1:249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  <c r="II3" s="14">
        <v>52810</v>
      </c>
      <c r="IJ3" s="14">
        <v>52841</v>
      </c>
      <c r="IK3" s="14">
        <v>52871</v>
      </c>
      <c r="IL3" s="14">
        <v>52902</v>
      </c>
      <c r="IM3" s="14">
        <v>52932</v>
      </c>
      <c r="IN3" s="14"/>
      <c r="IO3" s="14"/>
    </row>
    <row r="4" spans="1:249" x14ac:dyDescent="0.3">
      <c r="A4" t="s">
        <v>946</v>
      </c>
      <c r="B4">
        <v>0</v>
      </c>
      <c r="C4" s="10"/>
      <c r="D4" s="10"/>
      <c r="E4" s="10"/>
      <c r="F4" s="10"/>
      <c r="G4" s="10"/>
      <c r="H4" s="10"/>
      <c r="I4" s="10"/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  <c r="II4" s="10">
        <f>+Producción!IK8</f>
        <v>1887.0819824999992</v>
      </c>
      <c r="IJ4" s="10">
        <f>+Producción!IL8</f>
        <v>1829.1143734285722</v>
      </c>
      <c r="IK4" s="10">
        <f>+Producción!IM8</f>
        <v>1599.5866731428541</v>
      </c>
      <c r="IL4" s="10">
        <f>+Producción!IN8</f>
        <v>1583.3300685714269</v>
      </c>
      <c r="IM4" s="10">
        <f>+Producción!IO8</f>
        <v>1623.4672409999998</v>
      </c>
      <c r="IN4" s="10"/>
      <c r="IO4" s="10"/>
    </row>
    <row r="5" spans="1:249" x14ac:dyDescent="0.3">
      <c r="A5" t="s">
        <v>907</v>
      </c>
      <c r="B5">
        <v>0</v>
      </c>
      <c r="C5" s="10"/>
      <c r="D5" s="10"/>
      <c r="E5" s="10"/>
      <c r="F5" s="10"/>
      <c r="G5" s="10"/>
      <c r="H5" s="10"/>
      <c r="I5" s="10">
        <f ca="1">+Tarifas!AA9</f>
        <v>117.76437779643383</v>
      </c>
      <c r="J5" s="10">
        <f ca="1">+Tarifas!AB9</f>
        <v>117.76437779643383</v>
      </c>
      <c r="K5" s="10">
        <f ca="1">+Tarifas!AC9</f>
        <v>117.76437779643383</v>
      </c>
      <c r="L5" s="10">
        <f ca="1">+Tarifas!AD9</f>
        <v>117.76437779643383</v>
      </c>
      <c r="M5" s="10">
        <f ca="1">+Tarifas!AE9</f>
        <v>117.76437779643383</v>
      </c>
      <c r="N5" s="10">
        <f ca="1">+Tarifas!AF9</f>
        <v>117.76437779643383</v>
      </c>
      <c r="O5" s="10">
        <f ca="1">+Tarifas!AG9</f>
        <v>117.76437779643383</v>
      </c>
      <c r="P5" s="10">
        <f ca="1">+Tarifas!AH9</f>
        <v>117.76437779643383</v>
      </c>
      <c r="Q5" s="10">
        <f ca="1">+Tarifas!AI9</f>
        <v>117.76437779643383</v>
      </c>
      <c r="R5" s="10">
        <f ca="1">+Tarifas!AJ9</f>
        <v>117.76437779643383</v>
      </c>
      <c r="S5" s="10">
        <f ca="1">+Tarifas!AK9</f>
        <v>117.76437779643383</v>
      </c>
      <c r="T5" s="10">
        <f ca="1">+Tarifas!AL9</f>
        <v>121.29730913032685</v>
      </c>
      <c r="U5" s="10">
        <f ca="1">+Tarifas!AM9</f>
        <v>121.29730913032685</v>
      </c>
      <c r="V5" s="10">
        <f ca="1">+Tarifas!AN9</f>
        <v>121.29730913032685</v>
      </c>
      <c r="W5" s="10">
        <f ca="1">+Tarifas!AO9</f>
        <v>121.29730913032685</v>
      </c>
      <c r="X5" s="10">
        <f ca="1">+Tarifas!AP9</f>
        <v>121.29730913032685</v>
      </c>
      <c r="Y5" s="10">
        <f ca="1">+Tarifas!AQ9</f>
        <v>121.29730913032685</v>
      </c>
      <c r="Z5" s="10">
        <f ca="1">+Tarifas!AR9</f>
        <v>121.29730913032685</v>
      </c>
      <c r="AA5" s="10">
        <f ca="1">+Tarifas!AS9</f>
        <v>121.29730913032685</v>
      </c>
      <c r="AB5" s="10">
        <f ca="1">+Tarifas!AT9</f>
        <v>121.29730913032685</v>
      </c>
      <c r="AC5" s="10">
        <f ca="1">+Tarifas!AU9</f>
        <v>121.29730913032685</v>
      </c>
      <c r="AD5" s="10">
        <f ca="1">+Tarifas!AV9</f>
        <v>121.29730913032685</v>
      </c>
      <c r="AE5" s="10">
        <f ca="1">+Tarifas!AW9</f>
        <v>121.29730913032685</v>
      </c>
      <c r="AF5" s="10">
        <f ca="1">+Tarifas!AX9</f>
        <v>124.93622840423666</v>
      </c>
      <c r="AG5" s="10">
        <f ca="1">+Tarifas!AY9</f>
        <v>124.93622840423666</v>
      </c>
      <c r="AH5" s="10">
        <f ca="1">+Tarifas!AZ9</f>
        <v>124.93622840423666</v>
      </c>
      <c r="AI5" s="10">
        <f ca="1">+Tarifas!BA9</f>
        <v>124.93622840423666</v>
      </c>
      <c r="AJ5" s="10">
        <f ca="1">+Tarifas!BB9</f>
        <v>124.93622840423666</v>
      </c>
      <c r="AK5" s="10">
        <f ca="1">+Tarifas!BC9</f>
        <v>124.93622840423666</v>
      </c>
      <c r="AL5" s="10">
        <f ca="1">+Tarifas!BD9</f>
        <v>124.93622840423666</v>
      </c>
      <c r="AM5" s="10">
        <f ca="1">+Tarifas!BE9</f>
        <v>124.93622840423666</v>
      </c>
      <c r="AN5" s="10">
        <f ca="1">+Tarifas!BF9</f>
        <v>124.93622840423666</v>
      </c>
      <c r="AO5" s="10">
        <f ca="1">+Tarifas!BG9</f>
        <v>124.93622840423666</v>
      </c>
      <c r="AP5" s="10">
        <f ca="1">+Tarifas!BH9</f>
        <v>124.93622840423666</v>
      </c>
      <c r="AQ5" s="10">
        <f ca="1">+Tarifas!BI9</f>
        <v>124.93622840423666</v>
      </c>
      <c r="AR5" s="10">
        <f ca="1">+Tarifas!BJ9</f>
        <v>128.68431525636376</v>
      </c>
      <c r="AS5" s="10">
        <f ca="1">+Tarifas!BK9</f>
        <v>128.68431525636376</v>
      </c>
      <c r="AT5" s="10">
        <f ca="1">+Tarifas!BL9</f>
        <v>128.68431525636376</v>
      </c>
      <c r="AU5" s="10">
        <f ca="1">+Tarifas!BM9</f>
        <v>128.68431525636376</v>
      </c>
      <c r="AV5" s="10">
        <f ca="1">+Tarifas!BN9</f>
        <v>128.68431525636376</v>
      </c>
      <c r="AW5" s="10">
        <f ca="1">+Tarifas!BO9</f>
        <v>128.68431525636376</v>
      </c>
      <c r="AX5" s="10">
        <f ca="1">+Tarifas!BP9</f>
        <v>128.68431525636376</v>
      </c>
      <c r="AY5" s="10">
        <f ca="1">+Tarifas!BQ9</f>
        <v>128.68431525636376</v>
      </c>
      <c r="AZ5" s="10">
        <f ca="1">+Tarifas!BR9</f>
        <v>128.68431525636376</v>
      </c>
      <c r="BA5" s="10">
        <f ca="1">+Tarifas!BS9</f>
        <v>128.68431525636376</v>
      </c>
      <c r="BB5" s="10">
        <f ca="1">+Tarifas!BT9</f>
        <v>128.68431525636376</v>
      </c>
      <c r="BC5" s="10">
        <f ca="1">+Tarifas!BU9</f>
        <v>128.68431525636376</v>
      </c>
      <c r="BD5" s="10">
        <f ca="1">+Tarifas!BV9</f>
        <v>132.54484471405468</v>
      </c>
      <c r="BE5" s="10">
        <f ca="1">+Tarifas!BW9</f>
        <v>132.54484471405468</v>
      </c>
      <c r="BF5" s="10">
        <f ca="1">+Tarifas!BX9</f>
        <v>132.54484471405468</v>
      </c>
      <c r="BG5" s="10">
        <f ca="1">+Tarifas!BY9</f>
        <v>132.54484471405468</v>
      </c>
      <c r="BH5" s="10">
        <f ca="1">+Tarifas!BZ9</f>
        <v>132.54484471405468</v>
      </c>
      <c r="BI5" s="10">
        <f ca="1">+Tarifas!CA9</f>
        <v>132.54484471405468</v>
      </c>
      <c r="BJ5" s="10">
        <f ca="1">+Tarifas!CB9</f>
        <v>132.54484471405468</v>
      </c>
      <c r="BK5" s="10">
        <f ca="1">+Tarifas!CC9</f>
        <v>132.54484471405468</v>
      </c>
      <c r="BL5" s="10">
        <f ca="1">+Tarifas!CD9</f>
        <v>132.54484471405468</v>
      </c>
      <c r="BM5" s="10">
        <f ca="1">+Tarifas!CE9</f>
        <v>132.54484471405468</v>
      </c>
      <c r="BN5" s="10">
        <f ca="1">+Tarifas!CF9</f>
        <v>132.54484471405468</v>
      </c>
      <c r="BO5" s="10">
        <f ca="1">+Tarifas!CG9</f>
        <v>132.54484471405468</v>
      </c>
      <c r="BP5" s="10">
        <f ca="1">+Tarifas!CH9</f>
        <v>136.52119005547632</v>
      </c>
      <c r="BQ5" s="10">
        <f ca="1">+Tarifas!CI9</f>
        <v>136.52119005547632</v>
      </c>
      <c r="BR5" s="10">
        <f ca="1">+Tarifas!CJ9</f>
        <v>136.52119005547632</v>
      </c>
      <c r="BS5" s="10">
        <f ca="1">+Tarifas!CK9</f>
        <v>136.52119005547632</v>
      </c>
      <c r="BT5" s="10">
        <f ca="1">+Tarifas!CL9</f>
        <v>136.52119005547632</v>
      </c>
      <c r="BU5" s="10">
        <f ca="1">+Tarifas!CM9</f>
        <v>136.52119005547632</v>
      </c>
      <c r="BV5" s="10">
        <f ca="1">+Tarifas!CN9</f>
        <v>136.52119005547632</v>
      </c>
      <c r="BW5" s="10">
        <f ca="1">+Tarifas!CO9</f>
        <v>136.52119005547632</v>
      </c>
      <c r="BX5" s="10">
        <f ca="1">+Tarifas!CP9</f>
        <v>136.52119005547632</v>
      </c>
      <c r="BY5" s="10">
        <f ca="1">+Tarifas!CQ9</f>
        <v>136.52119005547632</v>
      </c>
      <c r="BZ5" s="10">
        <f ca="1">+Tarifas!CR9</f>
        <v>136.52119005547632</v>
      </c>
      <c r="CA5" s="10">
        <f ca="1">+Tarifas!CS9</f>
        <v>136.52119005547632</v>
      </c>
      <c r="CB5" s="10">
        <f ca="1">+Tarifas!CT9</f>
        <v>140.61682575714062</v>
      </c>
      <c r="CC5" s="10">
        <f ca="1">+Tarifas!CU9</f>
        <v>140.61682575714062</v>
      </c>
      <c r="CD5" s="10">
        <f ca="1">+Tarifas!CV9</f>
        <v>140.61682575714062</v>
      </c>
      <c r="CE5" s="10">
        <f ca="1">+Tarifas!CW9</f>
        <v>140.61682575714062</v>
      </c>
      <c r="CF5" s="10">
        <f ca="1">+Tarifas!CX9</f>
        <v>140.61682575714062</v>
      </c>
      <c r="CG5" s="10">
        <f ca="1">+Tarifas!CY9</f>
        <v>140.61682575714062</v>
      </c>
      <c r="CH5" s="10">
        <f ca="1">+Tarifas!CZ9</f>
        <v>140.61682575714062</v>
      </c>
      <c r="CI5" s="10">
        <f ca="1">+Tarifas!DA9</f>
        <v>140.61682575714062</v>
      </c>
      <c r="CJ5" s="10">
        <f ca="1">+Tarifas!DB9</f>
        <v>140.61682575714062</v>
      </c>
      <c r="CK5" s="10">
        <f ca="1">+Tarifas!DC9</f>
        <v>140.61682575714062</v>
      </c>
      <c r="CL5" s="10">
        <f ca="1">+Tarifas!DD9</f>
        <v>140.61682575714062</v>
      </c>
      <c r="CM5" s="10">
        <f ca="1">+Tarifas!DE9</f>
        <v>140.61682575714062</v>
      </c>
      <c r="CN5" s="10">
        <f ca="1">+Tarifas!DF9</f>
        <v>144.83533052985484</v>
      </c>
      <c r="CO5" s="10">
        <f ca="1">+Tarifas!DG9</f>
        <v>144.83533052985484</v>
      </c>
      <c r="CP5" s="10">
        <f ca="1">+Tarifas!DH9</f>
        <v>144.83533052985484</v>
      </c>
      <c r="CQ5" s="10">
        <f ca="1">+Tarifas!DI9</f>
        <v>144.83533052985484</v>
      </c>
      <c r="CR5" s="10">
        <f ca="1">+Tarifas!DJ9</f>
        <v>144.83533052985484</v>
      </c>
      <c r="CS5" s="10">
        <f ca="1">+Tarifas!DK9</f>
        <v>144.83533052985484</v>
      </c>
      <c r="CT5" s="10">
        <f ca="1">+Tarifas!DL9</f>
        <v>144.83533052985484</v>
      </c>
      <c r="CU5" s="10">
        <f ca="1">+Tarifas!DM9</f>
        <v>144.83533052985484</v>
      </c>
      <c r="CV5" s="10">
        <f ca="1">+Tarifas!DN9</f>
        <v>144.83533052985484</v>
      </c>
      <c r="CW5" s="10">
        <f ca="1">+Tarifas!DO9</f>
        <v>144.83533052985484</v>
      </c>
      <c r="CX5" s="10">
        <f ca="1">+Tarifas!DP9</f>
        <v>144.83533052985484</v>
      </c>
      <c r="CY5" s="10">
        <f ca="1">+Tarifas!DQ9</f>
        <v>144.83533052985484</v>
      </c>
      <c r="CZ5" s="10">
        <f ca="1">+Tarifas!DR9</f>
        <v>149.1803904457505</v>
      </c>
      <c r="DA5" s="10">
        <f ca="1">+Tarifas!DS9</f>
        <v>149.1803904457505</v>
      </c>
      <c r="DB5" s="10">
        <f ca="1">+Tarifas!DT9</f>
        <v>149.1803904457505</v>
      </c>
      <c r="DC5" s="10">
        <f ca="1">+Tarifas!DU9</f>
        <v>149.1803904457505</v>
      </c>
      <c r="DD5" s="10">
        <f ca="1">+Tarifas!DV9</f>
        <v>149.1803904457505</v>
      </c>
      <c r="DE5" s="10">
        <f ca="1">+Tarifas!DW9</f>
        <v>149.1803904457505</v>
      </c>
      <c r="DF5" s="10">
        <f ca="1">+Tarifas!DX9</f>
        <v>149.1803904457505</v>
      </c>
      <c r="DG5" s="10">
        <f ca="1">+Tarifas!DY9</f>
        <v>149.1803904457505</v>
      </c>
      <c r="DH5" s="10">
        <f ca="1">+Tarifas!DZ9</f>
        <v>149.1803904457505</v>
      </c>
      <c r="DI5" s="10">
        <f ca="1">+Tarifas!EA9</f>
        <v>149.1803904457505</v>
      </c>
      <c r="DJ5" s="10">
        <f ca="1">+Tarifas!EB9</f>
        <v>149.1803904457505</v>
      </c>
      <c r="DK5" s="10">
        <f ca="1">+Tarifas!EC9</f>
        <v>149.1803904457505</v>
      </c>
      <c r="DL5" s="10">
        <f ca="1">+Tarifas!ED9</f>
        <v>153.65580215912303</v>
      </c>
      <c r="DM5" s="10">
        <f ca="1">+Tarifas!EE9</f>
        <v>153.65580215912303</v>
      </c>
      <c r="DN5" s="10">
        <f ca="1">+Tarifas!EF9</f>
        <v>153.65580215912303</v>
      </c>
      <c r="DO5" s="10">
        <f ca="1">+Tarifas!EG9</f>
        <v>153.65580215912303</v>
      </c>
      <c r="DP5" s="10">
        <f ca="1">+Tarifas!EH9</f>
        <v>153.65580215912303</v>
      </c>
      <c r="DQ5" s="10">
        <f ca="1">+Tarifas!EI9</f>
        <v>153.65580215912303</v>
      </c>
      <c r="DR5" s="10">
        <f ca="1">+Tarifas!EJ9</f>
        <v>153.65580215912303</v>
      </c>
      <c r="DS5" s="10">
        <f ca="1">+Tarifas!EK9</f>
        <v>153.65580215912303</v>
      </c>
      <c r="DT5" s="10">
        <f ca="1">+Tarifas!EL9</f>
        <v>153.65580215912303</v>
      </c>
      <c r="DU5" s="10">
        <f ca="1">+Tarifas!EM9</f>
        <v>153.65580215912303</v>
      </c>
      <c r="DV5" s="10">
        <f ca="1">+Tarifas!EN9</f>
        <v>153.65580215912303</v>
      </c>
      <c r="DW5" s="10">
        <f ca="1">+Tarifas!EO9</f>
        <v>153.65580215912303</v>
      </c>
      <c r="DX5" s="10">
        <f ca="1">+Tarifas!EP9</f>
        <v>158.26547622389671</v>
      </c>
      <c r="DY5" s="10">
        <f ca="1">+Tarifas!EQ9</f>
        <v>158.26547622389671</v>
      </c>
      <c r="DZ5" s="10">
        <f ca="1">+Tarifas!ER9</f>
        <v>158.26547622389671</v>
      </c>
      <c r="EA5" s="10">
        <f ca="1">+Tarifas!ES9</f>
        <v>158.26547622389671</v>
      </c>
      <c r="EB5" s="10">
        <f ca="1">+Tarifas!ET9</f>
        <v>158.26547622389671</v>
      </c>
      <c r="EC5" s="10">
        <f ca="1">+Tarifas!EU9</f>
        <v>158.26547622389671</v>
      </c>
      <c r="ED5" s="10">
        <f ca="1">+Tarifas!EV9</f>
        <v>158.26547622389671</v>
      </c>
      <c r="EE5" s="10">
        <f ca="1">+Tarifas!EW9</f>
        <v>158.26547622389671</v>
      </c>
      <c r="EF5" s="10">
        <f ca="1">+Tarifas!EX9</f>
        <v>158.26547622389671</v>
      </c>
      <c r="EG5" s="10">
        <f ca="1">+Tarifas!EY9</f>
        <v>158.26547622389671</v>
      </c>
      <c r="EH5" s="10">
        <f ca="1">+Tarifas!EZ9</f>
        <v>158.26547622389671</v>
      </c>
      <c r="EI5" s="10">
        <f ca="1">+Tarifas!FA9</f>
        <v>158.26547622389671</v>
      </c>
      <c r="EJ5" s="10">
        <f ca="1">+Tarifas!FB9</f>
        <v>163.01344051061361</v>
      </c>
      <c r="EK5" s="10">
        <f ca="1">+Tarifas!FC9</f>
        <v>163.01344051061361</v>
      </c>
      <c r="EL5" s="10">
        <f ca="1">+Tarifas!FD9</f>
        <v>163.01344051061361</v>
      </c>
      <c r="EM5" s="10">
        <f ca="1">+Tarifas!FE9</f>
        <v>163.01344051061361</v>
      </c>
      <c r="EN5" s="10">
        <f ca="1">+Tarifas!FF9</f>
        <v>163.01344051061361</v>
      </c>
      <c r="EO5" s="10">
        <f ca="1">+Tarifas!FG9</f>
        <v>163.01344051061361</v>
      </c>
      <c r="EP5" s="10">
        <f ca="1">+Tarifas!FH9</f>
        <v>163.01344051061361</v>
      </c>
      <c r="EQ5" s="10">
        <f ca="1">+Tarifas!FI9</f>
        <v>163.01344051061361</v>
      </c>
      <c r="ER5" s="10">
        <f ca="1">+Tarifas!FJ9</f>
        <v>163.01344051061361</v>
      </c>
      <c r="ES5" s="10">
        <f ca="1">+Tarifas!FK9</f>
        <v>163.01344051061361</v>
      </c>
      <c r="ET5" s="10">
        <f ca="1">+Tarifas!FL9</f>
        <v>163.01344051061361</v>
      </c>
      <c r="EU5" s="10">
        <f ca="1">+Tarifas!FM9</f>
        <v>163.01344051061361</v>
      </c>
      <c r="EV5" s="10">
        <f ca="1">+Tarifas!FN9</f>
        <v>167.90384372593201</v>
      </c>
      <c r="EW5" s="10">
        <f ca="1">+Tarifas!FO9</f>
        <v>167.90384372593201</v>
      </c>
      <c r="EX5" s="10">
        <f ca="1">+Tarifas!FP9</f>
        <v>167.90384372593201</v>
      </c>
      <c r="EY5" s="10">
        <f ca="1">+Tarifas!FQ9</f>
        <v>167.90384372593201</v>
      </c>
      <c r="EZ5" s="10">
        <f ca="1">+Tarifas!FR9</f>
        <v>167.90384372593201</v>
      </c>
      <c r="FA5" s="10">
        <f ca="1">+Tarifas!FS9</f>
        <v>167.90384372593201</v>
      </c>
      <c r="FB5" s="10">
        <f ca="1">+Tarifas!FT9</f>
        <v>167.90384372593201</v>
      </c>
      <c r="FC5" s="10">
        <f ca="1">+Tarifas!FU9</f>
        <v>167.90384372593201</v>
      </c>
      <c r="FD5" s="10">
        <f ca="1">+Tarifas!FV9</f>
        <v>167.90384372593201</v>
      </c>
      <c r="FE5" s="10">
        <f ca="1">+Tarifas!FW9</f>
        <v>167.90384372593201</v>
      </c>
      <c r="FF5" s="10">
        <f ca="1">+Tarifas!FX9</f>
        <v>167.90384372593201</v>
      </c>
      <c r="FG5" s="10">
        <f ca="1">+Tarifas!FY9</f>
        <v>167.90384372593201</v>
      </c>
      <c r="FH5" s="10">
        <f ca="1">+Tarifas!FZ9</f>
        <v>172.94095903770997</v>
      </c>
      <c r="FI5" s="10">
        <f ca="1">+Tarifas!GA9</f>
        <v>172.94095903770997</v>
      </c>
      <c r="FJ5" s="10">
        <f ca="1">+Tarifas!GB9</f>
        <v>172.94095903770997</v>
      </c>
      <c r="FK5" s="10">
        <f ca="1">+Tarifas!GC9</f>
        <v>172.94095903770997</v>
      </c>
      <c r="FL5" s="10">
        <f ca="1">+Tarifas!GD9</f>
        <v>172.94095903770997</v>
      </c>
      <c r="FM5" s="10">
        <f ca="1">+Tarifas!GE9</f>
        <v>172.94095903770997</v>
      </c>
      <c r="FN5" s="10">
        <f ca="1">+Tarifas!GF9</f>
        <v>172.94095903770997</v>
      </c>
      <c r="FO5" s="10">
        <f ca="1">+Tarifas!GG9</f>
        <v>172.94095903770997</v>
      </c>
      <c r="FP5" s="10">
        <f ca="1">+Tarifas!GH9</f>
        <v>172.94095903770997</v>
      </c>
      <c r="FQ5" s="10">
        <f ca="1">+Tarifas!GI9</f>
        <v>172.94095903770997</v>
      </c>
      <c r="FR5" s="10">
        <f ca="1">+Tarifas!GJ9</f>
        <v>172.94095903770997</v>
      </c>
      <c r="FS5" s="10">
        <f ca="1">+Tarifas!GK9</f>
        <v>172.94095903770997</v>
      </c>
      <c r="FT5" s="10">
        <f ca="1">+Tarifas!GL9</f>
        <v>178.12918780884127</v>
      </c>
      <c r="FU5" s="10">
        <f ca="1">+Tarifas!GM9</f>
        <v>178.12918780884127</v>
      </c>
      <c r="FV5" s="10">
        <f ca="1">+Tarifas!GN9</f>
        <v>178.12918780884127</v>
      </c>
      <c r="FW5" s="10">
        <f ca="1">+Tarifas!GO9</f>
        <v>178.12918780884127</v>
      </c>
      <c r="FX5" s="10">
        <f ca="1">+Tarifas!GP9</f>
        <v>178.12918780884127</v>
      </c>
      <c r="FY5" s="10">
        <f ca="1">+Tarifas!GQ9</f>
        <v>178.12918780884127</v>
      </c>
      <c r="FZ5" s="10">
        <f ca="1">+Tarifas!GR9</f>
        <v>178.12918780884127</v>
      </c>
      <c r="GA5" s="10">
        <f ca="1">+Tarifas!GS9</f>
        <v>178.12918780884127</v>
      </c>
      <c r="GB5" s="10">
        <f ca="1">+Tarifas!GT9</f>
        <v>178.12918780884127</v>
      </c>
      <c r="GC5" s="10">
        <f ca="1">+Tarifas!GU9</f>
        <v>178.12918780884127</v>
      </c>
      <c r="GD5" s="10">
        <f ca="1">+Tarifas!GV9</f>
        <v>178.12918780884127</v>
      </c>
      <c r="GE5" s="10">
        <f ca="1">+Tarifas!GW9</f>
        <v>178.12918780884127</v>
      </c>
      <c r="GF5" s="10">
        <f ca="1">+Tarifas!GX9</f>
        <v>183.4730634431065</v>
      </c>
      <c r="GG5" s="10">
        <f ca="1">+Tarifas!GY9</f>
        <v>183.4730634431065</v>
      </c>
      <c r="GH5" s="10">
        <f ca="1">+Tarifas!GZ9</f>
        <v>183.4730634431065</v>
      </c>
      <c r="GI5" s="10">
        <f ca="1">+Tarifas!HA9</f>
        <v>183.4730634431065</v>
      </c>
      <c r="GJ5" s="10">
        <f ca="1">+Tarifas!HB9</f>
        <v>183.4730634431065</v>
      </c>
      <c r="GK5" s="10">
        <f ca="1">+Tarifas!HC9</f>
        <v>183.4730634431065</v>
      </c>
      <c r="GL5" s="10">
        <f ca="1">+Tarifas!HD9</f>
        <v>183.4730634431065</v>
      </c>
      <c r="GM5" s="10">
        <f ca="1">+Tarifas!HE9</f>
        <v>183.4730634431065</v>
      </c>
      <c r="GN5" s="10">
        <f ca="1">+Tarifas!HF9</f>
        <v>183.4730634431065</v>
      </c>
      <c r="GO5" s="10">
        <f ca="1">+Tarifas!HG9</f>
        <v>183.4730634431065</v>
      </c>
      <c r="GP5" s="10">
        <f ca="1">+Tarifas!HH9</f>
        <v>183.4730634431065</v>
      </c>
      <c r="GQ5" s="10">
        <f ca="1">+Tarifas!HI9</f>
        <v>183.4730634431065</v>
      </c>
      <c r="GR5" s="10">
        <f ca="1">+Tarifas!HJ9</f>
        <v>188.97725534639969</v>
      </c>
      <c r="GS5" s="10">
        <f ca="1">+Tarifas!HK9</f>
        <v>188.97725534639969</v>
      </c>
      <c r="GT5" s="10">
        <f ca="1">+Tarifas!HL9</f>
        <v>188.97725534639969</v>
      </c>
      <c r="GU5" s="10">
        <f ca="1">+Tarifas!HM9</f>
        <v>188.97725534639969</v>
      </c>
      <c r="GV5" s="10">
        <f ca="1">+Tarifas!HN9</f>
        <v>188.97725534639969</v>
      </c>
      <c r="GW5" s="10">
        <f ca="1">+Tarifas!HO9</f>
        <v>188.97725534639969</v>
      </c>
      <c r="GX5" s="10">
        <f ca="1">+Tarifas!HP9</f>
        <v>188.97725534639969</v>
      </c>
      <c r="GY5" s="10">
        <f ca="1">+Tarifas!HQ9</f>
        <v>188.97725534639969</v>
      </c>
      <c r="GZ5" s="10">
        <f ca="1">+Tarifas!HR9</f>
        <v>188.97725534639969</v>
      </c>
      <c r="HA5" s="10">
        <f ca="1">+Tarifas!HS9</f>
        <v>188.97725534639969</v>
      </c>
      <c r="HB5" s="10">
        <f ca="1">+Tarifas!HT9</f>
        <v>188.97725534639969</v>
      </c>
      <c r="HC5" s="10">
        <f ca="1">+Tarifas!HU9</f>
        <v>188.97725534639969</v>
      </c>
      <c r="HD5" s="10">
        <f ca="1">+Tarifas!HV9</f>
        <v>194.64657300679167</v>
      </c>
      <c r="HE5" s="10">
        <f ca="1">+Tarifas!HW9</f>
        <v>194.64657300679167</v>
      </c>
      <c r="HF5" s="10">
        <f ca="1">+Tarifas!HX9</f>
        <v>194.64657300679167</v>
      </c>
      <c r="HG5" s="10">
        <f ca="1">+Tarifas!HY9</f>
        <v>194.64657300679167</v>
      </c>
      <c r="HH5" s="10">
        <f ca="1">+Tarifas!HZ9</f>
        <v>194.64657300679167</v>
      </c>
      <c r="HI5" s="10">
        <f ca="1">+Tarifas!IA9</f>
        <v>194.64657300679167</v>
      </c>
      <c r="HJ5" s="10">
        <f ca="1">+Tarifas!IB9</f>
        <v>194.64657300679167</v>
      </c>
      <c r="HK5" s="10">
        <f ca="1">+Tarifas!IC9</f>
        <v>194.64657300679167</v>
      </c>
      <c r="HL5" s="10">
        <f ca="1">+Tarifas!ID9</f>
        <v>194.64657300679167</v>
      </c>
      <c r="HM5" s="10">
        <f ca="1">+Tarifas!IE9</f>
        <v>194.64657300679167</v>
      </c>
      <c r="HN5" s="10">
        <f ca="1">+Tarifas!IF9</f>
        <v>194.64657300679167</v>
      </c>
      <c r="HO5" s="10">
        <f ca="1">+Tarifas!IG9</f>
        <v>194.64657300679167</v>
      </c>
      <c r="HP5" s="10">
        <f ca="1">+Tarifas!IH9</f>
        <v>200.48597019699542</v>
      </c>
      <c r="HQ5" s="10">
        <f ca="1">+Tarifas!II9</f>
        <v>200.48597019699542</v>
      </c>
      <c r="HR5" s="10">
        <f ca="1">+Tarifas!IJ9</f>
        <v>200.48597019699542</v>
      </c>
      <c r="HS5" s="10">
        <f ca="1">+Tarifas!IK9</f>
        <v>200.48597019699542</v>
      </c>
      <c r="HT5" s="10">
        <f ca="1">+Tarifas!IL9</f>
        <v>200.48597019699542</v>
      </c>
      <c r="HU5" s="10">
        <f ca="1">+Tarifas!IM9</f>
        <v>200.48597019699542</v>
      </c>
      <c r="HV5" s="10">
        <f ca="1">+Tarifas!IN9</f>
        <v>200.48597019699542</v>
      </c>
      <c r="HW5" s="10">
        <f ca="1">+Tarifas!IO9</f>
        <v>200.48597019699542</v>
      </c>
      <c r="HX5" s="10">
        <f ca="1">+Tarifas!IP9</f>
        <v>200.48597019699542</v>
      </c>
      <c r="HY5" s="10">
        <f ca="1">+Tarifas!IQ9</f>
        <v>200.48597019699542</v>
      </c>
      <c r="HZ5" s="10">
        <f ca="1">+Tarifas!IR9</f>
        <v>200.48597019699542</v>
      </c>
      <c r="IA5" s="10">
        <f ca="1">+Tarifas!IS9</f>
        <v>200.48597019699542</v>
      </c>
      <c r="IB5" s="10">
        <f ca="1">+Tarifas!IT9</f>
        <v>206.50054930290528</v>
      </c>
      <c r="IC5" s="10">
        <f ca="1">+Tarifas!IU9</f>
        <v>206.50054930290528</v>
      </c>
      <c r="ID5" s="10">
        <f ca="1">+Tarifas!IV9</f>
        <v>206.50054930290528</v>
      </c>
      <c r="IE5" s="10">
        <f ca="1">+Tarifas!IW9</f>
        <v>206.50054930290528</v>
      </c>
      <c r="IF5" s="10">
        <f ca="1">+Tarifas!IX9</f>
        <v>206.50054930290528</v>
      </c>
      <c r="IG5" s="10">
        <f ca="1">+Tarifas!IY9</f>
        <v>206.50054930290528</v>
      </c>
      <c r="IH5" s="10">
        <f ca="1">+Tarifas!IZ9</f>
        <v>206.50054930290528</v>
      </c>
      <c r="II5" s="10">
        <f ca="1">+Tarifas!JA9</f>
        <v>206.50054930290528</v>
      </c>
      <c r="IJ5" s="10">
        <f ca="1">+Tarifas!JB9</f>
        <v>206.50054930290528</v>
      </c>
      <c r="IK5" s="10">
        <f ca="1">+Tarifas!JC9</f>
        <v>206.50054930290528</v>
      </c>
      <c r="IL5" s="10">
        <f ca="1">+Tarifas!JD9</f>
        <v>206.50054930290528</v>
      </c>
      <c r="IM5" s="10">
        <f ca="1">+Tarifas!JE9</f>
        <v>206.50054930290528</v>
      </c>
      <c r="IN5" s="10"/>
      <c r="IO5" s="10"/>
    </row>
    <row r="6" spans="1:249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9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si="4"/>
        <v>0</v>
      </c>
      <c r="J8" s="33">
        <f ca="1">+I4*I5</f>
        <v>0</v>
      </c>
      <c r="K8" s="33">
        <f ca="1">+J4*J5</f>
        <v>278021.6345918703</v>
      </c>
      <c r="L8" s="33">
        <f t="shared" ca="1" si="4"/>
        <v>252552.48776191767</v>
      </c>
      <c r="M8" s="33">
        <f t="shared" ca="1" si="4"/>
        <v>244867.4362589386</v>
      </c>
      <c r="N8" s="33">
        <f t="shared" ca="1" si="4"/>
        <v>246135.54614909223</v>
      </c>
      <c r="O8" s="33">
        <f t="shared" ca="1" si="4"/>
        <v>261918.16683016066</v>
      </c>
      <c r="P8" s="33">
        <f t="shared" ca="1" si="4"/>
        <v>258074.98628871058</v>
      </c>
      <c r="Q8" s="33">
        <f t="shared" ca="1" si="4"/>
        <v>241516.47068493298</v>
      </c>
      <c r="R8" s="33">
        <f ca="1">+Q4*Q5</f>
        <v>217744.71900205518</v>
      </c>
      <c r="S8" s="33">
        <f t="shared" ca="1" si="4"/>
        <v>208097.43366792329</v>
      </c>
      <c r="T8" s="33">
        <f t="shared" ca="1" si="4"/>
        <v>219977.06364712282</v>
      </c>
      <c r="U8" s="33">
        <f t="shared" ca="1" si="4"/>
        <v>260327.03479212502</v>
      </c>
      <c r="V8" s="33">
        <f t="shared" ca="1" si="4"/>
        <v>239997.6239497932</v>
      </c>
      <c r="W8" s="33">
        <f t="shared" ca="1" si="4"/>
        <v>285777.87080589251</v>
      </c>
      <c r="X8" s="33">
        <f t="shared" ca="1" si="4"/>
        <v>259598.18675723489</v>
      </c>
      <c r="Y8" s="33">
        <f t="shared" ca="1" si="4"/>
        <v>251698.73800110121</v>
      </c>
      <c r="Z8" s="33">
        <f t="shared" ca="1" si="4"/>
        <v>253002.2255692108</v>
      </c>
      <c r="AA8" s="33">
        <f t="shared" ca="1" si="4"/>
        <v>269225.149157851</v>
      </c>
      <c r="AB8" s="33">
        <f t="shared" ca="1" si="4"/>
        <v>265545.43911267107</v>
      </c>
      <c r="AC8" s="33">
        <f t="shared" ca="1" si="4"/>
        <v>248507.60696825653</v>
      </c>
      <c r="AD8" s="33">
        <f t="shared" ca="1" si="4"/>
        <v>224047.73842429265</v>
      </c>
      <c r="AE8" s="33">
        <f t="shared" ca="1" si="4"/>
        <v>214121.19475906738</v>
      </c>
      <c r="AF8" s="33">
        <f t="shared" ca="1" si="4"/>
        <v>226344.70237089586</v>
      </c>
      <c r="AG8" s="33">
        <f t="shared" ca="1" si="4"/>
        <v>267862.67728186434</v>
      </c>
      <c r="AH8" s="33">
        <f t="shared" ca="1" si="4"/>
        <v>246944.79443447484</v>
      </c>
      <c r="AI8" s="33">
        <f t="shared" ca="1" si="4"/>
        <v>294050.23432584631</v>
      </c>
      <c r="AJ8" s="33">
        <f t="shared" ca="1" si="4"/>
        <v>267112.73140661861</v>
      </c>
      <c r="AK8" s="33">
        <f t="shared" ca="1" si="4"/>
        <v>258984.61864814741</v>
      </c>
      <c r="AL8" s="33">
        <f t="shared" ca="1" si="4"/>
        <v>260325.83804964466</v>
      </c>
      <c r="AM8" s="33">
        <f t="shared" ca="1" si="4"/>
        <v>277018.36385382112</v>
      </c>
      <c r="AN8" s="33">
        <f t="shared" ca="1" si="4"/>
        <v>273231.85161840945</v>
      </c>
      <c r="AO8" s="33">
        <f t="shared" ca="1" si="4"/>
        <v>255700.84660496312</v>
      </c>
      <c r="AP8" s="33">
        <f t="shared" ca="1" si="4"/>
        <v>230532.96876476245</v>
      </c>
      <c r="AQ8" s="33">
        <f t="shared" ca="1" si="4"/>
        <v>220319.09382537901</v>
      </c>
      <c r="AR8" s="33">
        <f t="shared" ca="1" si="4"/>
        <v>232896.4200608129</v>
      </c>
      <c r="AS8" s="33">
        <f t="shared" ca="1" si="4"/>
        <v>275616.16398967517</v>
      </c>
      <c r="AT8" s="33">
        <f t="shared" ca="1" si="4"/>
        <v>263167.54004692117</v>
      </c>
      <c r="AU8" s="33">
        <f t="shared" ca="1" si="4"/>
        <v>302561.739573272</v>
      </c>
      <c r="AV8" s="33">
        <f t="shared" ca="1" si="4"/>
        <v>274844.51036688389</v>
      </c>
      <c r="AW8" s="33">
        <f t="shared" ca="1" si="4"/>
        <v>266481.12326981546</v>
      </c>
      <c r="AX8" s="33">
        <f t="shared" ca="1" si="4"/>
        <v>267861.16527589236</v>
      </c>
      <c r="AY8" s="33">
        <f t="shared" ca="1" si="4"/>
        <v>285036.86879730748</v>
      </c>
      <c r="AZ8" s="33">
        <f t="shared" ca="1" si="4"/>
        <v>281140.45797929069</v>
      </c>
      <c r="BA8" s="33">
        <f t="shared" ca="1" si="4"/>
        <v>263102.02377360064</v>
      </c>
      <c r="BB8" s="33">
        <f t="shared" ca="1" si="4"/>
        <v>237205.66996107853</v>
      </c>
      <c r="BC8" s="33">
        <f t="shared" ca="1" si="4"/>
        <v>226696.15776038609</v>
      </c>
      <c r="BD8" s="33">
        <f t="shared" ca="1" si="4"/>
        <v>239637.53057999117</v>
      </c>
      <c r="BE8" s="33">
        <f t="shared" ca="1" si="4"/>
        <v>283593.78349040088</v>
      </c>
      <c r="BF8" s="33">
        <f t="shared" ca="1" si="4"/>
        <v>261447.42999503168</v>
      </c>
      <c r="BG8" s="33">
        <f t="shared" ca="1" si="4"/>
        <v>311319.28992465005</v>
      </c>
      <c r="BH8" s="33">
        <f t="shared" ca="1" si="4"/>
        <v>282799.7946064992</v>
      </c>
      <c r="BI8" s="33">
        <f t="shared" ca="1" si="4"/>
        <v>274194.33201200014</v>
      </c>
      <c r="BJ8" s="33">
        <f t="shared" ca="1" si="4"/>
        <v>275614.31888147019</v>
      </c>
      <c r="BK8" s="33">
        <f t="shared" ca="1" si="4"/>
        <v>293287.16750993434</v>
      </c>
      <c r="BL8" s="33">
        <f t="shared" ca="1" si="4"/>
        <v>288089.67340216337</v>
      </c>
      <c r="BM8" s="33">
        <f t="shared" ca="1" si="4"/>
        <v>269605.36610482499</v>
      </c>
      <c r="BN8" s="33">
        <f t="shared" ca="1" si="4"/>
        <v>243068.90754678319</v>
      </c>
      <c r="BO8" s="33">
        <f t="shared" ca="1" si="4"/>
        <v>232299.62176246333</v>
      </c>
      <c r="BP8" s="33">
        <f t="shared" ca="1" si="4"/>
        <v>245560.87877176324</v>
      </c>
      <c r="BQ8" s="33">
        <f t="shared" ref="BQ8:EB8" ca="1" si="5">+BP4*BP5</f>
        <v>290603.64008744562</v>
      </c>
      <c r="BR8" s="33">
        <f t="shared" ca="1" si="5"/>
        <v>267909.87416208844</v>
      </c>
      <c r="BS8" s="33">
        <f t="shared" ca="1" si="5"/>
        <v>319014.46416791581</v>
      </c>
      <c r="BT8" s="33">
        <f t="shared" ca="1" si="5"/>
        <v>289790.02542702906</v>
      </c>
      <c r="BU8" s="33">
        <f t="shared" ca="1" si="5"/>
        <v>280971.85344942502</v>
      </c>
      <c r="BV8" s="33">
        <f t="shared" ca="1" si="5"/>
        <v>282426.93948151468</v>
      </c>
      <c r="BW8" s="33">
        <f t="shared" ca="1" si="5"/>
        <v>300536.62467607739</v>
      </c>
      <c r="BX8" s="33">
        <f t="shared" ca="1" si="5"/>
        <v>295202.81533822708</v>
      </c>
      <c r="BY8" s="33">
        <f t="shared" ca="1" si="5"/>
        <v>276262.11715452664</v>
      </c>
      <c r="BZ8" s="33">
        <f t="shared" ca="1" si="5"/>
        <v>249070.45428466509</v>
      </c>
      <c r="CA8" s="33">
        <f t="shared" ca="1" si="5"/>
        <v>238035.26706268088</v>
      </c>
      <c r="CB8" s="33">
        <f t="shared" ca="1" si="5"/>
        <v>251623.95407751971</v>
      </c>
      <c r="CC8" s="33">
        <f t="shared" ca="1" si="5"/>
        <v>297778.85367517179</v>
      </c>
      <c r="CD8" s="33">
        <f t="shared" ca="1" si="5"/>
        <v>274524.76229217305</v>
      </c>
      <c r="CE8" s="33">
        <f t="shared" ca="1" si="5"/>
        <v>326891.16150484525</v>
      </c>
      <c r="CF8" s="33">
        <f t="shared" ca="1" si="5"/>
        <v>296945.15028164483</v>
      </c>
      <c r="CG8" s="33">
        <f t="shared" ca="1" si="5"/>
        <v>287909.2512742845</v>
      </c>
      <c r="CH8" s="33">
        <f t="shared" ca="1" si="5"/>
        <v>289400.26443056861</v>
      </c>
      <c r="CI8" s="33">
        <f t="shared" ca="1" si="5"/>
        <v>307957.09082143009</v>
      </c>
      <c r="CJ8" s="33">
        <f t="shared" ca="1" si="5"/>
        <v>302483.46508439281</v>
      </c>
      <c r="CK8" s="33">
        <f t="shared" ca="1" si="5"/>
        <v>283075.62843771605</v>
      </c>
      <c r="CL8" s="33">
        <f t="shared" ca="1" si="5"/>
        <v>255213.33181002786</v>
      </c>
      <c r="CM8" s="33">
        <f t="shared" ca="1" si="5"/>
        <v>243905.98142132521</v>
      </c>
      <c r="CN8" s="33">
        <f t="shared" ca="1" si="5"/>
        <v>257829.8091107269</v>
      </c>
      <c r="CO8" s="33">
        <f t="shared" ca="1" si="5"/>
        <v>305123.03680208279</v>
      </c>
      <c r="CP8" s="33">
        <f t="shared" ca="1" si="5"/>
        <v>291341.68999557802</v>
      </c>
      <c r="CQ8" s="33">
        <f t="shared" ca="1" si="5"/>
        <v>334953.34766423941</v>
      </c>
      <c r="CR8" s="33">
        <f t="shared" ca="1" si="5"/>
        <v>304268.77160465339</v>
      </c>
      <c r="CS8" s="33">
        <f t="shared" ca="1" si="5"/>
        <v>295010.01830053108</v>
      </c>
      <c r="CT8" s="33">
        <f t="shared" ca="1" si="5"/>
        <v>296537.8046310324</v>
      </c>
      <c r="CU8" s="33">
        <f t="shared" ca="1" si="5"/>
        <v>315552.30197329546</v>
      </c>
      <c r="CV8" s="33">
        <f t="shared" ca="1" si="5"/>
        <v>309935.27128152386</v>
      </c>
      <c r="CW8" s="33">
        <f t="shared" ca="1" si="5"/>
        <v>290049.31449245766</v>
      </c>
      <c r="CX8" s="33">
        <f t="shared" ca="1" si="5"/>
        <v>261500.61857805619</v>
      </c>
      <c r="CY8" s="33">
        <f t="shared" ca="1" si="5"/>
        <v>249914.70690113187</v>
      </c>
      <c r="CZ8" s="33">
        <f t="shared" ca="1" si="5"/>
        <v>264181.55388725683</v>
      </c>
      <c r="DA8" s="33">
        <f t="shared" ca="1" si="5"/>
        <v>312639.86994830082</v>
      </c>
      <c r="DB8" s="33">
        <f t="shared" ca="1" si="5"/>
        <v>288225.25482026621</v>
      </c>
      <c r="DC8" s="33">
        <f t="shared" ca="1" si="5"/>
        <v>343205.06294784287</v>
      </c>
      <c r="DD8" s="33">
        <f t="shared" ca="1" si="5"/>
        <v>311764.55957178882</v>
      </c>
      <c r="DE8" s="33">
        <f t="shared" ca="1" si="5"/>
        <v>302277.71302220569</v>
      </c>
      <c r="DF8" s="33">
        <f t="shared" ca="1" si="5"/>
        <v>303843.13700553653</v>
      </c>
      <c r="DG8" s="33">
        <f t="shared" ca="1" si="5"/>
        <v>323326.06441253342</v>
      </c>
      <c r="DH8" s="33">
        <f t="shared" ca="1" si="5"/>
        <v>317561.95073190698</v>
      </c>
      <c r="DI8" s="33">
        <f t="shared" ca="1" si="5"/>
        <v>297186.65364488994</v>
      </c>
      <c r="DJ8" s="33">
        <f t="shared" ca="1" si="5"/>
        <v>267935.45055353717</v>
      </c>
      <c r="DK8" s="33">
        <f t="shared" ca="1" si="5"/>
        <v>256064.4405264477</v>
      </c>
      <c r="DL8" s="33">
        <f t="shared" ca="1" si="5"/>
        <v>270682.35652217886</v>
      </c>
      <c r="DM8" s="33">
        <f t="shared" ca="1" si="5"/>
        <v>320333.10235016997</v>
      </c>
      <c r="DN8" s="33">
        <f t="shared" ca="1" si="5"/>
        <v>295317.70873469161</v>
      </c>
      <c r="DO8" s="33">
        <f t="shared" ca="1" si="5"/>
        <v>351650.42313556466</v>
      </c>
      <c r="DP8" s="33">
        <f t="shared" ca="1" si="5"/>
        <v>319436.25292250834</v>
      </c>
      <c r="DQ8" s="33">
        <f t="shared" ca="1" si="5"/>
        <v>309715.96041071025</v>
      </c>
      <c r="DR8" s="33">
        <f t="shared" ca="1" si="5"/>
        <v>311319.90529834293</v>
      </c>
      <c r="DS8" s="33">
        <f t="shared" ca="1" si="5"/>
        <v>331282.25552634965</v>
      </c>
      <c r="DT8" s="33">
        <f t="shared" ca="1" si="5"/>
        <v>323645.76915645512</v>
      </c>
      <c r="DU8" s="33">
        <f t="shared" ca="1" si="5"/>
        <v>312976.12841503351</v>
      </c>
      <c r="DV8" s="33">
        <f t="shared" ca="1" si="5"/>
        <v>273068.52971151017</v>
      </c>
      <c r="DW8" s="33">
        <f t="shared" ca="1" si="5"/>
        <v>269669.09932803182</v>
      </c>
      <c r="DX8" s="33">
        <f t="shared" ca="1" si="5"/>
        <v>275868.06061555113</v>
      </c>
      <c r="DY8" s="33">
        <f t="shared" ca="1" si="5"/>
        <v>326470.01020572061</v>
      </c>
      <c r="DZ8" s="33">
        <f t="shared" ca="1" si="5"/>
        <v>300975.37431255623</v>
      </c>
      <c r="EA8" s="33">
        <f t="shared" ca="1" si="5"/>
        <v>358387.30492616171</v>
      </c>
      <c r="EB8" s="33">
        <f t="shared" ca="1" si="5"/>
        <v>325555.97903112893</v>
      </c>
      <c r="EC8" s="33">
        <f t="shared" ref="EC8:GN8" ca="1" si="6">+EB4*EB5</f>
        <v>315649.46617857856</v>
      </c>
      <c r="ED8" s="33">
        <f t="shared" ca="1" si="6"/>
        <v>317284.13927353226</v>
      </c>
      <c r="EE8" s="33">
        <f t="shared" ca="1" si="6"/>
        <v>337628.92610590713</v>
      </c>
      <c r="EF8" s="33">
        <f t="shared" ca="1" si="6"/>
        <v>329808.81093081733</v>
      </c>
      <c r="EG8" s="33">
        <f t="shared" ca="1" si="6"/>
        <v>318935.99298804323</v>
      </c>
      <c r="EH8" s="33">
        <f t="shared" ca="1" si="6"/>
        <v>278268.45171346341</v>
      </c>
      <c r="EI8" s="33">
        <f t="shared" ca="1" si="6"/>
        <v>274804.28749608685</v>
      </c>
      <c r="EJ8" s="33">
        <f t="shared" ca="1" si="6"/>
        <v>281121.29283365578</v>
      </c>
      <c r="EK8" s="33">
        <f t="shared" ca="1" si="6"/>
        <v>332686.8327404891</v>
      </c>
      <c r="EL8" s="33">
        <f t="shared" ca="1" si="6"/>
        <v>317660.52509748976</v>
      </c>
      <c r="EM8" s="33">
        <f t="shared" ca="1" si="6"/>
        <v>365211.91424337274</v>
      </c>
      <c r="EN8" s="33">
        <f t="shared" ca="1" si="6"/>
        <v>331755.39607863658</v>
      </c>
      <c r="EO8" s="33">
        <f t="shared" ca="1" si="6"/>
        <v>321660.23792814935</v>
      </c>
      <c r="EP8" s="33">
        <f t="shared" ca="1" si="6"/>
        <v>323326.03937246435</v>
      </c>
      <c r="EQ8" s="33">
        <f t="shared" ca="1" si="6"/>
        <v>344058.2428902642</v>
      </c>
      <c r="ER8" s="33">
        <f t="shared" ca="1" si="6"/>
        <v>336050.35401940055</v>
      </c>
      <c r="ES8" s="33">
        <f t="shared" ca="1" si="6"/>
        <v>324971.77091985993</v>
      </c>
      <c r="ET8" s="33">
        <f t="shared" ca="1" si="6"/>
        <v>283534.60735879344</v>
      </c>
      <c r="EU8" s="33">
        <f t="shared" ca="1" si="6"/>
        <v>280004.88476483</v>
      </c>
      <c r="EV8" s="33">
        <f t="shared" ca="1" si="6"/>
        <v>286441.43773029267</v>
      </c>
      <c r="EW8" s="33">
        <f t="shared" ca="1" si="6"/>
        <v>338982.84161815856</v>
      </c>
      <c r="EX8" s="33">
        <f t="shared" ca="1" si="6"/>
        <v>312511.05599950592</v>
      </c>
      <c r="EY8" s="33">
        <f t="shared" ca="1" si="6"/>
        <v>372123.45154518279</v>
      </c>
      <c r="EZ8" s="33">
        <f t="shared" ca="1" si="6"/>
        <v>338033.77776786668</v>
      </c>
      <c r="FA8" s="33">
        <f t="shared" ca="1" si="6"/>
        <v>327747.57146313367</v>
      </c>
      <c r="FB8" s="33">
        <f t="shared" ca="1" si="6"/>
        <v>329444.89775198628</v>
      </c>
      <c r="FC8" s="33">
        <f t="shared" ca="1" si="6"/>
        <v>350569.45264818752</v>
      </c>
      <c r="FD8" s="33">
        <f t="shared" ca="1" si="6"/>
        <v>342369.56176346104</v>
      </c>
      <c r="FE8" s="33">
        <f t="shared" ca="1" si="6"/>
        <v>331082.65313389641</v>
      </c>
      <c r="FF8" s="33">
        <f t="shared" ca="1" si="6"/>
        <v>288866.29073630116</v>
      </c>
      <c r="FG8" s="33">
        <f t="shared" ca="1" si="6"/>
        <v>285270.19401095127</v>
      </c>
      <c r="FH8" s="33">
        <f t="shared" ca="1" si="6"/>
        <v>291827.78215717751</v>
      </c>
      <c r="FI8" s="33">
        <f t="shared" ca="1" si="6"/>
        <v>345357.19287902175</v>
      </c>
      <c r="FJ8" s="33">
        <f t="shared" ca="1" si="6"/>
        <v>318387.62259601842</v>
      </c>
      <c r="FK8" s="33">
        <f t="shared" ca="1" si="6"/>
        <v>379120.99036228238</v>
      </c>
      <c r="FL8" s="33">
        <f t="shared" ca="1" si="6"/>
        <v>344390.28250197991</v>
      </c>
      <c r="FM8" s="33">
        <f t="shared" ca="1" si="6"/>
        <v>333910.65079608181</v>
      </c>
      <c r="FN8" s="33">
        <f t="shared" ca="1" si="6"/>
        <v>335639.89419884427</v>
      </c>
      <c r="FO8" s="33">
        <f t="shared" ca="1" si="6"/>
        <v>357161.68257298495</v>
      </c>
      <c r="FP8" s="33">
        <f t="shared" ca="1" si="6"/>
        <v>348765.47665354767</v>
      </c>
      <c r="FQ8" s="33">
        <f t="shared" ca="1" si="6"/>
        <v>337267.71368694719</v>
      </c>
      <c r="FR8" s="33">
        <f t="shared" ca="1" si="6"/>
        <v>294262.69396983646</v>
      </c>
      <c r="FS8" s="33">
        <f t="shared" ca="1" si="6"/>
        <v>290599.41741555143</v>
      </c>
      <c r="FT8" s="33">
        <f t="shared" ca="1" si="6"/>
        <v>297279.50995571824</v>
      </c>
      <c r="FU8" s="33">
        <f t="shared" ca="1" si="6"/>
        <v>351808.92065808037</v>
      </c>
      <c r="FV8" s="33">
        <f t="shared" ca="1" si="6"/>
        <v>324335.52323792205</v>
      </c>
      <c r="FW8" s="33">
        <f t="shared" ca="1" si="6"/>
        <v>386203.47040201735</v>
      </c>
      <c r="FX8" s="33">
        <f t="shared" ca="1" si="6"/>
        <v>350823.94712014875</v>
      </c>
      <c r="FY8" s="33">
        <f t="shared" ca="1" si="6"/>
        <v>340148.54207468987</v>
      </c>
      <c r="FZ8" s="33">
        <f t="shared" ca="1" si="6"/>
        <v>341910.090024537</v>
      </c>
      <c r="GA8" s="33">
        <f t="shared" ca="1" si="6"/>
        <v>363833.93378588685</v>
      </c>
      <c r="GB8" s="33">
        <f t="shared" ca="1" si="6"/>
        <v>355237.01383145241</v>
      </c>
      <c r="GC8" s="33">
        <f t="shared" ca="1" si="6"/>
        <v>343525.90348536056</v>
      </c>
      <c r="GD8" s="33">
        <f t="shared" ca="1" si="6"/>
        <v>299722.90173572121</v>
      </c>
      <c r="GE8" s="33">
        <f t="shared" ca="1" si="6"/>
        <v>295991.6510498178</v>
      </c>
      <c r="GF8" s="33">
        <f t="shared" ca="1" si="6"/>
        <v>302795.6964182299</v>
      </c>
      <c r="GG8" s="33">
        <f t="shared" ca="1" si="6"/>
        <v>358336.93063029146</v>
      </c>
      <c r="GH8" s="33">
        <f t="shared" ca="1" si="6"/>
        <v>342152.09723864641</v>
      </c>
      <c r="GI8" s="33">
        <f t="shared" ca="1" si="6"/>
        <v>393369.69035281031</v>
      </c>
      <c r="GJ8" s="33">
        <f t="shared" ca="1" si="6"/>
        <v>357333.68036115589</v>
      </c>
      <c r="GK8" s="33">
        <f t="shared" ca="1" si="6"/>
        <v>346460.18724429799</v>
      </c>
      <c r="GL8" s="33">
        <f t="shared" ca="1" si="6"/>
        <v>348254.42169499217</v>
      </c>
      <c r="GM8" s="33">
        <f t="shared" ca="1" si="6"/>
        <v>370585.07455724716</v>
      </c>
      <c r="GN8" s="33">
        <f t="shared" ca="1" si="6"/>
        <v>361782.9543110432</v>
      </c>
      <c r="GO8" s="33">
        <f t="shared" ref="GO8:IH8" ca="1" si="7">+GN4*GN5</f>
        <v>349856.04372936039</v>
      </c>
      <c r="GP8" s="33">
        <f t="shared" ca="1" si="7"/>
        <v>305245.88554298616</v>
      </c>
      <c r="GQ8" s="33">
        <f t="shared" ca="1" si="7"/>
        <v>301445.87922646606</v>
      </c>
      <c r="GR8" s="33">
        <f t="shared" ca="1" si="7"/>
        <v>308375.30250953214</v>
      </c>
      <c r="GS8" s="33">
        <f t="shared" ca="1" si="7"/>
        <v>364939.99317224283</v>
      </c>
      <c r="GT8" s="33">
        <f t="shared" ca="1" si="7"/>
        <v>336441.16645637562</v>
      </c>
      <c r="GU8" s="33">
        <f t="shared" ca="1" si="7"/>
        <v>400618.30037728901</v>
      </c>
      <c r="GV8" s="33">
        <f t="shared" ca="1" si="7"/>
        <v>363918.25604421535</v>
      </c>
      <c r="GW8" s="33">
        <f t="shared" ca="1" si="7"/>
        <v>352844.39743621531</v>
      </c>
      <c r="GX8" s="33">
        <f t="shared" ca="1" si="7"/>
        <v>354671.69418465276</v>
      </c>
      <c r="GY8" s="33">
        <f t="shared" ca="1" si="7"/>
        <v>377413.8332344818</v>
      </c>
      <c r="GZ8" s="33">
        <f t="shared" ca="1" si="7"/>
        <v>368401.93790696113</v>
      </c>
      <c r="HA8" s="33">
        <f t="shared" ca="1" si="7"/>
        <v>356256.81907486351</v>
      </c>
      <c r="HB8" s="33">
        <f t="shared" ca="1" si="7"/>
        <v>310830.49776712491</v>
      </c>
      <c r="HC8" s="33">
        <f t="shared" ca="1" si="7"/>
        <v>306960.96860776853</v>
      </c>
      <c r="HD8" s="33">
        <f t="shared" ca="1" si="7"/>
        <v>314017.16883953603</v>
      </c>
      <c r="HE8" s="33">
        <f t="shared" ca="1" si="7"/>
        <v>371616.73622914409</v>
      </c>
      <c r="HF8" s="33">
        <f t="shared" ca="1" si="7"/>
        <v>342596.51052449801</v>
      </c>
      <c r="HG8" s="33">
        <f t="shared" ca="1" si="7"/>
        <v>407947.79428191896</v>
      </c>
      <c r="HH8" s="33">
        <f t="shared" ca="1" si="7"/>
        <v>370576.30595593335</v>
      </c>
      <c r="HI8" s="33">
        <f t="shared" ca="1" si="7"/>
        <v>359299.84607112792</v>
      </c>
      <c r="HJ8" s="33">
        <f t="shared" ca="1" si="7"/>
        <v>361160.57404416741</v>
      </c>
      <c r="HK8" s="33">
        <f t="shared" ca="1" si="7"/>
        <v>384318.790865249</v>
      </c>
      <c r="HL8" s="33">
        <f t="shared" ca="1" si="7"/>
        <v>375092.45585975412</v>
      </c>
      <c r="HM8" s="33">
        <f t="shared" ca="1" si="7"/>
        <v>362726.77050174034</v>
      </c>
      <c r="HN8" s="33">
        <f t="shared" ca="1" si="7"/>
        <v>316475.46542772325</v>
      </c>
      <c r="HO8" s="33">
        <f t="shared" ca="1" si="7"/>
        <v>312535.66206064518</v>
      </c>
      <c r="HP8" s="33">
        <f t="shared" ca="1" si="7"/>
        <v>319720.00937708159</v>
      </c>
      <c r="HQ8" s="33">
        <f t="shared" ca="1" si="7"/>
        <v>378365.63787560444</v>
      </c>
      <c r="HR8" s="33">
        <f t="shared" ca="1" si="7"/>
        <v>348818.37818689691</v>
      </c>
      <c r="HS8" s="33">
        <f t="shared" ca="1" si="7"/>
        <v>415356.50135048712</v>
      </c>
      <c r="HT8" s="33">
        <f t="shared" ca="1" si="7"/>
        <v>377306.31243191479</v>
      </c>
      <c r="HU8" s="33">
        <f t="shared" ca="1" si="7"/>
        <v>365825.06166644266</v>
      </c>
      <c r="HV8" s="33">
        <f t="shared" ca="1" si="7"/>
        <v>367719.5821704868</v>
      </c>
      <c r="HW8" s="33">
        <f t="shared" ca="1" si="7"/>
        <v>391298.37350395124</v>
      </c>
      <c r="HX8" s="33">
        <f t="shared" ca="1" si="7"/>
        <v>381852.84314559866</v>
      </c>
      <c r="HY8" s="33">
        <f t="shared" ca="1" si="7"/>
        <v>369264.28787706239</v>
      </c>
      <c r="HZ8" s="33">
        <f t="shared" ca="1" si="7"/>
        <v>322179.38369996712</v>
      </c>
      <c r="IA8" s="33">
        <f t="shared" ca="1" si="7"/>
        <v>318168.57224894752</v>
      </c>
      <c r="IB8" s="33">
        <f t="shared" ca="1" si="7"/>
        <v>325482.40489492437</v>
      </c>
      <c r="IC8" s="33">
        <f t="shared" ca="1" si="7"/>
        <v>385185.01855824614</v>
      </c>
      <c r="ID8" s="33">
        <f t="shared" ca="1" si="7"/>
        <v>367787.55037276662</v>
      </c>
      <c r="IE8" s="33">
        <f t="shared" ca="1" si="7"/>
        <v>422842.57782831567</v>
      </c>
      <c r="IF8" s="33">
        <f t="shared" ca="1" si="7"/>
        <v>384106.60062109458</v>
      </c>
      <c r="IG8" s="33">
        <f t="shared" ca="1" si="7"/>
        <v>372418.42033601226</v>
      </c>
      <c r="IH8" s="33">
        <f t="shared" ca="1" si="7"/>
        <v>374347.08626774553</v>
      </c>
      <c r="II8" s="33">
        <f t="shared" ref="II8" ca="1" si="8">+IH4*IH5</f>
        <v>398350.84418919694</v>
      </c>
      <c r="IJ8" s="33">
        <f t="shared" ref="IJ8" ca="1" si="9">+II4*II5</f>
        <v>389683.46596586535</v>
      </c>
      <c r="IK8" s="33">
        <f t="shared" ref="IK8" ca="1" si="10">+IJ4*IJ5</f>
        <v>377713.12285083957</v>
      </c>
      <c r="IL8" s="33">
        <f t="shared" ref="IL8" ca="1" si="11">+IK4*IK5</f>
        <v>330315.52666160621</v>
      </c>
      <c r="IM8" s="33">
        <f t="shared" ref="IM8" ca="1" si="12">+IL4*IL5</f>
        <v>326958.52888780634</v>
      </c>
      <c r="IN8" s="33"/>
      <c r="IO8" s="33"/>
    </row>
    <row r="9" spans="1:249" x14ac:dyDescent="0.3">
      <c r="A9" t="s">
        <v>813</v>
      </c>
      <c r="B9" s="30"/>
      <c r="C9" s="30"/>
      <c r="D9" s="30"/>
      <c r="E9" s="30"/>
      <c r="F9" s="30"/>
      <c r="G9" s="30"/>
      <c r="H9" s="30"/>
      <c r="I9" s="30"/>
      <c r="J9" s="30">
        <f>+Producción!L27</f>
        <v>0</v>
      </c>
      <c r="K9" s="30">
        <f>+Producción!M27</f>
        <v>0</v>
      </c>
      <c r="L9" s="30">
        <f>+Producción!N27</f>
        <v>0</v>
      </c>
      <c r="M9" s="30">
        <f>+Producción!O27</f>
        <v>0</v>
      </c>
      <c r="N9" s="30">
        <f>+Producción!P27</f>
        <v>0</v>
      </c>
      <c r="O9" s="30">
        <f>+Producción!Q27</f>
        <v>0</v>
      </c>
      <c r="P9" s="30">
        <f>+Producción!R27</f>
        <v>0</v>
      </c>
      <c r="Q9" s="30">
        <f>+Producción!S27</f>
        <v>0</v>
      </c>
      <c r="R9" s="30">
        <f>+Producción!T27</f>
        <v>0</v>
      </c>
      <c r="S9" s="30">
        <f>+Producción!U27</f>
        <v>0</v>
      </c>
      <c r="T9" s="30">
        <f>+Producción!V27</f>
        <v>0</v>
      </c>
      <c r="U9" s="30">
        <f>+Producción!W27</f>
        <v>0</v>
      </c>
      <c r="V9" s="30">
        <f>+Producción!X27</f>
        <v>0</v>
      </c>
      <c r="W9" s="30">
        <f>+Producción!Y27</f>
        <v>0</v>
      </c>
      <c r="X9" s="30">
        <f>+Producción!Z27</f>
        <v>0</v>
      </c>
      <c r="Y9" s="30">
        <f>+Producción!AA27</f>
        <v>0</v>
      </c>
      <c r="Z9" s="30">
        <f>+Producción!AB27</f>
        <v>0</v>
      </c>
      <c r="AA9" s="30">
        <f>+Producción!AC27</f>
        <v>0</v>
      </c>
      <c r="AB9" s="30">
        <f>+Producción!AD27</f>
        <v>0</v>
      </c>
      <c r="AC9" s="30">
        <f>+Producción!AE27</f>
        <v>0</v>
      </c>
      <c r="AD9" s="30">
        <f ca="1">+Producción!AF27</f>
        <v>1532151.3897862288</v>
      </c>
      <c r="AE9" s="30">
        <f ca="1">+Producción!AG27</f>
        <v>1531653.3935923402</v>
      </c>
      <c r="AF9" s="30">
        <f ca="1">+Producción!AH27</f>
        <v>1731895.0224777448</v>
      </c>
      <c r="AG9" s="30">
        <f ca="1">+Producción!AI27</f>
        <v>1531376.0602982626</v>
      </c>
      <c r="AH9" s="30">
        <f ca="1">+Producción!AJ27</f>
        <v>1530846.2864067077</v>
      </c>
      <c r="AI9" s="30">
        <f ca="1">+Producción!AK27</f>
        <v>1736305.4755590789</v>
      </c>
      <c r="AJ9" s="30">
        <f ca="1">+Producción!AL27</f>
        <v>1529753.397818791</v>
      </c>
      <c r="AK9" s="30">
        <f ca="1">+Producción!AM27</f>
        <v>1529189.8184589138</v>
      </c>
      <c r="AL9" s="30">
        <f ca="1">+Producción!AN27</f>
        <v>1734614.4978623725</v>
      </c>
      <c r="AM9" s="30">
        <f ca="1">+Producción!AO27</f>
        <v>1528027.1914200699</v>
      </c>
      <c r="AN9" s="30">
        <f ca="1">+Producción!AP27</f>
        <v>1527427.6494268861</v>
      </c>
      <c r="AO9" s="30">
        <f ca="1">+Producción!AQ27</f>
        <v>1732815.6169755107</v>
      </c>
      <c r="AP9" s="30">
        <f ca="1">+Producción!AR27</f>
        <v>1526190.8338480652</v>
      </c>
      <c r="AQ9" s="30">
        <f ca="1">+Producción!AS27</f>
        <v>1525553.0344054645</v>
      </c>
      <c r="AR9" s="30">
        <f ca="1">+Producción!AT27</f>
        <v>1731674.4474744764</v>
      </c>
      <c r="AS9" s="30">
        <f ca="1">+Producción!AU27</f>
        <v>1525009.7962324261</v>
      </c>
      <c r="AT9" s="30">
        <f ca="1">+Producción!AV27</f>
        <v>1524331.2980894996</v>
      </c>
      <c r="AU9" s="30">
        <f ca="1">+Producción!AW27</f>
        <v>1729638.6645685958</v>
      </c>
      <c r="AV9" s="30">
        <f ca="1">+Producción!AX27</f>
        <v>1522931.6011826727</v>
      </c>
      <c r="AW9" s="30">
        <f ca="1">+Producción!AY27</f>
        <v>1522209.8073095435</v>
      </c>
      <c r="AX9" s="30">
        <f ca="1">+Producción!AZ27</f>
        <v>1727472.9760640564</v>
      </c>
      <c r="AY9" s="30">
        <f ca="1">+Producción!BA27</f>
        <v>1520720.7941676225</v>
      </c>
      <c r="AZ9" s="30">
        <f ca="1">+Producción!BB27</f>
        <v>1519952.9418150124</v>
      </c>
      <c r="BA9" s="30">
        <f ca="1">+Producción!BC27</f>
        <v>1725169.0925383898</v>
      </c>
      <c r="BB9" s="30">
        <f ca="1">+Producción!BD27</f>
        <v>1518368.9130685043</v>
      </c>
      <c r="BC9" s="30">
        <f ca="1">+Producción!BE27</f>
        <v>1517552.063192996</v>
      </c>
      <c r="BD9" s="30">
        <f ca="1">+Producción!BF27</f>
        <v>1723513.8706117482</v>
      </c>
      <c r="BE9" s="30">
        <f ca="1">+Producción!BG27</f>
        <v>1516662.6307892243</v>
      </c>
      <c r="BF9" s="30">
        <f ca="1">+Producción!BH27</f>
        <v>1515793.6568037311</v>
      </c>
      <c r="BG9" s="30">
        <f ca="1">+Producción!BI27</f>
        <v>1720906.5791935402</v>
      </c>
      <c r="BH9" s="30">
        <f ca="1">+Producción!BJ27</f>
        <v>1514001.0207998035</v>
      </c>
      <c r="BI9" s="30">
        <f ca="1">+Producción!BK27</f>
        <v>1513076.5966061978</v>
      </c>
      <c r="BJ9" s="30">
        <f ca="1">+Producción!BL27</f>
        <v>1718132.9135752246</v>
      </c>
      <c r="BK9" s="30">
        <f ca="1">+Producción!BM27</f>
        <v>1511169.5704811066</v>
      </c>
      <c r="BL9" s="30">
        <f ca="1">+Producción!BN27</f>
        <v>1510186.1577391941</v>
      </c>
      <c r="BM9" s="30">
        <f ca="1">+Producción!BO27</f>
        <v>1715182.2572318253</v>
      </c>
      <c r="BN9" s="30">
        <f ca="1">+Producción!BP27</f>
        <v>1508157.4421305531</v>
      </c>
      <c r="BO9" s="30">
        <f ca="1">+Producción!BQ27</f>
        <v>1507111.2767146709</v>
      </c>
      <c r="BP9" s="30">
        <f ca="1">+Producción!BR27</f>
        <v>1712862.861435958</v>
      </c>
      <c r="BQ9" s="30">
        <f ca="1">+Producción!BS27</f>
        <v>1505772.6517295633</v>
      </c>
      <c r="BR9" s="30">
        <f ca="1">+Producción!BT27</f>
        <v>1504659.7293209524</v>
      </c>
      <c r="BS9" s="30">
        <f ca="1">+Producción!BU27</f>
        <v>1709523.6210288287</v>
      </c>
      <c r="BT9" s="30">
        <f ca="1">+Producción!BV27</f>
        <v>1502363.8438139521</v>
      </c>
      <c r="BU9" s="30">
        <f ca="1">+Producción!BW27</f>
        <v>1562947.4907522521</v>
      </c>
      <c r="BV9" s="30">
        <f ca="1">+Producción!BX27</f>
        <v>1767738.8861112285</v>
      </c>
      <c r="BW9" s="30">
        <f ca="1">+Producción!BY27</f>
        <v>1560505.1022068504</v>
      </c>
      <c r="BX9" s="30">
        <f ca="1">+Producción!BZ27</f>
        <v>1559245.614471131</v>
      </c>
      <c r="BY9" s="30">
        <f ca="1">+Producción!CA27</f>
        <v>1763959.8874075841</v>
      </c>
      <c r="BZ9" s="30">
        <f ca="1">+Producción!CB27</f>
        <v>1556647.3743635467</v>
      </c>
      <c r="CA9" s="30">
        <f ca="1">+Producción!CC27</f>
        <v>1555307.5172977583</v>
      </c>
      <c r="CB9" s="30">
        <f ca="1">+Producción!CD27</f>
        <v>1762636.9057359542</v>
      </c>
      <c r="CC9" s="30">
        <f ca="1">+Producción!CE27</f>
        <v>1555240.63975724</v>
      </c>
      <c r="CD9" s="30">
        <f ca="1">+Producción!CF27</f>
        <v>1553815.2849039692</v>
      </c>
      <c r="CE9" s="30">
        <f ca="1">+Producción!CG27</f>
        <v>1758360.2351579217</v>
      </c>
      <c r="CF9" s="30">
        <f ca="1">+Producción!CH27</f>
        <v>1550874.8718754984</v>
      </c>
      <c r="CG9" s="30">
        <f ca="1">+Producción!CI27</f>
        <v>1549358.5635246916</v>
      </c>
      <c r="CH9" s="30">
        <f ca="1">+Producción!CJ27</f>
        <v>1753810.6654165762</v>
      </c>
      <c r="CI9" s="30">
        <f ca="1">+Producción!CK27</f>
        <v>1546230.519431208</v>
      </c>
      <c r="CJ9" s="30">
        <f ca="1">+Producción!CL27</f>
        <v>1544617.4537378117</v>
      </c>
      <c r="CK9" s="30">
        <f ca="1">+Producción!CM27</f>
        <v>1748970.782509136</v>
      </c>
      <c r="CL9" s="30">
        <f>+Producción!CN27</f>
        <v>92602.465621341165</v>
      </c>
      <c r="CM9" s="30">
        <f>+Producción!CO27</f>
        <v>92602.465621341165</v>
      </c>
      <c r="CN9" s="30">
        <f>+Producción!CP27</f>
        <v>301380.53958998137</v>
      </c>
      <c r="CO9" s="30">
        <f>+Producción!CQ27</f>
        <v>95380.539589981403</v>
      </c>
      <c r="CP9" s="30">
        <f>+Producción!CR27</f>
        <v>95380.539589981403</v>
      </c>
      <c r="CQ9" s="30">
        <f>+Producción!CS27</f>
        <v>301380.53958998137</v>
      </c>
      <c r="CR9" s="30">
        <f>+Producción!CT27</f>
        <v>95380.539589981403</v>
      </c>
      <c r="CS9" s="30">
        <f>+Producción!CU27</f>
        <v>95380.539589981403</v>
      </c>
      <c r="CT9" s="30">
        <f>+Producción!CV27</f>
        <v>301380.53958998137</v>
      </c>
      <c r="CU9" s="30">
        <f>+Producción!CW27</f>
        <v>95380.539589981403</v>
      </c>
      <c r="CV9" s="30">
        <f>+Producción!CX27</f>
        <v>95380.539589981403</v>
      </c>
      <c r="CW9" s="30">
        <f>+Producción!CY27</f>
        <v>301380.53958998137</v>
      </c>
      <c r="CX9" s="30">
        <f>+Producción!CZ27</f>
        <v>95380.539589981403</v>
      </c>
      <c r="CY9" s="30">
        <f>+Producción!DA27</f>
        <v>95380.539589981403</v>
      </c>
      <c r="CZ9" s="30">
        <f>+Producción!DB27</f>
        <v>304241.95577768085</v>
      </c>
      <c r="DA9" s="30">
        <f>+Producción!DC27</f>
        <v>98241.955777680851</v>
      </c>
      <c r="DB9" s="30">
        <f>+Producción!DD27</f>
        <v>98241.955777680851</v>
      </c>
      <c r="DC9" s="30">
        <f>+Producción!DE27</f>
        <v>304241.95577768085</v>
      </c>
      <c r="DD9" s="30">
        <f>+Producción!DF27</f>
        <v>98241.955777680851</v>
      </c>
      <c r="DE9" s="30">
        <f>+Producción!DG27</f>
        <v>98241.955777680851</v>
      </c>
      <c r="DF9" s="30">
        <f>+Producción!DH27</f>
        <v>304241.95577768085</v>
      </c>
      <c r="DG9" s="30">
        <f>+Producción!DI27</f>
        <v>98241.955777680851</v>
      </c>
      <c r="DH9" s="30">
        <f>+Producción!DJ27</f>
        <v>98241.955777680851</v>
      </c>
      <c r="DI9" s="30">
        <f>+Producción!DK27</f>
        <v>304241.95577768085</v>
      </c>
      <c r="DJ9" s="30">
        <f>+Producción!DL27</f>
        <v>98241.955777680851</v>
      </c>
      <c r="DK9" s="30">
        <f>+Producción!DM27</f>
        <v>98241.955777680851</v>
      </c>
      <c r="DL9" s="30">
        <f>+Producción!DN27</f>
        <v>307189.21445101127</v>
      </c>
      <c r="DM9" s="30">
        <f>+Producción!DO27</f>
        <v>101189.21445101127</v>
      </c>
      <c r="DN9" s="30">
        <f>+Producción!DP27</f>
        <v>101189.21445101127</v>
      </c>
      <c r="DO9" s="30">
        <f>+Producción!DQ27</f>
        <v>307189.21445101127</v>
      </c>
      <c r="DP9" s="30">
        <f>+Producción!DR27</f>
        <v>101189.21445101127</v>
      </c>
      <c r="DQ9" s="30">
        <f>+Producción!DS27</f>
        <v>101189.21445101127</v>
      </c>
      <c r="DR9" s="30">
        <f>+Producción!DT27</f>
        <v>307189.21445101127</v>
      </c>
      <c r="DS9" s="30">
        <f>+Producción!DU27</f>
        <v>101189.21445101127</v>
      </c>
      <c r="DT9" s="30">
        <f>+Producción!DV27</f>
        <v>101189.21445101127</v>
      </c>
      <c r="DU9" s="30">
        <f>+Producción!DW27</f>
        <v>307189.21445101127</v>
      </c>
      <c r="DV9" s="30">
        <f>+Producción!DX27</f>
        <v>101189.21445101127</v>
      </c>
      <c r="DW9" s="30">
        <f>+Producción!DY27</f>
        <v>101189.21445101127</v>
      </c>
      <c r="DX9" s="30">
        <f>+Producción!DZ27</f>
        <v>310224.89088454162</v>
      </c>
      <c r="DY9" s="30">
        <f>+Producción!EA27</f>
        <v>104224.89088454162</v>
      </c>
      <c r="DZ9" s="30">
        <f>+Producción!EB27</f>
        <v>104224.89088454162</v>
      </c>
      <c r="EA9" s="30">
        <f>+Producción!EC27</f>
        <v>310224.89088454162</v>
      </c>
      <c r="EB9" s="30">
        <f>+Producción!ED27</f>
        <v>104224.89088454162</v>
      </c>
      <c r="EC9" s="30">
        <f>+Producción!EE27</f>
        <v>104224.89088454162</v>
      </c>
      <c r="ED9" s="30">
        <f>+Producción!EF27</f>
        <v>310224.89088454162</v>
      </c>
      <c r="EE9" s="30">
        <f>+Producción!EG27</f>
        <v>104224.89088454162</v>
      </c>
      <c r="EF9" s="30">
        <f>+Producción!EH27</f>
        <v>104224.89088454162</v>
      </c>
      <c r="EG9" s="30">
        <f>+Producción!EI27</f>
        <v>310224.89088454162</v>
      </c>
      <c r="EH9" s="30">
        <f>+Producción!EJ27</f>
        <v>104224.89088454162</v>
      </c>
      <c r="EI9" s="30">
        <f>+Producción!EK27</f>
        <v>104224.89088454162</v>
      </c>
      <c r="EJ9" s="30">
        <f>+Producción!EL27</f>
        <v>313351.63761107781</v>
      </c>
      <c r="EK9" s="30">
        <f>+Producción!EM27</f>
        <v>107351.63761107787</v>
      </c>
      <c r="EL9" s="30">
        <f>+Producción!EN27</f>
        <v>107351.63761107787</v>
      </c>
      <c r="EM9" s="30">
        <f>+Producción!EO27</f>
        <v>313351.63761107781</v>
      </c>
      <c r="EN9" s="30">
        <f>+Producción!EP27</f>
        <v>107351.63761107787</v>
      </c>
      <c r="EO9" s="30">
        <f>+Producción!EQ27</f>
        <v>107351.63761107787</v>
      </c>
      <c r="EP9" s="30">
        <f>+Producción!ER27</f>
        <v>313351.63761107781</v>
      </c>
      <c r="EQ9" s="30">
        <f>+Producción!ES27</f>
        <v>107351.63761107787</v>
      </c>
      <c r="ER9" s="30">
        <f>+Producción!ET27</f>
        <v>107351.63761107787</v>
      </c>
      <c r="ES9" s="30">
        <f>+Producción!EU27</f>
        <v>313351.63761107781</v>
      </c>
      <c r="ET9" s="30">
        <f>+Producción!EV27</f>
        <v>107351.63761107787</v>
      </c>
      <c r="EU9" s="30">
        <f>+Producción!EW27</f>
        <v>107351.63761107787</v>
      </c>
      <c r="EV9" s="30">
        <f>+Producción!EX27</f>
        <v>316572.18673941022</v>
      </c>
      <c r="EW9" s="30">
        <f>+Producción!EY27</f>
        <v>110572.18673941019</v>
      </c>
      <c r="EX9" s="30">
        <f>+Producción!EZ27</f>
        <v>110572.18673941019</v>
      </c>
      <c r="EY9" s="30">
        <f>+Producción!FA27</f>
        <v>316572.18673941022</v>
      </c>
      <c r="EZ9" s="30">
        <f>+Producción!FB27</f>
        <v>110572.18673941019</v>
      </c>
      <c r="FA9" s="30">
        <f>+Producción!FC27</f>
        <v>110572.18673941019</v>
      </c>
      <c r="FB9" s="30">
        <f>+Producción!FD27</f>
        <v>316572.18673941022</v>
      </c>
      <c r="FC9" s="30">
        <f>+Producción!FE27</f>
        <v>110572.18673941019</v>
      </c>
      <c r="FD9" s="30">
        <f>+Producción!FF27</f>
        <v>110572.18673941019</v>
      </c>
      <c r="FE9" s="30">
        <f>+Producción!FG27</f>
        <v>316572.18673941022</v>
      </c>
      <c r="FF9" s="30">
        <f>+Producción!FH27</f>
        <v>110572.18673941019</v>
      </c>
      <c r="FG9" s="30">
        <f>+Producción!FI27</f>
        <v>110572.18673941019</v>
      </c>
      <c r="FH9" s="30">
        <f>+Producción!FJ27</f>
        <v>319889.35234159254</v>
      </c>
      <c r="FI9" s="30">
        <f>+Producción!FK27</f>
        <v>113889.35234159252</v>
      </c>
      <c r="FJ9" s="30">
        <f>+Producción!FL27</f>
        <v>113889.35234159252</v>
      </c>
      <c r="FK9" s="30">
        <f>+Producción!FM27</f>
        <v>319889.35234159254</v>
      </c>
      <c r="FL9" s="30">
        <f>+Producción!FN27</f>
        <v>113889.35234159252</v>
      </c>
      <c r="FM9" s="30">
        <f>+Producción!FO27</f>
        <v>113889.35234159252</v>
      </c>
      <c r="FN9" s="30">
        <f>+Producción!FP27</f>
        <v>319889.35234159254</v>
      </c>
      <c r="FO9" s="30">
        <f>+Producción!FQ27</f>
        <v>113889.35234159252</v>
      </c>
      <c r="FP9" s="30">
        <f>+Producción!FR27</f>
        <v>113889.35234159252</v>
      </c>
      <c r="FQ9" s="30">
        <f>+Producción!FS27</f>
        <v>319889.35234159254</v>
      </c>
      <c r="FR9" s="30">
        <f>+Producción!FT27</f>
        <v>113889.35234159252</v>
      </c>
      <c r="FS9" s="30">
        <f>+Producción!FU27</f>
        <v>113889.35234159252</v>
      </c>
      <c r="FT9" s="30">
        <f>+Producción!FV27</f>
        <v>323306.03291184024</v>
      </c>
      <c r="FU9" s="30">
        <f>+Producción!FW27</f>
        <v>117306.03291184029</v>
      </c>
      <c r="FV9" s="30">
        <f>+Producción!FX27</f>
        <v>117306.03291184029</v>
      </c>
      <c r="FW9" s="30">
        <f>+Producción!FY27</f>
        <v>323306.03291184024</v>
      </c>
      <c r="FX9" s="30">
        <f>+Producción!FZ27</f>
        <v>117306.03291184029</v>
      </c>
      <c r="FY9" s="30">
        <f>+Producción!GA27</f>
        <v>117306.03291184029</v>
      </c>
      <c r="FZ9" s="30">
        <f>+Producción!GB27</f>
        <v>323306.03291184024</v>
      </c>
      <c r="GA9" s="30">
        <f>+Producción!GC27</f>
        <v>117306.03291184029</v>
      </c>
      <c r="GB9" s="30">
        <f>+Producción!GD27</f>
        <v>117306.03291184029</v>
      </c>
      <c r="GC9" s="30">
        <f>+Producción!GE27</f>
        <v>323306.03291184024</v>
      </c>
      <c r="GD9" s="30">
        <f>+Producción!GF27</f>
        <v>117306.03291184029</v>
      </c>
      <c r="GE9" s="30">
        <f>+Producción!GG27</f>
        <v>117306.03291184029</v>
      </c>
      <c r="GF9" s="30">
        <f>+Producción!GH27</f>
        <v>326825.21389919549</v>
      </c>
      <c r="GG9" s="30">
        <f>+Producción!GI27</f>
        <v>120825.2138991955</v>
      </c>
      <c r="GH9" s="30">
        <f>+Producción!GJ27</f>
        <v>120825.2138991955</v>
      </c>
      <c r="GI9" s="30">
        <f>+Producción!GK27</f>
        <v>326825.21389919549</v>
      </c>
      <c r="GJ9" s="30">
        <f>+Producción!GL27</f>
        <v>120825.2138991955</v>
      </c>
      <c r="GK9" s="30">
        <f>+Producción!GM27</f>
        <v>120825.2138991955</v>
      </c>
      <c r="GL9" s="30">
        <f>+Producción!GN27</f>
        <v>326825.21389919549</v>
      </c>
      <c r="GM9" s="30">
        <f>+Producción!GO27</f>
        <v>120825.2138991955</v>
      </c>
      <c r="GN9" s="30">
        <f>+Producción!GP27</f>
        <v>120825.2138991955</v>
      </c>
      <c r="GO9" s="30">
        <f>+Producción!GQ27</f>
        <v>326825.21389919549</v>
      </c>
      <c r="GP9" s="30">
        <f>+Producción!GR27</f>
        <v>120825.2138991955</v>
      </c>
      <c r="GQ9" s="30">
        <f>+Producción!GS27</f>
        <v>120825.2138991955</v>
      </c>
      <c r="GR9" s="30">
        <f>+Producción!GT27</f>
        <v>330449.97031617136</v>
      </c>
      <c r="GS9" s="30">
        <f>+Producción!GU27</f>
        <v>124449.97031617137</v>
      </c>
      <c r="GT9" s="30">
        <f>+Producción!GV27</f>
        <v>124449.97031617137</v>
      </c>
      <c r="GU9" s="30">
        <f>+Producción!GW27</f>
        <v>330449.97031617136</v>
      </c>
      <c r="GV9" s="30">
        <f>+Producción!GX27</f>
        <v>124449.97031617137</v>
      </c>
      <c r="GW9" s="30">
        <f>+Producción!GY27</f>
        <v>124449.97031617137</v>
      </c>
      <c r="GX9" s="30">
        <f>+Producción!GZ27</f>
        <v>330449.97031617136</v>
      </c>
      <c r="GY9" s="30">
        <f>+Producción!HA27</f>
        <v>124449.97031617137</v>
      </c>
      <c r="GZ9" s="30">
        <f>+Producción!HB27</f>
        <v>124449.97031617137</v>
      </c>
      <c r="HA9" s="30">
        <f>+Producción!HC27</f>
        <v>330449.97031617136</v>
      </c>
      <c r="HB9" s="30">
        <f>+Producción!HD27</f>
        <v>124449.97031617137</v>
      </c>
      <c r="HC9" s="30">
        <f>+Producción!HE27</f>
        <v>124449.97031617137</v>
      </c>
      <c r="HD9" s="30">
        <f>+Producción!HF27</f>
        <v>334183.46942565654</v>
      </c>
      <c r="HE9" s="30">
        <f>+Producción!HG27</f>
        <v>128183.46942565651</v>
      </c>
      <c r="HF9" s="30">
        <f>+Producción!HH27</f>
        <v>128183.46942565651</v>
      </c>
      <c r="HG9" s="30">
        <f>+Producción!HI27</f>
        <v>334183.46942565654</v>
      </c>
      <c r="HH9" s="30">
        <f>+Producción!HJ27</f>
        <v>128183.46942565651</v>
      </c>
      <c r="HI9" s="30">
        <f>+Producción!HK27</f>
        <v>128183.46942565651</v>
      </c>
      <c r="HJ9" s="30">
        <f>+Producción!HL27</f>
        <v>334183.46942565654</v>
      </c>
      <c r="HK9" s="30">
        <f>+Producción!HM27</f>
        <v>128183.46942565651</v>
      </c>
      <c r="HL9" s="30">
        <f>+Producción!HN27</f>
        <v>128183.46942565651</v>
      </c>
      <c r="HM9" s="30">
        <f>+Producción!HO27</f>
        <v>334183.46942565654</v>
      </c>
      <c r="HN9" s="30">
        <f>+Producción!HP27</f>
        <v>128183.46942565651</v>
      </c>
      <c r="HO9" s="30">
        <f>+Producción!HQ27</f>
        <v>128183.46942565651</v>
      </c>
      <c r="HP9" s="30">
        <f>+Producción!HR27</f>
        <v>338028.97350842622</v>
      </c>
      <c r="HQ9" s="30">
        <f>+Producción!HS27</f>
        <v>132028.97350842622</v>
      </c>
      <c r="HR9" s="30">
        <f>+Producción!HT27</f>
        <v>132028.97350842622</v>
      </c>
      <c r="HS9" s="30">
        <f>+Producción!HU27</f>
        <v>338028.97350842622</v>
      </c>
      <c r="HT9" s="30">
        <f>+Producción!HV27</f>
        <v>132028.97350842622</v>
      </c>
      <c r="HU9" s="30">
        <f>+Producción!HW27</f>
        <v>132028.97350842622</v>
      </c>
      <c r="HV9" s="30">
        <f>+Producción!HX27</f>
        <v>338028.97350842622</v>
      </c>
      <c r="HW9" s="30">
        <f>+Producción!HY27</f>
        <v>132028.97350842622</v>
      </c>
      <c r="HX9" s="30">
        <f>+Producción!HZ27</f>
        <v>132028.97350842622</v>
      </c>
      <c r="HY9" s="30">
        <f>+Producción!IA27</f>
        <v>338028.97350842622</v>
      </c>
      <c r="HZ9" s="30">
        <f>+Producción!IB27</f>
        <v>132028.97350842622</v>
      </c>
      <c r="IA9" s="30">
        <f>+Producción!IC27</f>
        <v>132028.97350842622</v>
      </c>
      <c r="IB9" s="30">
        <f>+Producción!ID27</f>
        <v>341989.84271367895</v>
      </c>
      <c r="IC9" s="30">
        <f>+Producción!IE27</f>
        <v>135989.84271367898</v>
      </c>
      <c r="ID9" s="30">
        <f>+Producción!IF27</f>
        <v>135989.84271367898</v>
      </c>
      <c r="IE9" s="30">
        <f>+Producción!IG27</f>
        <v>341989.84271367895</v>
      </c>
      <c r="IF9" s="30">
        <f>+Producción!IH27</f>
        <v>135989.84271367898</v>
      </c>
      <c r="IG9" s="30">
        <f>+Producción!II27</f>
        <v>135989.84271367898</v>
      </c>
      <c r="IH9" s="30">
        <f>+Producción!IJ27</f>
        <v>341989.84271367895</v>
      </c>
      <c r="II9" s="30">
        <f>+Producción!IK27</f>
        <v>137266.6675096089</v>
      </c>
      <c r="IJ9" s="30">
        <f>+Producción!IL27</f>
        <v>138581.79704941675</v>
      </c>
      <c r="IK9" s="30">
        <f>+Producción!IM27</f>
        <v>344581.79704941675</v>
      </c>
      <c r="IL9" s="30">
        <f>+Producción!IN27</f>
        <v>138581.79704941675</v>
      </c>
      <c r="IM9" s="30">
        <f>+Producción!IO27</f>
        <v>138581.79704941675</v>
      </c>
      <c r="IN9" s="30"/>
      <c r="IO9" s="30"/>
    </row>
    <row r="10" spans="1:249" x14ac:dyDescent="0.3">
      <c r="A10" t="s">
        <v>943</v>
      </c>
      <c r="C10" s="33"/>
      <c r="D10" s="33"/>
      <c r="E10" s="33"/>
      <c r="F10" s="33"/>
      <c r="G10" s="33"/>
      <c r="H10" s="33"/>
      <c r="I10" s="33"/>
      <c r="J10" s="33">
        <f ca="1">+'Prestamo 5 años'!L3+'Prestamo 5 años'!L4+'Prestamo 5 años'!L6</f>
        <v>1507151.3897862288</v>
      </c>
      <c r="K10" s="33">
        <f ca="1">+'Prestamo 5 años'!M3+'Prestamo 5 años'!M4+'Prestamo 5 años'!M6</f>
        <v>1506653.3935923402</v>
      </c>
      <c r="L10" s="33">
        <f ca="1">+'Prestamo 5 años'!N3+'Prestamo 5 años'!N4+'Prestamo 5 años'!N6</f>
        <v>1506145.0224777448</v>
      </c>
      <c r="M10" s="33">
        <f ca="1">+'Prestamo 5 años'!O3+'Prestamo 5 años'!O4+'Prestamo 5 años'!O6</f>
        <v>1505626.0602982626</v>
      </c>
      <c r="N10" s="33">
        <f ca="1">+'Prestamo 5 años'!P3+'Prestamo 5 años'!P4+'Prestamo 5 años'!P6</f>
        <v>1505096.2864067077</v>
      </c>
      <c r="O10" s="33">
        <f ca="1">+'Prestamo 5 años'!Q3+'Prestamo 5 años'!Q4+'Prestamo 5 años'!Q6</f>
        <v>1504555.4755590789</v>
      </c>
      <c r="P10" s="33">
        <f ca="1">+'Prestamo 5 años'!R3+'Prestamo 5 años'!R4+'Prestamo 5 años'!R6</f>
        <v>1504003.397818791</v>
      </c>
      <c r="Q10" s="33">
        <f ca="1">+'Prestamo 5 años'!S3+'Prestamo 5 años'!S4+'Prestamo 5 años'!S6</f>
        <v>1503439.8184589138</v>
      </c>
      <c r="R10" s="33">
        <f ca="1">+'Prestamo 5 años'!T3+'Prestamo 5 años'!T4+'Prestamo 5 años'!T6</f>
        <v>1502864.4978623725</v>
      </c>
      <c r="S10" s="33">
        <f ca="1">+'Prestamo 5 años'!U3+'Prestamo 5 años'!U4+'Prestamo 5 años'!U6</f>
        <v>1502277.1914200699</v>
      </c>
      <c r="T10" s="33">
        <f ca="1">+'Prestamo 5 años'!V3+'Prestamo 5 años'!V4+'Prestamo 5 años'!V6</f>
        <v>1501677.6494268861</v>
      </c>
      <c r="U10" s="33">
        <f ca="1">+'Prestamo 5 años'!W3+'Prestamo 5 años'!W4+'Prestamo 5 años'!W6</f>
        <v>1501065.6169755107</v>
      </c>
      <c r="V10" s="33">
        <f ca="1">+'Prestamo 5 años'!X3+'Prestamo 5 años'!X4+'Prestamo 5 años'!X6</f>
        <v>1500440.8338480652</v>
      </c>
      <c r="W10" s="33">
        <f ca="1">+'Prestamo 5 años'!Y3+'Prestamo 5 años'!Y4+'Prestamo 5 años'!Y6</f>
        <v>1499803.0344054645</v>
      </c>
      <c r="X10" s="33">
        <f ca="1">+'Prestamo 5 años'!Z3+'Prestamo 5 años'!Z4+'Prestamo 5 años'!Z6</f>
        <v>1499151.9474744764</v>
      </c>
      <c r="Y10" s="33">
        <f ca="1">+'Prestamo 5 años'!AA3+'Prestamo 5 años'!AA4+'Prestamo 5 años'!AA6</f>
        <v>1498487.2962324261</v>
      </c>
      <c r="Z10" s="33">
        <f ca="1">+'Prestamo 5 años'!AB3+'Prestamo 5 años'!AB4+'Prestamo 5 años'!AB6</f>
        <v>1497808.7980894996</v>
      </c>
      <c r="AA10" s="33">
        <f ca="1">+'Prestamo 5 años'!AC3+'Prestamo 5 años'!AC4+'Prestamo 5 años'!AC6</f>
        <v>1497116.1645685958</v>
      </c>
      <c r="AB10" s="33">
        <f ca="1">+'Prestamo 5 años'!AD3+'Prestamo 5 años'!AD4+'Prestamo 5 años'!AD6</f>
        <v>1496409.1011826727</v>
      </c>
      <c r="AC10" s="33">
        <f ca="1">+'Prestamo 5 años'!AE3+'Prestamo 5 años'!AE4+'Prestamo 5 años'!AE6</f>
        <v>1495687.3073095435</v>
      </c>
      <c r="AD10" s="33">
        <f ca="1">+'Prestamo 5 años'!AF3+'Prestamo 5 años'!AF4+'Prestamo 5 años'!AF6</f>
        <v>1494950.4760640564</v>
      </c>
      <c r="AE10" s="33">
        <f ca="1">+'Prestamo 5 años'!AG3+'Prestamo 5 años'!AG4+'Prestamo 5 años'!AG6</f>
        <v>1494198.2941676225</v>
      </c>
      <c r="AF10" s="33">
        <f ca="1">+'Prestamo 5 años'!AH3+'Prestamo 5 años'!AH4+'Prestamo 5 años'!AH6</f>
        <v>1493430.4418150124</v>
      </c>
      <c r="AG10" s="33">
        <f ca="1">+'Prestamo 5 años'!AI3+'Prestamo 5 años'!AI4+'Prestamo 5 años'!AI6</f>
        <v>1492646.5925383898</v>
      </c>
      <c r="AH10" s="33">
        <f ca="1">+'Prestamo 5 años'!AJ3+'Prestamo 5 años'!AJ4+'Prestamo 5 años'!AJ6</f>
        <v>1491846.4130685043</v>
      </c>
      <c r="AI10" s="33">
        <f ca="1">+'Prestamo 5 años'!AK3+'Prestamo 5 años'!AK4+'Prestamo 5 años'!AK6</f>
        <v>1491029.563192996</v>
      </c>
      <c r="AJ10" s="33">
        <f ca="1">+'Prestamo 5 años'!AL3+'Prestamo 5 años'!AL4+'Prestamo 5 años'!AL6</f>
        <v>1490195.6956117481</v>
      </c>
      <c r="AK10" s="33">
        <f ca="1">+'Prestamo 5 años'!AM3+'Prestamo 5 años'!AM4+'Prestamo 5 años'!AM6</f>
        <v>1489344.4557892242</v>
      </c>
      <c r="AL10" s="33">
        <f ca="1">+'Prestamo 5 años'!AN3+'Prestamo 5 años'!AN4+'Prestamo 5 años'!AN6</f>
        <v>1488475.4818037311</v>
      </c>
      <c r="AM10" s="33">
        <f ca="1">+'Prestamo 5 años'!AO3+'Prestamo 5 años'!AO4+'Prestamo 5 años'!AO6</f>
        <v>1487588.4041935401</v>
      </c>
      <c r="AN10" s="33">
        <f ca="1">+'Prestamo 5 años'!AP3+'Prestamo 5 años'!AP4+'Prestamo 5 años'!AP6</f>
        <v>1486682.8457998035</v>
      </c>
      <c r="AO10" s="33">
        <f ca="1">+'Prestamo 5 años'!AQ3+'Prestamo 5 años'!AQ4+'Prestamo 5 años'!AQ6</f>
        <v>1485758.4216061977</v>
      </c>
      <c r="AP10" s="33">
        <f ca="1">+'Prestamo 5 años'!AR3+'Prestamo 5 años'!AR4+'Prestamo 5 años'!AR6</f>
        <v>1484814.7385752245</v>
      </c>
      <c r="AQ10" s="33">
        <f ca="1">+'Prestamo 5 años'!AS3+'Prestamo 5 años'!AS4+'Prestamo 5 años'!AS6</f>
        <v>1483851.3954811066</v>
      </c>
      <c r="AR10" s="33">
        <f ca="1">+'Prestamo 5 años'!AT3+'Prestamo 5 años'!AT4+'Prestamo 5 años'!AT6</f>
        <v>1482867.9827391941</v>
      </c>
      <c r="AS10" s="33">
        <f ca="1">+'Prestamo 5 años'!AU3+'Prestamo 5 años'!AU4+'Prestamo 5 años'!AU6</f>
        <v>1481864.0822318252</v>
      </c>
      <c r="AT10" s="33">
        <f ca="1">+'Prestamo 5 años'!AV3+'Prestamo 5 años'!AV4+'Prestamo 5 años'!AV6</f>
        <v>1480839.267130553</v>
      </c>
      <c r="AU10" s="33">
        <f ca="1">+'Prestamo 5 años'!AW3+'Prestamo 5 años'!AW4+'Prestamo 5 años'!AW6</f>
        <v>1479793.1017146709</v>
      </c>
      <c r="AV10" s="33">
        <f ca="1">+'Prestamo 5 años'!AX3+'Prestamo 5 años'!AX4+'Prestamo 5 años'!AX6</f>
        <v>1478725.1411859579</v>
      </c>
      <c r="AW10" s="33">
        <f ca="1">+'Prestamo 5 años'!AY3+'Prestamo 5 años'!AY4+'Prestamo 5 años'!AY6</f>
        <v>1477634.9314795632</v>
      </c>
      <c r="AX10" s="33">
        <f ca="1">+'Prestamo 5 años'!AZ3+'Prestamo 5 años'!AZ4+'Prestamo 5 años'!AZ6</f>
        <v>1476522.0090709524</v>
      </c>
      <c r="AY10" s="33">
        <f ca="1">+'Prestamo 5 años'!BA3+'Prestamo 5 años'!BA4+'Prestamo 5 años'!BA6</f>
        <v>1475385.9007788287</v>
      </c>
      <c r="AZ10" s="33">
        <f ca="1">+'Prestamo 5 años'!BB3+'Prestamo 5 años'!BB4+'Prestamo 5 años'!BB6</f>
        <v>1474226.123563952</v>
      </c>
      <c r="BA10" s="33">
        <f ca="1">+'Prestamo 5 años'!BC3+'Prestamo 5 años'!BC4+'Prestamo 5 años'!BC6</f>
        <v>1473042.1843237656</v>
      </c>
      <c r="BB10" s="33">
        <f ca="1">+'Prestamo 5 años'!BD3+'Prestamo 5 años'!BD4+'Prestamo 5 años'!BD6</f>
        <v>1471833.579682742</v>
      </c>
      <c r="BC10" s="33">
        <f ca="1">+'Prestamo 5 años'!BE3+'Prestamo 5 años'!BE4+'Prestamo 5 años'!BE6</f>
        <v>1470599.7957783639</v>
      </c>
      <c r="BD10" s="33">
        <f ca="1">+'Prestamo 5 años'!BF3+'Prestamo 5 años'!BF4+'Prestamo 5 años'!BF6</f>
        <v>1469340.3080426445</v>
      </c>
      <c r="BE10" s="33">
        <f ca="1">+'Prestamo 5 años'!BG3+'Prestamo 5 años'!BG4+'Prestamo 5 años'!BG6</f>
        <v>1468054.5809790976</v>
      </c>
      <c r="BF10" s="33">
        <f ca="1">+'Prestamo 5 años'!BH3+'Prestamo 5 años'!BH4+'Prestamo 5 años'!BH6</f>
        <v>1466742.0679350602</v>
      </c>
      <c r="BG10" s="33">
        <f ca="1">+'Prestamo 5 años'!BI3+'Prestamo 5 años'!BI4+'Prestamo 5 años'!BI6</f>
        <v>1465402.2108692718</v>
      </c>
      <c r="BH10" s="33">
        <f ca="1">+'Prestamo 5 años'!BJ3+'Prestamo 5 años'!BJ4+'Prestamo 5 años'!BJ6</f>
        <v>1464034.4401146132</v>
      </c>
      <c r="BI10" s="33">
        <f ca="1">+'Prestamo 5 años'!BK3+'Prestamo 5 años'!BK4+'Prestamo 5 años'!BK6</f>
        <v>1462638.1741358989</v>
      </c>
      <c r="BJ10" s="33">
        <f ca="1">+'Prestamo 5 años'!BL3+'Prestamo 5 años'!BL4+'Prestamo 5 años'!BL6</f>
        <v>1461212.8192826281</v>
      </c>
      <c r="BK10" s="33">
        <f ca="1">+'Prestamo 5 años'!BM3+'Prestamo 5 años'!BM4+'Prestamo 5 años'!BM6</f>
        <v>1459757.7695365807</v>
      </c>
      <c r="BL10" s="33">
        <f ca="1">+'Prestamo 5 años'!BN3+'Prestamo 5 años'!BN4+'Prestamo 5 años'!BN6</f>
        <v>1458272.4062541574</v>
      </c>
      <c r="BM10" s="33">
        <f ca="1">+'Prestamo 5 años'!BO3+'Prestamo 5 años'!BO4+'Prestamo 5 años'!BO6</f>
        <v>1456756.0979033506</v>
      </c>
      <c r="BN10" s="33">
        <f ca="1">+'Prestamo 5 años'!BP3+'Prestamo 5 años'!BP4+'Prestamo 5 años'!BP6</f>
        <v>1455208.1997952352</v>
      </c>
      <c r="BO10" s="33">
        <f ca="1">+'Prestamo 5 años'!BQ3+'Prestamo 5 años'!BQ4+'Prestamo 5 años'!BQ6</f>
        <v>1453628.053809867</v>
      </c>
      <c r="BP10" s="33">
        <f ca="1">+'Prestamo 5 años'!BR3+'Prestamo 5 años'!BR4+'Prestamo 5 años'!BR6</f>
        <v>1452014.9881164706</v>
      </c>
      <c r="BQ10" s="33">
        <f ca="1">+'Prestamo 5 años'!BS3+'Prestamo 5 años'!BS4+'Prestamo 5 años'!BS6</f>
        <v>1450368.316887795</v>
      </c>
      <c r="BR10" s="33">
        <f>+'Prestamo 5 años'!BT3+'Prestamo 5 años'!BT4+'Prestamo 5 años'!BT6</f>
        <v>0</v>
      </c>
      <c r="BS10" s="33">
        <f>+'Prestamo 5 años'!BU3+'Prestamo 5 años'!BU4+'Prestamo 5 años'!BU6</f>
        <v>0</v>
      </c>
      <c r="BT10" s="33">
        <f>+'Prestamo 5 años'!BV3+'Prestamo 5 años'!BV4+'Prestamo 5 años'!BV6</f>
        <v>0</v>
      </c>
      <c r="BU10" s="33">
        <f>+'Prestamo 5 años'!BW3+'Prestamo 5 años'!BW4+'Prestamo 5 años'!BW6</f>
        <v>0</v>
      </c>
      <c r="BV10" s="33">
        <f>+'Prestamo 5 años'!BX3+'Prestamo 5 años'!BX4+'Prestamo 5 años'!BX6</f>
        <v>0</v>
      </c>
      <c r="BW10" s="33">
        <f>+'Prestamo 5 años'!BY3+'Prestamo 5 años'!BY4+'Prestamo 5 años'!BY6</f>
        <v>0</v>
      </c>
      <c r="BX10" s="33">
        <f>+'Prestamo 5 años'!BZ3+'Prestamo 5 años'!BZ4+'Prestamo 5 años'!BZ6</f>
        <v>0</v>
      </c>
      <c r="BY10" s="33">
        <f>+'Prestamo 5 años'!CA3+'Prestamo 5 años'!CA4+'Prestamo 5 años'!CA6</f>
        <v>0</v>
      </c>
      <c r="BZ10" s="33">
        <f>+'Prestamo 5 años'!CB3+'Prestamo 5 años'!CB4+'Prestamo 5 años'!CB6</f>
        <v>0</v>
      </c>
      <c r="CA10" s="33">
        <f>+'Prestamo 5 años'!CC3+'Prestamo 5 años'!CC4+'Prestamo 5 años'!CC6</f>
        <v>0</v>
      </c>
      <c r="CB10" s="33">
        <f>+'Prestamo 5 años'!CD3+'Prestamo 5 años'!CD4+'Prestamo 5 años'!CD6</f>
        <v>0</v>
      </c>
      <c r="CC10" s="33">
        <f>+'Prestamo 5 años'!CE3+'Prestamo 5 años'!CE4+'Prestamo 5 años'!CE6</f>
        <v>0</v>
      </c>
      <c r="CD10" s="33">
        <f>+'Prestamo 5 años'!CF3+'Prestamo 5 años'!CF4+'Prestamo 5 años'!CF6</f>
        <v>0</v>
      </c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</row>
    <row r="12" spans="1:249" x14ac:dyDescent="0.3">
      <c r="A12" t="s">
        <v>922</v>
      </c>
      <c r="B12" s="33">
        <f>+B8-B9</f>
        <v>0</v>
      </c>
      <c r="C12" s="33">
        <f>+C8-C9</f>
        <v>0</v>
      </c>
      <c r="D12" s="33">
        <f t="shared" ref="D12:BO12" si="13">+D8-D9</f>
        <v>0</v>
      </c>
      <c r="E12" s="33">
        <f t="shared" si="13"/>
        <v>0</v>
      </c>
      <c r="F12" s="33">
        <f>+F8-F9</f>
        <v>0</v>
      </c>
      <c r="G12" s="33">
        <f t="shared" si="13"/>
        <v>0</v>
      </c>
      <c r="H12" s="33">
        <f t="shared" si="13"/>
        <v>0</v>
      </c>
      <c r="I12" s="33">
        <f>+I8-I9</f>
        <v>0</v>
      </c>
      <c r="J12" s="33">
        <f ca="1">+J8-J9</f>
        <v>0</v>
      </c>
      <c r="K12" s="33">
        <f ca="1">+K8-K9</f>
        <v>278021.6345918703</v>
      </c>
      <c r="L12" s="33">
        <f t="shared" ca="1" si="13"/>
        <v>252552.48776191767</v>
      </c>
      <c r="M12" s="33">
        <f t="shared" ca="1" si="13"/>
        <v>244867.4362589386</v>
      </c>
      <c r="N12" s="33">
        <f t="shared" ca="1" si="13"/>
        <v>246135.54614909223</v>
      </c>
      <c r="O12" s="33">
        <f t="shared" ca="1" si="13"/>
        <v>261918.16683016066</v>
      </c>
      <c r="P12" s="33">
        <f t="shared" ca="1" si="13"/>
        <v>258074.98628871058</v>
      </c>
      <c r="Q12" s="33">
        <f t="shared" ca="1" si="13"/>
        <v>241516.47068493298</v>
      </c>
      <c r="R12" s="33">
        <f t="shared" ca="1" si="13"/>
        <v>217744.71900205518</v>
      </c>
      <c r="S12" s="33">
        <f t="shared" ca="1" si="13"/>
        <v>208097.43366792329</v>
      </c>
      <c r="T12" s="33">
        <f t="shared" ca="1" si="13"/>
        <v>219977.06364712282</v>
      </c>
      <c r="U12" s="33">
        <f t="shared" ca="1" si="13"/>
        <v>260327.03479212502</v>
      </c>
      <c r="V12" s="33">
        <f t="shared" ca="1" si="13"/>
        <v>239997.6239497932</v>
      </c>
      <c r="W12" s="33">
        <f t="shared" ca="1" si="13"/>
        <v>285777.87080589251</v>
      </c>
      <c r="X12" s="33">
        <f t="shared" ca="1" si="13"/>
        <v>259598.18675723489</v>
      </c>
      <c r="Y12" s="33">
        <f t="shared" ca="1" si="13"/>
        <v>251698.73800110121</v>
      </c>
      <c r="Z12" s="33">
        <f t="shared" ca="1" si="13"/>
        <v>253002.2255692108</v>
      </c>
      <c r="AA12" s="33">
        <f t="shared" ca="1" si="13"/>
        <v>269225.149157851</v>
      </c>
      <c r="AB12" s="33">
        <f t="shared" ca="1" si="13"/>
        <v>265545.43911267107</v>
      </c>
      <c r="AC12" s="33">
        <f t="shared" ca="1" si="13"/>
        <v>248507.60696825653</v>
      </c>
      <c r="AD12" s="33">
        <f t="shared" ca="1" si="13"/>
        <v>-1308103.6513619362</v>
      </c>
      <c r="AE12" s="33">
        <f t="shared" ca="1" si="13"/>
        <v>-1317532.1988332728</v>
      </c>
      <c r="AF12" s="33">
        <f t="shared" ca="1" si="13"/>
        <v>-1505550.3201068491</v>
      </c>
      <c r="AG12" s="33">
        <f t="shared" ca="1" si="13"/>
        <v>-1263513.3830163982</v>
      </c>
      <c r="AH12" s="33">
        <f t="shared" ca="1" si="13"/>
        <v>-1283901.4919722329</v>
      </c>
      <c r="AI12" s="33">
        <f t="shared" ca="1" si="13"/>
        <v>-1442255.2412332324</v>
      </c>
      <c r="AJ12" s="33">
        <f t="shared" ca="1" si="13"/>
        <v>-1262640.6664121724</v>
      </c>
      <c r="AK12" s="33">
        <f t="shared" ca="1" si="13"/>
        <v>-1270205.1998107664</v>
      </c>
      <c r="AL12" s="33">
        <f t="shared" ca="1" si="13"/>
        <v>-1474288.6598127279</v>
      </c>
      <c r="AM12" s="33">
        <f t="shared" ca="1" si="13"/>
        <v>-1251008.8275662488</v>
      </c>
      <c r="AN12" s="33">
        <f t="shared" ca="1" si="13"/>
        <v>-1254195.7978084767</v>
      </c>
      <c r="AO12" s="33">
        <f t="shared" ca="1" si="13"/>
        <v>-1477114.7703705477</v>
      </c>
      <c r="AP12" s="33">
        <f t="shared" ca="1" si="13"/>
        <v>-1295657.8650833028</v>
      </c>
      <c r="AQ12" s="33">
        <f t="shared" ca="1" si="13"/>
        <v>-1305233.9405800856</v>
      </c>
      <c r="AR12" s="33">
        <f t="shared" ca="1" si="13"/>
        <v>-1498778.0274136635</v>
      </c>
      <c r="AS12" s="33">
        <f t="shared" ca="1" si="13"/>
        <v>-1249393.6322427508</v>
      </c>
      <c r="AT12" s="33">
        <f t="shared" ca="1" si="13"/>
        <v>-1261163.7580425784</v>
      </c>
      <c r="AU12" s="33">
        <f t="shared" ca="1" si="13"/>
        <v>-1427076.9249953239</v>
      </c>
      <c r="AV12" s="33">
        <f t="shared" ca="1" si="13"/>
        <v>-1248087.0908157888</v>
      </c>
      <c r="AW12" s="33">
        <f t="shared" ca="1" si="13"/>
        <v>-1255728.684039728</v>
      </c>
      <c r="AX12" s="33">
        <f t="shared" ca="1" si="13"/>
        <v>-1459611.8107881639</v>
      </c>
      <c r="AY12" s="33">
        <f t="shared" ca="1" si="13"/>
        <v>-1235683.9253703151</v>
      </c>
      <c r="AZ12" s="33">
        <f t="shared" ca="1" si="13"/>
        <v>-1238812.4838357216</v>
      </c>
      <c r="BA12" s="33">
        <f t="shared" ca="1" si="13"/>
        <v>-1462067.0687647893</v>
      </c>
      <c r="BB12" s="33">
        <f t="shared" ca="1" si="13"/>
        <v>-1281163.2431074257</v>
      </c>
      <c r="BC12" s="33">
        <f t="shared" ca="1" si="13"/>
        <v>-1290855.9054326098</v>
      </c>
      <c r="BD12" s="33">
        <f t="shared" ca="1" si="13"/>
        <v>-1483876.340031757</v>
      </c>
      <c r="BE12" s="33">
        <f t="shared" ca="1" si="13"/>
        <v>-1233068.8472988233</v>
      </c>
      <c r="BF12" s="33">
        <f t="shared" ca="1" si="13"/>
        <v>-1254346.2268086993</v>
      </c>
      <c r="BG12" s="33">
        <f t="shared" ca="1" si="13"/>
        <v>-1409587.2892688902</v>
      </c>
      <c r="BH12" s="33">
        <f t="shared" ca="1" si="13"/>
        <v>-1231201.2261933044</v>
      </c>
      <c r="BI12" s="33">
        <f t="shared" ca="1" si="13"/>
        <v>-1238882.2645941977</v>
      </c>
      <c r="BJ12" s="33">
        <f t="shared" ca="1" si="13"/>
        <v>-1442518.5946937543</v>
      </c>
      <c r="BK12" s="33">
        <f t="shared" ca="1" si="13"/>
        <v>-1217882.4029711722</v>
      </c>
      <c r="BL12" s="33">
        <f t="shared" ca="1" si="13"/>
        <v>-1222096.4843370307</v>
      </c>
      <c r="BM12" s="33">
        <f t="shared" ca="1" si="13"/>
        <v>-1445576.8911270003</v>
      </c>
      <c r="BN12" s="33">
        <f t="shared" ca="1" si="13"/>
        <v>-1265088.53458377</v>
      </c>
      <c r="BO12" s="33">
        <f t="shared" ca="1" si="13"/>
        <v>-1274811.6549522076</v>
      </c>
      <c r="BP12" s="33">
        <f t="shared" ref="BP12:DR12" ca="1" si="14">+BP8-BP9</f>
        <v>-1467301.9826641947</v>
      </c>
      <c r="BQ12" s="33">
        <f t="shared" ca="1" si="14"/>
        <v>-1215169.0116421175</v>
      </c>
      <c r="BR12" s="33">
        <f t="shared" ca="1" si="14"/>
        <v>-1236749.8551588641</v>
      </c>
      <c r="BS12" s="33">
        <f t="shared" ca="1" si="14"/>
        <v>-1390509.1568609129</v>
      </c>
      <c r="BT12" s="33">
        <f t="shared" ca="1" si="14"/>
        <v>-1212573.8183869231</v>
      </c>
      <c r="BU12" s="33">
        <f t="shared" ca="1" si="14"/>
        <v>-1281975.6373028271</v>
      </c>
      <c r="BV12" s="33">
        <f t="shared" ca="1" si="14"/>
        <v>-1485311.9466297138</v>
      </c>
      <c r="BW12" s="33">
        <f t="shared" ca="1" si="14"/>
        <v>-1259968.477530773</v>
      </c>
      <c r="BX12" s="33">
        <f t="shared" ca="1" si="14"/>
        <v>-1264042.799132904</v>
      </c>
      <c r="BY12" s="33">
        <f t="shared" ca="1" si="14"/>
        <v>-1487697.7702530576</v>
      </c>
      <c r="BZ12" s="33">
        <f t="shared" ca="1" si="14"/>
        <v>-1307576.9200788816</v>
      </c>
      <c r="CA12" s="33">
        <f t="shared" ca="1" si="14"/>
        <v>-1317272.2502350775</v>
      </c>
      <c r="CB12" s="33">
        <f t="shared" ca="1" si="14"/>
        <v>-1511012.9516584345</v>
      </c>
      <c r="CC12" s="33">
        <f t="shared" ca="1" si="14"/>
        <v>-1257461.7860820682</v>
      </c>
      <c r="CD12" s="33">
        <f t="shared" ca="1" si="14"/>
        <v>-1279290.5226117962</v>
      </c>
      <c r="CE12" s="33">
        <f t="shared" ca="1" si="14"/>
        <v>-1431469.0736530763</v>
      </c>
      <c r="CF12" s="33">
        <f t="shared" ca="1" si="14"/>
        <v>-1253929.7215938536</v>
      </c>
      <c r="CG12" s="33">
        <f t="shared" ca="1" si="14"/>
        <v>-1261449.3122504072</v>
      </c>
      <c r="CH12" s="33">
        <f t="shared" ca="1" si="14"/>
        <v>-1464410.4009860076</v>
      </c>
      <c r="CI12" s="33">
        <f t="shared" ca="1" si="14"/>
        <v>-1238273.4286097779</v>
      </c>
      <c r="CJ12" s="33">
        <f t="shared" ca="1" si="14"/>
        <v>-1242133.9886534188</v>
      </c>
      <c r="CK12" s="33">
        <f t="shared" ca="1" si="14"/>
        <v>-1465895.15407142</v>
      </c>
      <c r="CL12" s="33">
        <f t="shared" ca="1" si="14"/>
        <v>162610.86618868669</v>
      </c>
      <c r="CM12" s="33">
        <f t="shared" ca="1" si="14"/>
        <v>151303.51579998404</v>
      </c>
      <c r="CN12" s="33">
        <f t="shared" ca="1" si="14"/>
        <v>-43550.730479254475</v>
      </c>
      <c r="CO12" s="33">
        <f t="shared" ca="1" si="14"/>
        <v>209742.49721210139</v>
      </c>
      <c r="CP12" s="33">
        <f t="shared" ca="1" si="14"/>
        <v>195961.15040559662</v>
      </c>
      <c r="CQ12" s="33">
        <f t="shared" ca="1" si="14"/>
        <v>33572.808074258035</v>
      </c>
      <c r="CR12" s="33">
        <f t="shared" ca="1" si="14"/>
        <v>208888.23201467199</v>
      </c>
      <c r="CS12" s="33">
        <f t="shared" ca="1" si="14"/>
        <v>199629.47871054968</v>
      </c>
      <c r="CT12" s="33">
        <f t="shared" ca="1" si="14"/>
        <v>-4842.734958948975</v>
      </c>
      <c r="CU12" s="33">
        <f t="shared" ca="1" si="14"/>
        <v>220171.76238331405</v>
      </c>
      <c r="CV12" s="33">
        <f t="shared" ca="1" si="14"/>
        <v>214554.73169154246</v>
      </c>
      <c r="CW12" s="33">
        <f t="shared" ca="1" si="14"/>
        <v>-11331.225097523711</v>
      </c>
      <c r="CX12" s="33">
        <f t="shared" ca="1" si="14"/>
        <v>166120.07898807479</v>
      </c>
      <c r="CY12" s="33">
        <f t="shared" ca="1" si="14"/>
        <v>154534.16731115046</v>
      </c>
      <c r="CZ12" s="33">
        <f t="shared" ca="1" si="14"/>
        <v>-40060.401890424022</v>
      </c>
      <c r="DA12" s="33">
        <f t="shared" ca="1" si="14"/>
        <v>214397.91417061997</v>
      </c>
      <c r="DB12" s="33">
        <f t="shared" ca="1" si="14"/>
        <v>189983.29904258536</v>
      </c>
      <c r="DC12" s="33">
        <f t="shared" ca="1" si="14"/>
        <v>38963.107170162024</v>
      </c>
      <c r="DD12" s="33">
        <f t="shared" ca="1" si="14"/>
        <v>213522.60379410797</v>
      </c>
      <c r="DE12" s="33">
        <f t="shared" ca="1" si="14"/>
        <v>204035.75724452484</v>
      </c>
      <c r="DF12" s="33">
        <f t="shared" ca="1" si="14"/>
        <v>-398.81877214432461</v>
      </c>
      <c r="DG12" s="33">
        <f t="shared" ca="1" si="14"/>
        <v>225084.10863485257</v>
      </c>
      <c r="DH12" s="33">
        <f t="shared" ca="1" si="14"/>
        <v>219319.99495422613</v>
      </c>
      <c r="DI12" s="33">
        <f t="shared" ca="1" si="14"/>
        <v>-7055.3021327909082</v>
      </c>
      <c r="DJ12" s="33">
        <f t="shared" ca="1" si="14"/>
        <v>169693.49477585632</v>
      </c>
      <c r="DK12" s="33">
        <f t="shared" ca="1" si="14"/>
        <v>157822.48474876684</v>
      </c>
      <c r="DL12" s="33">
        <f t="shared" ca="1" si="14"/>
        <v>-36506.857928832411</v>
      </c>
      <c r="DM12" s="33">
        <f t="shared" ca="1" si="14"/>
        <v>219143.8878991587</v>
      </c>
      <c r="DN12" s="33">
        <f t="shared" ca="1" si="14"/>
        <v>194128.49428368034</v>
      </c>
      <c r="DO12" s="33">
        <f t="shared" ca="1" si="14"/>
        <v>44461.208684553392</v>
      </c>
      <c r="DP12" s="33">
        <f t="shared" ca="1" si="14"/>
        <v>218247.03847149707</v>
      </c>
      <c r="DQ12" s="33">
        <f t="shared" ca="1" si="14"/>
        <v>208526.74595969898</v>
      </c>
      <c r="DR12" s="33">
        <f t="shared" ca="1" si="14"/>
        <v>4130.690847331658</v>
      </c>
      <c r="DS12" s="33">
        <f ca="1">+DS8-DS9</f>
        <v>230093.04107533838</v>
      </c>
      <c r="DT12" s="33">
        <f t="shared" ref="DT12:DU12" ca="1" si="15">+DT8-DT9</f>
        <v>222456.55470544385</v>
      </c>
      <c r="DU12" s="33">
        <f t="shared" ca="1" si="15"/>
        <v>5786.913964022242</v>
      </c>
      <c r="DV12" s="33">
        <f ca="1">+DV8-DV9</f>
        <v>171879.3152604989</v>
      </c>
      <c r="DW12" s="33">
        <f t="shared" ref="DW12:DX12" ca="1" si="16">+DW8-DW9</f>
        <v>168479.88487702055</v>
      </c>
      <c r="DX12" s="33">
        <f t="shared" ca="1" si="16"/>
        <v>-34356.830268990481</v>
      </c>
      <c r="DY12" s="33">
        <f ca="1">+DY8-DY9</f>
        <v>222245.11932117899</v>
      </c>
      <c r="DZ12" s="33">
        <f t="shared" ref="DZ12:GK12" ca="1" si="17">+DZ8-DZ9</f>
        <v>196750.48342801462</v>
      </c>
      <c r="EA12" s="33">
        <f t="shared" ca="1" si="17"/>
        <v>48162.414041620097</v>
      </c>
      <c r="EB12" s="33">
        <f t="shared" ca="1" si="17"/>
        <v>221331.08814658731</v>
      </c>
      <c r="EC12" s="33">
        <f t="shared" ca="1" si="17"/>
        <v>211424.57529403694</v>
      </c>
      <c r="ED12" s="33">
        <f t="shared" ca="1" si="17"/>
        <v>7059.2483889906434</v>
      </c>
      <c r="EE12" s="33">
        <f t="shared" ca="1" si="17"/>
        <v>233404.03522136551</v>
      </c>
      <c r="EF12" s="33">
        <f t="shared" ca="1" si="17"/>
        <v>225583.92004627571</v>
      </c>
      <c r="EG12" s="33">
        <f t="shared" ca="1" si="17"/>
        <v>8711.1021035016165</v>
      </c>
      <c r="EH12" s="33">
        <f t="shared" ca="1" si="17"/>
        <v>174043.56082892179</v>
      </c>
      <c r="EI12" s="33">
        <f t="shared" ca="1" si="17"/>
        <v>170579.39661154523</v>
      </c>
      <c r="EJ12" s="33">
        <f t="shared" ca="1" si="17"/>
        <v>-32230.344777422026</v>
      </c>
      <c r="EK12" s="33">
        <f t="shared" ca="1" si="17"/>
        <v>225335.19512941124</v>
      </c>
      <c r="EL12" s="33">
        <f t="shared" ca="1" si="17"/>
        <v>210308.8874864119</v>
      </c>
      <c r="EM12" s="33">
        <f t="shared" ca="1" si="17"/>
        <v>51860.276632294932</v>
      </c>
      <c r="EN12" s="33">
        <f t="shared" ca="1" si="17"/>
        <v>224403.75846755871</v>
      </c>
      <c r="EO12" s="33">
        <f t="shared" ca="1" si="17"/>
        <v>214308.60031707148</v>
      </c>
      <c r="EP12" s="33">
        <f t="shared" ca="1" si="17"/>
        <v>9974.4017613865435</v>
      </c>
      <c r="EQ12" s="33">
        <f t="shared" ca="1" si="17"/>
        <v>236706.60527918633</v>
      </c>
      <c r="ER12" s="33">
        <f t="shared" ca="1" si="17"/>
        <v>228698.71640832268</v>
      </c>
      <c r="ES12" s="33">
        <f t="shared" ca="1" si="17"/>
        <v>11620.133308782126</v>
      </c>
      <c r="ET12" s="33">
        <f t="shared" ca="1" si="17"/>
        <v>176182.96974771557</v>
      </c>
      <c r="EU12" s="33">
        <f t="shared" ca="1" si="17"/>
        <v>172653.24715375213</v>
      </c>
      <c r="EV12" s="33">
        <f t="shared" ca="1" si="17"/>
        <v>-30130.749009117542</v>
      </c>
      <c r="EW12" s="33">
        <f t="shared" ca="1" si="17"/>
        <v>228410.65487874838</v>
      </c>
      <c r="EX12" s="33">
        <f t="shared" ca="1" si="17"/>
        <v>201938.86926009573</v>
      </c>
      <c r="EY12" s="33">
        <f t="shared" ca="1" si="17"/>
        <v>55551.264805772575</v>
      </c>
      <c r="EZ12" s="33">
        <f t="shared" ca="1" si="17"/>
        <v>227461.59102845649</v>
      </c>
      <c r="FA12" s="33">
        <f t="shared" ca="1" si="17"/>
        <v>217175.38472372349</v>
      </c>
      <c r="FB12" s="33">
        <f t="shared" ca="1" si="17"/>
        <v>12872.711012576066</v>
      </c>
      <c r="FC12" s="33">
        <f t="shared" ca="1" si="17"/>
        <v>239997.26590877734</v>
      </c>
      <c r="FD12" s="33">
        <f t="shared" ca="1" si="17"/>
        <v>231797.37502405085</v>
      </c>
      <c r="FE12" s="33">
        <f t="shared" ca="1" si="17"/>
        <v>14510.466394486197</v>
      </c>
      <c r="FF12" s="33">
        <f t="shared" ca="1" si="17"/>
        <v>178294.10399689098</v>
      </c>
      <c r="FG12" s="33">
        <f t="shared" ca="1" si="17"/>
        <v>174698.00727154108</v>
      </c>
      <c r="FH12" s="33">
        <f t="shared" ca="1" si="17"/>
        <v>-28061.570184415032</v>
      </c>
      <c r="FI12" s="33">
        <f t="shared" ca="1" si="17"/>
        <v>231467.84053742923</v>
      </c>
      <c r="FJ12" s="33">
        <f t="shared" ca="1" si="17"/>
        <v>204498.27025442591</v>
      </c>
      <c r="FK12" s="33">
        <f t="shared" ca="1" si="17"/>
        <v>59231.638020689832</v>
      </c>
      <c r="FL12" s="33">
        <f t="shared" ca="1" si="17"/>
        <v>230500.93016038739</v>
      </c>
      <c r="FM12" s="33">
        <f t="shared" ca="1" si="17"/>
        <v>220021.2984544893</v>
      </c>
      <c r="FN12" s="33">
        <f t="shared" ca="1" si="17"/>
        <v>15750.541857251723</v>
      </c>
      <c r="FO12" s="33">
        <f t="shared" ca="1" si="17"/>
        <v>243272.33023139244</v>
      </c>
      <c r="FP12" s="33">
        <f t="shared" ca="1" si="17"/>
        <v>234876.12431195515</v>
      </c>
      <c r="FQ12" s="33">
        <f t="shared" ca="1" si="17"/>
        <v>17378.361345354642</v>
      </c>
      <c r="FR12" s="33">
        <f t="shared" ca="1" si="17"/>
        <v>180373.34162824394</v>
      </c>
      <c r="FS12" s="33">
        <f t="shared" ca="1" si="17"/>
        <v>176710.06507395892</v>
      </c>
      <c r="FT12" s="33">
        <f t="shared" ca="1" si="17"/>
        <v>-26026.522956122004</v>
      </c>
      <c r="FU12" s="33">
        <f t="shared" ca="1" si="17"/>
        <v>234502.88774624007</v>
      </c>
      <c r="FV12" s="33">
        <f t="shared" ca="1" si="17"/>
        <v>207029.49032608175</v>
      </c>
      <c r="FW12" s="33">
        <f t="shared" ca="1" si="17"/>
        <v>62897.437490177108</v>
      </c>
      <c r="FX12" s="33">
        <f t="shared" ca="1" si="17"/>
        <v>233517.91420830844</v>
      </c>
      <c r="FY12" s="33">
        <f t="shared" ca="1" si="17"/>
        <v>222842.50916284957</v>
      </c>
      <c r="FZ12" s="33">
        <f t="shared" ca="1" si="17"/>
        <v>18604.057112696755</v>
      </c>
      <c r="GA12" s="33">
        <f t="shared" ca="1" si="17"/>
        <v>246527.90087404655</v>
      </c>
      <c r="GB12" s="33">
        <f t="shared" ca="1" si="17"/>
        <v>237930.98091961211</v>
      </c>
      <c r="GC12" s="33">
        <f t="shared" ca="1" si="17"/>
        <v>20219.870573520311</v>
      </c>
      <c r="GD12" s="33">
        <f t="shared" ca="1" si="17"/>
        <v>182416.86882388091</v>
      </c>
      <c r="GE12" s="33">
        <f t="shared" ca="1" si="17"/>
        <v>178685.61813797749</v>
      </c>
      <c r="GF12" s="33">
        <f t="shared" ca="1" si="17"/>
        <v>-24029.517480965587</v>
      </c>
      <c r="GG12" s="33">
        <f t="shared" ca="1" si="17"/>
        <v>237511.71673109598</v>
      </c>
      <c r="GH12" s="33">
        <f t="shared" ca="1" si="17"/>
        <v>221326.88333945093</v>
      </c>
      <c r="GI12" s="33">
        <f t="shared" ca="1" si="17"/>
        <v>66544.476453614829</v>
      </c>
      <c r="GJ12" s="33">
        <f t="shared" ca="1" si="17"/>
        <v>236508.4664619604</v>
      </c>
      <c r="GK12" s="33">
        <f t="shared" ca="1" si="17"/>
        <v>225634.97334510251</v>
      </c>
      <c r="GL12" s="33">
        <f t="shared" ref="GL12:IH12" ca="1" si="18">+GL8-GL9</f>
        <v>21429.207795796683</v>
      </c>
      <c r="GM12" s="33">
        <f t="shared" ca="1" si="18"/>
        <v>249759.86065805168</v>
      </c>
      <c r="GN12" s="33">
        <f t="shared" ca="1" si="18"/>
        <v>240957.74041184771</v>
      </c>
      <c r="GO12" s="33">
        <f t="shared" ca="1" si="18"/>
        <v>23030.829830164905</v>
      </c>
      <c r="GP12" s="33">
        <f t="shared" ca="1" si="18"/>
        <v>184420.67164379067</v>
      </c>
      <c r="GQ12" s="33">
        <f t="shared" ca="1" si="18"/>
        <v>180620.66532727057</v>
      </c>
      <c r="GR12" s="33">
        <f t="shared" ca="1" si="18"/>
        <v>-22074.66780663922</v>
      </c>
      <c r="GS12" s="33">
        <f t="shared" ca="1" si="18"/>
        <v>240490.02285607147</v>
      </c>
      <c r="GT12" s="33">
        <f t="shared" ca="1" si="18"/>
        <v>211991.19614020427</v>
      </c>
      <c r="GU12" s="33">
        <f t="shared" ca="1" si="18"/>
        <v>70168.330061117653</v>
      </c>
      <c r="GV12" s="33">
        <f t="shared" ca="1" si="18"/>
        <v>239468.28572804399</v>
      </c>
      <c r="GW12" s="33">
        <f t="shared" ca="1" si="18"/>
        <v>228394.42712004395</v>
      </c>
      <c r="GX12" s="33">
        <f t="shared" ca="1" si="18"/>
        <v>24221.723868481407</v>
      </c>
      <c r="GY12" s="33">
        <f t="shared" ca="1" si="18"/>
        <v>252963.86291831045</v>
      </c>
      <c r="GZ12" s="33">
        <f t="shared" ca="1" si="18"/>
        <v>243951.96759078978</v>
      </c>
      <c r="HA12" s="33">
        <f t="shared" ca="1" si="18"/>
        <v>25806.848758692155</v>
      </c>
      <c r="HB12" s="33">
        <f t="shared" ca="1" si="18"/>
        <v>186380.52745095355</v>
      </c>
      <c r="HC12" s="33">
        <f t="shared" ca="1" si="18"/>
        <v>182510.99829159718</v>
      </c>
      <c r="HD12" s="33">
        <f t="shared" ca="1" si="18"/>
        <v>-20166.300586120517</v>
      </c>
      <c r="HE12" s="33">
        <f t="shared" ca="1" si="18"/>
        <v>243433.26680348758</v>
      </c>
      <c r="HF12" s="33">
        <f t="shared" ca="1" si="18"/>
        <v>214413.0410988415</v>
      </c>
      <c r="HG12" s="33">
        <f t="shared" ca="1" si="18"/>
        <v>73764.324856262421</v>
      </c>
      <c r="HH12" s="33">
        <f t="shared" ca="1" si="18"/>
        <v>242392.83653027684</v>
      </c>
      <c r="HI12" s="33">
        <f t="shared" ca="1" si="18"/>
        <v>231116.37664547141</v>
      </c>
      <c r="HJ12" s="33">
        <f t="shared" ca="1" si="18"/>
        <v>26977.104618510872</v>
      </c>
      <c r="HK12" s="33">
        <f t="shared" ca="1" si="18"/>
        <v>256135.32143959249</v>
      </c>
      <c r="HL12" s="33">
        <f t="shared" ca="1" si="18"/>
        <v>246908.98643409761</v>
      </c>
      <c r="HM12" s="33">
        <f t="shared" ca="1" si="18"/>
        <v>28543.301076083793</v>
      </c>
      <c r="HN12" s="33">
        <f t="shared" ca="1" si="18"/>
        <v>188291.99600206673</v>
      </c>
      <c r="HO12" s="33">
        <f t="shared" ca="1" si="18"/>
        <v>184352.19263498866</v>
      </c>
      <c r="HP12" s="33">
        <f t="shared" ca="1" si="18"/>
        <v>-18308.964131344634</v>
      </c>
      <c r="HQ12" s="33">
        <f t="shared" ca="1" si="18"/>
        <v>246336.66436717822</v>
      </c>
      <c r="HR12" s="33">
        <f t="shared" ca="1" si="18"/>
        <v>216789.40467847069</v>
      </c>
      <c r="HS12" s="33">
        <f t="shared" ca="1" si="18"/>
        <v>77327.527842060896</v>
      </c>
      <c r="HT12" s="33">
        <f t="shared" ca="1" si="18"/>
        <v>245277.33892348857</v>
      </c>
      <c r="HU12" s="33">
        <f t="shared" ca="1" si="18"/>
        <v>233796.08815801644</v>
      </c>
      <c r="HV12" s="33">
        <f t="shared" ca="1" si="18"/>
        <v>29690.608662060578</v>
      </c>
      <c r="HW12" s="33">
        <f t="shared" ca="1" si="18"/>
        <v>259269.39999552502</v>
      </c>
      <c r="HX12" s="33">
        <f t="shared" ca="1" si="18"/>
        <v>249823.86963717244</v>
      </c>
      <c r="HY12" s="33">
        <f t="shared" ca="1" si="18"/>
        <v>31235.314368636173</v>
      </c>
      <c r="HZ12" s="33">
        <f t="shared" ca="1" si="18"/>
        <v>190150.4101915409</v>
      </c>
      <c r="IA12" s="33">
        <f t="shared" ca="1" si="18"/>
        <v>186139.59874052129</v>
      </c>
      <c r="IB12" s="33">
        <f t="shared" ca="1" si="18"/>
        <v>-16507.437818754581</v>
      </c>
      <c r="IC12" s="33">
        <f t="shared" ca="1" si="18"/>
        <v>249195.17584456716</v>
      </c>
      <c r="ID12" s="33">
        <f t="shared" ca="1" si="18"/>
        <v>231797.70765908764</v>
      </c>
      <c r="IE12" s="33">
        <f t="shared" ca="1" si="18"/>
        <v>80852.735114636715</v>
      </c>
      <c r="IF12" s="33">
        <f t="shared" ca="1" si="18"/>
        <v>248116.75790741559</v>
      </c>
      <c r="IG12" s="33">
        <f t="shared" ca="1" si="18"/>
        <v>236428.57762233328</v>
      </c>
      <c r="IH12" s="33">
        <f t="shared" ca="1" si="18"/>
        <v>32357.243554066576</v>
      </c>
      <c r="II12" s="33">
        <f t="shared" ref="II12:IM12" ca="1" si="19">+II8-II9</f>
        <v>261084.17667958804</v>
      </c>
      <c r="IJ12" s="33">
        <f t="shared" ca="1" si="19"/>
        <v>251101.6689164486</v>
      </c>
      <c r="IK12" s="33">
        <f t="shared" ca="1" si="19"/>
        <v>33131.325801422819</v>
      </c>
      <c r="IL12" s="33">
        <f t="shared" ca="1" si="19"/>
        <v>191733.72961218946</v>
      </c>
      <c r="IM12" s="33">
        <f t="shared" ca="1" si="19"/>
        <v>188376.73183838959</v>
      </c>
      <c r="IN12" s="33"/>
      <c r="IO12" s="33"/>
    </row>
    <row r="13" spans="1:249" x14ac:dyDescent="0.3">
      <c r="A13" t="s">
        <v>923</v>
      </c>
      <c r="B13" s="33">
        <f>+B12</f>
        <v>0</v>
      </c>
      <c r="C13" s="33">
        <f>+B13+C12</f>
        <v>0</v>
      </c>
      <c r="D13" s="33">
        <f>+C13+D12</f>
        <v>0</v>
      </c>
      <c r="E13" s="33">
        <f>+D13+E12</f>
        <v>0</v>
      </c>
      <c r="F13" s="33">
        <f>+E13+F12</f>
        <v>0</v>
      </c>
      <c r="G13" s="33">
        <f t="shared" ref="G13:BR13" si="20">+F13+G12</f>
        <v>0</v>
      </c>
      <c r="H13" s="33">
        <f t="shared" si="20"/>
        <v>0</v>
      </c>
      <c r="I13" s="33">
        <f t="shared" si="20"/>
        <v>0</v>
      </c>
      <c r="J13" s="33">
        <f t="shared" ca="1" si="20"/>
        <v>0</v>
      </c>
      <c r="K13" s="33">
        <f t="shared" ca="1" si="20"/>
        <v>278021.6345918703</v>
      </c>
      <c r="L13" s="33">
        <f t="shared" ca="1" si="20"/>
        <v>530574.122353788</v>
      </c>
      <c r="M13" s="33">
        <f t="shared" ca="1" si="20"/>
        <v>775441.55861272663</v>
      </c>
      <c r="N13" s="33">
        <f t="shared" ca="1" si="20"/>
        <v>1021577.1047618189</v>
      </c>
      <c r="O13" s="33">
        <f t="shared" ca="1" si="20"/>
        <v>1283495.2715919795</v>
      </c>
      <c r="P13" s="33">
        <f t="shared" ca="1" si="20"/>
        <v>1541570.25788069</v>
      </c>
      <c r="Q13" s="33">
        <f t="shared" ca="1" si="20"/>
        <v>1783086.7285656231</v>
      </c>
      <c r="R13" s="33">
        <f t="shared" ca="1" si="20"/>
        <v>2000831.4475676783</v>
      </c>
      <c r="S13" s="33">
        <f t="shared" ca="1" si="20"/>
        <v>2208928.8812356014</v>
      </c>
      <c r="T13" s="33">
        <f t="shared" ca="1" si="20"/>
        <v>2428905.9448827244</v>
      </c>
      <c r="U13" s="33">
        <f t="shared" ca="1" si="20"/>
        <v>2689232.9796748497</v>
      </c>
      <c r="V13" s="33">
        <f t="shared" ca="1" si="20"/>
        <v>2929230.6036246428</v>
      </c>
      <c r="W13" s="33">
        <f t="shared" ca="1" si="20"/>
        <v>3215008.4744305355</v>
      </c>
      <c r="X13" s="33">
        <f t="shared" ca="1" si="20"/>
        <v>3474606.6611877703</v>
      </c>
      <c r="Y13" s="33">
        <f t="shared" ca="1" si="20"/>
        <v>3726305.3991888715</v>
      </c>
      <c r="Z13" s="33">
        <f t="shared" ca="1" si="20"/>
        <v>3979307.6247580824</v>
      </c>
      <c r="AA13" s="33">
        <f t="shared" ca="1" si="20"/>
        <v>4248532.7739159334</v>
      </c>
      <c r="AB13" s="33">
        <f t="shared" ca="1" si="20"/>
        <v>4514078.2130286042</v>
      </c>
      <c r="AC13" s="33">
        <f t="shared" ca="1" si="20"/>
        <v>4762585.8199968608</v>
      </c>
      <c r="AD13" s="33">
        <f t="shared" ca="1" si="20"/>
        <v>3454482.1686349246</v>
      </c>
      <c r="AE13" s="33">
        <f t="shared" ca="1" si="20"/>
        <v>2136949.9698016518</v>
      </c>
      <c r="AF13" s="33">
        <f t="shared" ca="1" si="20"/>
        <v>631399.64969480271</v>
      </c>
      <c r="AG13" s="33">
        <f t="shared" ca="1" si="20"/>
        <v>-632113.73332159547</v>
      </c>
      <c r="AH13" s="33">
        <f t="shared" ca="1" si="20"/>
        <v>-1916015.2252938284</v>
      </c>
      <c r="AI13" s="33">
        <f t="shared" ca="1" si="20"/>
        <v>-3358270.4665270606</v>
      </c>
      <c r="AJ13" s="33">
        <f t="shared" ca="1" si="20"/>
        <v>-4620911.1329392325</v>
      </c>
      <c r="AK13" s="33">
        <f t="shared" ca="1" si="20"/>
        <v>-5891116.3327499991</v>
      </c>
      <c r="AL13" s="33">
        <f t="shared" ca="1" si="20"/>
        <v>-7365404.9925627271</v>
      </c>
      <c r="AM13" s="33">
        <f t="shared" ca="1" si="20"/>
        <v>-8616413.8201289754</v>
      </c>
      <c r="AN13" s="33">
        <f t="shared" ca="1" si="20"/>
        <v>-9870609.6179374531</v>
      </c>
      <c r="AO13" s="33">
        <f t="shared" ca="1" si="20"/>
        <v>-11347724.388308</v>
      </c>
      <c r="AP13" s="33">
        <f t="shared" ca="1" si="20"/>
        <v>-12643382.253391303</v>
      </c>
      <c r="AQ13" s="33">
        <f t="shared" ca="1" si="20"/>
        <v>-13948616.193971388</v>
      </c>
      <c r="AR13" s="33">
        <f t="shared" ca="1" si="20"/>
        <v>-15447394.221385051</v>
      </c>
      <c r="AS13" s="33">
        <f t="shared" ca="1" si="20"/>
        <v>-16696787.853627801</v>
      </c>
      <c r="AT13" s="33">
        <f t="shared" ca="1" si="20"/>
        <v>-17957951.611670379</v>
      </c>
      <c r="AU13" s="33">
        <f t="shared" ca="1" si="20"/>
        <v>-19385028.536665704</v>
      </c>
      <c r="AV13" s="33">
        <f t="shared" ca="1" si="20"/>
        <v>-20633115.627481494</v>
      </c>
      <c r="AW13" s="33">
        <f t="shared" ca="1" si="20"/>
        <v>-21888844.311521221</v>
      </c>
      <c r="AX13" s="33">
        <f t="shared" ca="1" si="20"/>
        <v>-23348456.122309387</v>
      </c>
      <c r="AY13" s="33">
        <f t="shared" ca="1" si="20"/>
        <v>-24584140.0476797</v>
      </c>
      <c r="AZ13" s="33">
        <f t="shared" ca="1" si="20"/>
        <v>-25822952.531515423</v>
      </c>
      <c r="BA13" s="33">
        <f t="shared" ca="1" si="20"/>
        <v>-27285019.600280214</v>
      </c>
      <c r="BB13" s="33">
        <f t="shared" ca="1" si="20"/>
        <v>-28566182.843387641</v>
      </c>
      <c r="BC13" s="33">
        <f t="shared" ca="1" si="20"/>
        <v>-29857038.748820253</v>
      </c>
      <c r="BD13" s="33">
        <f t="shared" ca="1" si="20"/>
        <v>-31340915.088852011</v>
      </c>
      <c r="BE13" s="33">
        <f t="shared" ca="1" si="20"/>
        <v>-32573983.936150834</v>
      </c>
      <c r="BF13" s="33">
        <f t="shared" ca="1" si="20"/>
        <v>-33828330.162959531</v>
      </c>
      <c r="BG13" s="33">
        <f t="shared" ca="1" si="20"/>
        <v>-35237917.452228419</v>
      </c>
      <c r="BH13" s="33">
        <f t="shared" ca="1" si="20"/>
        <v>-36469118.678421721</v>
      </c>
      <c r="BI13" s="33">
        <f t="shared" ca="1" si="20"/>
        <v>-37708000.943015918</v>
      </c>
      <c r="BJ13" s="33">
        <f t="shared" ca="1" si="20"/>
        <v>-39150519.537709676</v>
      </c>
      <c r="BK13" s="33">
        <f t="shared" ca="1" si="20"/>
        <v>-40368401.940680847</v>
      </c>
      <c r="BL13" s="33">
        <f t="shared" ca="1" si="20"/>
        <v>-41590498.425017878</v>
      </c>
      <c r="BM13" s="33">
        <f t="shared" ca="1" si="20"/>
        <v>-43036075.316144876</v>
      </c>
      <c r="BN13" s="33">
        <f t="shared" ca="1" si="20"/>
        <v>-44301163.850728646</v>
      </c>
      <c r="BO13" s="33">
        <f t="shared" ca="1" si="20"/>
        <v>-45575975.505680852</v>
      </c>
      <c r="BP13" s="33">
        <f t="shared" ca="1" si="20"/>
        <v>-47043277.488345049</v>
      </c>
      <c r="BQ13" s="33">
        <f t="shared" ca="1" si="20"/>
        <v>-48258446.49998717</v>
      </c>
      <c r="BR13" s="33">
        <f t="shared" ca="1" si="20"/>
        <v>-49495196.355146036</v>
      </c>
      <c r="BS13" s="33">
        <f t="shared" ref="BS13:DR13" ca="1" si="21">+BR13+BS12</f>
        <v>-50885705.512006946</v>
      </c>
      <c r="BT13" s="33">
        <f t="shared" ca="1" si="21"/>
        <v>-52098279.330393866</v>
      </c>
      <c r="BU13" s="33">
        <f t="shared" ca="1" si="21"/>
        <v>-53380254.967696697</v>
      </c>
      <c r="BV13" s="33">
        <f t="shared" ca="1" si="21"/>
        <v>-54865566.914326407</v>
      </c>
      <c r="BW13" s="33">
        <f t="shared" ca="1" si="21"/>
        <v>-56125535.391857177</v>
      </c>
      <c r="BX13" s="33">
        <f t="shared" ca="1" si="21"/>
        <v>-57389578.190990083</v>
      </c>
      <c r="BY13" s="33">
        <f t="shared" ca="1" si="21"/>
        <v>-58877275.961243138</v>
      </c>
      <c r="BZ13" s="33">
        <f t="shared" ca="1" si="21"/>
        <v>-60184852.881322019</v>
      </c>
      <c r="CA13" s="33">
        <f t="shared" ca="1" si="21"/>
        <v>-61502125.1315571</v>
      </c>
      <c r="CB13" s="33">
        <f t="shared" ca="1" si="21"/>
        <v>-63013138.083215535</v>
      </c>
      <c r="CC13" s="33">
        <f t="shared" ca="1" si="21"/>
        <v>-64270599.869297601</v>
      </c>
      <c r="CD13" s="33">
        <f t="shared" ca="1" si="21"/>
        <v>-65549890.391909398</v>
      </c>
      <c r="CE13" s="33">
        <f t="shared" ca="1" si="21"/>
        <v>-66981359.465562478</v>
      </c>
      <c r="CF13" s="33">
        <f t="shared" ca="1" si="21"/>
        <v>-68235289.187156335</v>
      </c>
      <c r="CG13" s="33">
        <f t="shared" ca="1" si="21"/>
        <v>-69496738.49940674</v>
      </c>
      <c r="CH13" s="33">
        <f t="shared" ca="1" si="21"/>
        <v>-70961148.900392741</v>
      </c>
      <c r="CI13" s="33">
        <f t="shared" ca="1" si="21"/>
        <v>-72199422.329002514</v>
      </c>
      <c r="CJ13" s="33">
        <f t="shared" ca="1" si="21"/>
        <v>-73441556.317655936</v>
      </c>
      <c r="CK13" s="33">
        <f t="shared" ca="1" si="21"/>
        <v>-74907451.471727356</v>
      </c>
      <c r="CL13" s="33">
        <f t="shared" ca="1" si="21"/>
        <v>-74744840.605538666</v>
      </c>
      <c r="CM13" s="33">
        <f t="shared" ca="1" si="21"/>
        <v>-74593537.089738682</v>
      </c>
      <c r="CN13" s="33">
        <f t="shared" ca="1" si="21"/>
        <v>-74637087.820217937</v>
      </c>
      <c r="CO13" s="33">
        <f t="shared" ca="1" si="21"/>
        <v>-74427345.32300584</v>
      </c>
      <c r="CP13" s="33">
        <f t="shared" ca="1" si="21"/>
        <v>-74231384.17260024</v>
      </c>
      <c r="CQ13" s="33">
        <f t="shared" ca="1" si="21"/>
        <v>-74197811.364525989</v>
      </c>
      <c r="CR13" s="33">
        <f t="shared" ca="1" si="21"/>
        <v>-73988923.132511318</v>
      </c>
      <c r="CS13" s="33">
        <f t="shared" ca="1" si="21"/>
        <v>-73789293.653800771</v>
      </c>
      <c r="CT13" s="33">
        <f t="shared" ca="1" si="21"/>
        <v>-73794136.388759717</v>
      </c>
      <c r="CU13" s="33">
        <f t="shared" ca="1" si="21"/>
        <v>-73573964.626376405</v>
      </c>
      <c r="CV13" s="33">
        <f t="shared" ca="1" si="21"/>
        <v>-73359409.894684866</v>
      </c>
      <c r="CW13" s="33">
        <f t="shared" ca="1" si="21"/>
        <v>-73370741.119782388</v>
      </c>
      <c r="CX13" s="33">
        <f t="shared" ca="1" si="21"/>
        <v>-73204621.040794313</v>
      </c>
      <c r="CY13" s="33">
        <f t="shared" ca="1" si="21"/>
        <v>-73050086.873483166</v>
      </c>
      <c r="CZ13" s="33">
        <f t="shared" ca="1" si="21"/>
        <v>-73090147.275373593</v>
      </c>
      <c r="DA13" s="33">
        <f t="shared" ca="1" si="21"/>
        <v>-72875749.36120297</v>
      </c>
      <c r="DB13" s="33">
        <f t="shared" ca="1" si="21"/>
        <v>-72685766.062160388</v>
      </c>
      <c r="DC13" s="33">
        <f t="shared" ca="1" si="21"/>
        <v>-72646802.954990223</v>
      </c>
      <c r="DD13" s="33">
        <f t="shared" ca="1" si="21"/>
        <v>-72433280.35119611</v>
      </c>
      <c r="DE13" s="33">
        <f t="shared" ca="1" si="21"/>
        <v>-72229244.593951583</v>
      </c>
      <c r="DF13" s="33">
        <f t="shared" ca="1" si="21"/>
        <v>-72229643.41272372</v>
      </c>
      <c r="DG13" s="33">
        <f t="shared" ca="1" si="21"/>
        <v>-72004559.304088861</v>
      </c>
      <c r="DH13" s="33">
        <f t="shared" ca="1" si="21"/>
        <v>-71785239.309134632</v>
      </c>
      <c r="DI13" s="33">
        <f t="shared" ca="1" si="21"/>
        <v>-71792294.611267418</v>
      </c>
      <c r="DJ13" s="33">
        <f t="shared" ca="1" si="21"/>
        <v>-71622601.116491556</v>
      </c>
      <c r="DK13" s="33">
        <f t="shared" ca="1" si="21"/>
        <v>-71464778.63174279</v>
      </c>
      <c r="DL13" s="33">
        <f t="shared" ca="1" si="21"/>
        <v>-71501285.489671618</v>
      </c>
      <c r="DM13" s="33">
        <f t="shared" ca="1" si="21"/>
        <v>-71282141.601772457</v>
      </c>
      <c r="DN13" s="33">
        <f t="shared" ca="1" si="21"/>
        <v>-71088013.107488781</v>
      </c>
      <c r="DO13" s="33">
        <f t="shared" ca="1" si="21"/>
        <v>-71043551.898804232</v>
      </c>
      <c r="DP13" s="33">
        <f t="shared" ca="1" si="21"/>
        <v>-70825304.860332742</v>
      </c>
      <c r="DQ13" s="33">
        <f t="shared" ca="1" si="21"/>
        <v>-70616778.114373043</v>
      </c>
      <c r="DR13" s="33">
        <f t="shared" ca="1" si="21"/>
        <v>-70612647.423525706</v>
      </c>
      <c r="DS13" s="33">
        <f ca="1">+DR13+DS12</f>
        <v>-70382554.382450372</v>
      </c>
      <c r="DT13" s="33">
        <f ca="1">+DS13+DT12</f>
        <v>-70160097.827744931</v>
      </c>
      <c r="DU13" s="33">
        <f ca="1">+DT13+DU12</f>
        <v>-70154310.913780913</v>
      </c>
      <c r="DV13" s="33">
        <f ca="1">+DU13+DV12</f>
        <v>-69982431.598520413</v>
      </c>
      <c r="DW13" s="33">
        <f t="shared" ref="DW13:GH13" ca="1" si="22">+DV13+DW12</f>
        <v>-69813951.713643387</v>
      </c>
      <c r="DX13" s="33">
        <f t="shared" ca="1" si="22"/>
        <v>-69848308.543912381</v>
      </c>
      <c r="DY13" s="33">
        <f t="shared" ca="1" si="22"/>
        <v>-69626063.424591199</v>
      </c>
      <c r="DZ13" s="33">
        <f t="shared" ca="1" si="22"/>
        <v>-69429312.941163182</v>
      </c>
      <c r="EA13" s="33">
        <f t="shared" ca="1" si="22"/>
        <v>-69381150.527121559</v>
      </c>
      <c r="EB13" s="33">
        <f t="shared" ca="1" si="22"/>
        <v>-69159819.438974977</v>
      </c>
      <c r="EC13" s="33">
        <f t="shared" ca="1" si="22"/>
        <v>-68948394.863680944</v>
      </c>
      <c r="ED13" s="33">
        <f t="shared" ca="1" si="22"/>
        <v>-68941335.615291953</v>
      </c>
      <c r="EE13" s="33">
        <f t="shared" ca="1" si="22"/>
        <v>-68707931.580070585</v>
      </c>
      <c r="EF13" s="33">
        <f t="shared" ca="1" si="22"/>
        <v>-68482347.660024315</v>
      </c>
      <c r="EG13" s="33">
        <f t="shared" ca="1" si="22"/>
        <v>-68473636.557920814</v>
      </c>
      <c r="EH13" s="33">
        <f t="shared" ca="1" si="22"/>
        <v>-68299592.997091889</v>
      </c>
      <c r="EI13" s="33">
        <f t="shared" ca="1" si="22"/>
        <v>-68129013.600480348</v>
      </c>
      <c r="EJ13" s="33">
        <f t="shared" ca="1" si="22"/>
        <v>-68161243.945257768</v>
      </c>
      <c r="EK13" s="33">
        <f t="shared" ca="1" si="22"/>
        <v>-67935908.750128359</v>
      </c>
      <c r="EL13" s="33">
        <f t="shared" ca="1" si="22"/>
        <v>-67725599.862641945</v>
      </c>
      <c r="EM13" s="33">
        <f t="shared" ca="1" si="22"/>
        <v>-67673739.586009651</v>
      </c>
      <c r="EN13" s="33">
        <f t="shared" ca="1" si="22"/>
        <v>-67449335.827542096</v>
      </c>
      <c r="EO13" s="33">
        <f t="shared" ca="1" si="22"/>
        <v>-67235027.227225021</v>
      </c>
      <c r="EP13" s="33">
        <f t="shared" ca="1" si="22"/>
        <v>-67225052.825463638</v>
      </c>
      <c r="EQ13" s="33">
        <f t="shared" ca="1" si="22"/>
        <v>-66988346.220184453</v>
      </c>
      <c r="ER13" s="33">
        <f t="shared" ca="1" si="22"/>
        <v>-66759647.503776133</v>
      </c>
      <c r="ES13" s="33">
        <f t="shared" ca="1" si="22"/>
        <v>-66748027.37046735</v>
      </c>
      <c r="ET13" s="33">
        <f t="shared" ca="1" si="22"/>
        <v>-66571844.400719635</v>
      </c>
      <c r="EU13" s="33">
        <f t="shared" ca="1" si="22"/>
        <v>-66399191.153565884</v>
      </c>
      <c r="EV13" s="33">
        <f t="shared" ca="1" si="22"/>
        <v>-66429321.902575001</v>
      </c>
      <c r="EW13" s="33">
        <f t="shared" ca="1" si="22"/>
        <v>-66200911.247696251</v>
      </c>
      <c r="EX13" s="33">
        <f t="shared" ca="1" si="22"/>
        <v>-65998972.378436156</v>
      </c>
      <c r="EY13" s="33">
        <f t="shared" ca="1" si="22"/>
        <v>-65943421.113630384</v>
      </c>
      <c r="EZ13" s="33">
        <f t="shared" ca="1" si="22"/>
        <v>-65715959.522601925</v>
      </c>
      <c r="FA13" s="33">
        <f t="shared" ca="1" si="22"/>
        <v>-65498784.137878202</v>
      </c>
      <c r="FB13" s="33">
        <f t="shared" ca="1" si="22"/>
        <v>-65485911.426865622</v>
      </c>
      <c r="FC13" s="33">
        <f t="shared" ca="1" si="22"/>
        <v>-65245914.160956845</v>
      </c>
      <c r="FD13" s="33">
        <f t="shared" ca="1" si="22"/>
        <v>-65014116.785932794</v>
      </c>
      <c r="FE13" s="33">
        <f t="shared" ca="1" si="22"/>
        <v>-64999606.31953831</v>
      </c>
      <c r="FF13" s="33">
        <f t="shared" ca="1" si="22"/>
        <v>-64821312.215541422</v>
      </c>
      <c r="FG13" s="33">
        <f t="shared" ca="1" si="22"/>
        <v>-64646614.208269879</v>
      </c>
      <c r="FH13" s="33">
        <f t="shared" ca="1" si="22"/>
        <v>-64674675.778454296</v>
      </c>
      <c r="FI13" s="33">
        <f t="shared" ca="1" si="22"/>
        <v>-64443207.937916867</v>
      </c>
      <c r="FJ13" s="33">
        <f t="shared" ca="1" si="22"/>
        <v>-64238709.667662442</v>
      </c>
      <c r="FK13" s="33">
        <f t="shared" ca="1" si="22"/>
        <v>-64179478.029641755</v>
      </c>
      <c r="FL13" s="33">
        <f t="shared" ca="1" si="22"/>
        <v>-63948977.099481367</v>
      </c>
      <c r="FM13" s="33">
        <f t="shared" ca="1" si="22"/>
        <v>-63728955.801026881</v>
      </c>
      <c r="FN13" s="33">
        <f t="shared" ca="1" si="22"/>
        <v>-63713205.259169631</v>
      </c>
      <c r="FO13" s="33">
        <f t="shared" ca="1" si="22"/>
        <v>-63469932.92893824</v>
      </c>
      <c r="FP13" s="33">
        <f t="shared" ca="1" si="22"/>
        <v>-63235056.804626286</v>
      </c>
      <c r="FQ13" s="33">
        <f t="shared" ca="1" si="22"/>
        <v>-63217678.443280928</v>
      </c>
      <c r="FR13" s="33">
        <f t="shared" ca="1" si="22"/>
        <v>-63037305.101652682</v>
      </c>
      <c r="FS13" s="33">
        <f t="shared" ca="1" si="22"/>
        <v>-62860595.036578722</v>
      </c>
      <c r="FT13" s="33">
        <f t="shared" ca="1" si="22"/>
        <v>-62886621.559534848</v>
      </c>
      <c r="FU13" s="33">
        <f t="shared" ca="1" si="22"/>
        <v>-62652118.671788611</v>
      </c>
      <c r="FV13" s="33">
        <f t="shared" ca="1" si="22"/>
        <v>-62445089.181462526</v>
      </c>
      <c r="FW13" s="33">
        <f t="shared" ca="1" si="22"/>
        <v>-62382191.743972346</v>
      </c>
      <c r="FX13" s="33">
        <f t="shared" ca="1" si="22"/>
        <v>-62148673.829764038</v>
      </c>
      <c r="FY13" s="33">
        <f t="shared" ca="1" si="22"/>
        <v>-61925831.320601188</v>
      </c>
      <c r="FZ13" s="33">
        <f t="shared" ca="1" si="22"/>
        <v>-61907227.263488494</v>
      </c>
      <c r="GA13" s="33">
        <f t="shared" ca="1" si="22"/>
        <v>-61660699.362614445</v>
      </c>
      <c r="GB13" s="33">
        <f t="shared" ca="1" si="22"/>
        <v>-61422768.381694831</v>
      </c>
      <c r="GC13" s="33">
        <f t="shared" ca="1" si="22"/>
        <v>-61402548.51112131</v>
      </c>
      <c r="GD13" s="33">
        <f t="shared" ca="1" si="22"/>
        <v>-61220131.642297432</v>
      </c>
      <c r="GE13" s="33">
        <f t="shared" ca="1" si="22"/>
        <v>-61041446.024159454</v>
      </c>
      <c r="GF13" s="33">
        <f t="shared" ca="1" si="22"/>
        <v>-61065475.541640416</v>
      </c>
      <c r="GG13" s="33">
        <f t="shared" ca="1" si="22"/>
        <v>-60827963.824909322</v>
      </c>
      <c r="GH13" s="33">
        <f t="shared" ca="1" si="22"/>
        <v>-60606636.941569872</v>
      </c>
      <c r="GI13" s="33">
        <f t="shared" ref="GI13:IH13" ca="1" si="23">+GH13+GI12</f>
        <v>-60540092.465116255</v>
      </c>
      <c r="GJ13" s="33">
        <f t="shared" ca="1" si="23"/>
        <v>-60303583.998654291</v>
      </c>
      <c r="GK13" s="33">
        <f t="shared" ca="1" si="23"/>
        <v>-60077949.02530919</v>
      </c>
      <c r="GL13" s="33">
        <f t="shared" ca="1" si="23"/>
        <v>-60056519.817513391</v>
      </c>
      <c r="GM13" s="33">
        <f t="shared" ca="1" si="23"/>
        <v>-59806759.956855342</v>
      </c>
      <c r="GN13" s="33">
        <f t="shared" ca="1" si="23"/>
        <v>-59565802.216443494</v>
      </c>
      <c r="GO13" s="33">
        <f t="shared" ca="1" si="23"/>
        <v>-59542771.386613332</v>
      </c>
      <c r="GP13" s="33">
        <f t="shared" ca="1" si="23"/>
        <v>-59358350.714969538</v>
      </c>
      <c r="GQ13" s="33">
        <f t="shared" ca="1" si="23"/>
        <v>-59177730.049642265</v>
      </c>
      <c r="GR13" s="33">
        <f t="shared" ca="1" si="23"/>
        <v>-59199804.717448905</v>
      </c>
      <c r="GS13" s="33">
        <f t="shared" ca="1" si="23"/>
        <v>-58959314.694592834</v>
      </c>
      <c r="GT13" s="33">
        <f t="shared" ca="1" si="23"/>
        <v>-58747323.498452626</v>
      </c>
      <c r="GU13" s="33">
        <f t="shared" ca="1" si="23"/>
        <v>-58677155.168391511</v>
      </c>
      <c r="GV13" s="33">
        <f t="shared" ca="1" si="23"/>
        <v>-58437686.882663466</v>
      </c>
      <c r="GW13" s="33">
        <f t="shared" ca="1" si="23"/>
        <v>-58209292.455543421</v>
      </c>
      <c r="GX13" s="33">
        <f t="shared" ca="1" si="23"/>
        <v>-58185070.731674939</v>
      </c>
      <c r="GY13" s="33">
        <f t="shared" ca="1" si="23"/>
        <v>-57932106.86875663</v>
      </c>
      <c r="GZ13" s="33">
        <f t="shared" ca="1" si="23"/>
        <v>-57688154.901165843</v>
      </c>
      <c r="HA13" s="33">
        <f t="shared" ca="1" si="23"/>
        <v>-57662348.052407153</v>
      </c>
      <c r="HB13" s="33">
        <f t="shared" ca="1" si="23"/>
        <v>-57475967.524956197</v>
      </c>
      <c r="HC13" s="33">
        <f t="shared" ca="1" si="23"/>
        <v>-57293456.5266646</v>
      </c>
      <c r="HD13" s="33">
        <f t="shared" ca="1" si="23"/>
        <v>-57313622.827250719</v>
      </c>
      <c r="HE13" s="33">
        <f t="shared" ca="1" si="23"/>
        <v>-57070189.560447231</v>
      </c>
      <c r="HF13" s="33">
        <f t="shared" ca="1" si="23"/>
        <v>-56855776.51934839</v>
      </c>
      <c r="HG13" s="33">
        <f t="shared" ca="1" si="23"/>
        <v>-56782012.194492131</v>
      </c>
      <c r="HH13" s="33">
        <f t="shared" ca="1" si="23"/>
        <v>-56539619.357961856</v>
      </c>
      <c r="HI13" s="33">
        <f t="shared" ca="1" si="23"/>
        <v>-56308502.981316388</v>
      </c>
      <c r="HJ13" s="33">
        <f t="shared" ca="1" si="23"/>
        <v>-56281525.876697876</v>
      </c>
      <c r="HK13" s="33">
        <f t="shared" ca="1" si="23"/>
        <v>-56025390.555258282</v>
      </c>
      <c r="HL13" s="33">
        <f t="shared" ca="1" si="23"/>
        <v>-55778481.568824187</v>
      </c>
      <c r="HM13" s="33">
        <f t="shared" ca="1" si="23"/>
        <v>-55749938.267748103</v>
      </c>
      <c r="HN13" s="33">
        <f t="shared" ca="1" si="23"/>
        <v>-55561646.271746039</v>
      </c>
      <c r="HO13" s="33">
        <f t="shared" ca="1" si="23"/>
        <v>-55377294.079111047</v>
      </c>
      <c r="HP13" s="33">
        <f t="shared" ca="1" si="23"/>
        <v>-55395603.043242395</v>
      </c>
      <c r="HQ13" s="33">
        <f t="shared" ca="1" si="23"/>
        <v>-55149266.378875218</v>
      </c>
      <c r="HR13" s="33">
        <f t="shared" ca="1" si="23"/>
        <v>-54932476.974196747</v>
      </c>
      <c r="HS13" s="33">
        <f t="shared" ca="1" si="23"/>
        <v>-54855149.446354687</v>
      </c>
      <c r="HT13" s="33">
        <f t="shared" ca="1" si="23"/>
        <v>-54609872.107431196</v>
      </c>
      <c r="HU13" s="33">
        <f t="shared" ca="1" si="23"/>
        <v>-54376076.019273177</v>
      </c>
      <c r="HV13" s="33">
        <f t="shared" ca="1" si="23"/>
        <v>-54346385.410611115</v>
      </c>
      <c r="HW13" s="33">
        <f t="shared" ca="1" si="23"/>
        <v>-54087116.010615587</v>
      </c>
      <c r="HX13" s="33">
        <f t="shared" ca="1" si="23"/>
        <v>-53837292.140978418</v>
      </c>
      <c r="HY13" s="33">
        <f t="shared" ca="1" si="23"/>
        <v>-53806056.826609783</v>
      </c>
      <c r="HZ13" s="33">
        <f t="shared" ca="1" si="23"/>
        <v>-53615906.416418239</v>
      </c>
      <c r="IA13" s="33">
        <f t="shared" ca="1" si="23"/>
        <v>-53429766.817677721</v>
      </c>
      <c r="IB13" s="33">
        <f t="shared" ca="1" si="23"/>
        <v>-53446274.25549648</v>
      </c>
      <c r="IC13" s="33">
        <f t="shared" ca="1" si="23"/>
        <v>-53197079.079651915</v>
      </c>
      <c r="ID13" s="33">
        <f t="shared" ca="1" si="23"/>
        <v>-52965281.371992826</v>
      </c>
      <c r="IE13" s="33">
        <f t="shared" ca="1" si="23"/>
        <v>-52884428.636878192</v>
      </c>
      <c r="IF13" s="33">
        <f t="shared" ca="1" si="23"/>
        <v>-52636311.878970779</v>
      </c>
      <c r="IG13" s="33">
        <f t="shared" ca="1" si="23"/>
        <v>-52399883.301348448</v>
      </c>
      <c r="IH13" s="33">
        <f t="shared" ca="1" si="23"/>
        <v>-52367526.057794385</v>
      </c>
      <c r="II13" s="33">
        <f t="shared" ref="II13" ca="1" si="24">+IH13+II12</f>
        <v>-52106441.881114796</v>
      </c>
      <c r="IJ13" s="33">
        <f t="shared" ref="IJ13" ca="1" si="25">+II13+IJ12</f>
        <v>-51855340.212198347</v>
      </c>
      <c r="IK13" s="33">
        <f t="shared" ref="IK13" ca="1" si="26">+IJ13+IK12</f>
        <v>-51822208.886396922</v>
      </c>
      <c r="IL13" s="33">
        <f t="shared" ref="IL13" ca="1" si="27">+IK13+IL12</f>
        <v>-51630475.156784736</v>
      </c>
      <c r="IM13" s="33">
        <f t="shared" ref="IM13" ca="1" si="28">+IL13+IM12</f>
        <v>-51442098.424946345</v>
      </c>
      <c r="IN13" s="33"/>
      <c r="IO13" s="33"/>
    </row>
    <row r="15" spans="1:249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9" x14ac:dyDescent="0.3">
      <c r="B16" t="s">
        <v>947</v>
      </c>
      <c r="C16" s="30">
        <f>+SUMIFS(8:8,2:2,C15)</f>
        <v>0</v>
      </c>
      <c r="D16" s="30">
        <f ca="1">+SUMIFS(8:8,2:2,D15)</f>
        <v>2208928.8812356014</v>
      </c>
      <c r="E16" s="30">
        <f t="shared" ref="E16:M16" ca="1" si="29">+SUMIFS(8:8,2:2,E15)</f>
        <v>2991825.8719446193</v>
      </c>
      <c r="F16" s="30">
        <f t="shared" ca="1" si="29"/>
        <v>3078428.7211848274</v>
      </c>
      <c r="G16" s="30">
        <f t="shared" ca="1" si="29"/>
        <v>3176609.8408549363</v>
      </c>
      <c r="H16" s="30">
        <f t="shared" ca="1" si="29"/>
        <v>3254957.2158162124</v>
      </c>
      <c r="I16" s="30">
        <f t="shared" ca="1" si="29"/>
        <v>3335384.9540633587</v>
      </c>
      <c r="J16" s="30">
        <f t="shared" ca="1" si="29"/>
        <v>3417708.8951110998</v>
      </c>
      <c r="K16" s="30">
        <f t="shared" ca="1" si="29"/>
        <v>3512016.6913353093</v>
      </c>
      <c r="L16" s="30">
        <f t="shared" ca="1" si="29"/>
        <v>3588211.7110725134</v>
      </c>
      <c r="M16" s="30">
        <f t="shared" ca="1" si="29"/>
        <v>3689097.4915115465</v>
      </c>
      <c r="N16" s="30">
        <f ca="1">+SUMIFS(8:8,2:2,N15)</f>
        <v>3759636.8037775471</v>
      </c>
      <c r="O16" s="30">
        <f t="shared" ref="O16:W16" ca="1" si="30">+SUMIFS(8:8,2:2,O15)</f>
        <v>3842042.0982474061</v>
      </c>
      <c r="P16" s="30">
        <f t="shared" ca="1" si="30"/>
        <v>3903443.186168924</v>
      </c>
      <c r="Q16" s="30">
        <f t="shared" ca="1" si="30"/>
        <v>3976691.399790274</v>
      </c>
      <c r="R16" s="30">
        <f t="shared" ca="1" si="30"/>
        <v>4050821.4073613528</v>
      </c>
      <c r="S16" s="30">
        <f t="shared" ca="1" si="30"/>
        <v>4137618.5413075266</v>
      </c>
      <c r="T16" s="30">
        <f t="shared" ca="1" si="30"/>
        <v>4201673.166771723</v>
      </c>
      <c r="U16" s="30">
        <f t="shared" ca="1" si="30"/>
        <v>4278364.0806614384</v>
      </c>
      <c r="V16" s="30">
        <f t="shared" ca="1" si="30"/>
        <v>4355874.9435344413</v>
      </c>
      <c r="W16" s="30">
        <f t="shared" ca="1" si="30"/>
        <v>4455191.147434419</v>
      </c>
    </row>
    <row r="17" spans="1:242" x14ac:dyDescent="0.3">
      <c r="B17" t="s">
        <v>948</v>
      </c>
      <c r="C17" s="30">
        <f>+SUMIFS(9:9,2:2,C15)</f>
        <v>0</v>
      </c>
      <c r="D17" s="30">
        <f>+SUMIFS(9:9,2:2,D15)</f>
        <v>0</v>
      </c>
      <c r="E17" s="30">
        <f t="shared" ref="E17:W17" ca="1" si="31">+SUMIFS(9:9,2:2,E15)</f>
        <v>3063804.7833785689</v>
      </c>
      <c r="F17" s="30">
        <f t="shared" ca="1" si="31"/>
        <v>19163994.884957872</v>
      </c>
      <c r="G17" s="30">
        <f ca="1">+SUMIFS(9:9,2:2,G15)</f>
        <v>19085032.395703796</v>
      </c>
      <c r="H17" s="30">
        <f t="shared" ca="1" si="31"/>
        <v>18973893.972676821</v>
      </c>
      <c r="I17" s="30">
        <f t="shared" ca="1" si="31"/>
        <v>19261534.579939608</v>
      </c>
      <c r="J17" s="30">
        <f t="shared" ca="1" si="31"/>
        <v>16509120.853292689</v>
      </c>
      <c r="K17" s="30">
        <f t="shared" si="31"/>
        <v>1968566.4750797763</v>
      </c>
      <c r="L17" s="30">
        <f t="shared" si="31"/>
        <v>2002903.4693321707</v>
      </c>
      <c r="M17" s="30">
        <f t="shared" si="31"/>
        <v>2038270.5734121352</v>
      </c>
      <c r="N17" s="30">
        <f t="shared" si="31"/>
        <v>2074698.6906144999</v>
      </c>
      <c r="O17" s="30">
        <f t="shared" si="31"/>
        <v>2112219.6513329344</v>
      </c>
      <c r="P17" s="30">
        <f t="shared" si="31"/>
        <v>2150866.2408729228</v>
      </c>
      <c r="Q17" s="30">
        <f t="shared" si="31"/>
        <v>2190672.2280991105</v>
      </c>
      <c r="R17" s="30">
        <f t="shared" si="31"/>
        <v>2231672.3949420839</v>
      </c>
      <c r="S17" s="30">
        <f t="shared" si="31"/>
        <v>2273902.5667903461</v>
      </c>
      <c r="T17" s="30">
        <f t="shared" si="31"/>
        <v>2317399.6437940565</v>
      </c>
      <c r="U17" s="30">
        <f t="shared" si="31"/>
        <v>2362201.6331078783</v>
      </c>
      <c r="V17" s="30">
        <f t="shared" si="31"/>
        <v>2408347.6821011147</v>
      </c>
      <c r="W17" s="30">
        <f t="shared" si="31"/>
        <v>2467522.7547030286</v>
      </c>
    </row>
    <row r="18" spans="1:242" x14ac:dyDescent="0.3">
      <c r="B18" t="s">
        <v>924</v>
      </c>
      <c r="C18" s="33">
        <f>+C16-C17</f>
        <v>0</v>
      </c>
      <c r="D18" s="33">
        <f t="shared" ref="D18:W18" ca="1" si="32">+D16-D17</f>
        <v>2208928.8812356014</v>
      </c>
      <c r="E18" s="33">
        <f t="shared" ca="1" si="32"/>
        <v>-71978.911433949601</v>
      </c>
      <c r="F18" s="33">
        <f t="shared" ca="1" si="32"/>
        <v>-16085566.163773045</v>
      </c>
      <c r="G18" s="33">
        <f t="shared" ca="1" si="32"/>
        <v>-15908422.554848861</v>
      </c>
      <c r="H18" s="33">
        <f t="shared" ca="1" si="32"/>
        <v>-15718936.756860608</v>
      </c>
      <c r="I18" s="33">
        <f t="shared" ca="1" si="32"/>
        <v>-15926149.625876248</v>
      </c>
      <c r="J18" s="33">
        <f t="shared" ca="1" si="32"/>
        <v>-13091411.95818159</v>
      </c>
      <c r="K18" s="33">
        <f t="shared" ca="1" si="32"/>
        <v>1543450.216255533</v>
      </c>
      <c r="L18" s="33">
        <f t="shared" ca="1" si="32"/>
        <v>1585308.2417403427</v>
      </c>
      <c r="M18" s="33">
        <f t="shared" ca="1" si="32"/>
        <v>1650826.9180994113</v>
      </c>
      <c r="N18" s="33">
        <f t="shared" ca="1" si="32"/>
        <v>1684938.1131630472</v>
      </c>
      <c r="O18" s="33">
        <f t="shared" ca="1" si="32"/>
        <v>1729822.4469144717</v>
      </c>
      <c r="P18" s="33">
        <f t="shared" ca="1" si="32"/>
        <v>1752576.9452960012</v>
      </c>
      <c r="Q18" s="33">
        <f t="shared" ca="1" si="32"/>
        <v>1786019.1716911634</v>
      </c>
      <c r="R18" s="33">
        <f t="shared" ca="1" si="32"/>
        <v>1819149.012419269</v>
      </c>
      <c r="S18" s="33">
        <f t="shared" ca="1" si="32"/>
        <v>1863715.9745171806</v>
      </c>
      <c r="T18" s="33">
        <f t="shared" ca="1" si="32"/>
        <v>1884273.5229776665</v>
      </c>
      <c r="U18" s="33">
        <f t="shared" ca="1" si="32"/>
        <v>1916162.4475535601</v>
      </c>
      <c r="V18" s="33">
        <f t="shared" ca="1" si="32"/>
        <v>1947527.2614333266</v>
      </c>
      <c r="W18" s="33">
        <f t="shared" ca="1" si="32"/>
        <v>1987668.3927313904</v>
      </c>
    </row>
    <row r="19" spans="1:242" x14ac:dyDescent="0.3">
      <c r="B19" t="s">
        <v>925</v>
      </c>
      <c r="C19" s="33">
        <f>+C18</f>
        <v>0</v>
      </c>
      <c r="D19" s="33">
        <f ca="1">+D18+C19</f>
        <v>2208928.8812356014</v>
      </c>
      <c r="E19" s="33">
        <f t="shared" ref="E19:W19" ca="1" si="33">+E18+D19</f>
        <v>2136949.9698016518</v>
      </c>
      <c r="F19" s="33">
        <f t="shared" ca="1" si="33"/>
        <v>-13948616.193971394</v>
      </c>
      <c r="G19" s="33">
        <f t="shared" ca="1" si="33"/>
        <v>-29857038.748820253</v>
      </c>
      <c r="H19" s="33">
        <f t="shared" ca="1" si="33"/>
        <v>-45575975.505680859</v>
      </c>
      <c r="I19" s="33">
        <f t="shared" ca="1" si="33"/>
        <v>-61502125.131557107</v>
      </c>
      <c r="J19" s="33">
        <f t="shared" ca="1" si="33"/>
        <v>-74593537.089738697</v>
      </c>
      <c r="K19" s="33">
        <f t="shared" ca="1" si="33"/>
        <v>-73050086.873483166</v>
      </c>
      <c r="L19" s="33">
        <f t="shared" ca="1" si="33"/>
        <v>-71464778.63174282</v>
      </c>
      <c r="M19" s="33">
        <f t="shared" ca="1" si="33"/>
        <v>-69813951.713643402</v>
      </c>
      <c r="N19" s="33">
        <f t="shared" ca="1" si="33"/>
        <v>-68129013.600480348</v>
      </c>
      <c r="O19" s="33">
        <f t="shared" ca="1" si="33"/>
        <v>-66399191.153565876</v>
      </c>
      <c r="P19" s="33">
        <f t="shared" ca="1" si="33"/>
        <v>-64646614.208269872</v>
      </c>
      <c r="Q19" s="33">
        <f t="shared" ca="1" si="33"/>
        <v>-62860595.036578707</v>
      </c>
      <c r="R19" s="33">
        <f t="shared" ca="1" si="33"/>
        <v>-61041446.024159439</v>
      </c>
      <c r="S19" s="33">
        <f t="shared" ca="1" si="33"/>
        <v>-59177730.049642257</v>
      </c>
      <c r="T19" s="33">
        <f t="shared" ca="1" si="33"/>
        <v>-57293456.526664592</v>
      </c>
      <c r="U19" s="33">
        <f t="shared" ca="1" si="33"/>
        <v>-55377294.079111032</v>
      </c>
      <c r="V19" s="33">
        <f t="shared" ca="1" si="33"/>
        <v>-53429766.817677706</v>
      </c>
      <c r="W19" s="33">
        <f t="shared" ca="1" si="33"/>
        <v>-51442098.424946316</v>
      </c>
    </row>
    <row r="20" spans="1:242" x14ac:dyDescent="0.3">
      <c r="D20" s="30">
        <f ca="1">+D16/12</f>
        <v>184077.40676963344</v>
      </c>
      <c r="E20" s="30">
        <f t="shared" ref="E20:M20" ca="1" si="34">+E16/12</f>
        <v>249318.82266205162</v>
      </c>
      <c r="F20" s="30">
        <f t="shared" ca="1" si="34"/>
        <v>256535.72676540227</v>
      </c>
      <c r="G20" s="30">
        <f t="shared" ca="1" si="34"/>
        <v>264717.48673791136</v>
      </c>
      <c r="H20" s="30">
        <f t="shared" ca="1" si="34"/>
        <v>271246.43465135101</v>
      </c>
      <c r="I20" s="30">
        <f t="shared" ca="1" si="34"/>
        <v>277948.74617194658</v>
      </c>
      <c r="J20" s="30">
        <f t="shared" ca="1" si="34"/>
        <v>284809.07459259167</v>
      </c>
      <c r="K20" s="30">
        <f t="shared" ca="1" si="34"/>
        <v>292668.05761127576</v>
      </c>
      <c r="L20" s="30">
        <f t="shared" ca="1" si="34"/>
        <v>299017.64258937613</v>
      </c>
      <c r="M20" s="30">
        <f t="shared" ca="1" si="34"/>
        <v>307424.79095929553</v>
      </c>
      <c r="P20">
        <v>2025</v>
      </c>
      <c r="Q20">
        <v>2026</v>
      </c>
    </row>
    <row r="21" spans="1:242" x14ac:dyDescent="0.3">
      <c r="B21" s="44" t="s">
        <v>788</v>
      </c>
      <c r="C21" s="44" t="s">
        <v>949</v>
      </c>
      <c r="D21" s="44" t="s">
        <v>803</v>
      </c>
      <c r="E21" s="6"/>
      <c r="O21" t="s">
        <v>950</v>
      </c>
      <c r="P21" s="41">
        <f ca="1">+AVERAGE(J8:S8)/1000000</f>
        <v>0.22089288812356014</v>
      </c>
      <c r="Q21" s="41">
        <f ca="1">+AVERAGE(T8:AE8)/1000000</f>
        <v>0.24931882266205163</v>
      </c>
    </row>
    <row r="22" spans="1:242" x14ac:dyDescent="0.3">
      <c r="A22" t="s">
        <v>932</v>
      </c>
      <c r="B22" s="35">
        <f ca="1">+NPV(12%,D18,E18:H18)</f>
        <v>-28563948.479797237</v>
      </c>
      <c r="C22" s="35">
        <f ca="1">+NPV(12%,D18,E18:M18)</f>
        <v>-40827947.661632411</v>
      </c>
      <c r="D22" s="35">
        <f ca="1">+NPV(12%,D18,E18:W18)</f>
        <v>-37540314.379110545</v>
      </c>
      <c r="E22" s="35"/>
      <c r="O22" t="s">
        <v>951</v>
      </c>
      <c r="P22" s="41">
        <f>+AVERAGE(I9:S9)/1000000</f>
        <v>0</v>
      </c>
      <c r="Q22" s="41">
        <f ca="1">+AVERAGE(T9:AE9)/1000000</f>
        <v>0.25531706528154741</v>
      </c>
    </row>
    <row r="23" spans="1:242" x14ac:dyDescent="0.3">
      <c r="A23" t="s">
        <v>933</v>
      </c>
      <c r="B23" s="84">
        <f ca="1">+IRR(D18:H18)</f>
        <v>2.2122275757129124</v>
      </c>
      <c r="C23" s="84">
        <f ca="1">+IRR(D18:M18)</f>
        <v>2.2468737351854502</v>
      </c>
      <c r="D23" s="84">
        <f ca="1">+IRR(D18:W18)</f>
        <v>2.2468621990107316</v>
      </c>
      <c r="E23" s="9"/>
      <c r="O23" t="s">
        <v>952</v>
      </c>
      <c r="P23" s="41">
        <f ca="1">+P21-P22</f>
        <v>0.22089288812356014</v>
      </c>
      <c r="Q23" s="41">
        <f ca="1">+Q21-Q22</f>
        <v>-5.998242619495775E-3</v>
      </c>
    </row>
    <row r="24" spans="1:242" x14ac:dyDescent="0.3">
      <c r="A24" t="s">
        <v>953</v>
      </c>
      <c r="B24" s="33">
        <f ca="1">+SUM(D16:H16)</f>
        <v>14710750.531036196</v>
      </c>
      <c r="C24" s="33">
        <f ca="1">+SUM(D16:M16)</f>
        <v>32253170.27413002</v>
      </c>
      <c r="D24" s="33">
        <f ca="1">+SUM(D16:W16)</f>
        <v>73214527.049185067</v>
      </c>
      <c r="E24" s="9"/>
    </row>
    <row r="25" spans="1:242" x14ac:dyDescent="0.3">
      <c r="A25" t="s">
        <v>954</v>
      </c>
      <c r="B25" s="33">
        <f ca="1">+SUM(D17:H17)</f>
        <v>60286726.036717057</v>
      </c>
      <c r="C25" s="33">
        <f ca="1">+SUM(D17:M17)</f>
        <v>102067121.98777343</v>
      </c>
      <c r="D25" s="33">
        <f ca="1">+SUM(D17:W17)</f>
        <v>124656625.47413141</v>
      </c>
      <c r="E25" s="38"/>
    </row>
    <row r="26" spans="1:242" x14ac:dyDescent="0.3">
      <c r="A26" t="s">
        <v>955</v>
      </c>
      <c r="B26" s="33">
        <f ca="1">+B24-B25</f>
        <v>-45575975.505680859</v>
      </c>
      <c r="C26" s="33">
        <f ca="1">+C24-C25</f>
        <v>-69813951.713643417</v>
      </c>
      <c r="D26" s="33">
        <f ca="1">+D24-D25</f>
        <v>-51442098.424946338</v>
      </c>
    </row>
    <row r="27" spans="1:242" x14ac:dyDescent="0.3">
      <c r="A27" t="s">
        <v>956</v>
      </c>
      <c r="B27" s="85">
        <f ca="1">COUNTIFS(13:13,"&lt;0")/12</f>
        <v>17.916666666666668</v>
      </c>
      <c r="C27" s="85">
        <f ca="1">COUNTIFS(13:13,"&lt;0")/12</f>
        <v>17.916666666666668</v>
      </c>
      <c r="D27" s="85">
        <f ca="1">COUNTIFS(13:13,"&lt;0")/12</f>
        <v>17.916666666666668</v>
      </c>
    </row>
    <row r="28" spans="1:242" x14ac:dyDescent="0.3">
      <c r="A28" t="s">
        <v>818</v>
      </c>
      <c r="B28" s="35" t="e">
        <f>+#REF!</f>
        <v>#REF!</v>
      </c>
      <c r="C28" s="30" t="e">
        <f>+#REF!</f>
        <v>#REF!</v>
      </c>
      <c r="D28" s="35" t="e">
        <f>+B28</f>
        <v>#REF!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957</v>
      </c>
      <c r="B29" s="86" t="e">
        <f ca="1">+B26/B28</f>
        <v>#REF!</v>
      </c>
      <c r="C29" s="86" t="e">
        <f ca="1">+C26/C28</f>
        <v>#REF!</v>
      </c>
      <c r="D29" s="86" t="e">
        <f ca="1">+D26/D28</f>
        <v>#REF!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87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A31" t="s">
        <v>958</v>
      </c>
      <c r="B31" s="31">
        <f>+C5</f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3" spans="1:242" x14ac:dyDescent="0.3">
      <c r="C33" s="6" t="s">
        <v>906</v>
      </c>
      <c r="D33" s="6" t="s">
        <v>959</v>
      </c>
      <c r="E33" s="6" t="s">
        <v>960</v>
      </c>
      <c r="F33" s="9">
        <v>0.25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961</v>
      </c>
      <c r="C34" s="31">
        <f>+SUM(C4:BO4)</f>
        <v>119375.06785434998</v>
      </c>
      <c r="E34" s="31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783</v>
      </c>
      <c r="C35" s="31">
        <f>+C5</f>
        <v>0</v>
      </c>
      <c r="E35" s="33" t="e">
        <f>+(E37-E36)/C34</f>
        <v>#REF!</v>
      </c>
    </row>
    <row r="36" spans="1:242" x14ac:dyDescent="0.3">
      <c r="A36" t="s">
        <v>962</v>
      </c>
      <c r="C36" s="31">
        <v>0</v>
      </c>
      <c r="E36" s="31">
        <f>+C36</f>
        <v>0</v>
      </c>
    </row>
    <row r="37" spans="1:242" x14ac:dyDescent="0.3">
      <c r="A37" t="s">
        <v>963</v>
      </c>
      <c r="C37" s="31">
        <f>+(C34*C35)+C36</f>
        <v>0</v>
      </c>
      <c r="D37" s="30" t="e">
        <f>+#REF!</f>
        <v>#REF!</v>
      </c>
      <c r="E37" s="33" t="e">
        <f>+E38+E43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813</v>
      </c>
      <c r="C38" s="31" t="e">
        <f>+SUM(C39:C42)</f>
        <v>#REF!</v>
      </c>
      <c r="D38" s="30" t="e">
        <f>+SUM('Simulacion prestamo'!C12:F12)+SUM('Simulacion prestamo'!C15:F15)</f>
        <v>#REF!</v>
      </c>
      <c r="E38" s="31" t="e">
        <f>+C38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964</v>
      </c>
      <c r="C39" s="30" t="e">
        <f>+'Simulacion prestamo'!C16*'Simulacion prestamo'!B6</f>
        <v>#REF!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643</v>
      </c>
      <c r="C40" s="30">
        <f>(4*300000*5)+300000</f>
        <v>6300000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965</v>
      </c>
      <c r="C41" s="30" t="e">
        <f>+#REF!*17</f>
        <v>#REF!</v>
      </c>
    </row>
    <row r="42" spans="1:242" x14ac:dyDescent="0.3">
      <c r="A42" t="s">
        <v>644</v>
      </c>
      <c r="C42" s="30" t="e">
        <f>+#REF!*65</f>
        <v>#REF!</v>
      </c>
    </row>
    <row r="43" spans="1:242" x14ac:dyDescent="0.3">
      <c r="A43" t="s">
        <v>284</v>
      </c>
      <c r="C43" s="30" t="e">
        <f>+C37-C38</f>
        <v>#REF!</v>
      </c>
      <c r="D43" s="30" t="e">
        <f>+D37-D44-D38</f>
        <v>#REF!</v>
      </c>
      <c r="E43" s="30" t="e">
        <f>+E38*F33</f>
        <v>#REF!</v>
      </c>
      <c r="F43" s="38"/>
    </row>
    <row r="44" spans="1:242" x14ac:dyDescent="0.3">
      <c r="A44" t="s">
        <v>966</v>
      </c>
      <c r="C44" s="30" t="e">
        <f>+B28</f>
        <v>#REF!</v>
      </c>
      <c r="D44" s="33" t="e">
        <f>+C44</f>
        <v>#REF!</v>
      </c>
    </row>
    <row r="45" spans="1:242" x14ac:dyDescent="0.3">
      <c r="C45" s="38" t="e">
        <f>+C43/C38</f>
        <v>#REF!</v>
      </c>
      <c r="D45" s="38" t="e">
        <f>+D43/(D44+D38)</f>
        <v>#REF!</v>
      </c>
      <c r="G45" s="30"/>
      <c r="H45" s="30"/>
      <c r="I45" s="30"/>
      <c r="J45" s="30"/>
      <c r="K45" s="30"/>
      <c r="L45" s="30"/>
      <c r="M45" s="30"/>
    </row>
    <row r="48" spans="1:242" x14ac:dyDescent="0.3">
      <c r="B48" t="s">
        <v>967</v>
      </c>
      <c r="C48">
        <v>2024</v>
      </c>
      <c r="D48">
        <v>2025</v>
      </c>
      <c r="E48">
        <v>2026</v>
      </c>
      <c r="F48">
        <v>2027</v>
      </c>
      <c r="G48">
        <v>2028</v>
      </c>
      <c r="H48">
        <v>2029</v>
      </c>
      <c r="I48">
        <v>2030</v>
      </c>
      <c r="J48">
        <v>2031</v>
      </c>
      <c r="K48">
        <v>2032</v>
      </c>
      <c r="L48">
        <v>2033</v>
      </c>
      <c r="M48">
        <v>2034</v>
      </c>
      <c r="N48">
        <v>2035</v>
      </c>
      <c r="O48">
        <v>2036</v>
      </c>
      <c r="P48">
        <v>2037</v>
      </c>
      <c r="Q48">
        <v>2038</v>
      </c>
      <c r="R48">
        <v>2039</v>
      </c>
      <c r="S48">
        <v>2040</v>
      </c>
      <c r="T48">
        <v>2041</v>
      </c>
      <c r="U48">
        <v>2042</v>
      </c>
      <c r="V48">
        <v>2043</v>
      </c>
      <c r="W48">
        <v>2044</v>
      </c>
    </row>
    <row r="49" spans="2:23" x14ac:dyDescent="0.3">
      <c r="B49" t="s">
        <v>947</v>
      </c>
      <c r="C49" s="12">
        <f>+C16/1000000</f>
        <v>0</v>
      </c>
      <c r="D49" s="12">
        <f ca="1">+D16/1000000</f>
        <v>2.2089288812356012</v>
      </c>
      <c r="E49" s="12">
        <f t="shared" ref="E49:W49" ca="1" si="35">+E16/1000000</f>
        <v>2.9918258719446191</v>
      </c>
      <c r="F49" s="12">
        <f t="shared" ca="1" si="35"/>
        <v>3.0784287211848276</v>
      </c>
      <c r="G49" s="12">
        <f t="shared" ca="1" si="35"/>
        <v>3.1766098408549364</v>
      </c>
      <c r="H49" s="12">
        <f t="shared" ca="1" si="35"/>
        <v>3.2549572158162126</v>
      </c>
      <c r="I49" s="12">
        <f t="shared" ca="1" si="35"/>
        <v>3.3353849540633589</v>
      </c>
      <c r="J49" s="12">
        <f t="shared" ca="1" si="35"/>
        <v>3.4177088951110997</v>
      </c>
      <c r="K49" s="12">
        <f t="shared" ca="1" si="35"/>
        <v>3.5120166913353095</v>
      </c>
      <c r="L49" s="12">
        <f t="shared" ca="1" si="35"/>
        <v>3.5882117110725136</v>
      </c>
      <c r="M49" s="12">
        <f t="shared" ca="1" si="35"/>
        <v>3.6890974915115464</v>
      </c>
      <c r="N49" s="12">
        <f t="shared" ca="1" si="35"/>
        <v>3.7596368037775472</v>
      </c>
      <c r="O49" s="12">
        <f t="shared" ca="1" si="35"/>
        <v>3.8420420982474059</v>
      </c>
      <c r="P49" s="12">
        <f t="shared" ca="1" si="35"/>
        <v>3.9034431861689241</v>
      </c>
      <c r="Q49" s="12">
        <f t="shared" ca="1" si="35"/>
        <v>3.976691399790274</v>
      </c>
      <c r="R49" s="12">
        <f t="shared" ca="1" si="35"/>
        <v>4.0508214073613527</v>
      </c>
      <c r="S49" s="12">
        <f t="shared" ca="1" si="35"/>
        <v>4.1376185413075266</v>
      </c>
      <c r="T49" s="12">
        <f t="shared" ca="1" si="35"/>
        <v>4.2016731667717231</v>
      </c>
      <c r="U49" s="12">
        <f t="shared" ca="1" si="35"/>
        <v>4.2783640806614383</v>
      </c>
      <c r="V49" s="12">
        <f t="shared" ca="1" si="35"/>
        <v>4.3558749435344417</v>
      </c>
      <c r="W49" s="12">
        <f t="shared" ca="1" si="35"/>
        <v>4.4551911474344195</v>
      </c>
    </row>
    <row r="50" spans="2:23" x14ac:dyDescent="0.3">
      <c r="B50" t="s">
        <v>948</v>
      </c>
      <c r="C50" s="12">
        <f>+C17/1000000</f>
        <v>0</v>
      </c>
      <c r="D50" s="12">
        <f t="shared" ref="D50:W50" si="36">+D17/1000000</f>
        <v>0</v>
      </c>
      <c r="E50" s="12">
        <f t="shared" ca="1" si="36"/>
        <v>3.0638047833785689</v>
      </c>
      <c r="F50" s="12">
        <f t="shared" ca="1" si="36"/>
        <v>19.163994884957873</v>
      </c>
      <c r="G50" s="12">
        <f t="shared" ca="1" si="36"/>
        <v>19.085032395703795</v>
      </c>
      <c r="H50" s="12">
        <f t="shared" ca="1" si="36"/>
        <v>18.973893972676819</v>
      </c>
      <c r="I50" s="12">
        <f t="shared" ca="1" si="36"/>
        <v>19.261534579939607</v>
      </c>
      <c r="J50" s="12">
        <f t="shared" ca="1" si="36"/>
        <v>16.509120853292689</v>
      </c>
      <c r="K50" s="12">
        <f t="shared" si="36"/>
        <v>1.9685664750797762</v>
      </c>
      <c r="L50" s="12">
        <f t="shared" si="36"/>
        <v>2.0029034693321708</v>
      </c>
      <c r="M50" s="12">
        <f t="shared" si="36"/>
        <v>2.0382705734121354</v>
      </c>
      <c r="N50" s="12">
        <f t="shared" si="36"/>
        <v>2.0746986906145</v>
      </c>
      <c r="O50" s="12">
        <f t="shared" si="36"/>
        <v>2.1122196513329343</v>
      </c>
      <c r="P50" s="12">
        <f t="shared" si="36"/>
        <v>2.1508662408729227</v>
      </c>
      <c r="Q50" s="12">
        <f t="shared" si="36"/>
        <v>2.1906722280991104</v>
      </c>
      <c r="R50" s="12">
        <f t="shared" si="36"/>
        <v>2.231672394942084</v>
      </c>
      <c r="S50" s="12">
        <f t="shared" si="36"/>
        <v>2.2739025667903459</v>
      </c>
      <c r="T50" s="12">
        <f t="shared" si="36"/>
        <v>2.3173996437940563</v>
      </c>
      <c r="U50" s="12">
        <f t="shared" si="36"/>
        <v>2.3622016331078783</v>
      </c>
      <c r="V50" s="12">
        <f t="shared" si="36"/>
        <v>2.4083476821011147</v>
      </c>
      <c r="W50" s="12">
        <f t="shared" si="36"/>
        <v>2.4675227547030287</v>
      </c>
    </row>
    <row r="51" spans="2:23" x14ac:dyDescent="0.3">
      <c r="B51" t="s">
        <v>952</v>
      </c>
      <c r="C51" s="12">
        <f>+C49-C50</f>
        <v>0</v>
      </c>
      <c r="D51" s="12">
        <f t="shared" ref="D51:W51" ca="1" si="37">+D49-D50</f>
        <v>2.2089288812356012</v>
      </c>
      <c r="E51" s="12">
        <f t="shared" ca="1" si="37"/>
        <v>-7.1978911433949744E-2</v>
      </c>
      <c r="F51" s="12">
        <f t="shared" ca="1" si="37"/>
        <v>-16.085566163773045</v>
      </c>
      <c r="G51" s="12">
        <f t="shared" ca="1" si="37"/>
        <v>-15.908422554848858</v>
      </c>
      <c r="H51" s="12">
        <f t="shared" ca="1" si="37"/>
        <v>-15.718936756860607</v>
      </c>
      <c r="I51" s="12">
        <f t="shared" ca="1" si="37"/>
        <v>-15.926149625876247</v>
      </c>
      <c r="J51" s="12">
        <f t="shared" ca="1" si="37"/>
        <v>-13.09141195818159</v>
      </c>
      <c r="K51" s="12">
        <f t="shared" ca="1" si="37"/>
        <v>1.5434502162555332</v>
      </c>
      <c r="L51" s="12">
        <f t="shared" ca="1" si="37"/>
        <v>1.5853082417403428</v>
      </c>
      <c r="M51" s="12">
        <f t="shared" ca="1" si="37"/>
        <v>1.6508269180994111</v>
      </c>
      <c r="N51" s="12">
        <f t="shared" ca="1" si="37"/>
        <v>1.6849381131630472</v>
      </c>
      <c r="O51" s="12">
        <f t="shared" ca="1" si="37"/>
        <v>1.7298224469144716</v>
      </c>
      <c r="P51" s="12">
        <f t="shared" ca="1" si="37"/>
        <v>1.7525769452960014</v>
      </c>
      <c r="Q51" s="12">
        <f t="shared" ca="1" si="37"/>
        <v>1.7860191716911635</v>
      </c>
      <c r="R51" s="12">
        <f t="shared" ca="1" si="37"/>
        <v>1.8191490124192686</v>
      </c>
      <c r="S51" s="12">
        <f t="shared" ca="1" si="37"/>
        <v>1.8637159745171807</v>
      </c>
      <c r="T51" s="12">
        <f t="shared" ca="1" si="37"/>
        <v>1.8842735229776668</v>
      </c>
      <c r="U51" s="12">
        <f t="shared" ca="1" si="37"/>
        <v>1.9161624475535599</v>
      </c>
      <c r="V51" s="12">
        <f t="shared" ca="1" si="37"/>
        <v>1.947527261433327</v>
      </c>
      <c r="W51" s="12">
        <f t="shared" ca="1" si="37"/>
        <v>1.9876683927313907</v>
      </c>
    </row>
    <row r="52" spans="2:23" x14ac:dyDescent="0.3">
      <c r="B52" t="s">
        <v>923</v>
      </c>
      <c r="D52" s="12">
        <f ca="1">+D51</f>
        <v>2.2089288812356012</v>
      </c>
      <c r="E52" s="12">
        <f ca="1">+E51+D52</f>
        <v>2.1369499698016514</v>
      </c>
      <c r="F52" s="12">
        <f ca="1">+F51+E52</f>
        <v>-13.948616193971393</v>
      </c>
      <c r="G52" s="12">
        <f t="shared" ref="G52:W52" ca="1" si="38">+G51+F52</f>
        <v>-29.857038748820251</v>
      </c>
      <c r="H52" s="12">
        <f t="shared" ca="1" si="38"/>
        <v>-45.575975505680859</v>
      </c>
      <c r="I52" s="12">
        <f t="shared" ca="1" si="38"/>
        <v>-61.502125131557108</v>
      </c>
      <c r="J52" s="12">
        <f t="shared" ca="1" si="38"/>
        <v>-74.593537089738703</v>
      </c>
      <c r="K52" s="12">
        <f t="shared" ca="1" si="38"/>
        <v>-73.050086873483167</v>
      </c>
      <c r="L52" s="12">
        <f t="shared" ca="1" si="38"/>
        <v>-71.464778631742831</v>
      </c>
      <c r="M52" s="12">
        <f t="shared" ca="1" si="38"/>
        <v>-69.813951713643419</v>
      </c>
      <c r="N52" s="12">
        <f t="shared" ca="1" si="38"/>
        <v>-68.129013600480377</v>
      </c>
      <c r="O52" s="12">
        <f t="shared" ca="1" si="38"/>
        <v>-66.399191153565909</v>
      </c>
      <c r="P52" s="12">
        <f t="shared" ca="1" si="38"/>
        <v>-64.646614208269909</v>
      </c>
      <c r="Q52" s="12">
        <f t="shared" ca="1" si="38"/>
        <v>-62.860595036578744</v>
      </c>
      <c r="R52" s="12">
        <f t="shared" ca="1" si="38"/>
        <v>-61.041446024159477</v>
      </c>
      <c r="S52" s="12">
        <f t="shared" ca="1" si="38"/>
        <v>-59.177730049642292</v>
      </c>
      <c r="T52" s="12">
        <f t="shared" ca="1" si="38"/>
        <v>-57.293456526664627</v>
      </c>
      <c r="U52" s="12">
        <f t="shared" ca="1" si="38"/>
        <v>-55.377294079111067</v>
      </c>
      <c r="V52" s="12">
        <f t="shared" ca="1" si="38"/>
        <v>-53.429766817677738</v>
      </c>
      <c r="W52" s="12">
        <f t="shared" ca="1" si="38"/>
        <v>-51.442098424946344</v>
      </c>
    </row>
    <row r="53" spans="2:23" x14ac:dyDescent="0.3">
      <c r="D53" t="s">
        <v>114</v>
      </c>
      <c r="E53" t="s">
        <v>115</v>
      </c>
      <c r="F53" t="s">
        <v>116</v>
      </c>
      <c r="G53" t="s">
        <v>117</v>
      </c>
      <c r="H53" t="s">
        <v>118</v>
      </c>
      <c r="I53" t="s">
        <v>119</v>
      </c>
      <c r="J53" t="s">
        <v>120</v>
      </c>
      <c r="K53" t="s">
        <v>121</v>
      </c>
      <c r="L53" t="s">
        <v>122</v>
      </c>
      <c r="M53" t="s">
        <v>123</v>
      </c>
      <c r="N53" t="s">
        <v>124</v>
      </c>
      <c r="O53" t="s">
        <v>125</v>
      </c>
      <c r="P53" t="s">
        <v>114</v>
      </c>
      <c r="Q53" t="s">
        <v>115</v>
      </c>
    </row>
    <row r="54" spans="2:23" x14ac:dyDescent="0.3">
      <c r="C54" t="s">
        <v>947</v>
      </c>
      <c r="D54" s="3">
        <f>+H8/1000000</f>
        <v>0</v>
      </c>
      <c r="E54" s="3">
        <f t="shared" ref="E54:M54" si="39">+I8/1000000</f>
        <v>0</v>
      </c>
      <c r="F54" s="3">
        <f t="shared" ca="1" si="39"/>
        <v>0</v>
      </c>
      <c r="G54" s="3">
        <f t="shared" ca="1" si="39"/>
        <v>0.27802163459187029</v>
      </c>
      <c r="H54" s="3">
        <f t="shared" ca="1" si="39"/>
        <v>0.25255248776191769</v>
      </c>
      <c r="I54" s="3">
        <f t="shared" ca="1" si="39"/>
        <v>0.24486743625893859</v>
      </c>
      <c r="J54" s="3">
        <f t="shared" ca="1" si="39"/>
        <v>0.24613554614909222</v>
      </c>
      <c r="K54" s="3">
        <f t="shared" ca="1" si="39"/>
        <v>0.26191816683016067</v>
      </c>
      <c r="L54" s="3">
        <f t="shared" ca="1" si="39"/>
        <v>0.25807498628871056</v>
      </c>
      <c r="M54" s="3">
        <f t="shared" ca="1" si="39"/>
        <v>0.24151647068493298</v>
      </c>
      <c r="N54" s="3">
        <f ca="1">+R8/1000000</f>
        <v>0.21774471900205519</v>
      </c>
      <c r="O54" s="3">
        <f ca="1">+S8/1000000</f>
        <v>0.2080974336679233</v>
      </c>
      <c r="P54" s="3">
        <f ca="1">+T8/1000000</f>
        <v>0.21997706364712283</v>
      </c>
      <c r="Q54" s="3">
        <f t="shared" ref="P54:Q55" ca="1" si="40">+U8/1000000</f>
        <v>0.26032703479212504</v>
      </c>
    </row>
    <row r="55" spans="2:23" x14ac:dyDescent="0.3">
      <c r="C55" t="s">
        <v>948</v>
      </c>
      <c r="D55" s="3">
        <f>+H9/1000000</f>
        <v>0</v>
      </c>
      <c r="E55" s="3">
        <f t="shared" ref="E55:O55" si="41">+I9/1000000</f>
        <v>0</v>
      </c>
      <c r="F55" s="3">
        <f t="shared" si="41"/>
        <v>0</v>
      </c>
      <c r="G55" s="3">
        <f t="shared" si="41"/>
        <v>0</v>
      </c>
      <c r="H55" s="3">
        <f t="shared" si="41"/>
        <v>0</v>
      </c>
      <c r="I55" s="3">
        <f t="shared" si="41"/>
        <v>0</v>
      </c>
      <c r="J55" s="3">
        <f t="shared" si="41"/>
        <v>0</v>
      </c>
      <c r="K55" s="3">
        <f t="shared" si="41"/>
        <v>0</v>
      </c>
      <c r="L55" s="3">
        <f t="shared" si="41"/>
        <v>0</v>
      </c>
      <c r="M55" s="3">
        <f t="shared" si="41"/>
        <v>0</v>
      </c>
      <c r="N55" s="3">
        <f t="shared" si="41"/>
        <v>0</v>
      </c>
      <c r="O55" s="3">
        <f t="shared" si="41"/>
        <v>0</v>
      </c>
      <c r="P55" s="3">
        <f t="shared" si="40"/>
        <v>0</v>
      </c>
      <c r="Q55" s="3">
        <f t="shared" si="40"/>
        <v>0</v>
      </c>
    </row>
    <row r="56" spans="2:23" x14ac:dyDescent="0.3">
      <c r="C56" t="s">
        <v>952</v>
      </c>
      <c r="D56" s="3">
        <f>+D54-D55</f>
        <v>0</v>
      </c>
      <c r="E56" s="3">
        <f t="shared" ref="E56:O56" si="42">+E54-E55</f>
        <v>0</v>
      </c>
      <c r="F56" s="3">
        <f t="shared" ca="1" si="42"/>
        <v>0</v>
      </c>
      <c r="G56" s="3">
        <f t="shared" ca="1" si="42"/>
        <v>0.27802163459187029</v>
      </c>
      <c r="H56" s="3">
        <f t="shared" ca="1" si="42"/>
        <v>0.25255248776191769</v>
      </c>
      <c r="I56" s="3">
        <f t="shared" ca="1" si="42"/>
        <v>0.24486743625893859</v>
      </c>
      <c r="J56" s="3">
        <f t="shared" ca="1" si="42"/>
        <v>0.24613554614909222</v>
      </c>
      <c r="K56" s="3">
        <f t="shared" ca="1" si="42"/>
        <v>0.26191816683016067</v>
      </c>
      <c r="L56" s="3">
        <f t="shared" ca="1" si="42"/>
        <v>0.25807498628871056</v>
      </c>
      <c r="M56" s="3">
        <f t="shared" ca="1" si="42"/>
        <v>0.24151647068493298</v>
      </c>
      <c r="N56" s="3">
        <f t="shared" ca="1" si="42"/>
        <v>0.21774471900205519</v>
      </c>
      <c r="O56" s="3">
        <f t="shared" ca="1" si="42"/>
        <v>0.2080974336679233</v>
      </c>
      <c r="P56" s="3">
        <f t="shared" ref="P56:Q56" ca="1" si="43">+P54-P55</f>
        <v>0.21997706364712283</v>
      </c>
      <c r="Q56" s="3">
        <f t="shared" ca="1" si="43"/>
        <v>0.26032703479212504</v>
      </c>
    </row>
    <row r="119" spans="2:3" x14ac:dyDescent="0.3">
      <c r="B119" s="6" t="s">
        <v>968</v>
      </c>
      <c r="C119" s="44">
        <v>2025</v>
      </c>
    </row>
    <row r="120" spans="2:3" x14ac:dyDescent="0.3">
      <c r="B120" t="s">
        <v>640</v>
      </c>
      <c r="C120" s="28">
        <f>+SUM(Producción!K21:V21)/1000000</f>
        <v>0</v>
      </c>
    </row>
    <row r="121" spans="2:3" x14ac:dyDescent="0.3">
      <c r="B121" t="s">
        <v>969</v>
      </c>
      <c r="C121" s="28">
        <f>+(SUM(Producción!K22:V22)+SUM(Producción!K23:V23))/1000000</f>
        <v>0</v>
      </c>
    </row>
    <row r="122" spans="2:3" x14ac:dyDescent="0.3">
      <c r="B122" t="s">
        <v>970</v>
      </c>
      <c r="C122" s="28">
        <f>+(SUM(Producción!K24:W24)+SUM(Producción!K26:V26))/1000000</f>
        <v>0</v>
      </c>
    </row>
    <row r="1048551" spans="16384:16384" x14ac:dyDescent="0.3">
      <c r="XFD1048551" t="e" cm="1">
        <f t="array" ref="XFD1048551">solver_pre</f>
        <v>#NAME?</v>
      </c>
    </row>
    <row r="1048552" spans="16384:16384" x14ac:dyDescent="0.3">
      <c r="XFD1048552" t="e" cm="1">
        <f t="array" ref="XFD1048552">solver_scl</f>
        <v>#NAME?</v>
      </c>
    </row>
    <row r="1048553" spans="16384:16384" x14ac:dyDescent="0.3">
      <c r="XFD1048553" t="e" cm="1">
        <f t="array" ref="XFD1048553">solver_rlx</f>
        <v>#NAME?</v>
      </c>
    </row>
    <row r="1048554" spans="16384:16384" x14ac:dyDescent="0.3">
      <c r="XFD1048554" t="e" cm="1">
        <f t="array" ref="XFD1048554">solver_tol</f>
        <v>#NAME?</v>
      </c>
    </row>
    <row r="1048555" spans="16384:16384" x14ac:dyDescent="0.3">
      <c r="XFD1048555" t="e" cm="1">
        <f t="array" ref="XFD1048555">solver_cvg</f>
        <v>#NAME?</v>
      </c>
    </row>
    <row r="1048556" spans="16384:16384" x14ac:dyDescent="0.3">
      <c r="XFD1048556" t="e" cm="1">
        <f t="array" ref="XFD1048556">AREAS(solver_adj1)</f>
        <v>#NAME?</v>
      </c>
    </row>
    <row r="1048557" spans="16384:16384" x14ac:dyDescent="0.3">
      <c r="XFD1048557" t="e" cm="1">
        <f t="array" ref="XFD1048557">solver_ssz</f>
        <v>#NAME?</v>
      </c>
    </row>
    <row r="1048558" spans="16384:16384" x14ac:dyDescent="0.3">
      <c r="XFD1048558" t="e" cm="1">
        <f t="array" ref="XFD1048558">solver_rsd</f>
        <v>#NAME?</v>
      </c>
    </row>
    <row r="1048559" spans="16384:16384" x14ac:dyDescent="0.3">
      <c r="XFD1048559" t="e" cm="1">
        <f t="array" ref="XFD1048559">solver_mrt</f>
        <v>#NAME?</v>
      </c>
    </row>
    <row r="1048560" spans="16384:16384" x14ac:dyDescent="0.3">
      <c r="XFD1048560" t="e" cm="1">
        <f t="array" ref="XFD1048560">solver_mni</f>
        <v>#NAME?</v>
      </c>
    </row>
    <row r="1048561" spans="16384:16384" x14ac:dyDescent="0.3">
      <c r="XFD1048561" t="e" cm="1">
        <f t="array" ref="XFD1048561">solver_rbv</f>
        <v>#NAME?</v>
      </c>
    </row>
    <row r="1048562" spans="16384:16384" x14ac:dyDescent="0.3">
      <c r="XFD1048562" t="e" cm="1">
        <f t="array" ref="XFD1048562">solver_neg</f>
        <v>#NAME?</v>
      </c>
    </row>
    <row r="1048563" spans="16384:16384" x14ac:dyDescent="0.3">
      <c r="XFD1048563" t="e" cm="1">
        <f t="array" ref="XFD1048563">solver_ntr</f>
        <v>#NAME?</v>
      </c>
    </row>
    <row r="1048564" spans="16384:16384" x14ac:dyDescent="0.3">
      <c r="XFD1048564" t="e" cm="1">
        <f t="array" ref="XFD1048564">solver_acc</f>
        <v>#NAME?</v>
      </c>
    </row>
    <row r="1048565" spans="16384:16384" x14ac:dyDescent="0.3">
      <c r="XFD1048565" t="e" cm="1">
        <f t="array" ref="XFD1048565">solver_res</f>
        <v>#NAME?</v>
      </c>
    </row>
    <row r="1048566" spans="16384:16384" x14ac:dyDescent="0.3">
      <c r="XFD1048566" t="e" cm="1">
        <f t="array" ref="XFD1048566">solver_ars</f>
        <v>#NAME?</v>
      </c>
    </row>
    <row r="1048567" spans="16384:16384" x14ac:dyDescent="0.3">
      <c r="XFD1048567" t="e" cm="1">
        <f t="array" ref="XFD1048567">solver_sta</f>
        <v>#NAME?</v>
      </c>
    </row>
    <row r="1048568" spans="16384:16384" x14ac:dyDescent="0.3">
      <c r="XFD1048568" t="e" cm="1">
        <f t="array" ref="XFD1048568">solver_met</f>
        <v>#NAME?</v>
      </c>
    </row>
    <row r="1048569" spans="16384:16384" x14ac:dyDescent="0.3">
      <c r="XFD1048569" t="e" cm="1">
        <f t="array" ref="XFD1048569">solver_soc</f>
        <v>#NAME?</v>
      </c>
    </row>
    <row r="1048570" spans="16384:16384" x14ac:dyDescent="0.3">
      <c r="XFD1048570" t="e" cm="1">
        <f t="array" ref="XFD1048570">solver_lpt</f>
        <v>#NAME?</v>
      </c>
    </row>
    <row r="1048571" spans="16384:16384" x14ac:dyDescent="0.3">
      <c r="XFD1048571" t="e" cm="1">
        <f t="array" ref="XFD1048571">solver_lpp</f>
        <v>#NAME?</v>
      </c>
    </row>
    <row r="1048572" spans="16384:16384" x14ac:dyDescent="0.3">
      <c r="XFD1048572" t="e" cm="1">
        <f t="array" ref="XFD1048572">solver_gap</f>
        <v>#NAME?</v>
      </c>
    </row>
    <row r="1048573" spans="16384:16384" x14ac:dyDescent="0.3">
      <c r="XFD1048573" t="e" cm="1">
        <f t="array" ref="XFD1048573">solver_ips</f>
        <v>#NAME?</v>
      </c>
    </row>
    <row r="1048574" spans="16384:16384" x14ac:dyDescent="0.3">
      <c r="XFD1048574" t="e" cm="1">
        <f t="array" ref="XFD1048574">solver_fea</f>
        <v>#NAME?</v>
      </c>
    </row>
    <row r="1048575" spans="16384:16384" x14ac:dyDescent="0.3">
      <c r="XFD1048575" t="e" cm="1">
        <f t="array" ref="XFD1048575">solver_ipi</f>
        <v>#NAME?</v>
      </c>
    </row>
    <row r="1048576" spans="16384:16384" x14ac:dyDescent="0.3">
      <c r="XFD1048576" t="e" cm="1">
        <f t="array" ref="XFD1048576">solver_ipd</f>
        <v>#NAME?</v>
      </c>
    </row>
  </sheetData>
  <phoneticPr fontId="3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C4D7-D389-43E6-B063-909E3C1A44D0}">
  <dimension ref="A1:XFD1048575"/>
  <sheetViews>
    <sheetView topLeftCell="A31" zoomScale="80" zoomScaleNormal="80" workbookViewId="0">
      <selection activeCell="E53" sqref="E53"/>
    </sheetView>
  </sheetViews>
  <sheetFormatPr baseColWidth="10" defaultColWidth="11.44140625" defaultRowHeight="14.4" x14ac:dyDescent="0.3"/>
  <cols>
    <col min="1" max="1" width="46.5546875" bestFit="1" customWidth="1"/>
    <col min="2" max="2" width="15.5546875" customWidth="1"/>
    <col min="3" max="4" width="12.5546875" bestFit="1" customWidth="1"/>
    <col min="5" max="5" width="13.5546875" bestFit="1" customWidth="1"/>
    <col min="6" max="12" width="12.5546875" bestFit="1" customWidth="1"/>
    <col min="13" max="23" width="13.5546875" bestFit="1" customWidth="1"/>
    <col min="24" max="119" width="12.5546875" bestFit="1" customWidth="1"/>
    <col min="120" max="242" width="13.5546875" bestFit="1" customWidth="1"/>
    <col min="16384" max="16384" width="11.44140625" bestFit="1" customWidth="1"/>
  </cols>
  <sheetData>
    <row r="1" spans="1:242" x14ac:dyDescent="0.3">
      <c r="A1" s="6" t="s">
        <v>906</v>
      </c>
      <c r="B1" s="9"/>
    </row>
    <row r="2" spans="1:242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H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</row>
    <row r="3" spans="1:242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</row>
    <row r="4" spans="1:242" x14ac:dyDescent="0.3">
      <c r="A4" t="s">
        <v>946</v>
      </c>
      <c r="B4">
        <v>0</v>
      </c>
      <c r="C4" s="10">
        <f>+Producción!E8</f>
        <v>2195.9335397999998</v>
      </c>
      <c r="D4" s="10">
        <f>+Producción!F8</f>
        <v>2055.0388319999997</v>
      </c>
      <c r="E4" s="10">
        <f>+Producción!G8</f>
        <v>1852.7674396</v>
      </c>
      <c r="F4" s="10">
        <f>+Producción!H8</f>
        <v>1770.6796800000002</v>
      </c>
      <c r="G4" s="10">
        <f>+Producción!I8</f>
        <v>1871.7622308</v>
      </c>
      <c r="H4" s="10">
        <f>+Producción!J8</f>
        <v>2150.5786302000006</v>
      </c>
      <c r="I4" s="10">
        <f>+Producción!K8</f>
        <v>1982.6360400000001</v>
      </c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</row>
    <row r="5" spans="1:242" x14ac:dyDescent="0.3">
      <c r="A5" t="s">
        <v>907</v>
      </c>
      <c r="B5">
        <v>0</v>
      </c>
      <c r="C5" s="10">
        <f>+Tarifas!U9</f>
        <v>0</v>
      </c>
      <c r="D5" s="10">
        <f>+Tarifas!V9</f>
        <v>0</v>
      </c>
      <c r="E5" s="10">
        <f>+Tarifas!W9</f>
        <v>0</v>
      </c>
      <c r="F5" s="10">
        <f>+Tarifas!X9</f>
        <v>0</v>
      </c>
      <c r="G5" s="10">
        <f>+Tarifas!Y9</f>
        <v>0</v>
      </c>
      <c r="H5" s="10">
        <f>+Tarifas!Z9</f>
        <v>0</v>
      </c>
      <c r="I5" s="10">
        <f ca="1">+Tarifas!AA9</f>
        <v>117.76437779643383</v>
      </c>
      <c r="J5" s="10">
        <f ca="1">+Tarifas!AB9</f>
        <v>117.76437779643383</v>
      </c>
      <c r="K5" s="10">
        <f ca="1">+Tarifas!AC9</f>
        <v>117.76437779643383</v>
      </c>
      <c r="L5" s="10">
        <f ca="1">+Tarifas!AD9</f>
        <v>117.76437779643383</v>
      </c>
      <c r="M5" s="10">
        <f ca="1">+Tarifas!AE9</f>
        <v>117.76437779643383</v>
      </c>
      <c r="N5" s="10">
        <f ca="1">+Tarifas!AF9</f>
        <v>117.76437779643383</v>
      </c>
      <c r="O5" s="10">
        <f ca="1">+Tarifas!AG9</f>
        <v>117.76437779643383</v>
      </c>
      <c r="P5" s="10">
        <f ca="1">+Tarifas!AH9</f>
        <v>117.76437779643383</v>
      </c>
      <c r="Q5" s="10">
        <f ca="1">+Tarifas!AI9</f>
        <v>117.76437779643383</v>
      </c>
      <c r="R5" s="10">
        <f ca="1">+Tarifas!AJ9</f>
        <v>117.76437779643383</v>
      </c>
      <c r="S5" s="10">
        <f ca="1">+Tarifas!AK9</f>
        <v>117.76437779643383</v>
      </c>
      <c r="T5" s="10">
        <f ca="1">+Tarifas!AL9</f>
        <v>121.29730913032685</v>
      </c>
      <c r="U5" s="10">
        <f ca="1">+Tarifas!AM9</f>
        <v>121.29730913032685</v>
      </c>
      <c r="V5" s="10">
        <f ca="1">+Tarifas!AN9</f>
        <v>121.29730913032685</v>
      </c>
      <c r="W5" s="10">
        <f ca="1">+Tarifas!AO9</f>
        <v>121.29730913032685</v>
      </c>
      <c r="X5" s="10">
        <f ca="1">+Tarifas!AP9</f>
        <v>121.29730913032685</v>
      </c>
      <c r="Y5" s="10">
        <f ca="1">+Tarifas!AQ9</f>
        <v>121.29730913032685</v>
      </c>
      <c r="Z5" s="10">
        <f ca="1">+Tarifas!AR9</f>
        <v>121.29730913032685</v>
      </c>
      <c r="AA5" s="10">
        <f ca="1">+Tarifas!AS9</f>
        <v>121.29730913032685</v>
      </c>
      <c r="AB5" s="10">
        <f ca="1">+Tarifas!AT9</f>
        <v>121.29730913032685</v>
      </c>
      <c r="AC5" s="10">
        <f ca="1">+Tarifas!AU9</f>
        <v>121.29730913032685</v>
      </c>
      <c r="AD5" s="10">
        <f ca="1">+Tarifas!AV9</f>
        <v>121.29730913032685</v>
      </c>
      <c r="AE5" s="10">
        <f ca="1">+Tarifas!AW9</f>
        <v>121.29730913032685</v>
      </c>
      <c r="AF5" s="10">
        <f ca="1">+Tarifas!AX9</f>
        <v>124.93622840423666</v>
      </c>
      <c r="AG5" s="10">
        <f ca="1">+Tarifas!AY9</f>
        <v>124.93622840423666</v>
      </c>
      <c r="AH5" s="10">
        <f ca="1">+Tarifas!AZ9</f>
        <v>124.93622840423666</v>
      </c>
      <c r="AI5" s="10">
        <f ca="1">+Tarifas!BA9</f>
        <v>124.93622840423666</v>
      </c>
      <c r="AJ5" s="10">
        <f ca="1">+Tarifas!BB9</f>
        <v>124.93622840423666</v>
      </c>
      <c r="AK5" s="10">
        <f ca="1">+Tarifas!BC9</f>
        <v>124.93622840423666</v>
      </c>
      <c r="AL5" s="10">
        <f ca="1">+Tarifas!BD9</f>
        <v>124.93622840423666</v>
      </c>
      <c r="AM5" s="10">
        <f ca="1">+Tarifas!BE9</f>
        <v>124.93622840423666</v>
      </c>
      <c r="AN5" s="10">
        <f ca="1">+Tarifas!BF9</f>
        <v>124.93622840423666</v>
      </c>
      <c r="AO5" s="10">
        <f ca="1">+Tarifas!BG9</f>
        <v>124.93622840423666</v>
      </c>
      <c r="AP5" s="10">
        <f ca="1">+Tarifas!BH9</f>
        <v>124.93622840423666</v>
      </c>
      <c r="AQ5" s="10">
        <f ca="1">+Tarifas!BI9</f>
        <v>124.93622840423666</v>
      </c>
      <c r="AR5" s="10">
        <f ca="1">+Tarifas!BJ9</f>
        <v>128.68431525636376</v>
      </c>
      <c r="AS5" s="10">
        <f ca="1">+Tarifas!BK9</f>
        <v>128.68431525636376</v>
      </c>
      <c r="AT5" s="10">
        <f ca="1">+Tarifas!BL9</f>
        <v>128.68431525636376</v>
      </c>
      <c r="AU5" s="10">
        <f ca="1">+Tarifas!BM9</f>
        <v>128.68431525636376</v>
      </c>
      <c r="AV5" s="10">
        <f ca="1">+Tarifas!BN9</f>
        <v>128.68431525636376</v>
      </c>
      <c r="AW5" s="10">
        <f ca="1">+Tarifas!BO9</f>
        <v>128.68431525636376</v>
      </c>
      <c r="AX5" s="10">
        <f ca="1">+Tarifas!BP9</f>
        <v>128.68431525636376</v>
      </c>
      <c r="AY5" s="10">
        <f ca="1">+Tarifas!BQ9</f>
        <v>128.68431525636376</v>
      </c>
      <c r="AZ5" s="10">
        <f ca="1">+Tarifas!BR9</f>
        <v>128.68431525636376</v>
      </c>
      <c r="BA5" s="10">
        <f ca="1">+Tarifas!BS9</f>
        <v>128.68431525636376</v>
      </c>
      <c r="BB5" s="10">
        <f ca="1">+Tarifas!BT9</f>
        <v>128.68431525636376</v>
      </c>
      <c r="BC5" s="10">
        <f ca="1">+Tarifas!BU9</f>
        <v>128.68431525636376</v>
      </c>
      <c r="BD5" s="10">
        <f ca="1">+Tarifas!BV9</f>
        <v>132.54484471405468</v>
      </c>
      <c r="BE5" s="10">
        <f ca="1">+Tarifas!BW9</f>
        <v>132.54484471405468</v>
      </c>
      <c r="BF5" s="10">
        <f ca="1">+Tarifas!BX9</f>
        <v>132.54484471405468</v>
      </c>
      <c r="BG5" s="10">
        <f ca="1">+Tarifas!BY9</f>
        <v>132.54484471405468</v>
      </c>
      <c r="BH5" s="10">
        <f ca="1">+Tarifas!BZ9</f>
        <v>132.54484471405468</v>
      </c>
      <c r="BI5" s="10">
        <f ca="1">+Tarifas!CA9</f>
        <v>132.54484471405468</v>
      </c>
      <c r="BJ5" s="10">
        <f ca="1">+Tarifas!CB9</f>
        <v>132.54484471405468</v>
      </c>
      <c r="BK5" s="10">
        <f ca="1">+Tarifas!CC9</f>
        <v>132.54484471405468</v>
      </c>
      <c r="BL5" s="10">
        <f ca="1">+Tarifas!CD9</f>
        <v>132.54484471405468</v>
      </c>
      <c r="BM5" s="10">
        <f ca="1">+Tarifas!CE9</f>
        <v>132.54484471405468</v>
      </c>
      <c r="BN5" s="10">
        <f ca="1">+Tarifas!CF9</f>
        <v>132.54484471405468</v>
      </c>
      <c r="BO5" s="10">
        <f ca="1">+Tarifas!CG9</f>
        <v>132.54484471405468</v>
      </c>
      <c r="BP5" s="10">
        <f ca="1">+Tarifas!CH9</f>
        <v>136.52119005547632</v>
      </c>
      <c r="BQ5" s="10">
        <f ca="1">+Tarifas!CI9</f>
        <v>136.52119005547632</v>
      </c>
      <c r="BR5" s="10">
        <f ca="1">+Tarifas!CJ9</f>
        <v>136.52119005547632</v>
      </c>
      <c r="BS5" s="10">
        <f ca="1">+Tarifas!CK9</f>
        <v>136.52119005547632</v>
      </c>
      <c r="BT5" s="10">
        <f ca="1">+Tarifas!CL9</f>
        <v>136.52119005547632</v>
      </c>
      <c r="BU5" s="10">
        <f ca="1">+Tarifas!CM9</f>
        <v>136.52119005547632</v>
      </c>
      <c r="BV5" s="10">
        <f ca="1">+Tarifas!CN9</f>
        <v>136.52119005547632</v>
      </c>
      <c r="BW5" s="10">
        <f ca="1">+Tarifas!CO9</f>
        <v>136.52119005547632</v>
      </c>
      <c r="BX5" s="10">
        <f ca="1">+Tarifas!CP9</f>
        <v>136.52119005547632</v>
      </c>
      <c r="BY5" s="10">
        <f ca="1">+Tarifas!CQ9</f>
        <v>136.52119005547632</v>
      </c>
      <c r="BZ5" s="10">
        <f ca="1">+Tarifas!CR9</f>
        <v>136.52119005547632</v>
      </c>
      <c r="CA5" s="10">
        <f ca="1">+Tarifas!CS9</f>
        <v>136.52119005547632</v>
      </c>
      <c r="CB5" s="10">
        <f ca="1">+Tarifas!CT9</f>
        <v>140.61682575714062</v>
      </c>
      <c r="CC5" s="10">
        <f ca="1">+Tarifas!CU9</f>
        <v>140.61682575714062</v>
      </c>
      <c r="CD5" s="10">
        <f ca="1">+Tarifas!CV9</f>
        <v>140.61682575714062</v>
      </c>
      <c r="CE5" s="10">
        <f ca="1">+Tarifas!CW9</f>
        <v>140.61682575714062</v>
      </c>
      <c r="CF5" s="10">
        <f ca="1">+Tarifas!CX9</f>
        <v>140.61682575714062</v>
      </c>
      <c r="CG5" s="10">
        <f ca="1">+Tarifas!CY9</f>
        <v>140.61682575714062</v>
      </c>
      <c r="CH5" s="10">
        <f ca="1">+Tarifas!CZ9</f>
        <v>140.61682575714062</v>
      </c>
      <c r="CI5" s="10">
        <f ca="1">+Tarifas!DA9</f>
        <v>140.61682575714062</v>
      </c>
      <c r="CJ5" s="10">
        <f ca="1">+Tarifas!DB9</f>
        <v>140.61682575714062</v>
      </c>
      <c r="CK5" s="10">
        <f ca="1">+Tarifas!DC9</f>
        <v>140.61682575714062</v>
      </c>
      <c r="CL5" s="10">
        <f ca="1">+Tarifas!DD9</f>
        <v>140.61682575714062</v>
      </c>
      <c r="CM5" s="10">
        <f ca="1">+Tarifas!DE9</f>
        <v>140.61682575714062</v>
      </c>
      <c r="CN5" s="10">
        <f ca="1">+Tarifas!DF9</f>
        <v>144.83533052985484</v>
      </c>
      <c r="CO5" s="10">
        <f ca="1">+Tarifas!DG9</f>
        <v>144.83533052985484</v>
      </c>
      <c r="CP5" s="10">
        <f ca="1">+Tarifas!DH9</f>
        <v>144.83533052985484</v>
      </c>
      <c r="CQ5" s="10">
        <f ca="1">+Tarifas!DI9</f>
        <v>144.83533052985484</v>
      </c>
      <c r="CR5" s="10">
        <f ca="1">+Tarifas!DJ9</f>
        <v>144.83533052985484</v>
      </c>
      <c r="CS5" s="10">
        <f ca="1">+Tarifas!DK9</f>
        <v>144.83533052985484</v>
      </c>
      <c r="CT5" s="10">
        <f ca="1">+Tarifas!DL9</f>
        <v>144.83533052985484</v>
      </c>
      <c r="CU5" s="10">
        <f ca="1">+Tarifas!DM9</f>
        <v>144.83533052985484</v>
      </c>
      <c r="CV5" s="10">
        <f ca="1">+Tarifas!DN9</f>
        <v>144.83533052985484</v>
      </c>
      <c r="CW5" s="10">
        <f ca="1">+Tarifas!DO9</f>
        <v>144.83533052985484</v>
      </c>
      <c r="CX5" s="10">
        <f ca="1">+Tarifas!DP9</f>
        <v>144.83533052985484</v>
      </c>
      <c r="CY5" s="10">
        <f ca="1">+Tarifas!DQ9</f>
        <v>144.83533052985484</v>
      </c>
      <c r="CZ5" s="10">
        <f ca="1">+Tarifas!DR9</f>
        <v>149.1803904457505</v>
      </c>
      <c r="DA5" s="10">
        <f ca="1">+Tarifas!DS9</f>
        <v>149.1803904457505</v>
      </c>
      <c r="DB5" s="10">
        <f ca="1">+Tarifas!DT9</f>
        <v>149.1803904457505</v>
      </c>
      <c r="DC5" s="10">
        <f ca="1">+Tarifas!DU9</f>
        <v>149.1803904457505</v>
      </c>
      <c r="DD5" s="10">
        <f ca="1">+Tarifas!DV9</f>
        <v>149.1803904457505</v>
      </c>
      <c r="DE5" s="10">
        <f ca="1">+Tarifas!DW9</f>
        <v>149.1803904457505</v>
      </c>
      <c r="DF5" s="10">
        <f ca="1">+Tarifas!DX9</f>
        <v>149.1803904457505</v>
      </c>
      <c r="DG5" s="10">
        <f ca="1">+Tarifas!DY9</f>
        <v>149.1803904457505</v>
      </c>
      <c r="DH5" s="10">
        <f ca="1">+Tarifas!DZ9</f>
        <v>149.1803904457505</v>
      </c>
      <c r="DI5" s="10">
        <f ca="1">+Tarifas!EA9</f>
        <v>149.1803904457505</v>
      </c>
      <c r="DJ5" s="10">
        <f ca="1">+Tarifas!EB9</f>
        <v>149.1803904457505</v>
      </c>
      <c r="DK5" s="10">
        <f ca="1">+Tarifas!EC9</f>
        <v>149.1803904457505</v>
      </c>
      <c r="DL5" s="10">
        <f ca="1">+Tarifas!ED9</f>
        <v>153.65580215912303</v>
      </c>
      <c r="DM5" s="10">
        <f ca="1">+Tarifas!EE9</f>
        <v>153.65580215912303</v>
      </c>
      <c r="DN5" s="10">
        <f ca="1">+Tarifas!EF9</f>
        <v>153.65580215912303</v>
      </c>
      <c r="DO5" s="10">
        <f ca="1">+Tarifas!EG9</f>
        <v>153.65580215912303</v>
      </c>
      <c r="DP5" s="10">
        <f ca="1">+Tarifas!EH9</f>
        <v>153.65580215912303</v>
      </c>
      <c r="DQ5" s="10">
        <f ca="1">+Tarifas!EI9</f>
        <v>153.65580215912303</v>
      </c>
      <c r="DR5" s="10">
        <f ca="1">+Tarifas!EJ9</f>
        <v>153.65580215912303</v>
      </c>
      <c r="DS5" s="10">
        <f ca="1">+Tarifas!EK9</f>
        <v>153.65580215912303</v>
      </c>
      <c r="DT5" s="10">
        <f ca="1">+Tarifas!EL9</f>
        <v>153.65580215912303</v>
      </c>
      <c r="DU5" s="10">
        <f ca="1">+Tarifas!EM9</f>
        <v>153.65580215912303</v>
      </c>
      <c r="DV5" s="10">
        <f ca="1">+Tarifas!EN9</f>
        <v>153.65580215912303</v>
      </c>
      <c r="DW5" s="10">
        <f ca="1">+Tarifas!EO9</f>
        <v>153.65580215912303</v>
      </c>
      <c r="DX5" s="10">
        <f ca="1">+Tarifas!EP9</f>
        <v>158.26547622389671</v>
      </c>
      <c r="DY5" s="10">
        <f ca="1">+Tarifas!EQ9</f>
        <v>158.26547622389671</v>
      </c>
      <c r="DZ5" s="10">
        <f ca="1">+Tarifas!ER9</f>
        <v>158.26547622389671</v>
      </c>
      <c r="EA5" s="10">
        <f ca="1">+Tarifas!ES9</f>
        <v>158.26547622389671</v>
      </c>
      <c r="EB5" s="10">
        <f ca="1">+Tarifas!ET9</f>
        <v>158.26547622389671</v>
      </c>
      <c r="EC5" s="10">
        <f ca="1">+Tarifas!EU9</f>
        <v>158.26547622389671</v>
      </c>
      <c r="ED5" s="10">
        <f ca="1">+Tarifas!EV9</f>
        <v>158.26547622389671</v>
      </c>
      <c r="EE5" s="10">
        <f ca="1">+Tarifas!EW9</f>
        <v>158.26547622389671</v>
      </c>
      <c r="EF5" s="10">
        <f ca="1">+Tarifas!EX9</f>
        <v>158.26547622389671</v>
      </c>
      <c r="EG5" s="10">
        <f ca="1">+Tarifas!EY9</f>
        <v>158.26547622389671</v>
      </c>
      <c r="EH5" s="10">
        <f ca="1">+Tarifas!EZ9</f>
        <v>158.26547622389671</v>
      </c>
      <c r="EI5" s="10">
        <f ca="1">+Tarifas!FA9</f>
        <v>158.26547622389671</v>
      </c>
      <c r="EJ5" s="10">
        <f ca="1">+Tarifas!FB9</f>
        <v>163.01344051061361</v>
      </c>
      <c r="EK5" s="10">
        <f ca="1">+Tarifas!FC9</f>
        <v>163.01344051061361</v>
      </c>
      <c r="EL5" s="10">
        <f ca="1">+Tarifas!FD9</f>
        <v>163.01344051061361</v>
      </c>
      <c r="EM5" s="10">
        <f ca="1">+Tarifas!FE9</f>
        <v>163.01344051061361</v>
      </c>
      <c r="EN5" s="10">
        <f ca="1">+Tarifas!FF9</f>
        <v>163.01344051061361</v>
      </c>
      <c r="EO5" s="10">
        <f ca="1">+Tarifas!FG9</f>
        <v>163.01344051061361</v>
      </c>
      <c r="EP5" s="10">
        <f ca="1">+Tarifas!FH9</f>
        <v>163.01344051061361</v>
      </c>
      <c r="EQ5" s="10">
        <f ca="1">+Tarifas!FI9</f>
        <v>163.01344051061361</v>
      </c>
      <c r="ER5" s="10">
        <f ca="1">+Tarifas!FJ9</f>
        <v>163.01344051061361</v>
      </c>
      <c r="ES5" s="10">
        <f ca="1">+Tarifas!FK9</f>
        <v>163.01344051061361</v>
      </c>
      <c r="ET5" s="10">
        <f ca="1">+Tarifas!FL9</f>
        <v>163.01344051061361</v>
      </c>
      <c r="EU5" s="10">
        <f ca="1">+Tarifas!FM9</f>
        <v>163.01344051061361</v>
      </c>
      <c r="EV5" s="10">
        <f ca="1">+Tarifas!FN9</f>
        <v>167.90384372593201</v>
      </c>
      <c r="EW5" s="10">
        <f ca="1">+Tarifas!FO9</f>
        <v>167.90384372593201</v>
      </c>
      <c r="EX5" s="10">
        <f ca="1">+Tarifas!FP9</f>
        <v>167.90384372593201</v>
      </c>
      <c r="EY5" s="10">
        <f ca="1">+Tarifas!FQ9</f>
        <v>167.90384372593201</v>
      </c>
      <c r="EZ5" s="10">
        <f ca="1">+Tarifas!FR9</f>
        <v>167.90384372593201</v>
      </c>
      <c r="FA5" s="10">
        <f ca="1">+Tarifas!FS9</f>
        <v>167.90384372593201</v>
      </c>
      <c r="FB5" s="10">
        <f ca="1">+Tarifas!FT9</f>
        <v>167.90384372593201</v>
      </c>
      <c r="FC5" s="10">
        <f ca="1">+Tarifas!FU9</f>
        <v>167.90384372593201</v>
      </c>
      <c r="FD5" s="10">
        <f ca="1">+Tarifas!FV9</f>
        <v>167.90384372593201</v>
      </c>
      <c r="FE5" s="10">
        <f ca="1">+Tarifas!FW9</f>
        <v>167.90384372593201</v>
      </c>
      <c r="FF5" s="10">
        <f ca="1">+Tarifas!FX9</f>
        <v>167.90384372593201</v>
      </c>
      <c r="FG5" s="10">
        <f ca="1">+Tarifas!FY9</f>
        <v>167.90384372593201</v>
      </c>
      <c r="FH5" s="10">
        <f ca="1">+Tarifas!FZ9</f>
        <v>172.94095903770997</v>
      </c>
      <c r="FI5" s="10">
        <f ca="1">+Tarifas!GA9</f>
        <v>172.94095903770997</v>
      </c>
      <c r="FJ5" s="10">
        <f ca="1">+Tarifas!GB9</f>
        <v>172.94095903770997</v>
      </c>
      <c r="FK5" s="10">
        <f ca="1">+Tarifas!GC9</f>
        <v>172.94095903770997</v>
      </c>
      <c r="FL5" s="10">
        <f ca="1">+Tarifas!GD9</f>
        <v>172.94095903770997</v>
      </c>
      <c r="FM5" s="10">
        <f ca="1">+Tarifas!GE9</f>
        <v>172.94095903770997</v>
      </c>
      <c r="FN5" s="10">
        <f ca="1">+Tarifas!GF9</f>
        <v>172.94095903770997</v>
      </c>
      <c r="FO5" s="10">
        <f ca="1">+Tarifas!GG9</f>
        <v>172.94095903770997</v>
      </c>
      <c r="FP5" s="10">
        <f ca="1">+Tarifas!GH9</f>
        <v>172.94095903770997</v>
      </c>
      <c r="FQ5" s="10">
        <f ca="1">+Tarifas!GI9</f>
        <v>172.94095903770997</v>
      </c>
      <c r="FR5" s="10">
        <f ca="1">+Tarifas!GJ9</f>
        <v>172.94095903770997</v>
      </c>
      <c r="FS5" s="10">
        <f ca="1">+Tarifas!GK9</f>
        <v>172.94095903770997</v>
      </c>
      <c r="FT5" s="10">
        <f ca="1">+Tarifas!GL9</f>
        <v>178.12918780884127</v>
      </c>
      <c r="FU5" s="10">
        <f ca="1">+Tarifas!GM9</f>
        <v>178.12918780884127</v>
      </c>
      <c r="FV5" s="10">
        <f ca="1">+Tarifas!GN9</f>
        <v>178.12918780884127</v>
      </c>
      <c r="FW5" s="10">
        <f ca="1">+Tarifas!GO9</f>
        <v>178.12918780884127</v>
      </c>
      <c r="FX5" s="10">
        <f ca="1">+Tarifas!GP9</f>
        <v>178.12918780884127</v>
      </c>
      <c r="FY5" s="10">
        <f ca="1">+Tarifas!GQ9</f>
        <v>178.12918780884127</v>
      </c>
      <c r="FZ5" s="10">
        <f ca="1">+Tarifas!GR9</f>
        <v>178.12918780884127</v>
      </c>
      <c r="GA5" s="10">
        <f ca="1">+Tarifas!GS9</f>
        <v>178.12918780884127</v>
      </c>
      <c r="GB5" s="10">
        <f ca="1">+Tarifas!GT9</f>
        <v>178.12918780884127</v>
      </c>
      <c r="GC5" s="10">
        <f ca="1">+Tarifas!GU9</f>
        <v>178.12918780884127</v>
      </c>
      <c r="GD5" s="10">
        <f ca="1">+Tarifas!GV9</f>
        <v>178.12918780884127</v>
      </c>
      <c r="GE5" s="10">
        <f ca="1">+Tarifas!GW9</f>
        <v>178.12918780884127</v>
      </c>
      <c r="GF5" s="10">
        <f ca="1">+Tarifas!GX9</f>
        <v>183.4730634431065</v>
      </c>
      <c r="GG5" s="10">
        <f ca="1">+Tarifas!GY9</f>
        <v>183.4730634431065</v>
      </c>
      <c r="GH5" s="10">
        <f ca="1">+Tarifas!GZ9</f>
        <v>183.4730634431065</v>
      </c>
      <c r="GI5" s="10">
        <f ca="1">+Tarifas!HA9</f>
        <v>183.4730634431065</v>
      </c>
      <c r="GJ5" s="10">
        <f ca="1">+Tarifas!HB9</f>
        <v>183.4730634431065</v>
      </c>
      <c r="GK5" s="10">
        <f ca="1">+Tarifas!HC9</f>
        <v>183.4730634431065</v>
      </c>
      <c r="GL5" s="10">
        <f ca="1">+Tarifas!HD9</f>
        <v>183.4730634431065</v>
      </c>
      <c r="GM5" s="10">
        <f ca="1">+Tarifas!HE9</f>
        <v>183.4730634431065</v>
      </c>
      <c r="GN5" s="10">
        <f ca="1">+Tarifas!HF9</f>
        <v>183.4730634431065</v>
      </c>
      <c r="GO5" s="10">
        <f ca="1">+Tarifas!HG9</f>
        <v>183.4730634431065</v>
      </c>
      <c r="GP5" s="10">
        <f ca="1">+Tarifas!HH9</f>
        <v>183.4730634431065</v>
      </c>
      <c r="GQ5" s="10">
        <f ca="1">+Tarifas!HI9</f>
        <v>183.4730634431065</v>
      </c>
      <c r="GR5" s="10">
        <f ca="1">+Tarifas!HJ9</f>
        <v>188.97725534639969</v>
      </c>
      <c r="GS5" s="10">
        <f ca="1">+Tarifas!HK9</f>
        <v>188.97725534639969</v>
      </c>
      <c r="GT5" s="10">
        <f ca="1">+Tarifas!HL9</f>
        <v>188.97725534639969</v>
      </c>
      <c r="GU5" s="10">
        <f ca="1">+Tarifas!HM9</f>
        <v>188.97725534639969</v>
      </c>
      <c r="GV5" s="10">
        <f ca="1">+Tarifas!HN9</f>
        <v>188.97725534639969</v>
      </c>
      <c r="GW5" s="10">
        <f ca="1">+Tarifas!HO9</f>
        <v>188.97725534639969</v>
      </c>
      <c r="GX5" s="10">
        <f ca="1">+Tarifas!HP9</f>
        <v>188.97725534639969</v>
      </c>
      <c r="GY5" s="10">
        <f ca="1">+Tarifas!HQ9</f>
        <v>188.97725534639969</v>
      </c>
      <c r="GZ5" s="10">
        <f ca="1">+Tarifas!HR9</f>
        <v>188.97725534639969</v>
      </c>
      <c r="HA5" s="10">
        <f ca="1">+Tarifas!HS9</f>
        <v>188.97725534639969</v>
      </c>
      <c r="HB5" s="10">
        <f ca="1">+Tarifas!HT9</f>
        <v>188.97725534639969</v>
      </c>
      <c r="HC5" s="10">
        <f ca="1">+Tarifas!HU9</f>
        <v>188.97725534639969</v>
      </c>
      <c r="HD5" s="10">
        <f ca="1">+Tarifas!HV9</f>
        <v>194.64657300679167</v>
      </c>
      <c r="HE5" s="10">
        <f ca="1">+Tarifas!HW9</f>
        <v>194.64657300679167</v>
      </c>
      <c r="HF5" s="10">
        <f ca="1">+Tarifas!HX9</f>
        <v>194.64657300679167</v>
      </c>
      <c r="HG5" s="10">
        <f ca="1">+Tarifas!HY9</f>
        <v>194.64657300679167</v>
      </c>
      <c r="HH5" s="10">
        <f ca="1">+Tarifas!HZ9</f>
        <v>194.64657300679167</v>
      </c>
      <c r="HI5" s="10">
        <f ca="1">+Tarifas!IA9</f>
        <v>194.64657300679167</v>
      </c>
      <c r="HJ5" s="10">
        <f ca="1">+Tarifas!IB9</f>
        <v>194.64657300679167</v>
      </c>
      <c r="HK5" s="10">
        <f ca="1">+Tarifas!IC9</f>
        <v>194.64657300679167</v>
      </c>
      <c r="HL5" s="10">
        <f ca="1">+Tarifas!ID9</f>
        <v>194.64657300679167</v>
      </c>
      <c r="HM5" s="10">
        <f ca="1">+Tarifas!IE9</f>
        <v>194.64657300679167</v>
      </c>
      <c r="HN5" s="10">
        <f ca="1">+Tarifas!IF9</f>
        <v>194.64657300679167</v>
      </c>
      <c r="HO5" s="10">
        <f ca="1">+Tarifas!IG9</f>
        <v>194.64657300679167</v>
      </c>
      <c r="HP5" s="10">
        <f ca="1">+Tarifas!IH9</f>
        <v>200.48597019699542</v>
      </c>
      <c r="HQ5" s="10">
        <f ca="1">+Tarifas!II9</f>
        <v>200.48597019699542</v>
      </c>
      <c r="HR5" s="10">
        <f ca="1">+Tarifas!IJ9</f>
        <v>200.48597019699542</v>
      </c>
      <c r="HS5" s="10">
        <f ca="1">+Tarifas!IK9</f>
        <v>200.48597019699542</v>
      </c>
      <c r="HT5" s="10">
        <f ca="1">+Tarifas!IL9</f>
        <v>200.48597019699542</v>
      </c>
      <c r="HU5" s="10">
        <f ca="1">+Tarifas!IM9</f>
        <v>200.48597019699542</v>
      </c>
      <c r="HV5" s="10">
        <f ca="1">+Tarifas!IN9</f>
        <v>200.48597019699542</v>
      </c>
      <c r="HW5" s="10">
        <f ca="1">+Tarifas!IO9</f>
        <v>200.48597019699542</v>
      </c>
      <c r="HX5" s="10">
        <f ca="1">+Tarifas!IP9</f>
        <v>200.48597019699542</v>
      </c>
      <c r="HY5" s="10">
        <f ca="1">+Tarifas!IQ9</f>
        <v>200.48597019699542</v>
      </c>
      <c r="HZ5" s="10">
        <f ca="1">+Tarifas!IR9</f>
        <v>200.48597019699542</v>
      </c>
      <c r="IA5" s="10">
        <f ca="1">+Tarifas!IS9</f>
        <v>200.48597019699542</v>
      </c>
      <c r="IB5" s="10">
        <f ca="1">+Tarifas!IT9</f>
        <v>206.50054930290528</v>
      </c>
      <c r="IC5" s="10">
        <f ca="1">+Tarifas!IU9</f>
        <v>206.50054930290528</v>
      </c>
      <c r="ID5" s="10">
        <f ca="1">+Tarifas!IV9</f>
        <v>206.50054930290528</v>
      </c>
      <c r="IE5" s="10">
        <f ca="1">+Tarifas!IW9</f>
        <v>206.50054930290528</v>
      </c>
      <c r="IF5" s="10">
        <f ca="1">+Tarifas!IX9</f>
        <v>206.50054930290528</v>
      </c>
      <c r="IG5" s="10">
        <f ca="1">+Tarifas!IY9</f>
        <v>206.50054930290528</v>
      </c>
      <c r="IH5" s="10">
        <f ca="1">+Tarifas!IZ9</f>
        <v>206.50054930290528</v>
      </c>
    </row>
    <row r="6" spans="1:242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2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si="4"/>
        <v>0</v>
      </c>
      <c r="J8" s="33">
        <f t="shared" ca="1" si="4"/>
        <v>233483.89964738552</v>
      </c>
      <c r="K8" s="33">
        <f t="shared" ca="1" si="4"/>
        <v>278021.6345918703</v>
      </c>
      <c r="L8" s="33">
        <f t="shared" ca="1" si="4"/>
        <v>252552.48776191767</v>
      </c>
      <c r="M8" s="33">
        <f t="shared" ca="1" si="4"/>
        <v>244867.4362589386</v>
      </c>
      <c r="N8" s="33">
        <f t="shared" ca="1" si="4"/>
        <v>246135.54614909223</v>
      </c>
      <c r="O8" s="33">
        <f t="shared" ca="1" si="4"/>
        <v>261918.16683016066</v>
      </c>
      <c r="P8" s="33">
        <f t="shared" ca="1" si="4"/>
        <v>258074.98628871058</v>
      </c>
      <c r="Q8" s="33">
        <f t="shared" ca="1" si="4"/>
        <v>241516.47068493298</v>
      </c>
      <c r="R8" s="33">
        <f t="shared" ca="1" si="4"/>
        <v>217744.71900205518</v>
      </c>
      <c r="S8" s="33">
        <f t="shared" ca="1" si="4"/>
        <v>208097.43366792329</v>
      </c>
      <c r="T8" s="33">
        <f t="shared" ca="1" si="4"/>
        <v>219977.06364712282</v>
      </c>
      <c r="U8" s="33">
        <f t="shared" ca="1" si="4"/>
        <v>260327.03479212502</v>
      </c>
      <c r="V8" s="33">
        <f t="shared" ca="1" si="4"/>
        <v>239997.6239497932</v>
      </c>
      <c r="W8" s="33">
        <f t="shared" ca="1" si="4"/>
        <v>285777.87080589251</v>
      </c>
      <c r="X8" s="33">
        <f t="shared" ca="1" si="4"/>
        <v>259598.18675723489</v>
      </c>
      <c r="Y8" s="33">
        <f t="shared" ca="1" si="4"/>
        <v>251698.73800110121</v>
      </c>
      <c r="Z8" s="33">
        <f t="shared" ca="1" si="4"/>
        <v>253002.2255692108</v>
      </c>
      <c r="AA8" s="33">
        <f t="shared" ca="1" si="4"/>
        <v>269225.149157851</v>
      </c>
      <c r="AB8" s="33">
        <f t="shared" ca="1" si="4"/>
        <v>265545.43911267107</v>
      </c>
      <c r="AC8" s="33">
        <f t="shared" ca="1" si="4"/>
        <v>248507.60696825653</v>
      </c>
      <c r="AD8" s="33">
        <f t="shared" ca="1" si="4"/>
        <v>224047.73842429265</v>
      </c>
      <c r="AE8" s="33">
        <f t="shared" ca="1" si="4"/>
        <v>214121.19475906738</v>
      </c>
      <c r="AF8" s="33">
        <f t="shared" ca="1" si="4"/>
        <v>226344.70237089586</v>
      </c>
      <c r="AG8" s="33">
        <f t="shared" ca="1" si="4"/>
        <v>267862.67728186434</v>
      </c>
      <c r="AH8" s="33">
        <f t="shared" ca="1" si="4"/>
        <v>246944.79443447484</v>
      </c>
      <c r="AI8" s="33">
        <f t="shared" ca="1" si="4"/>
        <v>294050.23432584631</v>
      </c>
      <c r="AJ8" s="33">
        <f t="shared" ca="1" si="4"/>
        <v>267112.73140661861</v>
      </c>
      <c r="AK8" s="33">
        <f t="shared" ca="1" si="4"/>
        <v>258984.61864814741</v>
      </c>
      <c r="AL8" s="33">
        <f t="shared" ca="1" si="4"/>
        <v>260325.83804964466</v>
      </c>
      <c r="AM8" s="33">
        <f t="shared" ca="1" si="4"/>
        <v>277018.36385382112</v>
      </c>
      <c r="AN8" s="33">
        <f t="shared" ca="1" si="4"/>
        <v>273231.85161840945</v>
      </c>
      <c r="AO8" s="33">
        <f t="shared" ca="1" si="4"/>
        <v>255700.84660496312</v>
      </c>
      <c r="AP8" s="33">
        <f t="shared" ca="1" si="4"/>
        <v>230532.96876476245</v>
      </c>
      <c r="AQ8" s="33">
        <f t="shared" ca="1" si="4"/>
        <v>220319.09382537901</v>
      </c>
      <c r="AR8" s="33">
        <f t="shared" ca="1" si="4"/>
        <v>232896.4200608129</v>
      </c>
      <c r="AS8" s="33">
        <f t="shared" ca="1" si="4"/>
        <v>275616.16398967517</v>
      </c>
      <c r="AT8" s="33">
        <f t="shared" ca="1" si="4"/>
        <v>263167.54004692117</v>
      </c>
      <c r="AU8" s="33">
        <f t="shared" ca="1" si="4"/>
        <v>302561.739573272</v>
      </c>
      <c r="AV8" s="33">
        <f t="shared" ca="1" si="4"/>
        <v>274844.51036688389</v>
      </c>
      <c r="AW8" s="33">
        <f t="shared" ca="1" si="4"/>
        <v>266481.12326981546</v>
      </c>
      <c r="AX8" s="33">
        <f t="shared" ca="1" si="4"/>
        <v>267861.16527589236</v>
      </c>
      <c r="AY8" s="33">
        <f t="shared" ca="1" si="4"/>
        <v>285036.86879730748</v>
      </c>
      <c r="AZ8" s="33">
        <f t="shared" ca="1" si="4"/>
        <v>281140.45797929069</v>
      </c>
      <c r="BA8" s="33">
        <f t="shared" ca="1" si="4"/>
        <v>263102.02377360064</v>
      </c>
      <c r="BB8" s="33">
        <f t="shared" ca="1" si="4"/>
        <v>237205.66996107853</v>
      </c>
      <c r="BC8" s="33">
        <f t="shared" ca="1" si="4"/>
        <v>226696.15776038609</v>
      </c>
      <c r="BD8" s="33">
        <f t="shared" ca="1" si="4"/>
        <v>239637.53057999117</v>
      </c>
      <c r="BE8" s="33">
        <f t="shared" ca="1" si="4"/>
        <v>283593.78349040088</v>
      </c>
      <c r="BF8" s="33">
        <f t="shared" ca="1" si="4"/>
        <v>261447.42999503168</v>
      </c>
      <c r="BG8" s="33">
        <f t="shared" ca="1" si="4"/>
        <v>311319.28992465005</v>
      </c>
      <c r="BH8" s="33">
        <f t="shared" ca="1" si="4"/>
        <v>282799.7946064992</v>
      </c>
      <c r="BI8" s="33">
        <f t="shared" ca="1" si="4"/>
        <v>274194.33201200014</v>
      </c>
      <c r="BJ8" s="33">
        <f t="shared" ca="1" si="4"/>
        <v>275614.31888147019</v>
      </c>
      <c r="BK8" s="33">
        <f t="shared" ca="1" si="4"/>
        <v>293287.16750993434</v>
      </c>
      <c r="BL8" s="33">
        <f t="shared" ca="1" si="4"/>
        <v>288089.67340216337</v>
      </c>
      <c r="BM8" s="33">
        <f t="shared" ca="1" si="4"/>
        <v>269605.36610482499</v>
      </c>
      <c r="BN8" s="33">
        <f t="shared" ca="1" si="4"/>
        <v>243068.90754678319</v>
      </c>
      <c r="BO8" s="33">
        <f t="shared" ca="1" si="4"/>
        <v>232299.62176246333</v>
      </c>
      <c r="BP8" s="33">
        <f t="shared" ca="1" si="4"/>
        <v>245560.87877176324</v>
      </c>
      <c r="BQ8" s="33">
        <f t="shared" ref="BQ8:EB8" ca="1" si="5">+BP4*BP5</f>
        <v>290603.64008744562</v>
      </c>
      <c r="BR8" s="33">
        <f t="shared" ca="1" si="5"/>
        <v>267909.87416208844</v>
      </c>
      <c r="BS8" s="33">
        <f t="shared" ca="1" si="5"/>
        <v>319014.46416791581</v>
      </c>
      <c r="BT8" s="33">
        <f t="shared" ca="1" si="5"/>
        <v>289790.02542702906</v>
      </c>
      <c r="BU8" s="33">
        <f t="shared" ca="1" si="5"/>
        <v>280971.85344942502</v>
      </c>
      <c r="BV8" s="33">
        <f t="shared" ca="1" si="5"/>
        <v>282426.93948151468</v>
      </c>
      <c r="BW8" s="33">
        <f t="shared" ca="1" si="5"/>
        <v>300536.62467607739</v>
      </c>
      <c r="BX8" s="33">
        <f t="shared" ca="1" si="5"/>
        <v>295202.81533822708</v>
      </c>
      <c r="BY8" s="33">
        <f t="shared" ca="1" si="5"/>
        <v>276262.11715452664</v>
      </c>
      <c r="BZ8" s="33">
        <f t="shared" ca="1" si="5"/>
        <v>249070.45428466509</v>
      </c>
      <c r="CA8" s="33">
        <f t="shared" ca="1" si="5"/>
        <v>238035.26706268088</v>
      </c>
      <c r="CB8" s="33">
        <f t="shared" ca="1" si="5"/>
        <v>251623.95407751971</v>
      </c>
      <c r="CC8" s="33">
        <f t="shared" ca="1" si="5"/>
        <v>297778.85367517179</v>
      </c>
      <c r="CD8" s="33">
        <f t="shared" ca="1" si="5"/>
        <v>274524.76229217305</v>
      </c>
      <c r="CE8" s="33">
        <f t="shared" ca="1" si="5"/>
        <v>326891.16150484525</v>
      </c>
      <c r="CF8" s="33">
        <f t="shared" ca="1" si="5"/>
        <v>296945.15028164483</v>
      </c>
      <c r="CG8" s="33">
        <f t="shared" ca="1" si="5"/>
        <v>287909.2512742845</v>
      </c>
      <c r="CH8" s="33">
        <f t="shared" ca="1" si="5"/>
        <v>289400.26443056861</v>
      </c>
      <c r="CI8" s="33">
        <f t="shared" ca="1" si="5"/>
        <v>307957.09082143009</v>
      </c>
      <c r="CJ8" s="33">
        <f t="shared" ca="1" si="5"/>
        <v>302483.46508439281</v>
      </c>
      <c r="CK8" s="33">
        <f t="shared" ca="1" si="5"/>
        <v>283075.62843771605</v>
      </c>
      <c r="CL8" s="33">
        <f t="shared" ca="1" si="5"/>
        <v>255213.33181002786</v>
      </c>
      <c r="CM8" s="33">
        <f t="shared" ca="1" si="5"/>
        <v>243905.98142132521</v>
      </c>
      <c r="CN8" s="33">
        <f t="shared" ca="1" si="5"/>
        <v>257829.8091107269</v>
      </c>
      <c r="CO8" s="33">
        <f t="shared" ca="1" si="5"/>
        <v>305123.03680208279</v>
      </c>
      <c r="CP8" s="33">
        <f t="shared" ca="1" si="5"/>
        <v>291341.68999557802</v>
      </c>
      <c r="CQ8" s="33">
        <f t="shared" ca="1" si="5"/>
        <v>334953.34766423941</v>
      </c>
      <c r="CR8" s="33">
        <f t="shared" ca="1" si="5"/>
        <v>304268.77160465339</v>
      </c>
      <c r="CS8" s="33">
        <f t="shared" ca="1" si="5"/>
        <v>295010.01830053108</v>
      </c>
      <c r="CT8" s="33">
        <f t="shared" ca="1" si="5"/>
        <v>296537.8046310324</v>
      </c>
      <c r="CU8" s="33">
        <f t="shared" ca="1" si="5"/>
        <v>315552.30197329546</v>
      </c>
      <c r="CV8" s="33">
        <f t="shared" ca="1" si="5"/>
        <v>309935.27128152386</v>
      </c>
      <c r="CW8" s="33">
        <f t="shared" ca="1" si="5"/>
        <v>290049.31449245766</v>
      </c>
      <c r="CX8" s="33">
        <f t="shared" ca="1" si="5"/>
        <v>261500.61857805619</v>
      </c>
      <c r="CY8" s="33">
        <f t="shared" ca="1" si="5"/>
        <v>249914.70690113187</v>
      </c>
      <c r="CZ8" s="33">
        <f t="shared" ca="1" si="5"/>
        <v>264181.55388725683</v>
      </c>
      <c r="DA8" s="33">
        <f t="shared" ca="1" si="5"/>
        <v>312639.86994830082</v>
      </c>
      <c r="DB8" s="33">
        <f t="shared" ca="1" si="5"/>
        <v>288225.25482026621</v>
      </c>
      <c r="DC8" s="33">
        <f t="shared" ca="1" si="5"/>
        <v>343205.06294784287</v>
      </c>
      <c r="DD8" s="33">
        <f t="shared" ca="1" si="5"/>
        <v>311764.55957178882</v>
      </c>
      <c r="DE8" s="33">
        <f t="shared" ca="1" si="5"/>
        <v>302277.71302220569</v>
      </c>
      <c r="DF8" s="33">
        <f t="shared" ca="1" si="5"/>
        <v>303843.13700553653</v>
      </c>
      <c r="DG8" s="33">
        <f t="shared" ca="1" si="5"/>
        <v>323326.06441253342</v>
      </c>
      <c r="DH8" s="33">
        <f t="shared" ca="1" si="5"/>
        <v>317561.95073190698</v>
      </c>
      <c r="DI8" s="33">
        <f t="shared" ca="1" si="5"/>
        <v>297186.65364488994</v>
      </c>
      <c r="DJ8" s="33">
        <f t="shared" ca="1" si="5"/>
        <v>267935.45055353717</v>
      </c>
      <c r="DK8" s="33">
        <f t="shared" ca="1" si="5"/>
        <v>256064.4405264477</v>
      </c>
      <c r="DL8" s="33">
        <f t="shared" ca="1" si="5"/>
        <v>270682.35652217886</v>
      </c>
      <c r="DM8" s="33">
        <f t="shared" ca="1" si="5"/>
        <v>320333.10235016997</v>
      </c>
      <c r="DN8" s="33">
        <f t="shared" ca="1" si="5"/>
        <v>295317.70873469161</v>
      </c>
      <c r="DO8" s="33">
        <f t="shared" ca="1" si="5"/>
        <v>351650.42313556466</v>
      </c>
      <c r="DP8" s="33">
        <f t="shared" ca="1" si="5"/>
        <v>319436.25292250834</v>
      </c>
      <c r="DQ8" s="33">
        <f t="shared" ca="1" si="5"/>
        <v>309715.96041071025</v>
      </c>
      <c r="DR8" s="33">
        <f t="shared" ca="1" si="5"/>
        <v>311319.90529834293</v>
      </c>
      <c r="DS8" s="33">
        <f t="shared" ca="1" si="5"/>
        <v>331282.25552634965</v>
      </c>
      <c r="DT8" s="33">
        <f t="shared" ca="1" si="5"/>
        <v>323645.76915645512</v>
      </c>
      <c r="DU8" s="33">
        <f t="shared" ca="1" si="5"/>
        <v>312976.12841503351</v>
      </c>
      <c r="DV8" s="33">
        <f t="shared" ca="1" si="5"/>
        <v>273068.52971151017</v>
      </c>
      <c r="DW8" s="33">
        <f t="shared" ca="1" si="5"/>
        <v>269669.09932803182</v>
      </c>
      <c r="DX8" s="33">
        <f t="shared" ca="1" si="5"/>
        <v>275868.06061555113</v>
      </c>
      <c r="DY8" s="33">
        <f t="shared" ca="1" si="5"/>
        <v>326470.01020572061</v>
      </c>
      <c r="DZ8" s="33">
        <f t="shared" ca="1" si="5"/>
        <v>300975.37431255623</v>
      </c>
      <c r="EA8" s="33">
        <f t="shared" ca="1" si="5"/>
        <v>358387.30492616171</v>
      </c>
      <c r="EB8" s="33">
        <f t="shared" ca="1" si="5"/>
        <v>325555.97903112893</v>
      </c>
      <c r="EC8" s="33">
        <f t="shared" ref="EC8:GN8" ca="1" si="6">+EB4*EB5</f>
        <v>315649.46617857856</v>
      </c>
      <c r="ED8" s="33">
        <f t="shared" ca="1" si="6"/>
        <v>317284.13927353226</v>
      </c>
      <c r="EE8" s="33">
        <f t="shared" ca="1" si="6"/>
        <v>337628.92610590713</v>
      </c>
      <c r="EF8" s="33">
        <f t="shared" ca="1" si="6"/>
        <v>329808.81093081733</v>
      </c>
      <c r="EG8" s="33">
        <f t="shared" ca="1" si="6"/>
        <v>318935.99298804323</v>
      </c>
      <c r="EH8" s="33">
        <f t="shared" ca="1" si="6"/>
        <v>278268.45171346341</v>
      </c>
      <c r="EI8" s="33">
        <f t="shared" ca="1" si="6"/>
        <v>274804.28749608685</v>
      </c>
      <c r="EJ8" s="33">
        <f t="shared" ca="1" si="6"/>
        <v>281121.29283365578</v>
      </c>
      <c r="EK8" s="33">
        <f t="shared" ca="1" si="6"/>
        <v>332686.8327404891</v>
      </c>
      <c r="EL8" s="33">
        <f t="shared" ca="1" si="6"/>
        <v>317660.52509748976</v>
      </c>
      <c r="EM8" s="33">
        <f t="shared" ca="1" si="6"/>
        <v>365211.91424337274</v>
      </c>
      <c r="EN8" s="33">
        <f t="shared" ca="1" si="6"/>
        <v>331755.39607863658</v>
      </c>
      <c r="EO8" s="33">
        <f t="shared" ca="1" si="6"/>
        <v>321660.23792814935</v>
      </c>
      <c r="EP8" s="33">
        <f t="shared" ca="1" si="6"/>
        <v>323326.03937246435</v>
      </c>
      <c r="EQ8" s="33">
        <f t="shared" ca="1" si="6"/>
        <v>344058.2428902642</v>
      </c>
      <c r="ER8" s="33">
        <f t="shared" ca="1" si="6"/>
        <v>336050.35401940055</v>
      </c>
      <c r="ES8" s="33">
        <f t="shared" ca="1" si="6"/>
        <v>324971.77091985993</v>
      </c>
      <c r="ET8" s="33">
        <f t="shared" ca="1" si="6"/>
        <v>283534.60735879344</v>
      </c>
      <c r="EU8" s="33">
        <f t="shared" ca="1" si="6"/>
        <v>280004.88476483</v>
      </c>
      <c r="EV8" s="33">
        <f t="shared" ca="1" si="6"/>
        <v>286441.43773029267</v>
      </c>
      <c r="EW8" s="33">
        <f t="shared" ca="1" si="6"/>
        <v>338982.84161815856</v>
      </c>
      <c r="EX8" s="33">
        <f t="shared" ca="1" si="6"/>
        <v>312511.05599950592</v>
      </c>
      <c r="EY8" s="33">
        <f t="shared" ca="1" si="6"/>
        <v>372123.45154518279</v>
      </c>
      <c r="EZ8" s="33">
        <f t="shared" ca="1" si="6"/>
        <v>338033.77776786668</v>
      </c>
      <c r="FA8" s="33">
        <f t="shared" ca="1" si="6"/>
        <v>327747.57146313367</v>
      </c>
      <c r="FB8" s="33">
        <f t="shared" ca="1" si="6"/>
        <v>329444.89775198628</v>
      </c>
      <c r="FC8" s="33">
        <f t="shared" ca="1" si="6"/>
        <v>350569.45264818752</v>
      </c>
      <c r="FD8" s="33">
        <f t="shared" ca="1" si="6"/>
        <v>342369.56176346104</v>
      </c>
      <c r="FE8" s="33">
        <f t="shared" ca="1" si="6"/>
        <v>331082.65313389641</v>
      </c>
      <c r="FF8" s="33">
        <f t="shared" ca="1" si="6"/>
        <v>288866.29073630116</v>
      </c>
      <c r="FG8" s="33">
        <f t="shared" ca="1" si="6"/>
        <v>285270.19401095127</v>
      </c>
      <c r="FH8" s="33">
        <f t="shared" ca="1" si="6"/>
        <v>291827.78215717751</v>
      </c>
      <c r="FI8" s="33">
        <f t="shared" ca="1" si="6"/>
        <v>345357.19287902175</v>
      </c>
      <c r="FJ8" s="33">
        <f t="shared" ca="1" si="6"/>
        <v>318387.62259601842</v>
      </c>
      <c r="FK8" s="33">
        <f t="shared" ca="1" si="6"/>
        <v>379120.99036228238</v>
      </c>
      <c r="FL8" s="33">
        <f t="shared" ca="1" si="6"/>
        <v>344390.28250197991</v>
      </c>
      <c r="FM8" s="33">
        <f t="shared" ca="1" si="6"/>
        <v>333910.65079608181</v>
      </c>
      <c r="FN8" s="33">
        <f t="shared" ca="1" si="6"/>
        <v>335639.89419884427</v>
      </c>
      <c r="FO8" s="33">
        <f t="shared" ca="1" si="6"/>
        <v>357161.68257298495</v>
      </c>
      <c r="FP8" s="33">
        <f t="shared" ca="1" si="6"/>
        <v>348765.47665354767</v>
      </c>
      <c r="FQ8" s="33">
        <f t="shared" ca="1" si="6"/>
        <v>337267.71368694719</v>
      </c>
      <c r="FR8" s="33">
        <f t="shared" ca="1" si="6"/>
        <v>294262.69396983646</v>
      </c>
      <c r="FS8" s="33">
        <f t="shared" ca="1" si="6"/>
        <v>290599.41741555143</v>
      </c>
      <c r="FT8" s="33">
        <f t="shared" ca="1" si="6"/>
        <v>297279.50995571824</v>
      </c>
      <c r="FU8" s="33">
        <f t="shared" ca="1" si="6"/>
        <v>351808.92065808037</v>
      </c>
      <c r="FV8" s="33">
        <f t="shared" ca="1" si="6"/>
        <v>324335.52323792205</v>
      </c>
      <c r="FW8" s="33">
        <f t="shared" ca="1" si="6"/>
        <v>386203.47040201735</v>
      </c>
      <c r="FX8" s="33">
        <f t="shared" ca="1" si="6"/>
        <v>350823.94712014875</v>
      </c>
      <c r="FY8" s="33">
        <f t="shared" ca="1" si="6"/>
        <v>340148.54207468987</v>
      </c>
      <c r="FZ8" s="33">
        <f t="shared" ca="1" si="6"/>
        <v>341910.090024537</v>
      </c>
      <c r="GA8" s="33">
        <f t="shared" ca="1" si="6"/>
        <v>363833.93378588685</v>
      </c>
      <c r="GB8" s="33">
        <f t="shared" ca="1" si="6"/>
        <v>355237.01383145241</v>
      </c>
      <c r="GC8" s="33">
        <f t="shared" ca="1" si="6"/>
        <v>343525.90348536056</v>
      </c>
      <c r="GD8" s="33">
        <f t="shared" ca="1" si="6"/>
        <v>299722.90173572121</v>
      </c>
      <c r="GE8" s="33">
        <f t="shared" ca="1" si="6"/>
        <v>295991.6510498178</v>
      </c>
      <c r="GF8" s="33">
        <f t="shared" ca="1" si="6"/>
        <v>302795.6964182299</v>
      </c>
      <c r="GG8" s="33">
        <f t="shared" ca="1" si="6"/>
        <v>358336.93063029146</v>
      </c>
      <c r="GH8" s="33">
        <f t="shared" ca="1" si="6"/>
        <v>342152.09723864641</v>
      </c>
      <c r="GI8" s="33">
        <f t="shared" ca="1" si="6"/>
        <v>393369.69035281031</v>
      </c>
      <c r="GJ8" s="33">
        <f t="shared" ca="1" si="6"/>
        <v>357333.68036115589</v>
      </c>
      <c r="GK8" s="33">
        <f t="shared" ca="1" si="6"/>
        <v>346460.18724429799</v>
      </c>
      <c r="GL8" s="33">
        <f t="shared" ca="1" si="6"/>
        <v>348254.42169499217</v>
      </c>
      <c r="GM8" s="33">
        <f t="shared" ca="1" si="6"/>
        <v>370585.07455724716</v>
      </c>
      <c r="GN8" s="33">
        <f t="shared" ca="1" si="6"/>
        <v>361782.9543110432</v>
      </c>
      <c r="GO8" s="33">
        <f t="shared" ref="GO8:IH8" ca="1" si="7">+GN4*GN5</f>
        <v>349856.04372936039</v>
      </c>
      <c r="GP8" s="33">
        <f t="shared" ca="1" si="7"/>
        <v>305245.88554298616</v>
      </c>
      <c r="GQ8" s="33">
        <f t="shared" ca="1" si="7"/>
        <v>301445.87922646606</v>
      </c>
      <c r="GR8" s="33">
        <f t="shared" ca="1" si="7"/>
        <v>308375.30250953214</v>
      </c>
      <c r="GS8" s="33">
        <f t="shared" ca="1" si="7"/>
        <v>364939.99317224283</v>
      </c>
      <c r="GT8" s="33">
        <f t="shared" ca="1" si="7"/>
        <v>336441.16645637562</v>
      </c>
      <c r="GU8" s="33">
        <f t="shared" ca="1" si="7"/>
        <v>400618.30037728901</v>
      </c>
      <c r="GV8" s="33">
        <f t="shared" ca="1" si="7"/>
        <v>363918.25604421535</v>
      </c>
      <c r="GW8" s="33">
        <f t="shared" ca="1" si="7"/>
        <v>352844.39743621531</v>
      </c>
      <c r="GX8" s="33">
        <f t="shared" ca="1" si="7"/>
        <v>354671.69418465276</v>
      </c>
      <c r="GY8" s="33">
        <f t="shared" ca="1" si="7"/>
        <v>377413.8332344818</v>
      </c>
      <c r="GZ8" s="33">
        <f t="shared" ca="1" si="7"/>
        <v>368401.93790696113</v>
      </c>
      <c r="HA8" s="33">
        <f t="shared" ca="1" si="7"/>
        <v>356256.81907486351</v>
      </c>
      <c r="HB8" s="33">
        <f t="shared" ca="1" si="7"/>
        <v>310830.49776712491</v>
      </c>
      <c r="HC8" s="33">
        <f t="shared" ca="1" si="7"/>
        <v>306960.96860776853</v>
      </c>
      <c r="HD8" s="33">
        <f t="shared" ca="1" si="7"/>
        <v>314017.16883953603</v>
      </c>
      <c r="HE8" s="33">
        <f t="shared" ca="1" si="7"/>
        <v>371616.73622914409</v>
      </c>
      <c r="HF8" s="33">
        <f t="shared" ca="1" si="7"/>
        <v>342596.51052449801</v>
      </c>
      <c r="HG8" s="33">
        <f t="shared" ca="1" si="7"/>
        <v>407947.79428191896</v>
      </c>
      <c r="HH8" s="33">
        <f t="shared" ca="1" si="7"/>
        <v>370576.30595593335</v>
      </c>
      <c r="HI8" s="33">
        <f t="shared" ca="1" si="7"/>
        <v>359299.84607112792</v>
      </c>
      <c r="HJ8" s="33">
        <f t="shared" ca="1" si="7"/>
        <v>361160.57404416741</v>
      </c>
      <c r="HK8" s="33">
        <f t="shared" ca="1" si="7"/>
        <v>384318.790865249</v>
      </c>
      <c r="HL8" s="33">
        <f t="shared" ca="1" si="7"/>
        <v>375092.45585975412</v>
      </c>
      <c r="HM8" s="33">
        <f t="shared" ca="1" si="7"/>
        <v>362726.77050174034</v>
      </c>
      <c r="HN8" s="33">
        <f t="shared" ca="1" si="7"/>
        <v>316475.46542772325</v>
      </c>
      <c r="HO8" s="33">
        <f t="shared" ca="1" si="7"/>
        <v>312535.66206064518</v>
      </c>
      <c r="HP8" s="33">
        <f t="shared" ca="1" si="7"/>
        <v>319720.00937708159</v>
      </c>
      <c r="HQ8" s="33">
        <f t="shared" ca="1" si="7"/>
        <v>378365.63787560444</v>
      </c>
      <c r="HR8" s="33">
        <f t="shared" ca="1" si="7"/>
        <v>348818.37818689691</v>
      </c>
      <c r="HS8" s="33">
        <f t="shared" ca="1" si="7"/>
        <v>415356.50135048712</v>
      </c>
      <c r="HT8" s="33">
        <f t="shared" ca="1" si="7"/>
        <v>377306.31243191479</v>
      </c>
      <c r="HU8" s="33">
        <f t="shared" ca="1" si="7"/>
        <v>365825.06166644266</v>
      </c>
      <c r="HV8" s="33">
        <f t="shared" ca="1" si="7"/>
        <v>367719.5821704868</v>
      </c>
      <c r="HW8" s="33">
        <f t="shared" ca="1" si="7"/>
        <v>391298.37350395124</v>
      </c>
      <c r="HX8" s="33">
        <f t="shared" ca="1" si="7"/>
        <v>381852.84314559866</v>
      </c>
      <c r="HY8" s="33">
        <f t="shared" ca="1" si="7"/>
        <v>369264.28787706239</v>
      </c>
      <c r="HZ8" s="33">
        <f t="shared" ca="1" si="7"/>
        <v>322179.38369996712</v>
      </c>
      <c r="IA8" s="33">
        <f t="shared" ca="1" si="7"/>
        <v>318168.57224894752</v>
      </c>
      <c r="IB8" s="33">
        <f t="shared" ca="1" si="7"/>
        <v>325482.40489492437</v>
      </c>
      <c r="IC8" s="33">
        <f t="shared" ca="1" si="7"/>
        <v>385185.01855824614</v>
      </c>
      <c r="ID8" s="33">
        <f t="shared" ca="1" si="7"/>
        <v>367787.55037276662</v>
      </c>
      <c r="IE8" s="33">
        <f t="shared" ca="1" si="7"/>
        <v>422842.57782831567</v>
      </c>
      <c r="IF8" s="33">
        <f t="shared" ca="1" si="7"/>
        <v>384106.60062109458</v>
      </c>
      <c r="IG8" s="33">
        <f t="shared" ca="1" si="7"/>
        <v>372418.42033601226</v>
      </c>
      <c r="IH8" s="33">
        <f t="shared" ca="1" si="7"/>
        <v>374347.08626774553</v>
      </c>
    </row>
    <row r="9" spans="1:242" x14ac:dyDescent="0.3">
      <c r="A9" t="s">
        <v>813</v>
      </c>
      <c r="B9" s="30" t="e">
        <f>+#REF!</f>
        <v>#REF!</v>
      </c>
      <c r="C9" s="30" t="e">
        <f>+Producción!E59</f>
        <v>#REF!</v>
      </c>
      <c r="D9" s="30" t="e">
        <f>+Producción!F59</f>
        <v>#REF!</v>
      </c>
      <c r="E9" s="30" t="e">
        <f>+Producción!G59</f>
        <v>#REF!</v>
      </c>
      <c r="F9" s="30" t="e">
        <f>+Producción!H59</f>
        <v>#REF!</v>
      </c>
      <c r="G9" s="30" t="e">
        <f>+Producción!I59</f>
        <v>#REF!</v>
      </c>
      <c r="H9" s="30" t="e">
        <f>+Producción!J59</f>
        <v>#REF!</v>
      </c>
      <c r="I9" s="30" t="e">
        <f>+Producción!K59</f>
        <v>#REF!</v>
      </c>
      <c r="J9" s="30" t="e">
        <f>+Producción!L59</f>
        <v>#REF!</v>
      </c>
      <c r="K9" s="30" t="e">
        <f>+Producción!M59</f>
        <v>#REF!</v>
      </c>
      <c r="L9" s="30" t="e">
        <f>+Producción!N59</f>
        <v>#REF!</v>
      </c>
      <c r="M9" s="30" t="e">
        <f>+Producción!O59</f>
        <v>#REF!</v>
      </c>
      <c r="N9" s="30" t="e">
        <f>+Producción!P59</f>
        <v>#REF!</v>
      </c>
      <c r="O9" s="30" t="e">
        <f>+Producción!Q59</f>
        <v>#REF!</v>
      </c>
      <c r="P9" s="30" t="e">
        <f>+Producción!R59</f>
        <v>#REF!</v>
      </c>
      <c r="Q9" s="30" t="e">
        <f>+Producción!S59</f>
        <v>#REF!</v>
      </c>
      <c r="R9" s="30" t="e">
        <f>+Producción!T59</f>
        <v>#REF!</v>
      </c>
      <c r="S9" s="30" t="e">
        <f>+Producción!U59</f>
        <v>#REF!</v>
      </c>
      <c r="T9" s="30" t="e">
        <f>+Producción!V59</f>
        <v>#REF!</v>
      </c>
      <c r="U9" s="30" t="e">
        <f>+Producción!W59</f>
        <v>#REF!</v>
      </c>
      <c r="V9" s="30" t="e">
        <f>+Producción!X59</f>
        <v>#REF!</v>
      </c>
      <c r="W9" s="30" t="e">
        <f>+Producción!Y59</f>
        <v>#REF!</v>
      </c>
      <c r="X9" s="30" t="e">
        <f>+Producción!Z59</f>
        <v>#REF!</v>
      </c>
      <c r="Y9" s="30" t="e">
        <f>+Producción!AA59</f>
        <v>#REF!</v>
      </c>
      <c r="Z9" s="30" t="e">
        <f>+Producción!AB59</f>
        <v>#REF!</v>
      </c>
      <c r="AA9" s="30" t="e">
        <f>+Producción!AC59</f>
        <v>#REF!</v>
      </c>
      <c r="AB9" s="30" t="e">
        <f>+Producción!AD59</f>
        <v>#REF!</v>
      </c>
      <c r="AC9" s="30" t="e">
        <f>+Producción!AE59</f>
        <v>#REF!</v>
      </c>
      <c r="AD9" s="30" t="e">
        <f>+Producción!AF59</f>
        <v>#REF!</v>
      </c>
      <c r="AE9" s="30" t="e">
        <f>+Producción!AG59</f>
        <v>#REF!</v>
      </c>
      <c r="AF9" s="30" t="e">
        <f>+Producción!AH59</f>
        <v>#REF!</v>
      </c>
      <c r="AG9" s="30" t="e">
        <f>+Producción!AI59</f>
        <v>#REF!</v>
      </c>
      <c r="AH9" s="30" t="e">
        <f>+Producción!AJ59</f>
        <v>#REF!</v>
      </c>
      <c r="AI9" s="30" t="e">
        <f>+Producción!AK59</f>
        <v>#REF!</v>
      </c>
      <c r="AJ9" s="30" t="e">
        <f>+Producción!AL59</f>
        <v>#REF!</v>
      </c>
      <c r="AK9" s="30" t="e">
        <f>+Producción!AM59</f>
        <v>#REF!</v>
      </c>
      <c r="AL9" s="30" t="e">
        <f>+Producción!AN59</f>
        <v>#REF!</v>
      </c>
      <c r="AM9" s="30" t="e">
        <f>+Producción!AO59</f>
        <v>#REF!</v>
      </c>
      <c r="AN9" s="30" t="e">
        <f>+Producción!AP59</f>
        <v>#REF!</v>
      </c>
      <c r="AO9" s="30" t="e">
        <f>+Producción!AQ59</f>
        <v>#REF!</v>
      </c>
      <c r="AP9" s="30" t="e">
        <f>+Producción!AR59</f>
        <v>#REF!</v>
      </c>
      <c r="AQ9" s="30" t="e">
        <f>+Producción!AS59</f>
        <v>#REF!</v>
      </c>
      <c r="AR9" s="30" t="e">
        <f>+Producción!AT59</f>
        <v>#REF!</v>
      </c>
      <c r="AS9" s="30" t="e">
        <f>+Producción!AU59</f>
        <v>#REF!</v>
      </c>
      <c r="AT9" s="30" t="e">
        <f>+Producción!AV59</f>
        <v>#REF!</v>
      </c>
      <c r="AU9" s="30" t="e">
        <f>+Producción!AW59</f>
        <v>#REF!</v>
      </c>
      <c r="AV9" s="30" t="e">
        <f>+Producción!AX59</f>
        <v>#REF!</v>
      </c>
      <c r="AW9" s="30" t="e">
        <f>+Producción!AY59</f>
        <v>#REF!</v>
      </c>
      <c r="AX9" s="30" t="e">
        <f>+Producción!AZ59</f>
        <v>#REF!</v>
      </c>
      <c r="AY9" s="30" t="e">
        <f>+Producción!BA59</f>
        <v>#REF!</v>
      </c>
      <c r="AZ9" s="30" t="e">
        <f>+Producción!BB59</f>
        <v>#REF!</v>
      </c>
      <c r="BA9" s="30" t="e">
        <f>+Producción!BC59</f>
        <v>#REF!</v>
      </c>
      <c r="BB9" s="30" t="e">
        <f>+Producción!BD59</f>
        <v>#REF!</v>
      </c>
      <c r="BC9" s="30" t="e">
        <f>+Producción!BE59</f>
        <v>#REF!</v>
      </c>
      <c r="BD9" s="30" t="e">
        <f>+Producción!BF59</f>
        <v>#REF!</v>
      </c>
      <c r="BE9" s="30" t="e">
        <f>+Producción!BG59</f>
        <v>#REF!</v>
      </c>
      <c r="BF9" s="30" t="e">
        <f>+Producción!BH59</f>
        <v>#REF!</v>
      </c>
      <c r="BG9" s="30" t="e">
        <f>+Producción!BI59</f>
        <v>#REF!</v>
      </c>
      <c r="BH9" s="30" t="e">
        <f>+Producción!BJ59</f>
        <v>#REF!</v>
      </c>
      <c r="BI9" s="30" t="e">
        <f>+Producción!BK59</f>
        <v>#REF!</v>
      </c>
      <c r="BJ9" s="30" t="e">
        <f>+Producción!BL59</f>
        <v>#REF!</v>
      </c>
      <c r="BK9" s="30" t="e">
        <f>+Producción!BM59</f>
        <v>#REF!</v>
      </c>
      <c r="BL9" s="30" t="e">
        <f>+Producción!BN59</f>
        <v>#REF!</v>
      </c>
      <c r="BM9" s="30" t="e">
        <f>+Producción!BO59</f>
        <v>#REF!</v>
      </c>
      <c r="BN9" s="30" t="e">
        <f>+Producción!BP59</f>
        <v>#REF!</v>
      </c>
      <c r="BO9" s="30" t="e">
        <f>+Producción!BQ59</f>
        <v>#REF!</v>
      </c>
      <c r="BP9" s="30" t="e">
        <f>+Producción!BR59</f>
        <v>#REF!</v>
      </c>
      <c r="BQ9" s="30" t="e">
        <f>+Producción!BS59</f>
        <v>#REF!</v>
      </c>
      <c r="BR9" s="30" t="e">
        <f>+Producción!BT59</f>
        <v>#REF!</v>
      </c>
      <c r="BS9" s="30" t="e">
        <f>+Producción!BU59</f>
        <v>#REF!</v>
      </c>
      <c r="BT9" s="30" t="e">
        <f>+Producción!BV59</f>
        <v>#REF!</v>
      </c>
      <c r="BU9" s="30" t="e">
        <f>+Producción!BW59</f>
        <v>#REF!</v>
      </c>
      <c r="BV9" s="30" t="e">
        <f>+Producción!BX59</f>
        <v>#REF!</v>
      </c>
      <c r="BW9" s="30" t="e">
        <f>+Producción!BY59</f>
        <v>#REF!</v>
      </c>
      <c r="BX9" s="30" t="e">
        <f>+Producción!BZ59</f>
        <v>#REF!</v>
      </c>
      <c r="BY9" s="30" t="e">
        <f>+Producción!CA59</f>
        <v>#REF!</v>
      </c>
      <c r="BZ9" s="30" t="e">
        <f>+Producción!CB59</f>
        <v>#REF!</v>
      </c>
      <c r="CA9" s="30" t="e">
        <f>+Producción!CC59</f>
        <v>#REF!</v>
      </c>
      <c r="CB9" s="30" t="e">
        <f>+Producción!CD59</f>
        <v>#REF!</v>
      </c>
      <c r="CC9" s="30" t="e">
        <f>+Producción!CE59</f>
        <v>#REF!</v>
      </c>
      <c r="CD9" s="30" t="e">
        <f>+Producción!CF59</f>
        <v>#REF!</v>
      </c>
      <c r="CE9" s="30" t="e">
        <f>+Producción!CG59</f>
        <v>#REF!</v>
      </c>
      <c r="CF9" s="30" t="e">
        <f>+Producción!CH59</f>
        <v>#REF!</v>
      </c>
      <c r="CG9" s="30" t="e">
        <f>+Producción!CI59</f>
        <v>#REF!</v>
      </c>
      <c r="CH9" s="30" t="e">
        <f>+Producción!CJ59</f>
        <v>#REF!</v>
      </c>
      <c r="CI9" s="30" t="e">
        <f>+Producción!CK59</f>
        <v>#REF!</v>
      </c>
      <c r="CJ9" s="30" t="e">
        <f>+Producción!CL59</f>
        <v>#REF!</v>
      </c>
      <c r="CK9" s="30" t="e">
        <f>+Producción!CM59</f>
        <v>#REF!</v>
      </c>
      <c r="CL9" s="30" t="e">
        <f>+Producción!CN59</f>
        <v>#REF!</v>
      </c>
      <c r="CM9" s="30" t="e">
        <f>+Producción!CO59</f>
        <v>#REF!</v>
      </c>
      <c r="CN9" s="30" t="e">
        <f>+Producción!CP59</f>
        <v>#REF!</v>
      </c>
      <c r="CO9" s="30" t="e">
        <f>+Producción!CQ59</f>
        <v>#REF!</v>
      </c>
      <c r="CP9" s="30" t="e">
        <f>+Producción!CR59</f>
        <v>#REF!</v>
      </c>
      <c r="CQ9" s="30" t="e">
        <f>+Producción!CS59</f>
        <v>#REF!</v>
      </c>
      <c r="CR9" s="30" t="e">
        <f>+Producción!CT59</f>
        <v>#REF!</v>
      </c>
      <c r="CS9" s="30" t="e">
        <f>+Producción!CU59</f>
        <v>#REF!</v>
      </c>
      <c r="CT9" s="30" t="e">
        <f>+Producción!CV59</f>
        <v>#REF!</v>
      </c>
      <c r="CU9" s="30" t="e">
        <f>+Producción!CW59</f>
        <v>#REF!</v>
      </c>
      <c r="CV9" s="30" t="e">
        <f>+Producción!CX59</f>
        <v>#REF!</v>
      </c>
      <c r="CW9" s="30" t="e">
        <f>+Producción!CY59</f>
        <v>#REF!</v>
      </c>
      <c r="CX9" s="30" t="e">
        <f>+Producción!CZ59</f>
        <v>#REF!</v>
      </c>
      <c r="CY9" s="30" t="e">
        <f>+Producción!DA59</f>
        <v>#REF!</v>
      </c>
      <c r="CZ9" s="30" t="e">
        <f>+Producción!DB59</f>
        <v>#REF!</v>
      </c>
      <c r="DA9" s="30" t="e">
        <f>+Producción!DC59</f>
        <v>#REF!</v>
      </c>
      <c r="DB9" s="30" t="e">
        <f>+Producción!DD59</f>
        <v>#REF!</v>
      </c>
      <c r="DC9" s="30" t="e">
        <f>+Producción!DE59</f>
        <v>#REF!</v>
      </c>
      <c r="DD9" s="30" t="e">
        <f>+Producción!DF59</f>
        <v>#REF!</v>
      </c>
      <c r="DE9" s="30" t="e">
        <f>+Producción!DG59</f>
        <v>#REF!</v>
      </c>
      <c r="DF9" s="30" t="e">
        <f>+Producción!DH59</f>
        <v>#REF!</v>
      </c>
      <c r="DG9" s="30" t="e">
        <f>+Producción!DI59</f>
        <v>#REF!</v>
      </c>
      <c r="DH9" s="30" t="e">
        <f>+Producción!DJ59</f>
        <v>#REF!</v>
      </c>
      <c r="DI9" s="30" t="e">
        <f>+Producción!DK59</f>
        <v>#REF!</v>
      </c>
      <c r="DJ9" s="30" t="e">
        <f>+Producción!DL59</f>
        <v>#REF!</v>
      </c>
      <c r="DK9" s="30" t="e">
        <f>+Producción!DM59</f>
        <v>#REF!</v>
      </c>
      <c r="DL9" s="30" t="e">
        <f>+Producción!DN59</f>
        <v>#REF!</v>
      </c>
      <c r="DM9" s="30" t="e">
        <f>+Producción!DO59</f>
        <v>#REF!</v>
      </c>
      <c r="DN9" s="30" t="e">
        <f>+Producción!DP59</f>
        <v>#REF!</v>
      </c>
      <c r="DO9" s="30" t="e">
        <f>+Producción!DQ59</f>
        <v>#REF!</v>
      </c>
      <c r="DP9" s="30" t="e">
        <f>+Producción!DR59</f>
        <v>#REF!</v>
      </c>
      <c r="DQ9" s="30" t="e">
        <f>+Producción!DS59</f>
        <v>#REF!</v>
      </c>
      <c r="DR9" s="30" t="e">
        <f>+Producción!DT59</f>
        <v>#REF!</v>
      </c>
      <c r="DS9" s="30" t="e">
        <f>+Producción!DU59</f>
        <v>#REF!</v>
      </c>
      <c r="DT9" s="30" t="e">
        <f>+Producción!DV59</f>
        <v>#REF!</v>
      </c>
      <c r="DU9" s="30" t="e">
        <f>+Producción!DW59</f>
        <v>#REF!</v>
      </c>
      <c r="DV9" s="30" t="e">
        <f>+Producción!DX59</f>
        <v>#REF!</v>
      </c>
      <c r="DW9" s="30" t="e">
        <f>+Producción!DY59</f>
        <v>#REF!</v>
      </c>
      <c r="DX9" s="30" t="e">
        <f>+Producción!DZ59</f>
        <v>#REF!</v>
      </c>
      <c r="DY9" s="30" t="e">
        <f>+Producción!EA59</f>
        <v>#REF!</v>
      </c>
      <c r="DZ9" s="30" t="e">
        <f>+Producción!EB59</f>
        <v>#REF!</v>
      </c>
      <c r="EA9" s="30" t="e">
        <f>+Producción!EC59</f>
        <v>#REF!</v>
      </c>
      <c r="EB9" s="30" t="e">
        <f>+Producción!ED59</f>
        <v>#REF!</v>
      </c>
      <c r="EC9" s="30" t="e">
        <f>+Producción!EE59</f>
        <v>#REF!</v>
      </c>
      <c r="ED9" s="30" t="e">
        <f>+Producción!EF59</f>
        <v>#REF!</v>
      </c>
      <c r="EE9" s="30" t="e">
        <f>+Producción!EG59</f>
        <v>#REF!</v>
      </c>
      <c r="EF9" s="30" t="e">
        <f>+Producción!EH59</f>
        <v>#REF!</v>
      </c>
      <c r="EG9" s="30" t="e">
        <f>+Producción!EI59</f>
        <v>#REF!</v>
      </c>
      <c r="EH9" s="30" t="e">
        <f>+Producción!EJ59</f>
        <v>#REF!</v>
      </c>
      <c r="EI9" s="30" t="e">
        <f>+Producción!EK59</f>
        <v>#REF!</v>
      </c>
      <c r="EJ9" s="30" t="e">
        <f>+Producción!EL59</f>
        <v>#REF!</v>
      </c>
      <c r="EK9" s="30" t="e">
        <f>+Producción!EM59</f>
        <v>#REF!</v>
      </c>
      <c r="EL9" s="30" t="e">
        <f>+Producción!EN59</f>
        <v>#REF!</v>
      </c>
      <c r="EM9" s="30" t="e">
        <f>+Producción!EO59</f>
        <v>#REF!</v>
      </c>
      <c r="EN9" s="30" t="e">
        <f>+Producción!EP59</f>
        <v>#REF!</v>
      </c>
      <c r="EO9" s="30" t="e">
        <f>+Producción!EQ59</f>
        <v>#REF!</v>
      </c>
      <c r="EP9" s="30" t="e">
        <f>+Producción!ER59</f>
        <v>#REF!</v>
      </c>
      <c r="EQ9" s="30" t="e">
        <f>+Producción!ES59</f>
        <v>#REF!</v>
      </c>
      <c r="ER9" s="30" t="e">
        <f>+Producción!ET59</f>
        <v>#REF!</v>
      </c>
      <c r="ES9" s="30" t="e">
        <f>+Producción!EU59</f>
        <v>#REF!</v>
      </c>
      <c r="ET9" s="30" t="e">
        <f>+Producción!EV59</f>
        <v>#REF!</v>
      </c>
      <c r="EU9" s="30" t="e">
        <f>+Producción!EW59</f>
        <v>#REF!</v>
      </c>
      <c r="EV9" s="30" t="e">
        <f>+Producción!EX59</f>
        <v>#REF!</v>
      </c>
      <c r="EW9" s="30" t="e">
        <f>+Producción!EY59</f>
        <v>#REF!</v>
      </c>
      <c r="EX9" s="30" t="e">
        <f>+Producción!EZ59</f>
        <v>#REF!</v>
      </c>
      <c r="EY9" s="30" t="e">
        <f>+Producción!FA59</f>
        <v>#REF!</v>
      </c>
      <c r="EZ9" s="30" t="e">
        <f>+Producción!FB59</f>
        <v>#REF!</v>
      </c>
      <c r="FA9" s="30" t="e">
        <f>+Producción!FC59</f>
        <v>#REF!</v>
      </c>
      <c r="FB9" s="30" t="e">
        <f>+Producción!FD59</f>
        <v>#REF!</v>
      </c>
      <c r="FC9" s="30" t="e">
        <f>+Producción!FE59</f>
        <v>#REF!</v>
      </c>
      <c r="FD9" s="30" t="e">
        <f>+Producción!FF59</f>
        <v>#REF!</v>
      </c>
      <c r="FE9" s="30" t="e">
        <f>+Producción!FG59</f>
        <v>#REF!</v>
      </c>
      <c r="FF9" s="30" t="e">
        <f>+Producción!FH59</f>
        <v>#REF!</v>
      </c>
      <c r="FG9" s="30" t="e">
        <f>+Producción!FI59</f>
        <v>#REF!</v>
      </c>
      <c r="FH9" s="30" t="e">
        <f>+Producción!FJ59</f>
        <v>#REF!</v>
      </c>
      <c r="FI9" s="30" t="e">
        <f>+Producción!FK59</f>
        <v>#REF!</v>
      </c>
      <c r="FJ9" s="30" t="e">
        <f>+Producción!FL59</f>
        <v>#REF!</v>
      </c>
      <c r="FK9" s="30" t="e">
        <f>+Producción!FM59</f>
        <v>#REF!</v>
      </c>
      <c r="FL9" s="30" t="e">
        <f>+Producción!FN59</f>
        <v>#REF!</v>
      </c>
      <c r="FM9" s="30" t="e">
        <f>+Producción!FO59</f>
        <v>#REF!</v>
      </c>
      <c r="FN9" s="30" t="e">
        <f>+Producción!FP59</f>
        <v>#REF!</v>
      </c>
      <c r="FO9" s="30" t="e">
        <f>+Producción!FQ59</f>
        <v>#REF!</v>
      </c>
      <c r="FP9" s="30" t="e">
        <f>+Producción!FR59</f>
        <v>#REF!</v>
      </c>
      <c r="FQ9" s="30" t="e">
        <f>+Producción!FS59</f>
        <v>#REF!</v>
      </c>
      <c r="FR9" s="30" t="e">
        <f>+Producción!FT59</f>
        <v>#REF!</v>
      </c>
      <c r="FS9" s="30" t="e">
        <f>+Producción!FU59</f>
        <v>#REF!</v>
      </c>
      <c r="FT9" s="30" t="e">
        <f>+Producción!FV59</f>
        <v>#REF!</v>
      </c>
      <c r="FU9" s="30" t="e">
        <f>+Producción!FW59</f>
        <v>#REF!</v>
      </c>
      <c r="FV9" s="30" t="e">
        <f>+Producción!FX59</f>
        <v>#REF!</v>
      </c>
      <c r="FW9" s="30" t="e">
        <f>+Producción!FY59</f>
        <v>#REF!</v>
      </c>
      <c r="FX9" s="30" t="e">
        <f>+Producción!FZ59</f>
        <v>#REF!</v>
      </c>
      <c r="FY9" s="30" t="e">
        <f>+Producción!GA59</f>
        <v>#REF!</v>
      </c>
      <c r="FZ9" s="30" t="e">
        <f>+Producción!GB59</f>
        <v>#REF!</v>
      </c>
      <c r="GA9" s="30" t="e">
        <f>+Producción!GC59</f>
        <v>#REF!</v>
      </c>
      <c r="GB9" s="30" t="e">
        <f>+Producción!GD59</f>
        <v>#REF!</v>
      </c>
      <c r="GC9" s="30" t="e">
        <f>+Producción!GE59</f>
        <v>#REF!</v>
      </c>
      <c r="GD9" s="30" t="e">
        <f>+Producción!GF59</f>
        <v>#REF!</v>
      </c>
      <c r="GE9" s="30" t="e">
        <f>+Producción!GG59</f>
        <v>#REF!</v>
      </c>
      <c r="GF9" s="30" t="e">
        <f>+Producción!GH59</f>
        <v>#REF!</v>
      </c>
      <c r="GG9" s="30" t="e">
        <f>+Producción!GI59</f>
        <v>#REF!</v>
      </c>
      <c r="GH9" s="30" t="e">
        <f>+Producción!GJ59</f>
        <v>#REF!</v>
      </c>
      <c r="GI9" s="30" t="e">
        <f>+Producción!GK59</f>
        <v>#REF!</v>
      </c>
      <c r="GJ9" s="30" t="e">
        <f>+Producción!GL59</f>
        <v>#REF!</v>
      </c>
      <c r="GK9" s="30" t="e">
        <f>+Producción!GM59</f>
        <v>#REF!</v>
      </c>
      <c r="GL9" s="30" t="e">
        <f>+Producción!GN59</f>
        <v>#REF!</v>
      </c>
      <c r="GM9" s="30" t="e">
        <f>+Producción!GO59</f>
        <v>#REF!</v>
      </c>
      <c r="GN9" s="30" t="e">
        <f>+Producción!GP59</f>
        <v>#REF!</v>
      </c>
      <c r="GO9" s="30" t="e">
        <f>+Producción!GQ59</f>
        <v>#REF!</v>
      </c>
      <c r="GP9" s="30" t="e">
        <f>+Producción!GR59</f>
        <v>#REF!</v>
      </c>
      <c r="GQ9" s="30" t="e">
        <f>+Producción!GS59</f>
        <v>#REF!</v>
      </c>
      <c r="GR9" s="30" t="e">
        <f>+Producción!GT59</f>
        <v>#REF!</v>
      </c>
      <c r="GS9" s="30" t="e">
        <f>+Producción!GU59</f>
        <v>#REF!</v>
      </c>
      <c r="GT9" s="30" t="e">
        <f>+Producción!GV59</f>
        <v>#REF!</v>
      </c>
      <c r="GU9" s="30" t="e">
        <f>+Producción!GW59</f>
        <v>#REF!</v>
      </c>
      <c r="GV9" s="30" t="e">
        <f>+Producción!GX59</f>
        <v>#REF!</v>
      </c>
      <c r="GW9" s="30" t="e">
        <f>+Producción!GY59</f>
        <v>#REF!</v>
      </c>
      <c r="GX9" s="30" t="e">
        <f>+Producción!GZ59</f>
        <v>#REF!</v>
      </c>
      <c r="GY9" s="30" t="e">
        <f>+Producción!HA59</f>
        <v>#REF!</v>
      </c>
      <c r="GZ9" s="30" t="e">
        <f>+Producción!HB59</f>
        <v>#REF!</v>
      </c>
      <c r="HA9" s="30" t="e">
        <f>+Producción!HC59</f>
        <v>#REF!</v>
      </c>
      <c r="HB9" s="30" t="e">
        <f>+Producción!HD59</f>
        <v>#REF!</v>
      </c>
      <c r="HC9" s="30" t="e">
        <f>+Producción!HE59</f>
        <v>#REF!</v>
      </c>
      <c r="HD9" s="30" t="e">
        <f>+Producción!HF59</f>
        <v>#REF!</v>
      </c>
      <c r="HE9" s="30" t="e">
        <f>+Producción!HG59</f>
        <v>#REF!</v>
      </c>
      <c r="HF9" s="30" t="e">
        <f>+Producción!HH59</f>
        <v>#REF!</v>
      </c>
      <c r="HG9" s="30" t="e">
        <f>+Producción!HI59</f>
        <v>#REF!</v>
      </c>
      <c r="HH9" s="30" t="e">
        <f>+Producción!HJ59</f>
        <v>#REF!</v>
      </c>
      <c r="HI9" s="30" t="e">
        <f>+Producción!HK59</f>
        <v>#REF!</v>
      </c>
      <c r="HJ9" s="30" t="e">
        <f>+Producción!HL59</f>
        <v>#REF!</v>
      </c>
      <c r="HK9" s="30" t="e">
        <f>+Producción!HM59</f>
        <v>#REF!</v>
      </c>
      <c r="HL9" s="30" t="e">
        <f>+Producción!HN59</f>
        <v>#REF!</v>
      </c>
      <c r="HM9" s="30" t="e">
        <f>+Producción!HO59</f>
        <v>#REF!</v>
      </c>
      <c r="HN9" s="30" t="e">
        <f>+Producción!HP59</f>
        <v>#REF!</v>
      </c>
      <c r="HO9" s="30" t="e">
        <f>+Producción!HQ59</f>
        <v>#REF!</v>
      </c>
      <c r="HP9" s="30" t="e">
        <f>+Producción!HR59</f>
        <v>#REF!</v>
      </c>
      <c r="HQ9" s="30" t="e">
        <f>+Producción!HS59</f>
        <v>#REF!</v>
      </c>
      <c r="HR9" s="30" t="e">
        <f>+Producción!HT59</f>
        <v>#REF!</v>
      </c>
      <c r="HS9" s="30" t="e">
        <f>+Producción!HU59</f>
        <v>#REF!</v>
      </c>
      <c r="HT9" s="30" t="e">
        <f>+Producción!HV59</f>
        <v>#REF!</v>
      </c>
      <c r="HU9" s="30" t="e">
        <f>+Producción!HW59</f>
        <v>#REF!</v>
      </c>
      <c r="HV9" s="30" t="e">
        <f>+Producción!HX59</f>
        <v>#REF!</v>
      </c>
      <c r="HW9" s="30" t="e">
        <f>+Producción!HY59</f>
        <v>#REF!</v>
      </c>
      <c r="HX9" s="30" t="e">
        <f>+Producción!HZ59</f>
        <v>#REF!</v>
      </c>
      <c r="HY9" s="30" t="e">
        <f>+Producción!IA59</f>
        <v>#REF!</v>
      </c>
      <c r="HZ9" s="30" t="e">
        <f>+Producción!IB59</f>
        <v>#REF!</v>
      </c>
      <c r="IA9" s="30" t="e">
        <f>+Producción!IC59</f>
        <v>#REF!</v>
      </c>
      <c r="IB9" s="30" t="e">
        <f>+Producción!ID59</f>
        <v>#REF!</v>
      </c>
      <c r="IC9" s="30" t="e">
        <f>+Producción!IE59</f>
        <v>#REF!</v>
      </c>
      <c r="ID9" s="30" t="e">
        <f>+Producción!IF59</f>
        <v>#REF!</v>
      </c>
      <c r="IE9" s="30" t="e">
        <f>+Producción!IG59</f>
        <v>#REF!</v>
      </c>
      <c r="IF9" s="30" t="e">
        <f>+Producción!IH59</f>
        <v>#REF!</v>
      </c>
      <c r="IG9" s="30" t="e">
        <f>+Producción!II59</f>
        <v>#REF!</v>
      </c>
      <c r="IH9" s="30" t="e">
        <f>+Producción!IJ59</f>
        <v>#REF!</v>
      </c>
    </row>
    <row r="10" spans="1:242" x14ac:dyDescent="0.3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</row>
    <row r="12" spans="1:242" x14ac:dyDescent="0.3">
      <c r="A12" t="s">
        <v>922</v>
      </c>
      <c r="B12" s="33" t="e">
        <f>+B8-B9</f>
        <v>#REF!</v>
      </c>
      <c r="C12" s="33" t="e">
        <f>+C8-C9</f>
        <v>#REF!</v>
      </c>
      <c r="D12" s="33" t="e">
        <f t="shared" ref="D12:BO12" si="8">+D8-D9</f>
        <v>#REF!</v>
      </c>
      <c r="E12" s="33" t="e">
        <f t="shared" si="8"/>
        <v>#REF!</v>
      </c>
      <c r="F12" s="33" t="e">
        <f>+F8-F9</f>
        <v>#REF!</v>
      </c>
      <c r="G12" s="33" t="e">
        <f t="shared" si="8"/>
        <v>#REF!</v>
      </c>
      <c r="H12" s="33" t="e">
        <f t="shared" si="8"/>
        <v>#REF!</v>
      </c>
      <c r="I12" s="33" t="e">
        <f>+I8-I9</f>
        <v>#REF!</v>
      </c>
      <c r="J12" s="33" t="e">
        <f t="shared" ca="1" si="8"/>
        <v>#REF!</v>
      </c>
      <c r="K12" s="33" t="e">
        <f t="shared" ca="1" si="8"/>
        <v>#REF!</v>
      </c>
      <c r="L12" s="33" t="e">
        <f t="shared" ca="1" si="8"/>
        <v>#REF!</v>
      </c>
      <c r="M12" s="33" t="e">
        <f t="shared" ca="1" si="8"/>
        <v>#REF!</v>
      </c>
      <c r="N12" s="33" t="e">
        <f t="shared" ca="1" si="8"/>
        <v>#REF!</v>
      </c>
      <c r="O12" s="33" t="e">
        <f t="shared" ca="1" si="8"/>
        <v>#REF!</v>
      </c>
      <c r="P12" s="33" t="e">
        <f t="shared" ca="1" si="8"/>
        <v>#REF!</v>
      </c>
      <c r="Q12" s="33" t="e">
        <f t="shared" ca="1" si="8"/>
        <v>#REF!</v>
      </c>
      <c r="R12" s="33" t="e">
        <f t="shared" ca="1" si="8"/>
        <v>#REF!</v>
      </c>
      <c r="S12" s="33" t="e">
        <f t="shared" ca="1" si="8"/>
        <v>#REF!</v>
      </c>
      <c r="T12" s="33" t="e">
        <f t="shared" ca="1" si="8"/>
        <v>#REF!</v>
      </c>
      <c r="U12" s="33" t="e">
        <f t="shared" ca="1" si="8"/>
        <v>#REF!</v>
      </c>
      <c r="V12" s="33" t="e">
        <f t="shared" ca="1" si="8"/>
        <v>#REF!</v>
      </c>
      <c r="W12" s="33" t="e">
        <f t="shared" ca="1" si="8"/>
        <v>#REF!</v>
      </c>
      <c r="X12" s="33" t="e">
        <f t="shared" ca="1" si="8"/>
        <v>#REF!</v>
      </c>
      <c r="Y12" s="33" t="e">
        <f t="shared" ca="1" si="8"/>
        <v>#REF!</v>
      </c>
      <c r="Z12" s="33" t="e">
        <f t="shared" ca="1" si="8"/>
        <v>#REF!</v>
      </c>
      <c r="AA12" s="33" t="e">
        <f t="shared" ca="1" si="8"/>
        <v>#REF!</v>
      </c>
      <c r="AB12" s="33" t="e">
        <f t="shared" ca="1" si="8"/>
        <v>#REF!</v>
      </c>
      <c r="AC12" s="33" t="e">
        <f t="shared" ca="1" si="8"/>
        <v>#REF!</v>
      </c>
      <c r="AD12" s="33" t="e">
        <f t="shared" ca="1" si="8"/>
        <v>#REF!</v>
      </c>
      <c r="AE12" s="33" t="e">
        <f t="shared" ca="1" si="8"/>
        <v>#REF!</v>
      </c>
      <c r="AF12" s="33" t="e">
        <f t="shared" ca="1" si="8"/>
        <v>#REF!</v>
      </c>
      <c r="AG12" s="33" t="e">
        <f t="shared" ca="1" si="8"/>
        <v>#REF!</v>
      </c>
      <c r="AH12" s="33" t="e">
        <f t="shared" ca="1" si="8"/>
        <v>#REF!</v>
      </c>
      <c r="AI12" s="33" t="e">
        <f t="shared" ca="1" si="8"/>
        <v>#REF!</v>
      </c>
      <c r="AJ12" s="33" t="e">
        <f t="shared" ca="1" si="8"/>
        <v>#REF!</v>
      </c>
      <c r="AK12" s="33" t="e">
        <f t="shared" ca="1" si="8"/>
        <v>#REF!</v>
      </c>
      <c r="AL12" s="33" t="e">
        <f t="shared" ca="1" si="8"/>
        <v>#REF!</v>
      </c>
      <c r="AM12" s="33" t="e">
        <f t="shared" ca="1" si="8"/>
        <v>#REF!</v>
      </c>
      <c r="AN12" s="33" t="e">
        <f t="shared" ca="1" si="8"/>
        <v>#REF!</v>
      </c>
      <c r="AO12" s="33" t="e">
        <f t="shared" ca="1" si="8"/>
        <v>#REF!</v>
      </c>
      <c r="AP12" s="33" t="e">
        <f t="shared" ca="1" si="8"/>
        <v>#REF!</v>
      </c>
      <c r="AQ12" s="33" t="e">
        <f t="shared" ca="1" si="8"/>
        <v>#REF!</v>
      </c>
      <c r="AR12" s="33" t="e">
        <f t="shared" ca="1" si="8"/>
        <v>#REF!</v>
      </c>
      <c r="AS12" s="33" t="e">
        <f t="shared" ca="1" si="8"/>
        <v>#REF!</v>
      </c>
      <c r="AT12" s="33" t="e">
        <f t="shared" ca="1" si="8"/>
        <v>#REF!</v>
      </c>
      <c r="AU12" s="33" t="e">
        <f t="shared" ca="1" si="8"/>
        <v>#REF!</v>
      </c>
      <c r="AV12" s="33" t="e">
        <f t="shared" ca="1" si="8"/>
        <v>#REF!</v>
      </c>
      <c r="AW12" s="33" t="e">
        <f t="shared" ca="1" si="8"/>
        <v>#REF!</v>
      </c>
      <c r="AX12" s="33" t="e">
        <f t="shared" ca="1" si="8"/>
        <v>#REF!</v>
      </c>
      <c r="AY12" s="33" t="e">
        <f t="shared" ca="1" si="8"/>
        <v>#REF!</v>
      </c>
      <c r="AZ12" s="33" t="e">
        <f t="shared" ca="1" si="8"/>
        <v>#REF!</v>
      </c>
      <c r="BA12" s="33" t="e">
        <f t="shared" ca="1" si="8"/>
        <v>#REF!</v>
      </c>
      <c r="BB12" s="33" t="e">
        <f t="shared" ca="1" si="8"/>
        <v>#REF!</v>
      </c>
      <c r="BC12" s="33" t="e">
        <f t="shared" ca="1" si="8"/>
        <v>#REF!</v>
      </c>
      <c r="BD12" s="33" t="e">
        <f t="shared" ca="1" si="8"/>
        <v>#REF!</v>
      </c>
      <c r="BE12" s="33" t="e">
        <f t="shared" ca="1" si="8"/>
        <v>#REF!</v>
      </c>
      <c r="BF12" s="33" t="e">
        <f t="shared" ca="1" si="8"/>
        <v>#REF!</v>
      </c>
      <c r="BG12" s="33" t="e">
        <f t="shared" ca="1" si="8"/>
        <v>#REF!</v>
      </c>
      <c r="BH12" s="33" t="e">
        <f t="shared" ca="1" si="8"/>
        <v>#REF!</v>
      </c>
      <c r="BI12" s="33" t="e">
        <f t="shared" ca="1" si="8"/>
        <v>#REF!</v>
      </c>
      <c r="BJ12" s="33" t="e">
        <f t="shared" ca="1" si="8"/>
        <v>#REF!</v>
      </c>
      <c r="BK12" s="33" t="e">
        <f t="shared" ca="1" si="8"/>
        <v>#REF!</v>
      </c>
      <c r="BL12" s="33" t="e">
        <f t="shared" ca="1" si="8"/>
        <v>#REF!</v>
      </c>
      <c r="BM12" s="33" t="e">
        <f t="shared" ca="1" si="8"/>
        <v>#REF!</v>
      </c>
      <c r="BN12" s="33" t="e">
        <f t="shared" ca="1" si="8"/>
        <v>#REF!</v>
      </c>
      <c r="BO12" s="33" t="e">
        <f t="shared" ca="1" si="8"/>
        <v>#REF!</v>
      </c>
      <c r="BP12" s="33" t="e">
        <f t="shared" ref="BP12:DR12" ca="1" si="9">+BP8-BP9</f>
        <v>#REF!</v>
      </c>
      <c r="BQ12" s="33" t="e">
        <f t="shared" ca="1" si="9"/>
        <v>#REF!</v>
      </c>
      <c r="BR12" s="33" t="e">
        <f t="shared" ca="1" si="9"/>
        <v>#REF!</v>
      </c>
      <c r="BS12" s="33" t="e">
        <f t="shared" ca="1" si="9"/>
        <v>#REF!</v>
      </c>
      <c r="BT12" s="33" t="e">
        <f t="shared" ca="1" si="9"/>
        <v>#REF!</v>
      </c>
      <c r="BU12" s="33" t="e">
        <f t="shared" ca="1" si="9"/>
        <v>#REF!</v>
      </c>
      <c r="BV12" s="33" t="e">
        <f t="shared" ca="1" si="9"/>
        <v>#REF!</v>
      </c>
      <c r="BW12" s="33" t="e">
        <f t="shared" ca="1" si="9"/>
        <v>#REF!</v>
      </c>
      <c r="BX12" s="33" t="e">
        <f t="shared" ca="1" si="9"/>
        <v>#REF!</v>
      </c>
      <c r="BY12" s="33" t="e">
        <f t="shared" ca="1" si="9"/>
        <v>#REF!</v>
      </c>
      <c r="BZ12" s="33" t="e">
        <f t="shared" ca="1" si="9"/>
        <v>#REF!</v>
      </c>
      <c r="CA12" s="33" t="e">
        <f t="shared" ca="1" si="9"/>
        <v>#REF!</v>
      </c>
      <c r="CB12" s="33" t="e">
        <f t="shared" ca="1" si="9"/>
        <v>#REF!</v>
      </c>
      <c r="CC12" s="33" t="e">
        <f t="shared" ca="1" si="9"/>
        <v>#REF!</v>
      </c>
      <c r="CD12" s="33" t="e">
        <f t="shared" ca="1" si="9"/>
        <v>#REF!</v>
      </c>
      <c r="CE12" s="33" t="e">
        <f t="shared" ca="1" si="9"/>
        <v>#REF!</v>
      </c>
      <c r="CF12" s="33" t="e">
        <f t="shared" ca="1" si="9"/>
        <v>#REF!</v>
      </c>
      <c r="CG12" s="33" t="e">
        <f t="shared" ca="1" si="9"/>
        <v>#REF!</v>
      </c>
      <c r="CH12" s="33" t="e">
        <f t="shared" ca="1" si="9"/>
        <v>#REF!</v>
      </c>
      <c r="CI12" s="33" t="e">
        <f t="shared" ca="1" si="9"/>
        <v>#REF!</v>
      </c>
      <c r="CJ12" s="33" t="e">
        <f t="shared" ca="1" si="9"/>
        <v>#REF!</v>
      </c>
      <c r="CK12" s="33" t="e">
        <f t="shared" ca="1" si="9"/>
        <v>#REF!</v>
      </c>
      <c r="CL12" s="33" t="e">
        <f t="shared" ca="1" si="9"/>
        <v>#REF!</v>
      </c>
      <c r="CM12" s="33" t="e">
        <f t="shared" ca="1" si="9"/>
        <v>#REF!</v>
      </c>
      <c r="CN12" s="33" t="e">
        <f t="shared" ca="1" si="9"/>
        <v>#REF!</v>
      </c>
      <c r="CO12" s="33" t="e">
        <f t="shared" ca="1" si="9"/>
        <v>#REF!</v>
      </c>
      <c r="CP12" s="33" t="e">
        <f t="shared" ca="1" si="9"/>
        <v>#REF!</v>
      </c>
      <c r="CQ12" s="33" t="e">
        <f t="shared" ca="1" si="9"/>
        <v>#REF!</v>
      </c>
      <c r="CR12" s="33" t="e">
        <f t="shared" ca="1" si="9"/>
        <v>#REF!</v>
      </c>
      <c r="CS12" s="33" t="e">
        <f t="shared" ca="1" si="9"/>
        <v>#REF!</v>
      </c>
      <c r="CT12" s="33" t="e">
        <f t="shared" ca="1" si="9"/>
        <v>#REF!</v>
      </c>
      <c r="CU12" s="33" t="e">
        <f t="shared" ca="1" si="9"/>
        <v>#REF!</v>
      </c>
      <c r="CV12" s="33" t="e">
        <f t="shared" ca="1" si="9"/>
        <v>#REF!</v>
      </c>
      <c r="CW12" s="33" t="e">
        <f t="shared" ca="1" si="9"/>
        <v>#REF!</v>
      </c>
      <c r="CX12" s="33" t="e">
        <f t="shared" ca="1" si="9"/>
        <v>#REF!</v>
      </c>
      <c r="CY12" s="33" t="e">
        <f t="shared" ca="1" si="9"/>
        <v>#REF!</v>
      </c>
      <c r="CZ12" s="33" t="e">
        <f t="shared" ca="1" si="9"/>
        <v>#REF!</v>
      </c>
      <c r="DA12" s="33" t="e">
        <f t="shared" ca="1" si="9"/>
        <v>#REF!</v>
      </c>
      <c r="DB12" s="33" t="e">
        <f t="shared" ca="1" si="9"/>
        <v>#REF!</v>
      </c>
      <c r="DC12" s="33" t="e">
        <f t="shared" ca="1" si="9"/>
        <v>#REF!</v>
      </c>
      <c r="DD12" s="33" t="e">
        <f t="shared" ca="1" si="9"/>
        <v>#REF!</v>
      </c>
      <c r="DE12" s="33" t="e">
        <f t="shared" ca="1" si="9"/>
        <v>#REF!</v>
      </c>
      <c r="DF12" s="33" t="e">
        <f t="shared" ca="1" si="9"/>
        <v>#REF!</v>
      </c>
      <c r="DG12" s="33" t="e">
        <f t="shared" ca="1" si="9"/>
        <v>#REF!</v>
      </c>
      <c r="DH12" s="33" t="e">
        <f t="shared" ca="1" si="9"/>
        <v>#REF!</v>
      </c>
      <c r="DI12" s="33" t="e">
        <f t="shared" ca="1" si="9"/>
        <v>#REF!</v>
      </c>
      <c r="DJ12" s="33" t="e">
        <f t="shared" ca="1" si="9"/>
        <v>#REF!</v>
      </c>
      <c r="DK12" s="33" t="e">
        <f t="shared" ca="1" si="9"/>
        <v>#REF!</v>
      </c>
      <c r="DL12" s="33" t="e">
        <f t="shared" ca="1" si="9"/>
        <v>#REF!</v>
      </c>
      <c r="DM12" s="33" t="e">
        <f t="shared" ca="1" si="9"/>
        <v>#REF!</v>
      </c>
      <c r="DN12" s="33" t="e">
        <f t="shared" ca="1" si="9"/>
        <v>#REF!</v>
      </c>
      <c r="DO12" s="33" t="e">
        <f t="shared" ca="1" si="9"/>
        <v>#REF!</v>
      </c>
      <c r="DP12" s="33" t="e">
        <f t="shared" ca="1" si="9"/>
        <v>#REF!</v>
      </c>
      <c r="DQ12" s="33" t="e">
        <f t="shared" ca="1" si="9"/>
        <v>#REF!</v>
      </c>
      <c r="DR12" s="33" t="e">
        <f t="shared" ca="1" si="9"/>
        <v>#REF!</v>
      </c>
      <c r="DS12" s="33" t="e">
        <f ca="1">+DS8-DS9</f>
        <v>#REF!</v>
      </c>
      <c r="DT12" s="33" t="e">
        <f t="shared" ref="DT12:DU12" ca="1" si="10">+DT8-DT9</f>
        <v>#REF!</v>
      </c>
      <c r="DU12" s="33" t="e">
        <f t="shared" ca="1" si="10"/>
        <v>#REF!</v>
      </c>
      <c r="DV12" s="33" t="e">
        <f ca="1">+DV8-DV9</f>
        <v>#REF!</v>
      </c>
      <c r="DW12" s="33" t="e">
        <f t="shared" ref="DW12:DX12" ca="1" si="11">+DW8-DW9</f>
        <v>#REF!</v>
      </c>
      <c r="DX12" s="33" t="e">
        <f t="shared" ca="1" si="11"/>
        <v>#REF!</v>
      </c>
      <c r="DY12" s="33" t="e">
        <f ca="1">+DY8-DY9</f>
        <v>#REF!</v>
      </c>
      <c r="DZ12" s="33" t="e">
        <f t="shared" ref="DZ12:GK12" ca="1" si="12">+DZ8-DZ9</f>
        <v>#REF!</v>
      </c>
      <c r="EA12" s="33" t="e">
        <f t="shared" ca="1" si="12"/>
        <v>#REF!</v>
      </c>
      <c r="EB12" s="33" t="e">
        <f t="shared" ca="1" si="12"/>
        <v>#REF!</v>
      </c>
      <c r="EC12" s="33" t="e">
        <f t="shared" ca="1" si="12"/>
        <v>#REF!</v>
      </c>
      <c r="ED12" s="33" t="e">
        <f t="shared" ca="1" si="12"/>
        <v>#REF!</v>
      </c>
      <c r="EE12" s="33" t="e">
        <f t="shared" ca="1" si="12"/>
        <v>#REF!</v>
      </c>
      <c r="EF12" s="33" t="e">
        <f t="shared" ca="1" si="12"/>
        <v>#REF!</v>
      </c>
      <c r="EG12" s="33" t="e">
        <f t="shared" ca="1" si="12"/>
        <v>#REF!</v>
      </c>
      <c r="EH12" s="33" t="e">
        <f t="shared" ca="1" si="12"/>
        <v>#REF!</v>
      </c>
      <c r="EI12" s="33" t="e">
        <f t="shared" ca="1" si="12"/>
        <v>#REF!</v>
      </c>
      <c r="EJ12" s="33" t="e">
        <f t="shared" ca="1" si="12"/>
        <v>#REF!</v>
      </c>
      <c r="EK12" s="33" t="e">
        <f t="shared" ca="1" si="12"/>
        <v>#REF!</v>
      </c>
      <c r="EL12" s="33" t="e">
        <f t="shared" ca="1" si="12"/>
        <v>#REF!</v>
      </c>
      <c r="EM12" s="33" t="e">
        <f t="shared" ca="1" si="12"/>
        <v>#REF!</v>
      </c>
      <c r="EN12" s="33" t="e">
        <f t="shared" ca="1" si="12"/>
        <v>#REF!</v>
      </c>
      <c r="EO12" s="33" t="e">
        <f t="shared" ca="1" si="12"/>
        <v>#REF!</v>
      </c>
      <c r="EP12" s="33" t="e">
        <f t="shared" ca="1" si="12"/>
        <v>#REF!</v>
      </c>
      <c r="EQ12" s="33" t="e">
        <f t="shared" ca="1" si="12"/>
        <v>#REF!</v>
      </c>
      <c r="ER12" s="33" t="e">
        <f t="shared" ca="1" si="12"/>
        <v>#REF!</v>
      </c>
      <c r="ES12" s="33" t="e">
        <f t="shared" ca="1" si="12"/>
        <v>#REF!</v>
      </c>
      <c r="ET12" s="33" t="e">
        <f t="shared" ca="1" si="12"/>
        <v>#REF!</v>
      </c>
      <c r="EU12" s="33" t="e">
        <f t="shared" ca="1" si="12"/>
        <v>#REF!</v>
      </c>
      <c r="EV12" s="33" t="e">
        <f t="shared" ca="1" si="12"/>
        <v>#REF!</v>
      </c>
      <c r="EW12" s="33" t="e">
        <f t="shared" ca="1" si="12"/>
        <v>#REF!</v>
      </c>
      <c r="EX12" s="33" t="e">
        <f t="shared" ca="1" si="12"/>
        <v>#REF!</v>
      </c>
      <c r="EY12" s="33" t="e">
        <f t="shared" ca="1" si="12"/>
        <v>#REF!</v>
      </c>
      <c r="EZ12" s="33" t="e">
        <f t="shared" ca="1" si="12"/>
        <v>#REF!</v>
      </c>
      <c r="FA12" s="33" t="e">
        <f t="shared" ca="1" si="12"/>
        <v>#REF!</v>
      </c>
      <c r="FB12" s="33" t="e">
        <f t="shared" ca="1" si="12"/>
        <v>#REF!</v>
      </c>
      <c r="FC12" s="33" t="e">
        <f t="shared" ca="1" si="12"/>
        <v>#REF!</v>
      </c>
      <c r="FD12" s="33" t="e">
        <f t="shared" ca="1" si="12"/>
        <v>#REF!</v>
      </c>
      <c r="FE12" s="33" t="e">
        <f t="shared" ca="1" si="12"/>
        <v>#REF!</v>
      </c>
      <c r="FF12" s="33" t="e">
        <f t="shared" ca="1" si="12"/>
        <v>#REF!</v>
      </c>
      <c r="FG12" s="33" t="e">
        <f t="shared" ca="1" si="12"/>
        <v>#REF!</v>
      </c>
      <c r="FH12" s="33" t="e">
        <f t="shared" ca="1" si="12"/>
        <v>#REF!</v>
      </c>
      <c r="FI12" s="33" t="e">
        <f t="shared" ca="1" si="12"/>
        <v>#REF!</v>
      </c>
      <c r="FJ12" s="33" t="e">
        <f t="shared" ca="1" si="12"/>
        <v>#REF!</v>
      </c>
      <c r="FK12" s="33" t="e">
        <f t="shared" ca="1" si="12"/>
        <v>#REF!</v>
      </c>
      <c r="FL12" s="33" t="e">
        <f t="shared" ca="1" si="12"/>
        <v>#REF!</v>
      </c>
      <c r="FM12" s="33" t="e">
        <f t="shared" ca="1" si="12"/>
        <v>#REF!</v>
      </c>
      <c r="FN12" s="33" t="e">
        <f t="shared" ca="1" si="12"/>
        <v>#REF!</v>
      </c>
      <c r="FO12" s="33" t="e">
        <f t="shared" ca="1" si="12"/>
        <v>#REF!</v>
      </c>
      <c r="FP12" s="33" t="e">
        <f t="shared" ca="1" si="12"/>
        <v>#REF!</v>
      </c>
      <c r="FQ12" s="33" t="e">
        <f t="shared" ca="1" si="12"/>
        <v>#REF!</v>
      </c>
      <c r="FR12" s="33" t="e">
        <f t="shared" ca="1" si="12"/>
        <v>#REF!</v>
      </c>
      <c r="FS12" s="33" t="e">
        <f t="shared" ca="1" si="12"/>
        <v>#REF!</v>
      </c>
      <c r="FT12" s="33" t="e">
        <f t="shared" ca="1" si="12"/>
        <v>#REF!</v>
      </c>
      <c r="FU12" s="33" t="e">
        <f t="shared" ca="1" si="12"/>
        <v>#REF!</v>
      </c>
      <c r="FV12" s="33" t="e">
        <f t="shared" ca="1" si="12"/>
        <v>#REF!</v>
      </c>
      <c r="FW12" s="33" t="e">
        <f t="shared" ca="1" si="12"/>
        <v>#REF!</v>
      </c>
      <c r="FX12" s="33" t="e">
        <f t="shared" ca="1" si="12"/>
        <v>#REF!</v>
      </c>
      <c r="FY12" s="33" t="e">
        <f t="shared" ca="1" si="12"/>
        <v>#REF!</v>
      </c>
      <c r="FZ12" s="33" t="e">
        <f t="shared" ca="1" si="12"/>
        <v>#REF!</v>
      </c>
      <c r="GA12" s="33" t="e">
        <f t="shared" ca="1" si="12"/>
        <v>#REF!</v>
      </c>
      <c r="GB12" s="33" t="e">
        <f t="shared" ca="1" si="12"/>
        <v>#REF!</v>
      </c>
      <c r="GC12" s="33" t="e">
        <f t="shared" ca="1" si="12"/>
        <v>#REF!</v>
      </c>
      <c r="GD12" s="33" t="e">
        <f t="shared" ca="1" si="12"/>
        <v>#REF!</v>
      </c>
      <c r="GE12" s="33" t="e">
        <f t="shared" ca="1" si="12"/>
        <v>#REF!</v>
      </c>
      <c r="GF12" s="33" t="e">
        <f t="shared" ca="1" si="12"/>
        <v>#REF!</v>
      </c>
      <c r="GG12" s="33" t="e">
        <f t="shared" ca="1" si="12"/>
        <v>#REF!</v>
      </c>
      <c r="GH12" s="33" t="e">
        <f t="shared" ca="1" si="12"/>
        <v>#REF!</v>
      </c>
      <c r="GI12" s="33" t="e">
        <f t="shared" ca="1" si="12"/>
        <v>#REF!</v>
      </c>
      <c r="GJ12" s="33" t="e">
        <f t="shared" ca="1" si="12"/>
        <v>#REF!</v>
      </c>
      <c r="GK12" s="33" t="e">
        <f t="shared" ca="1" si="12"/>
        <v>#REF!</v>
      </c>
      <c r="GL12" s="33" t="e">
        <f t="shared" ref="GL12:IH12" ca="1" si="13">+GL8-GL9</f>
        <v>#REF!</v>
      </c>
      <c r="GM12" s="33" t="e">
        <f t="shared" ca="1" si="13"/>
        <v>#REF!</v>
      </c>
      <c r="GN12" s="33" t="e">
        <f t="shared" ca="1" si="13"/>
        <v>#REF!</v>
      </c>
      <c r="GO12" s="33" t="e">
        <f t="shared" ca="1" si="13"/>
        <v>#REF!</v>
      </c>
      <c r="GP12" s="33" t="e">
        <f t="shared" ca="1" si="13"/>
        <v>#REF!</v>
      </c>
      <c r="GQ12" s="33" t="e">
        <f t="shared" ca="1" si="13"/>
        <v>#REF!</v>
      </c>
      <c r="GR12" s="33" t="e">
        <f t="shared" ca="1" si="13"/>
        <v>#REF!</v>
      </c>
      <c r="GS12" s="33" t="e">
        <f t="shared" ca="1" si="13"/>
        <v>#REF!</v>
      </c>
      <c r="GT12" s="33" t="e">
        <f t="shared" ca="1" si="13"/>
        <v>#REF!</v>
      </c>
      <c r="GU12" s="33" t="e">
        <f t="shared" ca="1" si="13"/>
        <v>#REF!</v>
      </c>
      <c r="GV12" s="33" t="e">
        <f t="shared" ca="1" si="13"/>
        <v>#REF!</v>
      </c>
      <c r="GW12" s="33" t="e">
        <f t="shared" ca="1" si="13"/>
        <v>#REF!</v>
      </c>
      <c r="GX12" s="33" t="e">
        <f t="shared" ca="1" si="13"/>
        <v>#REF!</v>
      </c>
      <c r="GY12" s="33" t="e">
        <f t="shared" ca="1" si="13"/>
        <v>#REF!</v>
      </c>
      <c r="GZ12" s="33" t="e">
        <f t="shared" ca="1" si="13"/>
        <v>#REF!</v>
      </c>
      <c r="HA12" s="33" t="e">
        <f t="shared" ca="1" si="13"/>
        <v>#REF!</v>
      </c>
      <c r="HB12" s="33" t="e">
        <f t="shared" ca="1" si="13"/>
        <v>#REF!</v>
      </c>
      <c r="HC12" s="33" t="e">
        <f t="shared" ca="1" si="13"/>
        <v>#REF!</v>
      </c>
      <c r="HD12" s="33" t="e">
        <f t="shared" ca="1" si="13"/>
        <v>#REF!</v>
      </c>
      <c r="HE12" s="33" t="e">
        <f t="shared" ca="1" si="13"/>
        <v>#REF!</v>
      </c>
      <c r="HF12" s="33" t="e">
        <f t="shared" ca="1" si="13"/>
        <v>#REF!</v>
      </c>
      <c r="HG12" s="33" t="e">
        <f t="shared" ca="1" si="13"/>
        <v>#REF!</v>
      </c>
      <c r="HH12" s="33" t="e">
        <f t="shared" ca="1" si="13"/>
        <v>#REF!</v>
      </c>
      <c r="HI12" s="33" t="e">
        <f t="shared" ca="1" si="13"/>
        <v>#REF!</v>
      </c>
      <c r="HJ12" s="33" t="e">
        <f t="shared" ca="1" si="13"/>
        <v>#REF!</v>
      </c>
      <c r="HK12" s="33" t="e">
        <f t="shared" ca="1" si="13"/>
        <v>#REF!</v>
      </c>
      <c r="HL12" s="33" t="e">
        <f t="shared" ca="1" si="13"/>
        <v>#REF!</v>
      </c>
      <c r="HM12" s="33" t="e">
        <f t="shared" ca="1" si="13"/>
        <v>#REF!</v>
      </c>
      <c r="HN12" s="33" t="e">
        <f t="shared" ca="1" si="13"/>
        <v>#REF!</v>
      </c>
      <c r="HO12" s="33" t="e">
        <f t="shared" ca="1" si="13"/>
        <v>#REF!</v>
      </c>
      <c r="HP12" s="33" t="e">
        <f t="shared" ca="1" si="13"/>
        <v>#REF!</v>
      </c>
      <c r="HQ12" s="33" t="e">
        <f t="shared" ca="1" si="13"/>
        <v>#REF!</v>
      </c>
      <c r="HR12" s="33" t="e">
        <f t="shared" ca="1" si="13"/>
        <v>#REF!</v>
      </c>
      <c r="HS12" s="33" t="e">
        <f t="shared" ca="1" si="13"/>
        <v>#REF!</v>
      </c>
      <c r="HT12" s="33" t="e">
        <f t="shared" ca="1" si="13"/>
        <v>#REF!</v>
      </c>
      <c r="HU12" s="33" t="e">
        <f t="shared" ca="1" si="13"/>
        <v>#REF!</v>
      </c>
      <c r="HV12" s="33" t="e">
        <f t="shared" ca="1" si="13"/>
        <v>#REF!</v>
      </c>
      <c r="HW12" s="33" t="e">
        <f t="shared" ca="1" si="13"/>
        <v>#REF!</v>
      </c>
      <c r="HX12" s="33" t="e">
        <f t="shared" ca="1" si="13"/>
        <v>#REF!</v>
      </c>
      <c r="HY12" s="33" t="e">
        <f t="shared" ca="1" si="13"/>
        <v>#REF!</v>
      </c>
      <c r="HZ12" s="33" t="e">
        <f t="shared" ca="1" si="13"/>
        <v>#REF!</v>
      </c>
      <c r="IA12" s="33" t="e">
        <f t="shared" ca="1" si="13"/>
        <v>#REF!</v>
      </c>
      <c r="IB12" s="33" t="e">
        <f t="shared" ca="1" si="13"/>
        <v>#REF!</v>
      </c>
      <c r="IC12" s="33" t="e">
        <f t="shared" ca="1" si="13"/>
        <v>#REF!</v>
      </c>
      <c r="ID12" s="33" t="e">
        <f t="shared" ca="1" si="13"/>
        <v>#REF!</v>
      </c>
      <c r="IE12" s="33" t="e">
        <f t="shared" ca="1" si="13"/>
        <v>#REF!</v>
      </c>
      <c r="IF12" s="33" t="e">
        <f t="shared" ca="1" si="13"/>
        <v>#REF!</v>
      </c>
      <c r="IG12" s="33" t="e">
        <f t="shared" ca="1" si="13"/>
        <v>#REF!</v>
      </c>
      <c r="IH12" s="33" t="e">
        <f t="shared" ca="1" si="13"/>
        <v>#REF!</v>
      </c>
    </row>
    <row r="13" spans="1:242" x14ac:dyDescent="0.3">
      <c r="A13" t="s">
        <v>923</v>
      </c>
      <c r="B13" s="33" t="e">
        <f>+B12</f>
        <v>#REF!</v>
      </c>
      <c r="C13" s="33" t="e">
        <f>+B13+C12</f>
        <v>#REF!</v>
      </c>
      <c r="D13" s="33" t="e">
        <f>+C13+D12</f>
        <v>#REF!</v>
      </c>
      <c r="E13" s="33" t="e">
        <f>+D13+E12</f>
        <v>#REF!</v>
      </c>
      <c r="F13" s="33" t="e">
        <f>+E13+F12</f>
        <v>#REF!</v>
      </c>
      <c r="G13" s="33" t="e">
        <f t="shared" ref="G13:BR13" si="14">+F13+G12</f>
        <v>#REF!</v>
      </c>
      <c r="H13" s="33" t="e">
        <f t="shared" si="14"/>
        <v>#REF!</v>
      </c>
      <c r="I13" s="33" t="e">
        <f t="shared" si="14"/>
        <v>#REF!</v>
      </c>
      <c r="J13" s="33" t="e">
        <f t="shared" ca="1" si="14"/>
        <v>#REF!</v>
      </c>
      <c r="K13" s="33" t="e">
        <f t="shared" ca="1" si="14"/>
        <v>#REF!</v>
      </c>
      <c r="L13" s="33" t="e">
        <f t="shared" ca="1" si="14"/>
        <v>#REF!</v>
      </c>
      <c r="M13" s="33" t="e">
        <f t="shared" ca="1" si="14"/>
        <v>#REF!</v>
      </c>
      <c r="N13" s="33" t="e">
        <f t="shared" ca="1" si="14"/>
        <v>#REF!</v>
      </c>
      <c r="O13" s="33" t="e">
        <f t="shared" ca="1" si="14"/>
        <v>#REF!</v>
      </c>
      <c r="P13" s="33" t="e">
        <f t="shared" ca="1" si="14"/>
        <v>#REF!</v>
      </c>
      <c r="Q13" s="33" t="e">
        <f t="shared" ca="1" si="14"/>
        <v>#REF!</v>
      </c>
      <c r="R13" s="33" t="e">
        <f t="shared" ca="1" si="14"/>
        <v>#REF!</v>
      </c>
      <c r="S13" s="33" t="e">
        <f t="shared" ca="1" si="14"/>
        <v>#REF!</v>
      </c>
      <c r="T13" s="33" t="e">
        <f t="shared" ca="1" si="14"/>
        <v>#REF!</v>
      </c>
      <c r="U13" s="33" t="e">
        <f t="shared" ca="1" si="14"/>
        <v>#REF!</v>
      </c>
      <c r="V13" s="33" t="e">
        <f t="shared" ca="1" si="14"/>
        <v>#REF!</v>
      </c>
      <c r="W13" s="33" t="e">
        <f t="shared" ca="1" si="14"/>
        <v>#REF!</v>
      </c>
      <c r="X13" s="33" t="e">
        <f t="shared" ca="1" si="14"/>
        <v>#REF!</v>
      </c>
      <c r="Y13" s="33" t="e">
        <f t="shared" ca="1" si="14"/>
        <v>#REF!</v>
      </c>
      <c r="Z13" s="33" t="e">
        <f t="shared" ca="1" si="14"/>
        <v>#REF!</v>
      </c>
      <c r="AA13" s="33" t="e">
        <f t="shared" ca="1" si="14"/>
        <v>#REF!</v>
      </c>
      <c r="AB13" s="33" t="e">
        <f t="shared" ca="1" si="14"/>
        <v>#REF!</v>
      </c>
      <c r="AC13" s="33" t="e">
        <f t="shared" ca="1" si="14"/>
        <v>#REF!</v>
      </c>
      <c r="AD13" s="33" t="e">
        <f t="shared" ca="1" si="14"/>
        <v>#REF!</v>
      </c>
      <c r="AE13" s="33" t="e">
        <f t="shared" ca="1" si="14"/>
        <v>#REF!</v>
      </c>
      <c r="AF13" s="33" t="e">
        <f t="shared" ca="1" si="14"/>
        <v>#REF!</v>
      </c>
      <c r="AG13" s="33" t="e">
        <f t="shared" ca="1" si="14"/>
        <v>#REF!</v>
      </c>
      <c r="AH13" s="33" t="e">
        <f t="shared" ca="1" si="14"/>
        <v>#REF!</v>
      </c>
      <c r="AI13" s="33" t="e">
        <f t="shared" ca="1" si="14"/>
        <v>#REF!</v>
      </c>
      <c r="AJ13" s="33" t="e">
        <f t="shared" ca="1" si="14"/>
        <v>#REF!</v>
      </c>
      <c r="AK13" s="33" t="e">
        <f t="shared" ca="1" si="14"/>
        <v>#REF!</v>
      </c>
      <c r="AL13" s="33" t="e">
        <f t="shared" ca="1" si="14"/>
        <v>#REF!</v>
      </c>
      <c r="AM13" s="33" t="e">
        <f t="shared" ca="1" si="14"/>
        <v>#REF!</v>
      </c>
      <c r="AN13" s="33" t="e">
        <f t="shared" ca="1" si="14"/>
        <v>#REF!</v>
      </c>
      <c r="AO13" s="33" t="e">
        <f t="shared" ca="1" si="14"/>
        <v>#REF!</v>
      </c>
      <c r="AP13" s="33" t="e">
        <f t="shared" ca="1" si="14"/>
        <v>#REF!</v>
      </c>
      <c r="AQ13" s="33" t="e">
        <f t="shared" ca="1" si="14"/>
        <v>#REF!</v>
      </c>
      <c r="AR13" s="33" t="e">
        <f t="shared" ca="1" si="14"/>
        <v>#REF!</v>
      </c>
      <c r="AS13" s="33" t="e">
        <f t="shared" ca="1" si="14"/>
        <v>#REF!</v>
      </c>
      <c r="AT13" s="33" t="e">
        <f t="shared" ca="1" si="14"/>
        <v>#REF!</v>
      </c>
      <c r="AU13" s="33" t="e">
        <f t="shared" ca="1" si="14"/>
        <v>#REF!</v>
      </c>
      <c r="AV13" s="33" t="e">
        <f t="shared" ca="1" si="14"/>
        <v>#REF!</v>
      </c>
      <c r="AW13" s="33" t="e">
        <f t="shared" ca="1" si="14"/>
        <v>#REF!</v>
      </c>
      <c r="AX13" s="33" t="e">
        <f t="shared" ca="1" si="14"/>
        <v>#REF!</v>
      </c>
      <c r="AY13" s="33" t="e">
        <f t="shared" ca="1" si="14"/>
        <v>#REF!</v>
      </c>
      <c r="AZ13" s="33" t="e">
        <f t="shared" ca="1" si="14"/>
        <v>#REF!</v>
      </c>
      <c r="BA13" s="33" t="e">
        <f t="shared" ca="1" si="14"/>
        <v>#REF!</v>
      </c>
      <c r="BB13" s="33" t="e">
        <f t="shared" ca="1" si="14"/>
        <v>#REF!</v>
      </c>
      <c r="BC13" s="33" t="e">
        <f t="shared" ca="1" si="14"/>
        <v>#REF!</v>
      </c>
      <c r="BD13" s="33" t="e">
        <f t="shared" ca="1" si="14"/>
        <v>#REF!</v>
      </c>
      <c r="BE13" s="33" t="e">
        <f t="shared" ca="1" si="14"/>
        <v>#REF!</v>
      </c>
      <c r="BF13" s="33" t="e">
        <f t="shared" ca="1" si="14"/>
        <v>#REF!</v>
      </c>
      <c r="BG13" s="33" t="e">
        <f t="shared" ca="1" si="14"/>
        <v>#REF!</v>
      </c>
      <c r="BH13" s="33" t="e">
        <f t="shared" ca="1" si="14"/>
        <v>#REF!</v>
      </c>
      <c r="BI13" s="33" t="e">
        <f t="shared" ca="1" si="14"/>
        <v>#REF!</v>
      </c>
      <c r="BJ13" s="33" t="e">
        <f t="shared" ca="1" si="14"/>
        <v>#REF!</v>
      </c>
      <c r="BK13" s="33" t="e">
        <f t="shared" ca="1" si="14"/>
        <v>#REF!</v>
      </c>
      <c r="BL13" s="33" t="e">
        <f t="shared" ca="1" si="14"/>
        <v>#REF!</v>
      </c>
      <c r="BM13" s="33" t="e">
        <f t="shared" ca="1" si="14"/>
        <v>#REF!</v>
      </c>
      <c r="BN13" s="33" t="e">
        <f t="shared" ca="1" si="14"/>
        <v>#REF!</v>
      </c>
      <c r="BO13" s="33" t="e">
        <f t="shared" ca="1" si="14"/>
        <v>#REF!</v>
      </c>
      <c r="BP13" s="33" t="e">
        <f t="shared" ca="1" si="14"/>
        <v>#REF!</v>
      </c>
      <c r="BQ13" s="33" t="e">
        <f t="shared" ca="1" si="14"/>
        <v>#REF!</v>
      </c>
      <c r="BR13" s="33" t="e">
        <f t="shared" ca="1" si="14"/>
        <v>#REF!</v>
      </c>
      <c r="BS13" s="33" t="e">
        <f t="shared" ref="BS13:DR13" ca="1" si="15">+BR13+BS12</f>
        <v>#REF!</v>
      </c>
      <c r="BT13" s="33" t="e">
        <f t="shared" ca="1" si="15"/>
        <v>#REF!</v>
      </c>
      <c r="BU13" s="33" t="e">
        <f t="shared" ca="1" si="15"/>
        <v>#REF!</v>
      </c>
      <c r="BV13" s="33" t="e">
        <f t="shared" ca="1" si="15"/>
        <v>#REF!</v>
      </c>
      <c r="BW13" s="33" t="e">
        <f t="shared" ca="1" si="15"/>
        <v>#REF!</v>
      </c>
      <c r="BX13" s="33" t="e">
        <f t="shared" ca="1" si="15"/>
        <v>#REF!</v>
      </c>
      <c r="BY13" s="33" t="e">
        <f t="shared" ca="1" si="15"/>
        <v>#REF!</v>
      </c>
      <c r="BZ13" s="33" t="e">
        <f t="shared" ca="1" si="15"/>
        <v>#REF!</v>
      </c>
      <c r="CA13" s="33" t="e">
        <f t="shared" ca="1" si="15"/>
        <v>#REF!</v>
      </c>
      <c r="CB13" s="33" t="e">
        <f t="shared" ca="1" si="15"/>
        <v>#REF!</v>
      </c>
      <c r="CC13" s="33" t="e">
        <f t="shared" ca="1" si="15"/>
        <v>#REF!</v>
      </c>
      <c r="CD13" s="33" t="e">
        <f t="shared" ca="1" si="15"/>
        <v>#REF!</v>
      </c>
      <c r="CE13" s="33" t="e">
        <f t="shared" ca="1" si="15"/>
        <v>#REF!</v>
      </c>
      <c r="CF13" s="33" t="e">
        <f t="shared" ca="1" si="15"/>
        <v>#REF!</v>
      </c>
      <c r="CG13" s="33" t="e">
        <f t="shared" ca="1" si="15"/>
        <v>#REF!</v>
      </c>
      <c r="CH13" s="33" t="e">
        <f t="shared" ca="1" si="15"/>
        <v>#REF!</v>
      </c>
      <c r="CI13" s="33" t="e">
        <f t="shared" ca="1" si="15"/>
        <v>#REF!</v>
      </c>
      <c r="CJ13" s="33" t="e">
        <f t="shared" ca="1" si="15"/>
        <v>#REF!</v>
      </c>
      <c r="CK13" s="33" t="e">
        <f t="shared" ca="1" si="15"/>
        <v>#REF!</v>
      </c>
      <c r="CL13" s="33" t="e">
        <f t="shared" ca="1" si="15"/>
        <v>#REF!</v>
      </c>
      <c r="CM13" s="33" t="e">
        <f t="shared" ca="1" si="15"/>
        <v>#REF!</v>
      </c>
      <c r="CN13" s="33" t="e">
        <f t="shared" ca="1" si="15"/>
        <v>#REF!</v>
      </c>
      <c r="CO13" s="33" t="e">
        <f t="shared" ca="1" si="15"/>
        <v>#REF!</v>
      </c>
      <c r="CP13" s="33" t="e">
        <f t="shared" ca="1" si="15"/>
        <v>#REF!</v>
      </c>
      <c r="CQ13" s="33" t="e">
        <f t="shared" ca="1" si="15"/>
        <v>#REF!</v>
      </c>
      <c r="CR13" s="33" t="e">
        <f t="shared" ca="1" si="15"/>
        <v>#REF!</v>
      </c>
      <c r="CS13" s="33" t="e">
        <f t="shared" ca="1" si="15"/>
        <v>#REF!</v>
      </c>
      <c r="CT13" s="33" t="e">
        <f t="shared" ca="1" si="15"/>
        <v>#REF!</v>
      </c>
      <c r="CU13" s="33" t="e">
        <f t="shared" ca="1" si="15"/>
        <v>#REF!</v>
      </c>
      <c r="CV13" s="33" t="e">
        <f t="shared" ca="1" si="15"/>
        <v>#REF!</v>
      </c>
      <c r="CW13" s="33" t="e">
        <f t="shared" ca="1" si="15"/>
        <v>#REF!</v>
      </c>
      <c r="CX13" s="33" t="e">
        <f t="shared" ca="1" si="15"/>
        <v>#REF!</v>
      </c>
      <c r="CY13" s="33" t="e">
        <f t="shared" ca="1" si="15"/>
        <v>#REF!</v>
      </c>
      <c r="CZ13" s="33" t="e">
        <f t="shared" ca="1" si="15"/>
        <v>#REF!</v>
      </c>
      <c r="DA13" s="33" t="e">
        <f t="shared" ca="1" si="15"/>
        <v>#REF!</v>
      </c>
      <c r="DB13" s="33" t="e">
        <f t="shared" ca="1" si="15"/>
        <v>#REF!</v>
      </c>
      <c r="DC13" s="33" t="e">
        <f t="shared" ca="1" si="15"/>
        <v>#REF!</v>
      </c>
      <c r="DD13" s="33" t="e">
        <f t="shared" ca="1" si="15"/>
        <v>#REF!</v>
      </c>
      <c r="DE13" s="33" t="e">
        <f t="shared" ca="1" si="15"/>
        <v>#REF!</v>
      </c>
      <c r="DF13" s="33" t="e">
        <f t="shared" ca="1" si="15"/>
        <v>#REF!</v>
      </c>
      <c r="DG13" s="33" t="e">
        <f t="shared" ca="1" si="15"/>
        <v>#REF!</v>
      </c>
      <c r="DH13" s="33" t="e">
        <f t="shared" ca="1" si="15"/>
        <v>#REF!</v>
      </c>
      <c r="DI13" s="33" t="e">
        <f t="shared" ca="1" si="15"/>
        <v>#REF!</v>
      </c>
      <c r="DJ13" s="33" t="e">
        <f t="shared" ca="1" si="15"/>
        <v>#REF!</v>
      </c>
      <c r="DK13" s="33" t="e">
        <f t="shared" ca="1" si="15"/>
        <v>#REF!</v>
      </c>
      <c r="DL13" s="33" t="e">
        <f t="shared" ca="1" si="15"/>
        <v>#REF!</v>
      </c>
      <c r="DM13" s="33" t="e">
        <f t="shared" ca="1" si="15"/>
        <v>#REF!</v>
      </c>
      <c r="DN13" s="33" t="e">
        <f t="shared" ca="1" si="15"/>
        <v>#REF!</v>
      </c>
      <c r="DO13" s="33" t="e">
        <f t="shared" ca="1" si="15"/>
        <v>#REF!</v>
      </c>
      <c r="DP13" s="33" t="e">
        <f t="shared" ca="1" si="15"/>
        <v>#REF!</v>
      </c>
      <c r="DQ13" s="33" t="e">
        <f t="shared" ca="1" si="15"/>
        <v>#REF!</v>
      </c>
      <c r="DR13" s="33" t="e">
        <f t="shared" ca="1" si="15"/>
        <v>#REF!</v>
      </c>
      <c r="DS13" s="33" t="e">
        <f ca="1">+DR13+DS12</f>
        <v>#REF!</v>
      </c>
      <c r="DT13" s="33" t="e">
        <f ca="1">+DS13+DT12</f>
        <v>#REF!</v>
      </c>
      <c r="DU13" s="33" t="e">
        <f ca="1">+DT13+DU12</f>
        <v>#REF!</v>
      </c>
      <c r="DV13" s="33" t="e">
        <f ca="1">+DU13+DV12</f>
        <v>#REF!</v>
      </c>
      <c r="DW13" s="33" t="e">
        <f t="shared" ref="DW13" ca="1" si="16">+DV13+DW12</f>
        <v>#REF!</v>
      </c>
      <c r="DX13" s="33" t="e">
        <f t="shared" ref="DX13" ca="1" si="17">+DW13+DX12</f>
        <v>#REF!</v>
      </c>
      <c r="DY13" s="33" t="e">
        <f t="shared" ref="DY13" ca="1" si="18">+DX13+DY12</f>
        <v>#REF!</v>
      </c>
      <c r="DZ13" s="33" t="e">
        <f t="shared" ref="DZ13" ca="1" si="19">+DY13+DZ12</f>
        <v>#REF!</v>
      </c>
      <c r="EA13" s="33" t="e">
        <f t="shared" ref="EA13" ca="1" si="20">+DZ13+EA12</f>
        <v>#REF!</v>
      </c>
      <c r="EB13" s="33" t="e">
        <f t="shared" ref="EB13" ca="1" si="21">+EA13+EB12</f>
        <v>#REF!</v>
      </c>
      <c r="EC13" s="33" t="e">
        <f t="shared" ref="EC13" ca="1" si="22">+EB13+EC12</f>
        <v>#REF!</v>
      </c>
      <c r="ED13" s="33" t="e">
        <f t="shared" ref="ED13" ca="1" si="23">+EC13+ED12</f>
        <v>#REF!</v>
      </c>
      <c r="EE13" s="33" t="e">
        <f t="shared" ref="EE13" ca="1" si="24">+ED13+EE12</f>
        <v>#REF!</v>
      </c>
      <c r="EF13" s="33" t="e">
        <f t="shared" ref="EF13" ca="1" si="25">+EE13+EF12</f>
        <v>#REF!</v>
      </c>
      <c r="EG13" s="33" t="e">
        <f t="shared" ref="EG13" ca="1" si="26">+EF13+EG12</f>
        <v>#REF!</v>
      </c>
      <c r="EH13" s="33" t="e">
        <f t="shared" ref="EH13" ca="1" si="27">+EG13+EH12</f>
        <v>#REF!</v>
      </c>
      <c r="EI13" s="33" t="e">
        <f t="shared" ref="EI13" ca="1" si="28">+EH13+EI12</f>
        <v>#REF!</v>
      </c>
      <c r="EJ13" s="33" t="e">
        <f t="shared" ref="EJ13" ca="1" si="29">+EI13+EJ12</f>
        <v>#REF!</v>
      </c>
      <c r="EK13" s="33" t="e">
        <f t="shared" ref="EK13" ca="1" si="30">+EJ13+EK12</f>
        <v>#REF!</v>
      </c>
      <c r="EL13" s="33" t="e">
        <f t="shared" ref="EL13" ca="1" si="31">+EK13+EL12</f>
        <v>#REF!</v>
      </c>
      <c r="EM13" s="33" t="e">
        <f t="shared" ref="EM13" ca="1" si="32">+EL13+EM12</f>
        <v>#REF!</v>
      </c>
      <c r="EN13" s="33" t="e">
        <f t="shared" ref="EN13" ca="1" si="33">+EM13+EN12</f>
        <v>#REF!</v>
      </c>
      <c r="EO13" s="33" t="e">
        <f t="shared" ref="EO13" ca="1" si="34">+EN13+EO12</f>
        <v>#REF!</v>
      </c>
      <c r="EP13" s="33" t="e">
        <f t="shared" ref="EP13" ca="1" si="35">+EO13+EP12</f>
        <v>#REF!</v>
      </c>
      <c r="EQ13" s="33" t="e">
        <f t="shared" ref="EQ13" ca="1" si="36">+EP13+EQ12</f>
        <v>#REF!</v>
      </c>
      <c r="ER13" s="33" t="e">
        <f t="shared" ref="ER13" ca="1" si="37">+EQ13+ER12</f>
        <v>#REF!</v>
      </c>
      <c r="ES13" s="33" t="e">
        <f t="shared" ref="ES13" ca="1" si="38">+ER13+ES12</f>
        <v>#REF!</v>
      </c>
      <c r="ET13" s="33" t="e">
        <f t="shared" ref="ET13" ca="1" si="39">+ES13+ET12</f>
        <v>#REF!</v>
      </c>
      <c r="EU13" s="33" t="e">
        <f t="shared" ref="EU13" ca="1" si="40">+ET13+EU12</f>
        <v>#REF!</v>
      </c>
      <c r="EV13" s="33" t="e">
        <f t="shared" ref="EV13" ca="1" si="41">+EU13+EV12</f>
        <v>#REF!</v>
      </c>
      <c r="EW13" s="33" t="e">
        <f t="shared" ref="EW13" ca="1" si="42">+EV13+EW12</f>
        <v>#REF!</v>
      </c>
      <c r="EX13" s="33" t="e">
        <f t="shared" ref="EX13" ca="1" si="43">+EW13+EX12</f>
        <v>#REF!</v>
      </c>
      <c r="EY13" s="33" t="e">
        <f t="shared" ref="EY13" ca="1" si="44">+EX13+EY12</f>
        <v>#REF!</v>
      </c>
      <c r="EZ13" s="33" t="e">
        <f t="shared" ref="EZ13" ca="1" si="45">+EY13+EZ12</f>
        <v>#REF!</v>
      </c>
      <c r="FA13" s="33" t="e">
        <f t="shared" ref="FA13" ca="1" si="46">+EZ13+FA12</f>
        <v>#REF!</v>
      </c>
      <c r="FB13" s="33" t="e">
        <f t="shared" ref="FB13" ca="1" si="47">+FA13+FB12</f>
        <v>#REF!</v>
      </c>
      <c r="FC13" s="33" t="e">
        <f t="shared" ref="FC13" ca="1" si="48">+FB13+FC12</f>
        <v>#REF!</v>
      </c>
      <c r="FD13" s="33" t="e">
        <f t="shared" ref="FD13" ca="1" si="49">+FC13+FD12</f>
        <v>#REF!</v>
      </c>
      <c r="FE13" s="33" t="e">
        <f t="shared" ref="FE13" ca="1" si="50">+FD13+FE12</f>
        <v>#REF!</v>
      </c>
      <c r="FF13" s="33" t="e">
        <f t="shared" ref="FF13" ca="1" si="51">+FE13+FF12</f>
        <v>#REF!</v>
      </c>
      <c r="FG13" s="33" t="e">
        <f t="shared" ref="FG13" ca="1" si="52">+FF13+FG12</f>
        <v>#REF!</v>
      </c>
      <c r="FH13" s="33" t="e">
        <f t="shared" ref="FH13" ca="1" si="53">+FG13+FH12</f>
        <v>#REF!</v>
      </c>
      <c r="FI13" s="33" t="e">
        <f t="shared" ref="FI13" ca="1" si="54">+FH13+FI12</f>
        <v>#REF!</v>
      </c>
      <c r="FJ13" s="33" t="e">
        <f t="shared" ref="FJ13" ca="1" si="55">+FI13+FJ12</f>
        <v>#REF!</v>
      </c>
      <c r="FK13" s="33" t="e">
        <f t="shared" ref="FK13" ca="1" si="56">+FJ13+FK12</f>
        <v>#REF!</v>
      </c>
      <c r="FL13" s="33" t="e">
        <f t="shared" ref="FL13" ca="1" si="57">+FK13+FL12</f>
        <v>#REF!</v>
      </c>
      <c r="FM13" s="33" t="e">
        <f t="shared" ref="FM13" ca="1" si="58">+FL13+FM12</f>
        <v>#REF!</v>
      </c>
      <c r="FN13" s="33" t="e">
        <f t="shared" ref="FN13" ca="1" si="59">+FM13+FN12</f>
        <v>#REF!</v>
      </c>
      <c r="FO13" s="33" t="e">
        <f t="shared" ref="FO13" ca="1" si="60">+FN13+FO12</f>
        <v>#REF!</v>
      </c>
      <c r="FP13" s="33" t="e">
        <f t="shared" ref="FP13" ca="1" si="61">+FO13+FP12</f>
        <v>#REF!</v>
      </c>
      <c r="FQ13" s="33" t="e">
        <f t="shared" ref="FQ13" ca="1" si="62">+FP13+FQ12</f>
        <v>#REF!</v>
      </c>
      <c r="FR13" s="33" t="e">
        <f t="shared" ref="FR13" ca="1" si="63">+FQ13+FR12</f>
        <v>#REF!</v>
      </c>
      <c r="FS13" s="33" t="e">
        <f t="shared" ref="FS13" ca="1" si="64">+FR13+FS12</f>
        <v>#REF!</v>
      </c>
      <c r="FT13" s="33" t="e">
        <f t="shared" ref="FT13" ca="1" si="65">+FS13+FT12</f>
        <v>#REF!</v>
      </c>
      <c r="FU13" s="33" t="e">
        <f t="shared" ref="FU13" ca="1" si="66">+FT13+FU12</f>
        <v>#REF!</v>
      </c>
      <c r="FV13" s="33" t="e">
        <f t="shared" ref="FV13" ca="1" si="67">+FU13+FV12</f>
        <v>#REF!</v>
      </c>
      <c r="FW13" s="33" t="e">
        <f t="shared" ref="FW13" ca="1" si="68">+FV13+FW12</f>
        <v>#REF!</v>
      </c>
      <c r="FX13" s="33" t="e">
        <f t="shared" ref="FX13" ca="1" si="69">+FW13+FX12</f>
        <v>#REF!</v>
      </c>
      <c r="FY13" s="33" t="e">
        <f t="shared" ref="FY13" ca="1" si="70">+FX13+FY12</f>
        <v>#REF!</v>
      </c>
      <c r="FZ13" s="33" t="e">
        <f t="shared" ref="FZ13" ca="1" si="71">+FY13+FZ12</f>
        <v>#REF!</v>
      </c>
      <c r="GA13" s="33" t="e">
        <f t="shared" ref="GA13" ca="1" si="72">+FZ13+GA12</f>
        <v>#REF!</v>
      </c>
      <c r="GB13" s="33" t="e">
        <f t="shared" ref="GB13" ca="1" si="73">+GA13+GB12</f>
        <v>#REF!</v>
      </c>
      <c r="GC13" s="33" t="e">
        <f t="shared" ref="GC13" ca="1" si="74">+GB13+GC12</f>
        <v>#REF!</v>
      </c>
      <c r="GD13" s="33" t="e">
        <f t="shared" ref="GD13" ca="1" si="75">+GC13+GD12</f>
        <v>#REF!</v>
      </c>
      <c r="GE13" s="33" t="e">
        <f t="shared" ref="GE13" ca="1" si="76">+GD13+GE12</f>
        <v>#REF!</v>
      </c>
      <c r="GF13" s="33" t="e">
        <f t="shared" ref="GF13" ca="1" si="77">+GE13+GF12</f>
        <v>#REF!</v>
      </c>
      <c r="GG13" s="33" t="e">
        <f t="shared" ref="GG13" ca="1" si="78">+GF13+GG12</f>
        <v>#REF!</v>
      </c>
      <c r="GH13" s="33" t="e">
        <f t="shared" ref="GH13" ca="1" si="79">+GG13+GH12</f>
        <v>#REF!</v>
      </c>
      <c r="GI13" s="33" t="e">
        <f t="shared" ref="GI13" ca="1" si="80">+GH13+GI12</f>
        <v>#REF!</v>
      </c>
      <c r="GJ13" s="33" t="e">
        <f t="shared" ref="GJ13" ca="1" si="81">+GI13+GJ12</f>
        <v>#REF!</v>
      </c>
      <c r="GK13" s="33" t="e">
        <f t="shared" ref="GK13" ca="1" si="82">+GJ13+GK12</f>
        <v>#REF!</v>
      </c>
      <c r="GL13" s="33" t="e">
        <f t="shared" ref="GL13" ca="1" si="83">+GK13+GL12</f>
        <v>#REF!</v>
      </c>
      <c r="GM13" s="33" t="e">
        <f t="shared" ref="GM13" ca="1" si="84">+GL13+GM12</f>
        <v>#REF!</v>
      </c>
      <c r="GN13" s="33" t="e">
        <f t="shared" ref="GN13" ca="1" si="85">+GM13+GN12</f>
        <v>#REF!</v>
      </c>
      <c r="GO13" s="33" t="e">
        <f t="shared" ref="GO13" ca="1" si="86">+GN13+GO12</f>
        <v>#REF!</v>
      </c>
      <c r="GP13" s="33" t="e">
        <f t="shared" ref="GP13" ca="1" si="87">+GO13+GP12</f>
        <v>#REF!</v>
      </c>
      <c r="GQ13" s="33" t="e">
        <f t="shared" ref="GQ13" ca="1" si="88">+GP13+GQ12</f>
        <v>#REF!</v>
      </c>
      <c r="GR13" s="33" t="e">
        <f t="shared" ref="GR13" ca="1" si="89">+GQ13+GR12</f>
        <v>#REF!</v>
      </c>
      <c r="GS13" s="33" t="e">
        <f t="shared" ref="GS13" ca="1" si="90">+GR13+GS12</f>
        <v>#REF!</v>
      </c>
      <c r="GT13" s="33" t="e">
        <f t="shared" ref="GT13" ca="1" si="91">+GS13+GT12</f>
        <v>#REF!</v>
      </c>
      <c r="GU13" s="33" t="e">
        <f t="shared" ref="GU13" ca="1" si="92">+GT13+GU12</f>
        <v>#REF!</v>
      </c>
      <c r="GV13" s="33" t="e">
        <f t="shared" ref="GV13" ca="1" si="93">+GU13+GV12</f>
        <v>#REF!</v>
      </c>
      <c r="GW13" s="33" t="e">
        <f t="shared" ref="GW13" ca="1" si="94">+GV13+GW12</f>
        <v>#REF!</v>
      </c>
      <c r="GX13" s="33" t="e">
        <f t="shared" ref="GX13" ca="1" si="95">+GW13+GX12</f>
        <v>#REF!</v>
      </c>
      <c r="GY13" s="33" t="e">
        <f t="shared" ref="GY13" ca="1" si="96">+GX13+GY12</f>
        <v>#REF!</v>
      </c>
      <c r="GZ13" s="33" t="e">
        <f t="shared" ref="GZ13" ca="1" si="97">+GY13+GZ12</f>
        <v>#REF!</v>
      </c>
      <c r="HA13" s="33" t="e">
        <f t="shared" ref="HA13" ca="1" si="98">+GZ13+HA12</f>
        <v>#REF!</v>
      </c>
      <c r="HB13" s="33" t="e">
        <f t="shared" ref="HB13" ca="1" si="99">+HA13+HB12</f>
        <v>#REF!</v>
      </c>
      <c r="HC13" s="33" t="e">
        <f t="shared" ref="HC13" ca="1" si="100">+HB13+HC12</f>
        <v>#REF!</v>
      </c>
      <c r="HD13" s="33" t="e">
        <f t="shared" ref="HD13" ca="1" si="101">+HC13+HD12</f>
        <v>#REF!</v>
      </c>
      <c r="HE13" s="33" t="e">
        <f t="shared" ref="HE13" ca="1" si="102">+HD13+HE12</f>
        <v>#REF!</v>
      </c>
      <c r="HF13" s="33" t="e">
        <f t="shared" ref="HF13" ca="1" si="103">+HE13+HF12</f>
        <v>#REF!</v>
      </c>
      <c r="HG13" s="33" t="e">
        <f t="shared" ref="HG13" ca="1" si="104">+HF13+HG12</f>
        <v>#REF!</v>
      </c>
      <c r="HH13" s="33" t="e">
        <f t="shared" ref="HH13" ca="1" si="105">+HG13+HH12</f>
        <v>#REF!</v>
      </c>
      <c r="HI13" s="33" t="e">
        <f t="shared" ref="HI13" ca="1" si="106">+HH13+HI12</f>
        <v>#REF!</v>
      </c>
      <c r="HJ13" s="33" t="e">
        <f t="shared" ref="HJ13" ca="1" si="107">+HI13+HJ12</f>
        <v>#REF!</v>
      </c>
      <c r="HK13" s="33" t="e">
        <f t="shared" ref="HK13" ca="1" si="108">+HJ13+HK12</f>
        <v>#REF!</v>
      </c>
      <c r="HL13" s="33" t="e">
        <f t="shared" ref="HL13" ca="1" si="109">+HK13+HL12</f>
        <v>#REF!</v>
      </c>
      <c r="HM13" s="33" t="e">
        <f t="shared" ref="HM13" ca="1" si="110">+HL13+HM12</f>
        <v>#REF!</v>
      </c>
      <c r="HN13" s="33" t="e">
        <f t="shared" ref="HN13" ca="1" si="111">+HM13+HN12</f>
        <v>#REF!</v>
      </c>
      <c r="HO13" s="33" t="e">
        <f t="shared" ref="HO13" ca="1" si="112">+HN13+HO12</f>
        <v>#REF!</v>
      </c>
      <c r="HP13" s="33" t="e">
        <f t="shared" ref="HP13" ca="1" si="113">+HO13+HP12</f>
        <v>#REF!</v>
      </c>
      <c r="HQ13" s="33" t="e">
        <f t="shared" ref="HQ13" ca="1" si="114">+HP13+HQ12</f>
        <v>#REF!</v>
      </c>
      <c r="HR13" s="33" t="e">
        <f t="shared" ref="HR13" ca="1" si="115">+HQ13+HR12</f>
        <v>#REF!</v>
      </c>
      <c r="HS13" s="33" t="e">
        <f t="shared" ref="HS13" ca="1" si="116">+HR13+HS12</f>
        <v>#REF!</v>
      </c>
      <c r="HT13" s="33" t="e">
        <f t="shared" ref="HT13" ca="1" si="117">+HS13+HT12</f>
        <v>#REF!</v>
      </c>
      <c r="HU13" s="33" t="e">
        <f t="shared" ref="HU13" ca="1" si="118">+HT13+HU12</f>
        <v>#REF!</v>
      </c>
      <c r="HV13" s="33" t="e">
        <f t="shared" ref="HV13" ca="1" si="119">+HU13+HV12</f>
        <v>#REF!</v>
      </c>
      <c r="HW13" s="33" t="e">
        <f t="shared" ref="HW13" ca="1" si="120">+HV13+HW12</f>
        <v>#REF!</v>
      </c>
      <c r="HX13" s="33" t="e">
        <f t="shared" ref="HX13" ca="1" si="121">+HW13+HX12</f>
        <v>#REF!</v>
      </c>
      <c r="HY13" s="33" t="e">
        <f t="shared" ref="HY13" ca="1" si="122">+HX13+HY12</f>
        <v>#REF!</v>
      </c>
      <c r="HZ13" s="33" t="e">
        <f t="shared" ref="HZ13" ca="1" si="123">+HY13+HZ12</f>
        <v>#REF!</v>
      </c>
      <c r="IA13" s="33" t="e">
        <f t="shared" ref="IA13" ca="1" si="124">+HZ13+IA12</f>
        <v>#REF!</v>
      </c>
      <c r="IB13" s="33" t="e">
        <f t="shared" ref="IB13" ca="1" si="125">+IA13+IB12</f>
        <v>#REF!</v>
      </c>
      <c r="IC13" s="33" t="e">
        <f t="shared" ref="IC13" ca="1" si="126">+IB13+IC12</f>
        <v>#REF!</v>
      </c>
      <c r="ID13" s="33" t="e">
        <f t="shared" ref="ID13" ca="1" si="127">+IC13+ID12</f>
        <v>#REF!</v>
      </c>
      <c r="IE13" s="33" t="e">
        <f t="shared" ref="IE13" ca="1" si="128">+ID13+IE12</f>
        <v>#REF!</v>
      </c>
      <c r="IF13" s="33" t="e">
        <f t="shared" ref="IF13" ca="1" si="129">+IE13+IF12</f>
        <v>#REF!</v>
      </c>
      <c r="IG13" s="33" t="e">
        <f t="shared" ref="IG13" ca="1" si="130">+IF13+IG12</f>
        <v>#REF!</v>
      </c>
      <c r="IH13" s="33" t="e">
        <f t="shared" ref="IH13" ca="1" si="131">+IG13+IH12</f>
        <v>#REF!</v>
      </c>
    </row>
    <row r="15" spans="1:242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2" x14ac:dyDescent="0.3">
      <c r="B16" t="s">
        <v>947</v>
      </c>
      <c r="C16" s="30">
        <f>+SUMIFS(8:8,2:2,C15)</f>
        <v>0</v>
      </c>
      <c r="D16" s="30">
        <f t="shared" ref="D16:M16" ca="1" si="132">+SUMIFS(8:8,2:2,D15)</f>
        <v>2442412.7808829867</v>
      </c>
      <c r="E16" s="30">
        <f t="shared" ca="1" si="132"/>
        <v>2991825.8719446193</v>
      </c>
      <c r="F16" s="30">
        <f t="shared" ca="1" si="132"/>
        <v>3078428.7211848274</v>
      </c>
      <c r="G16" s="30">
        <f t="shared" ca="1" si="132"/>
        <v>3176609.8408549363</v>
      </c>
      <c r="H16" s="30">
        <f t="shared" ca="1" si="132"/>
        <v>3254957.2158162124</v>
      </c>
      <c r="I16" s="30">
        <f t="shared" ca="1" si="132"/>
        <v>3335384.9540633587</v>
      </c>
      <c r="J16" s="30">
        <f t="shared" ca="1" si="132"/>
        <v>3417708.8951110998</v>
      </c>
      <c r="K16" s="30">
        <f t="shared" ca="1" si="132"/>
        <v>3512016.6913353093</v>
      </c>
      <c r="L16" s="30">
        <f t="shared" ca="1" si="132"/>
        <v>3588211.7110725134</v>
      </c>
      <c r="M16" s="30">
        <f t="shared" ca="1" si="132"/>
        <v>3689097.4915115465</v>
      </c>
      <c r="N16" s="30">
        <f ca="1">+SUMIFS(8:8,2:2,N15)</f>
        <v>3759636.8037775471</v>
      </c>
      <c r="O16" s="30">
        <f t="shared" ref="O16:W16" ca="1" si="133">+SUMIFS(8:8,2:2,O15)</f>
        <v>3842042.0982474061</v>
      </c>
      <c r="P16" s="30">
        <f t="shared" ca="1" si="133"/>
        <v>3903443.186168924</v>
      </c>
      <c r="Q16" s="30">
        <f t="shared" ca="1" si="133"/>
        <v>3976691.399790274</v>
      </c>
      <c r="R16" s="30">
        <f t="shared" ca="1" si="133"/>
        <v>4050821.4073613528</v>
      </c>
      <c r="S16" s="30">
        <f t="shared" ca="1" si="133"/>
        <v>4137618.5413075266</v>
      </c>
      <c r="T16" s="30">
        <f t="shared" ca="1" si="133"/>
        <v>4201673.166771723</v>
      </c>
      <c r="U16" s="30">
        <f t="shared" ca="1" si="133"/>
        <v>4278364.0806614384</v>
      </c>
      <c r="V16" s="30">
        <f t="shared" ca="1" si="133"/>
        <v>4355874.9435344413</v>
      </c>
      <c r="W16" s="30">
        <f t="shared" ca="1" si="133"/>
        <v>2632169.658879105</v>
      </c>
    </row>
    <row r="17" spans="1:242" x14ac:dyDescent="0.3">
      <c r="B17" t="s">
        <v>948</v>
      </c>
      <c r="C17" s="30" t="e">
        <f>+SUMIFS(9:9,2:2,C15)</f>
        <v>#REF!</v>
      </c>
      <c r="D17" s="30" t="e">
        <f t="shared" ref="D17:M17" si="134">+SUMIFS(9:9,2:2,D15)</f>
        <v>#REF!</v>
      </c>
      <c r="E17" s="30" t="e">
        <f t="shared" si="134"/>
        <v>#REF!</v>
      </c>
      <c r="F17" s="30" t="e">
        <f t="shared" si="134"/>
        <v>#REF!</v>
      </c>
      <c r="G17" s="30" t="e">
        <f>+SUMIFS(9:9,2:2,G15)</f>
        <v>#REF!</v>
      </c>
      <c r="H17" s="30" t="e">
        <f t="shared" si="134"/>
        <v>#REF!</v>
      </c>
      <c r="I17" s="30" t="e">
        <f t="shared" si="134"/>
        <v>#REF!</v>
      </c>
      <c r="J17" s="30" t="e">
        <f t="shared" si="134"/>
        <v>#REF!</v>
      </c>
      <c r="K17" s="30" t="e">
        <f t="shared" si="134"/>
        <v>#REF!</v>
      </c>
      <c r="L17" s="30" t="e">
        <f t="shared" si="134"/>
        <v>#REF!</v>
      </c>
      <c r="M17" s="30" t="e">
        <f t="shared" si="134"/>
        <v>#REF!</v>
      </c>
      <c r="N17" s="30" t="e">
        <f t="shared" ref="N17:W17" si="135">+SUMIFS(9:9,2:2,N15)</f>
        <v>#REF!</v>
      </c>
      <c r="O17" s="30" t="e">
        <f t="shared" si="135"/>
        <v>#REF!</v>
      </c>
      <c r="P17" s="30" t="e">
        <f t="shared" si="135"/>
        <v>#REF!</v>
      </c>
      <c r="Q17" s="30" t="e">
        <f t="shared" si="135"/>
        <v>#REF!</v>
      </c>
      <c r="R17" s="30" t="e">
        <f t="shared" si="135"/>
        <v>#REF!</v>
      </c>
      <c r="S17" s="30" t="e">
        <f t="shared" si="135"/>
        <v>#REF!</v>
      </c>
      <c r="T17" s="30" t="e">
        <f t="shared" si="135"/>
        <v>#REF!</v>
      </c>
      <c r="U17" s="30" t="e">
        <f t="shared" si="135"/>
        <v>#REF!</v>
      </c>
      <c r="V17" s="30" t="e">
        <f t="shared" si="135"/>
        <v>#REF!</v>
      </c>
      <c r="W17" s="30" t="e">
        <f t="shared" si="135"/>
        <v>#REF!</v>
      </c>
    </row>
    <row r="18" spans="1:242" x14ac:dyDescent="0.3">
      <c r="B18" t="s">
        <v>924</v>
      </c>
      <c r="C18" s="33" t="e">
        <f>+C16-C17</f>
        <v>#REF!</v>
      </c>
      <c r="D18" s="33" t="e">
        <f t="shared" ref="D18:M18" ca="1" si="136">+D16-D17</f>
        <v>#REF!</v>
      </c>
      <c r="E18" s="33" t="e">
        <f t="shared" ca="1" si="136"/>
        <v>#REF!</v>
      </c>
      <c r="F18" s="33" t="e">
        <f t="shared" ca="1" si="136"/>
        <v>#REF!</v>
      </c>
      <c r="G18" s="33" t="e">
        <f t="shared" ca="1" si="136"/>
        <v>#REF!</v>
      </c>
      <c r="H18" s="33" t="e">
        <f t="shared" ca="1" si="136"/>
        <v>#REF!</v>
      </c>
      <c r="I18" s="33" t="e">
        <f t="shared" ca="1" si="136"/>
        <v>#REF!</v>
      </c>
      <c r="J18" s="33" t="e">
        <f t="shared" ca="1" si="136"/>
        <v>#REF!</v>
      </c>
      <c r="K18" s="33" t="e">
        <f t="shared" ca="1" si="136"/>
        <v>#REF!</v>
      </c>
      <c r="L18" s="33" t="e">
        <f t="shared" ca="1" si="136"/>
        <v>#REF!</v>
      </c>
      <c r="M18" s="33" t="e">
        <f t="shared" ca="1" si="136"/>
        <v>#REF!</v>
      </c>
      <c r="N18" s="33" t="e">
        <f t="shared" ref="N18:W18" ca="1" si="137">+N16-N17</f>
        <v>#REF!</v>
      </c>
      <c r="O18" s="33" t="e">
        <f t="shared" ca="1" si="137"/>
        <v>#REF!</v>
      </c>
      <c r="P18" s="33" t="e">
        <f t="shared" ca="1" si="137"/>
        <v>#REF!</v>
      </c>
      <c r="Q18" s="33" t="e">
        <f t="shared" ca="1" si="137"/>
        <v>#REF!</v>
      </c>
      <c r="R18" s="33" t="e">
        <f t="shared" ca="1" si="137"/>
        <v>#REF!</v>
      </c>
      <c r="S18" s="33" t="e">
        <f t="shared" ca="1" si="137"/>
        <v>#REF!</v>
      </c>
      <c r="T18" s="33" t="e">
        <f t="shared" ca="1" si="137"/>
        <v>#REF!</v>
      </c>
      <c r="U18" s="33" t="e">
        <f t="shared" ca="1" si="137"/>
        <v>#REF!</v>
      </c>
      <c r="V18" s="33" t="e">
        <f t="shared" ca="1" si="137"/>
        <v>#REF!</v>
      </c>
      <c r="W18" s="33" t="e">
        <f t="shared" ca="1" si="137"/>
        <v>#REF!</v>
      </c>
    </row>
    <row r="19" spans="1:242" x14ac:dyDescent="0.3">
      <c r="B19" t="s">
        <v>925</v>
      </c>
      <c r="C19" s="33" t="e">
        <f>+C18</f>
        <v>#REF!</v>
      </c>
      <c r="D19" s="33" t="e">
        <f ca="1">+D18+C19</f>
        <v>#REF!</v>
      </c>
      <c r="E19" s="33" t="e">
        <f t="shared" ref="E19:M19" ca="1" si="138">+E18+D19</f>
        <v>#REF!</v>
      </c>
      <c r="F19" s="33" t="e">
        <f t="shared" ca="1" si="138"/>
        <v>#REF!</v>
      </c>
      <c r="G19" s="33" t="e">
        <f t="shared" ca="1" si="138"/>
        <v>#REF!</v>
      </c>
      <c r="H19" s="33" t="e">
        <f t="shared" ca="1" si="138"/>
        <v>#REF!</v>
      </c>
      <c r="I19" s="33" t="e">
        <f t="shared" ca="1" si="138"/>
        <v>#REF!</v>
      </c>
      <c r="J19" s="33" t="e">
        <f t="shared" ca="1" si="138"/>
        <v>#REF!</v>
      </c>
      <c r="K19" s="33" t="e">
        <f t="shared" ca="1" si="138"/>
        <v>#REF!</v>
      </c>
      <c r="L19" s="33" t="e">
        <f t="shared" ca="1" si="138"/>
        <v>#REF!</v>
      </c>
      <c r="M19" s="33" t="e">
        <f t="shared" ca="1" si="138"/>
        <v>#REF!</v>
      </c>
      <c r="N19" s="33" t="e">
        <f t="shared" ref="N19" ca="1" si="139">+N18+M19</f>
        <v>#REF!</v>
      </c>
      <c r="O19" s="33" t="e">
        <f t="shared" ref="O19" ca="1" si="140">+O18+N19</f>
        <v>#REF!</v>
      </c>
      <c r="P19" s="33" t="e">
        <f t="shared" ref="P19" ca="1" si="141">+P18+O19</f>
        <v>#REF!</v>
      </c>
      <c r="Q19" s="33" t="e">
        <f t="shared" ref="Q19" ca="1" si="142">+Q18+P19</f>
        <v>#REF!</v>
      </c>
      <c r="R19" s="33" t="e">
        <f t="shared" ref="R19" ca="1" si="143">+R18+Q19</f>
        <v>#REF!</v>
      </c>
      <c r="S19" s="33" t="e">
        <f t="shared" ref="S19" ca="1" si="144">+S18+R19</f>
        <v>#REF!</v>
      </c>
      <c r="T19" s="33" t="e">
        <f t="shared" ref="T19" ca="1" si="145">+T18+S19</f>
        <v>#REF!</v>
      </c>
      <c r="U19" s="33" t="e">
        <f t="shared" ref="U19" ca="1" si="146">+U18+T19</f>
        <v>#REF!</v>
      </c>
      <c r="V19" s="33" t="e">
        <f t="shared" ref="V19" ca="1" si="147">+V18+U19</f>
        <v>#REF!</v>
      </c>
      <c r="W19" s="33" t="e">
        <f t="shared" ref="W19" ca="1" si="148">+W18+V19</f>
        <v>#REF!</v>
      </c>
    </row>
    <row r="21" spans="1:242" x14ac:dyDescent="0.3">
      <c r="B21" s="6" t="s">
        <v>788</v>
      </c>
      <c r="C21" s="6"/>
      <c r="D21" s="6"/>
      <c r="E21" s="6"/>
    </row>
    <row r="22" spans="1:242" x14ac:dyDescent="0.3">
      <c r="A22" t="s">
        <v>932</v>
      </c>
      <c r="B22" s="35" t="e">
        <f>+NPV(12%,C18,D18:H18)</f>
        <v>#REF!</v>
      </c>
      <c r="C22" s="35"/>
      <c r="D22" s="35"/>
      <c r="E22" s="35"/>
    </row>
    <row r="23" spans="1:242" x14ac:dyDescent="0.3">
      <c r="A23" t="s">
        <v>933</v>
      </c>
      <c r="B23" s="9" t="e">
        <f>+IRR(C18:H18)</f>
        <v>#VALUE!</v>
      </c>
      <c r="C23" s="9"/>
      <c r="D23" s="9"/>
      <c r="E23" s="9"/>
    </row>
    <row r="24" spans="1:242" x14ac:dyDescent="0.3">
      <c r="A24" t="s">
        <v>953</v>
      </c>
      <c r="B24" s="33">
        <f ca="1">+SUM(C16:H16)</f>
        <v>14944234.430683581</v>
      </c>
      <c r="C24" s="9"/>
      <c r="D24" s="9"/>
      <c r="E24" s="9"/>
    </row>
    <row r="25" spans="1:242" x14ac:dyDescent="0.3">
      <c r="A25" t="s">
        <v>954</v>
      </c>
      <c r="B25" s="33" t="e">
        <f>+SUM(C17:H17)</f>
        <v>#REF!</v>
      </c>
      <c r="C25" s="38"/>
      <c r="D25" s="38"/>
      <c r="E25" s="38"/>
    </row>
    <row r="26" spans="1:242" x14ac:dyDescent="0.3">
      <c r="A26" t="s">
        <v>971</v>
      </c>
      <c r="B26" s="33" t="e">
        <f ca="1">+B24-B25</f>
        <v>#REF!</v>
      </c>
    </row>
    <row r="27" spans="1:242" x14ac:dyDescent="0.3">
      <c r="A27" t="s">
        <v>956</v>
      </c>
      <c r="B27" s="17">
        <f ca="1">COUNTIFS(13:13,"&lt;0")/12</f>
        <v>0</v>
      </c>
    </row>
    <row r="28" spans="1:242" x14ac:dyDescent="0.3">
      <c r="A28" t="s">
        <v>818</v>
      </c>
      <c r="B28" s="30" t="e">
        <f>+#REF!</f>
        <v>#REF!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971</v>
      </c>
      <c r="B29" s="38" t="e">
        <f ca="1">+B26/B28</f>
        <v>#REF!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3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2" spans="1:242" x14ac:dyDescent="0.3">
      <c r="C32" s="6" t="s">
        <v>906</v>
      </c>
      <c r="D32" s="6" t="s">
        <v>959</v>
      </c>
      <c r="E32" s="6" t="s">
        <v>960</v>
      </c>
      <c r="F32" s="9">
        <v>0.25</v>
      </c>
    </row>
    <row r="33" spans="1:242" x14ac:dyDescent="0.3">
      <c r="A33" t="s">
        <v>961</v>
      </c>
      <c r="C33" s="31">
        <f>+SUM(C4:BO4)</f>
        <v>133254.46424674997</v>
      </c>
      <c r="E33" s="31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783</v>
      </c>
      <c r="C34" s="31">
        <f>+C5</f>
        <v>0</v>
      </c>
      <c r="E34" s="33" t="e">
        <f>+(E36-E35)/C33</f>
        <v>#REF!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962</v>
      </c>
      <c r="C35" s="31">
        <v>0</v>
      </c>
      <c r="E35" s="31">
        <f>+C35</f>
        <v>0</v>
      </c>
    </row>
    <row r="36" spans="1:242" x14ac:dyDescent="0.3">
      <c r="A36" t="s">
        <v>963</v>
      </c>
      <c r="C36" s="31">
        <f>+(C33*C34)+C35</f>
        <v>0</v>
      </c>
      <c r="D36" s="30" t="e">
        <f>+#REF!</f>
        <v>#REF!</v>
      </c>
      <c r="E36" s="33" t="e">
        <f>+E37+E42</f>
        <v>#REF!</v>
      </c>
    </row>
    <row r="37" spans="1:242" x14ac:dyDescent="0.3">
      <c r="A37" t="s">
        <v>813</v>
      </c>
      <c r="C37" s="31" t="e">
        <f>+SUM(C38:C41)</f>
        <v>#REF!</v>
      </c>
      <c r="D37" s="30" t="e">
        <f>+SUM('Simulacion prestamo'!C12:F12)+SUM('Simulacion prestamo'!C15:F15)</f>
        <v>#REF!</v>
      </c>
      <c r="E37" s="31" t="e">
        <f>+C37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964</v>
      </c>
      <c r="C38" s="30" t="e">
        <f>+'Simulacion prestamo'!C16*'Simulacion prestamo'!B6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643</v>
      </c>
      <c r="C39" s="30">
        <f>(4*300000*5)+300000</f>
        <v>6300000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965</v>
      </c>
      <c r="C40" s="30" t="e">
        <f>+#REF!*17</f>
        <v>#REF!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644</v>
      </c>
      <c r="C41" s="30" t="e">
        <f>+#REF!*65</f>
        <v>#REF!</v>
      </c>
    </row>
    <row r="42" spans="1:242" x14ac:dyDescent="0.3">
      <c r="A42" t="s">
        <v>284</v>
      </c>
      <c r="C42" s="30" t="e">
        <f>+C36-C37</f>
        <v>#REF!</v>
      </c>
      <c r="D42" s="30" t="e">
        <f>+D36-D43-D37</f>
        <v>#REF!</v>
      </c>
      <c r="E42" s="30" t="e">
        <f>+E37*F32</f>
        <v>#REF!</v>
      </c>
      <c r="F42" s="38"/>
    </row>
    <row r="43" spans="1:242" x14ac:dyDescent="0.3">
      <c r="A43" t="s">
        <v>966</v>
      </c>
      <c r="C43" s="30" t="e">
        <f>+B28</f>
        <v>#REF!</v>
      </c>
      <c r="D43" s="33" t="e">
        <f>+C43</f>
        <v>#REF!</v>
      </c>
    </row>
    <row r="44" spans="1:242" x14ac:dyDescent="0.3">
      <c r="C44" s="38" t="e">
        <f>+C42/C37</f>
        <v>#REF!</v>
      </c>
      <c r="D44" s="38" t="e">
        <f>+D42/(D43+D37)</f>
        <v>#REF!</v>
      </c>
    </row>
    <row r="45" spans="1:242" x14ac:dyDescent="0.3">
      <c r="B45" s="32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1048550" spans="16384:16384" x14ac:dyDescent="0.3">
      <c r="XFD1048550" t="e" cm="1">
        <f t="array" ref="XFD1048550">solver_pre</f>
        <v>#NAME?</v>
      </c>
    </row>
    <row r="1048551" spans="16384:16384" x14ac:dyDescent="0.3">
      <c r="XFD1048551" t="e" cm="1">
        <f t="array" ref="XFD1048551">solver_scl</f>
        <v>#NAME?</v>
      </c>
    </row>
    <row r="1048552" spans="16384:16384" x14ac:dyDescent="0.3">
      <c r="XFD1048552" t="e" cm="1">
        <f t="array" ref="XFD1048552">solver_rlx</f>
        <v>#NAME?</v>
      </c>
    </row>
    <row r="1048553" spans="16384:16384" x14ac:dyDescent="0.3">
      <c r="XFD1048553" t="e" cm="1">
        <f t="array" ref="XFD1048553">solver_tol</f>
        <v>#NAME?</v>
      </c>
    </row>
    <row r="1048554" spans="16384:16384" x14ac:dyDescent="0.3">
      <c r="XFD1048554" t="e" cm="1">
        <f t="array" ref="XFD1048554">solver_cvg</f>
        <v>#NAME?</v>
      </c>
    </row>
    <row r="1048555" spans="16384:16384" x14ac:dyDescent="0.3">
      <c r="XFD1048555" t="e" cm="1">
        <f t="array" ref="XFD1048555">AREAS(solver_adj1)</f>
        <v>#NAME?</v>
      </c>
    </row>
    <row r="1048556" spans="16384:16384" x14ac:dyDescent="0.3">
      <c r="XFD1048556" t="e" cm="1">
        <f t="array" ref="XFD1048556">solver_ssz</f>
        <v>#NAME?</v>
      </c>
    </row>
    <row r="1048557" spans="16384:16384" x14ac:dyDescent="0.3">
      <c r="XFD1048557" t="e" cm="1">
        <f t="array" ref="XFD1048557">solver_rsd</f>
        <v>#NAME?</v>
      </c>
    </row>
    <row r="1048558" spans="16384:16384" x14ac:dyDescent="0.3">
      <c r="XFD1048558" t="e" cm="1">
        <f t="array" ref="XFD1048558">solver_mrt</f>
        <v>#NAME?</v>
      </c>
    </row>
    <row r="1048559" spans="16384:16384" x14ac:dyDescent="0.3">
      <c r="XFD1048559" t="e" cm="1">
        <f t="array" ref="XFD1048559">solver_mni</f>
        <v>#NAME?</v>
      </c>
    </row>
    <row r="1048560" spans="16384:16384" x14ac:dyDescent="0.3">
      <c r="XFD1048560" t="e" cm="1">
        <f t="array" ref="XFD1048560">solver_rbv</f>
        <v>#NAME?</v>
      </c>
    </row>
    <row r="1048561" spans="16384:16384" x14ac:dyDescent="0.3">
      <c r="XFD1048561" t="e" cm="1">
        <f t="array" ref="XFD1048561">solver_neg</f>
        <v>#NAME?</v>
      </c>
    </row>
    <row r="1048562" spans="16384:16384" x14ac:dyDescent="0.3">
      <c r="XFD1048562" t="e" cm="1">
        <f t="array" ref="XFD1048562">solver_ntr</f>
        <v>#NAME?</v>
      </c>
    </row>
    <row r="1048563" spans="16384:16384" x14ac:dyDescent="0.3">
      <c r="XFD1048563" t="e" cm="1">
        <f t="array" ref="XFD1048563">solver_acc</f>
        <v>#NAME?</v>
      </c>
    </row>
    <row r="1048564" spans="16384:16384" x14ac:dyDescent="0.3">
      <c r="XFD1048564" t="e" cm="1">
        <f t="array" ref="XFD1048564">solver_res</f>
        <v>#NAME?</v>
      </c>
    </row>
    <row r="1048565" spans="16384:16384" x14ac:dyDescent="0.3">
      <c r="XFD1048565" t="e" cm="1">
        <f t="array" ref="XFD1048565">solver_ars</f>
        <v>#NAME?</v>
      </c>
    </row>
    <row r="1048566" spans="16384:16384" x14ac:dyDescent="0.3">
      <c r="XFD1048566" t="e" cm="1">
        <f t="array" ref="XFD1048566">solver_sta</f>
        <v>#NAME?</v>
      </c>
    </row>
    <row r="1048567" spans="16384:16384" x14ac:dyDescent="0.3">
      <c r="XFD1048567" t="e" cm="1">
        <f t="array" ref="XFD1048567">solver_met</f>
        <v>#NAME?</v>
      </c>
    </row>
    <row r="1048568" spans="16384:16384" x14ac:dyDescent="0.3">
      <c r="XFD1048568" t="e" cm="1">
        <f t="array" ref="XFD1048568">solver_soc</f>
        <v>#NAME?</v>
      </c>
    </row>
    <row r="1048569" spans="16384:16384" x14ac:dyDescent="0.3">
      <c r="XFD1048569" t="e" cm="1">
        <f t="array" ref="XFD1048569">solver_lpt</f>
        <v>#NAME?</v>
      </c>
    </row>
    <row r="1048570" spans="16384:16384" x14ac:dyDescent="0.3">
      <c r="XFD1048570" t="e" cm="1">
        <f t="array" ref="XFD1048570">solver_lpp</f>
        <v>#NAME?</v>
      </c>
    </row>
    <row r="1048571" spans="16384:16384" x14ac:dyDescent="0.3">
      <c r="XFD1048571" t="e" cm="1">
        <f t="array" ref="XFD1048571">solver_gap</f>
        <v>#NAME?</v>
      </c>
    </row>
    <row r="1048572" spans="16384:16384" x14ac:dyDescent="0.3">
      <c r="XFD1048572" t="e" cm="1">
        <f t="array" ref="XFD1048572">solver_ips</f>
        <v>#NAME?</v>
      </c>
    </row>
    <row r="1048573" spans="16384:16384" x14ac:dyDescent="0.3">
      <c r="XFD1048573" t="e" cm="1">
        <f t="array" ref="XFD1048573">solver_fea</f>
        <v>#NAME?</v>
      </c>
    </row>
    <row r="1048574" spans="16384:16384" x14ac:dyDescent="0.3">
      <c r="XFD1048574" t="e" cm="1">
        <f t="array" ref="XFD1048574">solver_ipi</f>
        <v>#NAME?</v>
      </c>
    </row>
    <row r="1048575" spans="16384:16384" x14ac:dyDescent="0.3">
      <c r="XFD1048575" t="e" cm="1">
        <f t="array" ref="XFD1048575">solver_ipd</f>
        <v>#NAME?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BB59A54F-8620-4D1F-8809-4C9E1229A38A}">
          <xm:f>'Análisis ESP CP'!1:1048576</xm:f>
        </x15:webExtension>
        <x15:webExtension appRef="{EBEAC2FF-760E-41B8-B24F-91A5CF293FD6}">
          <xm:f>'Análisis ESP CP'!XFD1048550:XFD1048575</xm:f>
        </x15:webExtension>
        <x15:webExtension appRef="{5165BDFC-9239-4664-BAE1-482AB2C02068}">
          <xm:f>'Análisis ESP CP'!1:1048576</xm:f>
        </x15:webExtension>
        <x15:webExtension appRef="{A4BF7A43-0095-47E2-A569-A3E306A8CC38}">
          <xm:f>'Análisis ESP CP'!XFD1048550:XFD1048575</xm:f>
        </x15:webExtension>
        <x15:webExtension appRef="{3EDE2834-C145-4789-B866-9DE2DC422F0D}">
          <xm:f>'Análisis ESP CP'!$B$23</xm:f>
        </x15:webExtension>
      </x15:webExtens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FA70-36FC-4FAC-9D58-7804832A4AFC}">
  <dimension ref="A1:XFD1048575"/>
  <sheetViews>
    <sheetView topLeftCell="A15" zoomScale="80" zoomScaleNormal="80" workbookViewId="0">
      <selection activeCell="C16" sqref="C16:M16"/>
    </sheetView>
  </sheetViews>
  <sheetFormatPr baseColWidth="10" defaultColWidth="11.44140625" defaultRowHeight="14.4" x14ac:dyDescent="0.3"/>
  <cols>
    <col min="1" max="1" width="46.5546875" bestFit="1" customWidth="1"/>
    <col min="2" max="2" width="15.5546875" customWidth="1"/>
    <col min="3" max="3" width="13.5546875" bestFit="1" customWidth="1"/>
    <col min="4" max="4" width="12.5546875" bestFit="1" customWidth="1"/>
    <col min="5" max="5" width="13.5546875" bestFit="1" customWidth="1"/>
    <col min="6" max="12" width="12.5546875" bestFit="1" customWidth="1"/>
    <col min="13" max="23" width="13.5546875" bestFit="1" customWidth="1"/>
    <col min="24" max="119" width="12.5546875" bestFit="1" customWidth="1"/>
    <col min="120" max="242" width="13.5546875" bestFit="1" customWidth="1"/>
    <col min="16384" max="16384" width="11.44140625" bestFit="1" customWidth="1"/>
  </cols>
  <sheetData>
    <row r="1" spans="1:242" x14ac:dyDescent="0.3">
      <c r="A1" s="6" t="s">
        <v>906</v>
      </c>
      <c r="B1" s="9"/>
    </row>
    <row r="2" spans="1:242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H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</row>
    <row r="3" spans="1:242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</row>
    <row r="4" spans="1:242" x14ac:dyDescent="0.3">
      <c r="A4" t="s">
        <v>946</v>
      </c>
      <c r="B4">
        <v>0</v>
      </c>
      <c r="C4" s="10">
        <f>+Producción!E8</f>
        <v>2195.9335397999998</v>
      </c>
      <c r="D4" s="10">
        <f>+Producción!F8</f>
        <v>2055.0388319999997</v>
      </c>
      <c r="E4" s="10">
        <f>+Producción!G8</f>
        <v>1852.7674396</v>
      </c>
      <c r="F4" s="10">
        <f>+Producción!H8</f>
        <v>1770.6796800000002</v>
      </c>
      <c r="G4" s="10">
        <f>+Producción!I8</f>
        <v>1871.7622308</v>
      </c>
      <c r="H4" s="10">
        <f>+Producción!J8</f>
        <v>2150.5786302000006</v>
      </c>
      <c r="I4" s="10">
        <f>+Producción!K8</f>
        <v>1982.6360400000001</v>
      </c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</row>
    <row r="5" spans="1:242" x14ac:dyDescent="0.3">
      <c r="A5" t="s">
        <v>907</v>
      </c>
      <c r="B5">
        <v>0</v>
      </c>
      <c r="C5" s="10">
        <f>+Tarifas!U49</f>
        <v>0</v>
      </c>
      <c r="D5" s="10">
        <f>+Tarifas!V49</f>
        <v>0</v>
      </c>
      <c r="E5" s="10">
        <f>+Tarifas!W49</f>
        <v>0</v>
      </c>
      <c r="F5" s="10">
        <f>+Tarifas!X49</f>
        <v>0</v>
      </c>
      <c r="G5" s="10">
        <f>+Tarifas!Y49</f>
        <v>0</v>
      </c>
      <c r="H5" s="10">
        <f ca="1">+Tarifas!Z49</f>
        <v>117.76437779643383</v>
      </c>
      <c r="I5" s="10">
        <f ca="1">+Tarifas!AA49</f>
        <v>117.76437779643383</v>
      </c>
      <c r="J5" s="10">
        <f ca="1">+Tarifas!AB49</f>
        <v>117.76437779643383</v>
      </c>
      <c r="K5" s="10">
        <f ca="1">+Tarifas!AC49</f>
        <v>117.76437779643383</v>
      </c>
      <c r="L5" s="10">
        <f ca="1">+Tarifas!AD49</f>
        <v>117.76437779643383</v>
      </c>
      <c r="M5" s="10">
        <f ca="1">+Tarifas!AE49</f>
        <v>117.76437779643383</v>
      </c>
      <c r="N5" s="10">
        <f ca="1">+Tarifas!AF49</f>
        <v>117.76437779643383</v>
      </c>
      <c r="O5" s="10">
        <f ca="1">+Tarifas!AG49</f>
        <v>117.76437779643383</v>
      </c>
      <c r="P5" s="10">
        <f ca="1">+Tarifas!AH49</f>
        <v>117.76437779643383</v>
      </c>
      <c r="Q5" s="10">
        <f ca="1">+Tarifas!AI49</f>
        <v>117.76437779643383</v>
      </c>
      <c r="R5" s="10">
        <f ca="1">+Tarifas!AJ49</f>
        <v>117.76437779643383</v>
      </c>
      <c r="S5" s="10">
        <f ca="1">+Tarifas!AK49</f>
        <v>117.76437779643383</v>
      </c>
      <c r="T5" s="10">
        <f ca="1">+Tarifas!AL49</f>
        <v>123.65259668625554</v>
      </c>
      <c r="U5" s="10">
        <f ca="1">+Tarifas!AM49</f>
        <v>123.65259668625554</v>
      </c>
      <c r="V5" s="10">
        <f ca="1">+Tarifas!AN49</f>
        <v>123.65259668625554</v>
      </c>
      <c r="W5" s="10">
        <f ca="1">+Tarifas!AO49</f>
        <v>123.65259668625554</v>
      </c>
      <c r="X5" s="10">
        <f ca="1">+Tarifas!AP49</f>
        <v>123.65259668625554</v>
      </c>
      <c r="Y5" s="10">
        <f ca="1">+Tarifas!AQ49</f>
        <v>123.65259668625554</v>
      </c>
      <c r="Z5" s="10">
        <f ca="1">+Tarifas!AR49</f>
        <v>123.65259668625554</v>
      </c>
      <c r="AA5" s="10">
        <f ca="1">+Tarifas!AS49</f>
        <v>123.65259668625554</v>
      </c>
      <c r="AB5" s="10">
        <f ca="1">+Tarifas!AT49</f>
        <v>123.65259668625554</v>
      </c>
      <c r="AC5" s="10">
        <f ca="1">+Tarifas!AU49</f>
        <v>123.65259668625554</v>
      </c>
      <c r="AD5" s="10">
        <f ca="1">+Tarifas!AV49</f>
        <v>123.65259668625554</v>
      </c>
      <c r="AE5" s="10">
        <f ca="1">+Tarifas!AW49</f>
        <v>123.65259668625554</v>
      </c>
      <c r="AF5" s="10">
        <f ca="1">+Tarifas!AX49</f>
        <v>129.83522652056831</v>
      </c>
      <c r="AG5" s="10">
        <f ca="1">+Tarifas!AY49</f>
        <v>129.83522652056831</v>
      </c>
      <c r="AH5" s="10">
        <f ca="1">+Tarifas!AZ49</f>
        <v>129.83522652056831</v>
      </c>
      <c r="AI5" s="10">
        <f ca="1">+Tarifas!BA49</f>
        <v>129.83522652056831</v>
      </c>
      <c r="AJ5" s="10">
        <f ca="1">+Tarifas!BB49</f>
        <v>129.83522652056831</v>
      </c>
      <c r="AK5" s="10">
        <f ca="1">+Tarifas!BC49</f>
        <v>129.83522652056831</v>
      </c>
      <c r="AL5" s="10">
        <f ca="1">+Tarifas!BD49</f>
        <v>129.83522652056831</v>
      </c>
      <c r="AM5" s="10">
        <f ca="1">+Tarifas!BE49</f>
        <v>129.83522652056831</v>
      </c>
      <c r="AN5" s="10">
        <f ca="1">+Tarifas!BF49</f>
        <v>129.83522652056831</v>
      </c>
      <c r="AO5" s="10">
        <f ca="1">+Tarifas!BG49</f>
        <v>129.83522652056831</v>
      </c>
      <c r="AP5" s="10">
        <f ca="1">+Tarifas!BH49</f>
        <v>129.83522652056831</v>
      </c>
      <c r="AQ5" s="10">
        <f ca="1">+Tarifas!BI49</f>
        <v>129.83522652056831</v>
      </c>
      <c r="AR5" s="10">
        <f ca="1">+Tarifas!BJ49</f>
        <v>133.73028331618536</v>
      </c>
      <c r="AS5" s="10">
        <f ca="1">+Tarifas!BK49</f>
        <v>133.73028331618536</v>
      </c>
      <c r="AT5" s="10">
        <f ca="1">+Tarifas!BL49</f>
        <v>133.73028331618536</v>
      </c>
      <c r="AU5" s="10">
        <f ca="1">+Tarifas!BM49</f>
        <v>133.73028331618536</v>
      </c>
      <c r="AV5" s="10">
        <f ca="1">+Tarifas!BN49</f>
        <v>133.73028331618536</v>
      </c>
      <c r="AW5" s="10">
        <f ca="1">+Tarifas!BO49</f>
        <v>133.73028331618536</v>
      </c>
      <c r="AX5" s="10">
        <f ca="1">+Tarifas!BP49</f>
        <v>133.73028331618536</v>
      </c>
      <c r="AY5" s="10">
        <f ca="1">+Tarifas!BQ49</f>
        <v>133.73028331618536</v>
      </c>
      <c r="AZ5" s="10">
        <f ca="1">+Tarifas!BR49</f>
        <v>133.73028331618536</v>
      </c>
      <c r="BA5" s="10">
        <f ca="1">+Tarifas!BS49</f>
        <v>133.73028331618536</v>
      </c>
      <c r="BB5" s="10">
        <f ca="1">+Tarifas!BT49</f>
        <v>133.73028331618536</v>
      </c>
      <c r="BC5" s="10">
        <f ca="1">+Tarifas!BU49</f>
        <v>133.73028331618536</v>
      </c>
      <c r="BD5" s="10">
        <f ca="1">+Tarifas!BV49</f>
        <v>140.41679748199465</v>
      </c>
      <c r="BE5" s="10">
        <f ca="1">+Tarifas!BW49</f>
        <v>140.41679748199465</v>
      </c>
      <c r="BF5" s="10">
        <f ca="1">+Tarifas!BX49</f>
        <v>140.41679748199465</v>
      </c>
      <c r="BG5" s="10">
        <f ca="1">+Tarifas!BY49</f>
        <v>140.41679748199465</v>
      </c>
      <c r="BH5" s="10">
        <f ca="1">+Tarifas!BZ49</f>
        <v>140.41679748199465</v>
      </c>
      <c r="BI5" s="10">
        <f ca="1">+Tarifas!CA49</f>
        <v>140.41679748199465</v>
      </c>
      <c r="BJ5" s="10">
        <f ca="1">+Tarifas!CB49</f>
        <v>140.41679748199465</v>
      </c>
      <c r="BK5" s="10">
        <f ca="1">+Tarifas!CC49</f>
        <v>140.41679748199465</v>
      </c>
      <c r="BL5" s="10">
        <f ca="1">+Tarifas!CD49</f>
        <v>140.41679748199465</v>
      </c>
      <c r="BM5" s="10">
        <f ca="1">+Tarifas!CE49</f>
        <v>140.41679748199465</v>
      </c>
      <c r="BN5" s="10">
        <f ca="1">+Tarifas!CF49</f>
        <v>140.41679748199465</v>
      </c>
      <c r="BO5" s="10">
        <f ca="1">+Tarifas!CG49</f>
        <v>140.41679748199465</v>
      </c>
      <c r="BP5" s="10">
        <f ca="1">+Tarifas!CH49</f>
        <v>144.62930140645449</v>
      </c>
      <c r="BQ5" s="10">
        <f ca="1">+Tarifas!CI49</f>
        <v>144.62930140645449</v>
      </c>
      <c r="BR5" s="10">
        <f ca="1">+Tarifas!CJ49</f>
        <v>144.62930140645449</v>
      </c>
      <c r="BS5" s="10">
        <f ca="1">+Tarifas!CK49</f>
        <v>144.62930140645449</v>
      </c>
      <c r="BT5" s="10">
        <f ca="1">+Tarifas!CL49</f>
        <v>144.62930140645449</v>
      </c>
      <c r="BU5" s="10">
        <f ca="1">+Tarifas!CM49</f>
        <v>144.62930140645449</v>
      </c>
      <c r="BV5" s="10">
        <f ca="1">+Tarifas!CN49</f>
        <v>144.62930140645449</v>
      </c>
      <c r="BW5" s="10">
        <f ca="1">+Tarifas!CO49</f>
        <v>144.62930140645449</v>
      </c>
      <c r="BX5" s="10">
        <f ca="1">+Tarifas!CP49</f>
        <v>144.62930140645449</v>
      </c>
      <c r="BY5" s="10">
        <f ca="1">+Tarifas!CQ49</f>
        <v>144.62930140645449</v>
      </c>
      <c r="BZ5" s="10">
        <f ca="1">+Tarifas!CR49</f>
        <v>144.62930140645449</v>
      </c>
      <c r="CA5" s="10">
        <f ca="1">+Tarifas!CS49</f>
        <v>144.62930140645449</v>
      </c>
      <c r="CB5" s="10">
        <f ca="1">+Tarifas!CT49</f>
        <v>151.86076647677723</v>
      </c>
      <c r="CC5" s="10">
        <f ca="1">+Tarifas!CU49</f>
        <v>151.86076647677723</v>
      </c>
      <c r="CD5" s="10">
        <f ca="1">+Tarifas!CV49</f>
        <v>151.86076647677723</v>
      </c>
      <c r="CE5" s="10">
        <f ca="1">+Tarifas!CW49</f>
        <v>151.86076647677723</v>
      </c>
      <c r="CF5" s="10">
        <f ca="1">+Tarifas!CX49</f>
        <v>151.86076647677723</v>
      </c>
      <c r="CG5" s="10">
        <f ca="1">+Tarifas!CY49</f>
        <v>151.86076647677723</v>
      </c>
      <c r="CH5" s="10">
        <f ca="1">+Tarifas!CZ49</f>
        <v>151.86076647677723</v>
      </c>
      <c r="CI5" s="10">
        <f ca="1">+Tarifas!DA49</f>
        <v>151.86076647677723</v>
      </c>
      <c r="CJ5" s="10">
        <f ca="1">+Tarifas!DB49</f>
        <v>151.86076647677723</v>
      </c>
      <c r="CK5" s="10">
        <f ca="1">+Tarifas!DC49</f>
        <v>151.86076647677723</v>
      </c>
      <c r="CL5" s="10">
        <f ca="1">+Tarifas!DD49</f>
        <v>151.86076647677723</v>
      </c>
      <c r="CM5" s="10">
        <f ca="1">+Tarifas!DE49</f>
        <v>151.86076647677723</v>
      </c>
      <c r="CN5" s="10">
        <f ca="1">+Tarifas!DF49</f>
        <v>159.4538048006161</v>
      </c>
      <c r="CO5" s="10">
        <f ca="1">+Tarifas!DG49</f>
        <v>159.4538048006161</v>
      </c>
      <c r="CP5" s="10">
        <f ca="1">+Tarifas!DH49</f>
        <v>159.4538048006161</v>
      </c>
      <c r="CQ5" s="10">
        <f ca="1">+Tarifas!DI49</f>
        <v>159.4538048006161</v>
      </c>
      <c r="CR5" s="10">
        <f ca="1">+Tarifas!DJ49</f>
        <v>159.4538048006161</v>
      </c>
      <c r="CS5" s="10">
        <f ca="1">+Tarifas!DK49</f>
        <v>159.4538048006161</v>
      </c>
      <c r="CT5" s="10">
        <f ca="1">+Tarifas!DL49</f>
        <v>159.4538048006161</v>
      </c>
      <c r="CU5" s="10">
        <f ca="1">+Tarifas!DM49</f>
        <v>159.4538048006161</v>
      </c>
      <c r="CV5" s="10">
        <f ca="1">+Tarifas!DN49</f>
        <v>159.4538048006161</v>
      </c>
      <c r="CW5" s="10">
        <f ca="1">+Tarifas!DO49</f>
        <v>159.4538048006161</v>
      </c>
      <c r="CX5" s="10">
        <f ca="1">+Tarifas!DP49</f>
        <v>159.4538048006161</v>
      </c>
      <c r="CY5" s="10">
        <f ca="1">+Tarifas!DQ49</f>
        <v>159.4538048006161</v>
      </c>
      <c r="CZ5" s="10">
        <f ca="1">+Tarifas!DR49</f>
        <v>167.4264950406469</v>
      </c>
      <c r="DA5" s="10">
        <f ca="1">+Tarifas!DS49</f>
        <v>167.4264950406469</v>
      </c>
      <c r="DB5" s="10">
        <f ca="1">+Tarifas!DT49</f>
        <v>167.4264950406469</v>
      </c>
      <c r="DC5" s="10">
        <f ca="1">+Tarifas!DU49</f>
        <v>167.4264950406469</v>
      </c>
      <c r="DD5" s="10">
        <f ca="1">+Tarifas!DV49</f>
        <v>167.4264950406469</v>
      </c>
      <c r="DE5" s="10">
        <f ca="1">+Tarifas!DW49</f>
        <v>167.4264950406469</v>
      </c>
      <c r="DF5" s="10">
        <f ca="1">+Tarifas!DX49</f>
        <v>167.4264950406469</v>
      </c>
      <c r="DG5" s="10">
        <f ca="1">+Tarifas!DY49</f>
        <v>167.4264950406469</v>
      </c>
      <c r="DH5" s="10">
        <f ca="1">+Tarifas!DZ49</f>
        <v>167.4264950406469</v>
      </c>
      <c r="DI5" s="10">
        <f ca="1">+Tarifas!EA49</f>
        <v>167.4264950406469</v>
      </c>
      <c r="DJ5" s="10">
        <f ca="1">+Tarifas!EB49</f>
        <v>167.4264950406469</v>
      </c>
      <c r="DK5" s="10">
        <f ca="1">+Tarifas!EC49</f>
        <v>167.4264950406469</v>
      </c>
      <c r="DL5" s="10">
        <f ca="1">+Tarifas!ED49</f>
        <v>175.79781979267926</v>
      </c>
      <c r="DM5" s="10">
        <f ca="1">+Tarifas!EE49</f>
        <v>175.79781979267926</v>
      </c>
      <c r="DN5" s="10">
        <f ca="1">+Tarifas!EF49</f>
        <v>175.79781979267926</v>
      </c>
      <c r="DO5" s="10">
        <f ca="1">+Tarifas!EG49</f>
        <v>175.79781979267926</v>
      </c>
      <c r="DP5" s="10">
        <f ca="1">+Tarifas!EH49</f>
        <v>175.79781979267926</v>
      </c>
      <c r="DQ5" s="10">
        <f ca="1">+Tarifas!EI49</f>
        <v>175.79781979267926</v>
      </c>
      <c r="DR5" s="10">
        <f ca="1">+Tarifas!EJ49</f>
        <v>175.79781979267926</v>
      </c>
      <c r="DS5" s="10">
        <f ca="1">+Tarifas!EK49</f>
        <v>175.79781979267926</v>
      </c>
      <c r="DT5" s="10">
        <f ca="1">+Tarifas!EL49</f>
        <v>175.79781979267926</v>
      </c>
      <c r="DU5" s="10">
        <f ca="1">+Tarifas!EM49</f>
        <v>175.79781979267926</v>
      </c>
      <c r="DV5" s="10">
        <f ca="1">+Tarifas!EN49</f>
        <v>175.79781979267926</v>
      </c>
      <c r="DW5" s="10">
        <f ca="1">+Tarifas!EO49</f>
        <v>175.79781979267926</v>
      </c>
      <c r="DX5" s="10">
        <f ca="1">+Tarifas!EP49</f>
        <v>129.21139754761924</v>
      </c>
      <c r="DY5" s="10">
        <f ca="1">+Tarifas!EQ49</f>
        <v>129.21139754761924</v>
      </c>
      <c r="DZ5" s="10">
        <f ca="1">+Tarifas!ER49</f>
        <v>129.21139754761924</v>
      </c>
      <c r="EA5" s="10">
        <f ca="1">+Tarifas!ES49</f>
        <v>129.21139754761924</v>
      </c>
      <c r="EB5" s="10">
        <f ca="1">+Tarifas!ET49</f>
        <v>129.21139754761924</v>
      </c>
      <c r="EC5" s="10">
        <f ca="1">+Tarifas!EU49</f>
        <v>129.21139754761924</v>
      </c>
      <c r="ED5" s="10">
        <f ca="1">+Tarifas!EV49</f>
        <v>129.21139754761924</v>
      </c>
      <c r="EE5" s="10">
        <f ca="1">+Tarifas!EW49</f>
        <v>129.21139754761924</v>
      </c>
      <c r="EF5" s="10">
        <f ca="1">+Tarifas!EX49</f>
        <v>129.21139754761924</v>
      </c>
      <c r="EG5" s="10">
        <f ca="1">+Tarifas!EY49</f>
        <v>129.21139754761924</v>
      </c>
      <c r="EH5" s="10">
        <f ca="1">+Tarifas!EZ49</f>
        <v>129.21139754761924</v>
      </c>
      <c r="EI5" s="10">
        <f ca="1">+Tarifas!FA49</f>
        <v>129.21139754761924</v>
      </c>
      <c r="EJ5" s="10">
        <f ca="1">+Tarifas!FB49</f>
        <v>135.67196742500022</v>
      </c>
      <c r="EK5" s="10">
        <f ca="1">+Tarifas!FC49</f>
        <v>135.67196742500022</v>
      </c>
      <c r="EL5" s="10">
        <f ca="1">+Tarifas!FD49</f>
        <v>135.67196742500022</v>
      </c>
      <c r="EM5" s="10">
        <f ca="1">+Tarifas!FE49</f>
        <v>135.67196742500022</v>
      </c>
      <c r="EN5" s="10">
        <f ca="1">+Tarifas!FF49</f>
        <v>135.67196742500022</v>
      </c>
      <c r="EO5" s="10">
        <f ca="1">+Tarifas!FG49</f>
        <v>135.67196742500022</v>
      </c>
      <c r="EP5" s="10">
        <f ca="1">+Tarifas!FH49</f>
        <v>135.67196742500022</v>
      </c>
      <c r="EQ5" s="10">
        <f ca="1">+Tarifas!FI49</f>
        <v>135.67196742500022</v>
      </c>
      <c r="ER5" s="10">
        <f ca="1">+Tarifas!FJ49</f>
        <v>135.67196742500022</v>
      </c>
      <c r="ES5" s="10">
        <f ca="1">+Tarifas!FK49</f>
        <v>135.67196742500022</v>
      </c>
      <c r="ET5" s="10">
        <f ca="1">+Tarifas!FL49</f>
        <v>135.67196742500022</v>
      </c>
      <c r="EU5" s="10">
        <f ca="1">+Tarifas!FM49</f>
        <v>135.67196742500022</v>
      </c>
      <c r="EV5" s="10">
        <f ca="1">+Tarifas!FN49</f>
        <v>142.45556579625023</v>
      </c>
      <c r="EW5" s="10">
        <f ca="1">+Tarifas!FO49</f>
        <v>142.45556579625023</v>
      </c>
      <c r="EX5" s="10">
        <f ca="1">+Tarifas!FP49</f>
        <v>142.45556579625023</v>
      </c>
      <c r="EY5" s="10">
        <f ca="1">+Tarifas!FQ49</f>
        <v>142.45556579625023</v>
      </c>
      <c r="EZ5" s="10">
        <f ca="1">+Tarifas!FR49</f>
        <v>142.45556579625023</v>
      </c>
      <c r="FA5" s="10">
        <f ca="1">+Tarifas!FS49</f>
        <v>142.45556579625023</v>
      </c>
      <c r="FB5" s="10">
        <f ca="1">+Tarifas!FT49</f>
        <v>142.45556579625023</v>
      </c>
      <c r="FC5" s="10">
        <f ca="1">+Tarifas!FU49</f>
        <v>142.45556579625023</v>
      </c>
      <c r="FD5" s="10">
        <f ca="1">+Tarifas!FV49</f>
        <v>142.45556579625023</v>
      </c>
      <c r="FE5" s="10">
        <f ca="1">+Tarifas!FW49</f>
        <v>142.45556579625023</v>
      </c>
      <c r="FF5" s="10">
        <f ca="1">+Tarifas!FX49</f>
        <v>142.45556579625023</v>
      </c>
      <c r="FG5" s="10">
        <f ca="1">+Tarifas!FY49</f>
        <v>142.45556579625023</v>
      </c>
      <c r="FH5" s="10">
        <f ca="1">+Tarifas!FZ49</f>
        <v>149.57834408606274</v>
      </c>
      <c r="FI5" s="10">
        <f ca="1">+Tarifas!GA49</f>
        <v>149.57834408606274</v>
      </c>
      <c r="FJ5" s="10">
        <f ca="1">+Tarifas!GB49</f>
        <v>149.57834408606274</v>
      </c>
      <c r="FK5" s="10">
        <f ca="1">+Tarifas!GC49</f>
        <v>149.57834408606274</v>
      </c>
      <c r="FL5" s="10">
        <f ca="1">+Tarifas!GD49</f>
        <v>149.57834408606274</v>
      </c>
      <c r="FM5" s="10">
        <f ca="1">+Tarifas!GE49</f>
        <v>149.57834408606274</v>
      </c>
      <c r="FN5" s="10">
        <f ca="1">+Tarifas!GF49</f>
        <v>149.57834408606274</v>
      </c>
      <c r="FO5" s="10">
        <f ca="1">+Tarifas!GG49</f>
        <v>149.57834408606274</v>
      </c>
      <c r="FP5" s="10">
        <f ca="1">+Tarifas!GH49</f>
        <v>149.57834408606274</v>
      </c>
      <c r="FQ5" s="10">
        <f ca="1">+Tarifas!GI49</f>
        <v>149.57834408606274</v>
      </c>
      <c r="FR5" s="10">
        <f ca="1">+Tarifas!GJ49</f>
        <v>149.57834408606274</v>
      </c>
      <c r="FS5" s="10">
        <f ca="1">+Tarifas!GK49</f>
        <v>149.57834408606274</v>
      </c>
      <c r="FT5" s="10">
        <f ca="1">+Tarifas!GL49</f>
        <v>157.05726129036589</v>
      </c>
      <c r="FU5" s="10">
        <f ca="1">+Tarifas!GM49</f>
        <v>157.05726129036589</v>
      </c>
      <c r="FV5" s="10">
        <f ca="1">+Tarifas!GN49</f>
        <v>157.05726129036589</v>
      </c>
      <c r="FW5" s="10">
        <f ca="1">+Tarifas!GO49</f>
        <v>157.05726129036589</v>
      </c>
      <c r="FX5" s="10">
        <f ca="1">+Tarifas!GP49</f>
        <v>157.05726129036589</v>
      </c>
      <c r="FY5" s="10">
        <f ca="1">+Tarifas!GQ49</f>
        <v>157.05726129036589</v>
      </c>
      <c r="FZ5" s="10">
        <f ca="1">+Tarifas!GR49</f>
        <v>157.05726129036589</v>
      </c>
      <c r="GA5" s="10">
        <f ca="1">+Tarifas!GS49</f>
        <v>157.05726129036589</v>
      </c>
      <c r="GB5" s="10">
        <f ca="1">+Tarifas!GT49</f>
        <v>157.05726129036589</v>
      </c>
      <c r="GC5" s="10">
        <f ca="1">+Tarifas!GU49</f>
        <v>157.05726129036589</v>
      </c>
      <c r="GD5" s="10">
        <f ca="1">+Tarifas!GV49</f>
        <v>157.05726129036589</v>
      </c>
      <c r="GE5" s="10">
        <f ca="1">+Tarifas!GW49</f>
        <v>157.05726129036589</v>
      </c>
      <c r="GF5" s="10">
        <f ca="1">+Tarifas!GX49</f>
        <v>164.91012435488418</v>
      </c>
      <c r="GG5" s="10">
        <f ca="1">+Tarifas!GY49</f>
        <v>164.91012435488418</v>
      </c>
      <c r="GH5" s="10">
        <f ca="1">+Tarifas!GZ49</f>
        <v>164.91012435488418</v>
      </c>
      <c r="GI5" s="10">
        <f ca="1">+Tarifas!HA49</f>
        <v>164.91012435488418</v>
      </c>
      <c r="GJ5" s="10">
        <f ca="1">+Tarifas!HB49</f>
        <v>164.91012435488418</v>
      </c>
      <c r="GK5" s="10">
        <f ca="1">+Tarifas!HC49</f>
        <v>164.91012435488418</v>
      </c>
      <c r="GL5" s="10">
        <f ca="1">+Tarifas!HD49</f>
        <v>164.91012435488418</v>
      </c>
      <c r="GM5" s="10">
        <f ca="1">+Tarifas!HE49</f>
        <v>164.91012435488418</v>
      </c>
      <c r="GN5" s="10">
        <f ca="1">+Tarifas!HF49</f>
        <v>164.91012435488418</v>
      </c>
      <c r="GO5" s="10">
        <f ca="1">+Tarifas!HG49</f>
        <v>164.91012435488418</v>
      </c>
      <c r="GP5" s="10">
        <f ca="1">+Tarifas!HH49</f>
        <v>164.91012435488418</v>
      </c>
      <c r="GQ5" s="10">
        <f ca="1">+Tarifas!HI49</f>
        <v>164.91012435488418</v>
      </c>
      <c r="GR5" s="10">
        <f ca="1">+Tarifas!HJ49</f>
        <v>173.15563057262838</v>
      </c>
      <c r="GS5" s="10">
        <f ca="1">+Tarifas!HK49</f>
        <v>173.15563057262838</v>
      </c>
      <c r="GT5" s="10">
        <f ca="1">+Tarifas!HL49</f>
        <v>173.15563057262838</v>
      </c>
      <c r="GU5" s="10">
        <f ca="1">+Tarifas!HM49</f>
        <v>173.15563057262838</v>
      </c>
      <c r="GV5" s="10">
        <f ca="1">+Tarifas!HN49</f>
        <v>173.15563057262838</v>
      </c>
      <c r="GW5" s="10">
        <f ca="1">+Tarifas!HO49</f>
        <v>173.15563057262838</v>
      </c>
      <c r="GX5" s="10">
        <f ca="1">+Tarifas!HP49</f>
        <v>173.15563057262838</v>
      </c>
      <c r="GY5" s="10">
        <f ca="1">+Tarifas!HQ49</f>
        <v>173.15563057262838</v>
      </c>
      <c r="GZ5" s="10">
        <f ca="1">+Tarifas!HR49</f>
        <v>173.15563057262838</v>
      </c>
      <c r="HA5" s="10">
        <f ca="1">+Tarifas!HS49</f>
        <v>173.15563057262838</v>
      </c>
      <c r="HB5" s="10">
        <f ca="1">+Tarifas!HT49</f>
        <v>173.15563057262838</v>
      </c>
      <c r="HC5" s="10">
        <f ca="1">+Tarifas!HU49</f>
        <v>173.15563057262838</v>
      </c>
      <c r="HD5" s="10">
        <f ca="1">+Tarifas!HV49</f>
        <v>181.81341210125981</v>
      </c>
      <c r="HE5" s="10">
        <f ca="1">+Tarifas!HW49</f>
        <v>181.81341210125981</v>
      </c>
      <c r="HF5" s="10">
        <f ca="1">+Tarifas!HX49</f>
        <v>181.81341210125981</v>
      </c>
      <c r="HG5" s="10">
        <f ca="1">+Tarifas!HY49</f>
        <v>181.81341210125981</v>
      </c>
      <c r="HH5" s="10">
        <f ca="1">+Tarifas!HZ49</f>
        <v>181.81341210125981</v>
      </c>
      <c r="HI5" s="10">
        <f ca="1">+Tarifas!IA49</f>
        <v>181.81341210125981</v>
      </c>
      <c r="HJ5" s="10">
        <f ca="1">+Tarifas!IB49</f>
        <v>181.81341210125981</v>
      </c>
      <c r="HK5" s="10">
        <f ca="1">+Tarifas!IC49</f>
        <v>181.81341210125981</v>
      </c>
      <c r="HL5" s="10">
        <f ca="1">+Tarifas!ID49</f>
        <v>181.81341210125981</v>
      </c>
      <c r="HM5" s="10">
        <f ca="1">+Tarifas!IE49</f>
        <v>181.81341210125981</v>
      </c>
      <c r="HN5" s="10">
        <f ca="1">+Tarifas!IF49</f>
        <v>181.81341210125981</v>
      </c>
      <c r="HO5" s="10">
        <f ca="1">+Tarifas!IG49</f>
        <v>181.81341210125981</v>
      </c>
      <c r="HP5" s="10">
        <f ca="1">+Tarifas!IH49</f>
        <v>190.90408270632281</v>
      </c>
      <c r="HQ5" s="10">
        <f ca="1">+Tarifas!II49</f>
        <v>190.90408270632281</v>
      </c>
      <c r="HR5" s="10">
        <f ca="1">+Tarifas!IJ49</f>
        <v>190.90408270632281</v>
      </c>
      <c r="HS5" s="10">
        <f ca="1">+Tarifas!IK49</f>
        <v>190.90408270632281</v>
      </c>
      <c r="HT5" s="10">
        <f ca="1">+Tarifas!IL49</f>
        <v>190.90408270632281</v>
      </c>
      <c r="HU5" s="10">
        <f ca="1">+Tarifas!IM49</f>
        <v>190.90408270632281</v>
      </c>
      <c r="HV5" s="10">
        <f ca="1">+Tarifas!IN49</f>
        <v>190.90408270632281</v>
      </c>
      <c r="HW5" s="10">
        <f ca="1">+Tarifas!IO49</f>
        <v>190.90408270632281</v>
      </c>
      <c r="HX5" s="10">
        <f ca="1">+Tarifas!IP49</f>
        <v>190.90408270632281</v>
      </c>
      <c r="HY5" s="10">
        <f ca="1">+Tarifas!IQ49</f>
        <v>190.90408270632281</v>
      </c>
      <c r="HZ5" s="10">
        <f ca="1">+Tarifas!IR49</f>
        <v>190.90408270632281</v>
      </c>
      <c r="IA5" s="10">
        <f ca="1">+Tarifas!IS49</f>
        <v>190.90408270632281</v>
      </c>
      <c r="IB5" s="10">
        <f ca="1">+Tarifas!IT49</f>
        <v>200.44928684163895</v>
      </c>
      <c r="IC5" s="10">
        <f ca="1">+Tarifas!IU49</f>
        <v>200.44928684163895</v>
      </c>
      <c r="ID5" s="10">
        <f ca="1">+Tarifas!IV49</f>
        <v>200.44928684163895</v>
      </c>
      <c r="IE5" s="10">
        <f ca="1">+Tarifas!IW49</f>
        <v>200.44928684163895</v>
      </c>
      <c r="IF5" s="10">
        <f ca="1">+Tarifas!IX49</f>
        <v>200.44928684163895</v>
      </c>
      <c r="IG5" s="10">
        <f ca="1">+Tarifas!IY49</f>
        <v>200.44928684163895</v>
      </c>
      <c r="IH5" s="10">
        <f ca="1">+Tarifas!IZ49</f>
        <v>200.44928684163895</v>
      </c>
    </row>
    <row r="6" spans="1:242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2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ca="1" si="4"/>
        <v>253261.55428781005</v>
      </c>
      <c r="J8" s="33">
        <f t="shared" ca="1" si="4"/>
        <v>233483.89964738552</v>
      </c>
      <c r="K8" s="33">
        <f t="shared" ca="1" si="4"/>
        <v>278021.6345918703</v>
      </c>
      <c r="L8" s="33">
        <f t="shared" ca="1" si="4"/>
        <v>252552.48776191767</v>
      </c>
      <c r="M8" s="33">
        <f t="shared" ca="1" si="4"/>
        <v>244867.4362589386</v>
      </c>
      <c r="N8" s="33">
        <f t="shared" ca="1" si="4"/>
        <v>246135.54614909223</v>
      </c>
      <c r="O8" s="33">
        <f t="shared" ca="1" si="4"/>
        <v>261918.16683016066</v>
      </c>
      <c r="P8" s="33">
        <f t="shared" ca="1" si="4"/>
        <v>258074.98628871058</v>
      </c>
      <c r="Q8" s="33">
        <f t="shared" ca="1" si="4"/>
        <v>241516.47068493298</v>
      </c>
      <c r="R8" s="33">
        <f t="shared" ca="1" si="4"/>
        <v>217744.71900205518</v>
      </c>
      <c r="S8" s="33">
        <f t="shared" ca="1" si="4"/>
        <v>208097.43366792329</v>
      </c>
      <c r="T8" s="33">
        <f t="shared" ca="1" si="4"/>
        <v>219977.06364712282</v>
      </c>
      <c r="U8" s="33">
        <f t="shared" ca="1" si="4"/>
        <v>265381.92867158377</v>
      </c>
      <c r="V8" s="33">
        <f t="shared" ca="1" si="4"/>
        <v>244657.77198765328</v>
      </c>
      <c r="W8" s="33">
        <f t="shared" ca="1" si="4"/>
        <v>291326.95567590988</v>
      </c>
      <c r="X8" s="33">
        <f t="shared" ca="1" si="4"/>
        <v>264638.92824766663</v>
      </c>
      <c r="Y8" s="33">
        <f t="shared" ca="1" si="4"/>
        <v>256586.09213704494</v>
      </c>
      <c r="Z8" s="33">
        <f t="shared" ca="1" si="4"/>
        <v>257914.89014337026</v>
      </c>
      <c r="AA8" s="33">
        <f t="shared" ca="1" si="4"/>
        <v>274452.8219570326</v>
      </c>
      <c r="AB8" s="33">
        <f t="shared" ca="1" si="4"/>
        <v>270701.66123136372</v>
      </c>
      <c r="AC8" s="33">
        <f t="shared" ca="1" si="4"/>
        <v>253332.99739482463</v>
      </c>
      <c r="AD8" s="33">
        <f t="shared" ca="1" si="4"/>
        <v>228398.17994709444</v>
      </c>
      <c r="AE8" s="33">
        <f t="shared" ca="1" si="4"/>
        <v>218278.88786118521</v>
      </c>
      <c r="AF8" s="33">
        <f t="shared" ca="1" si="4"/>
        <v>230739.74513537929</v>
      </c>
      <c r="AG8" s="33">
        <f t="shared" ca="1" si="4"/>
        <v>278366.10585658922</v>
      </c>
      <c r="AH8" s="33">
        <f t="shared" ca="1" si="4"/>
        <v>256627.99119993264</v>
      </c>
      <c r="AI8" s="33">
        <f t="shared" ca="1" si="4"/>
        <v>305580.52912078949</v>
      </c>
      <c r="AJ8" s="33">
        <f t="shared" ca="1" si="4"/>
        <v>277586.75311131781</v>
      </c>
      <c r="AK8" s="33">
        <f t="shared" ca="1" si="4"/>
        <v>269139.92087810591</v>
      </c>
      <c r="AL8" s="33">
        <f t="shared" ca="1" si="4"/>
        <v>270533.73216112098</v>
      </c>
      <c r="AM8" s="33">
        <f t="shared" ca="1" si="4"/>
        <v>287880.8051172003</v>
      </c>
      <c r="AN8" s="33">
        <f t="shared" ca="1" si="4"/>
        <v>283945.8162025605</v>
      </c>
      <c r="AO8" s="33">
        <f t="shared" ca="1" si="4"/>
        <v>265727.38559899316</v>
      </c>
      <c r="AP8" s="33">
        <f t="shared" ca="1" si="4"/>
        <v>239572.62518913246</v>
      </c>
      <c r="AQ8" s="33">
        <f t="shared" ca="1" si="4"/>
        <v>228958.2438896035</v>
      </c>
      <c r="AR8" s="33">
        <f t="shared" ca="1" si="4"/>
        <v>242028.75211334362</v>
      </c>
      <c r="AS8" s="33">
        <f t="shared" ca="1" si="4"/>
        <v>286423.62220625591</v>
      </c>
      <c r="AT8" s="33">
        <f t="shared" ca="1" si="4"/>
        <v>273486.86294818606</v>
      </c>
      <c r="AU8" s="33">
        <f t="shared" ca="1" si="4"/>
        <v>314425.78742532985</v>
      </c>
      <c r="AV8" s="33">
        <f t="shared" ca="1" si="4"/>
        <v>285621.71050946321</v>
      </c>
      <c r="AW8" s="33">
        <f t="shared" ca="1" si="4"/>
        <v>276930.37836268404</v>
      </c>
      <c r="AX8" s="33">
        <f t="shared" ca="1" si="4"/>
        <v>278364.53456185438</v>
      </c>
      <c r="AY8" s="33">
        <f t="shared" ca="1" si="4"/>
        <v>296213.731594902</v>
      </c>
      <c r="AZ8" s="33">
        <f t="shared" ca="1" si="4"/>
        <v>292164.53475555469</v>
      </c>
      <c r="BA8" s="33">
        <f t="shared" ca="1" si="4"/>
        <v>273418.77765142306</v>
      </c>
      <c r="BB8" s="33">
        <f t="shared" ca="1" si="4"/>
        <v>246506.97627683016</v>
      </c>
      <c r="BC8" s="33">
        <f t="shared" ca="1" si="4"/>
        <v>235585.36519071137</v>
      </c>
      <c r="BD8" s="33">
        <f t="shared" ca="1" si="4"/>
        <v>249034.19498957516</v>
      </c>
      <c r="BE8" s="33">
        <f t="shared" ca="1" si="4"/>
        <v>300436.66314923618</v>
      </c>
      <c r="BF8" s="33">
        <f t="shared" ca="1" si="4"/>
        <v>276975.01859842264</v>
      </c>
      <c r="BG8" s="33">
        <f t="shared" ca="1" si="4"/>
        <v>329808.81134905887</v>
      </c>
      <c r="BH8" s="33">
        <f t="shared" ca="1" si="4"/>
        <v>299595.51857998263</v>
      </c>
      <c r="BI8" s="33">
        <f t="shared" ca="1" si="4"/>
        <v>290478.970131965</v>
      </c>
      <c r="BJ8" s="33">
        <f t="shared" ca="1" si="4"/>
        <v>291983.29124764184</v>
      </c>
      <c r="BK8" s="33">
        <f t="shared" ca="1" si="4"/>
        <v>310705.74561504181</v>
      </c>
      <c r="BL8" s="33">
        <f t="shared" ca="1" si="4"/>
        <v>305199.56784464867</v>
      </c>
      <c r="BM8" s="33">
        <f t="shared" ca="1" si="4"/>
        <v>285617.46157740965</v>
      </c>
      <c r="BN8" s="33">
        <f t="shared" ca="1" si="4"/>
        <v>257504.97983379647</v>
      </c>
      <c r="BO8" s="33">
        <f t="shared" ca="1" si="4"/>
        <v>246096.09686845081</v>
      </c>
      <c r="BP8" s="33">
        <f t="shared" ca="1" si="4"/>
        <v>260144.95138141775</v>
      </c>
      <c r="BQ8" s="33">
        <f t="shared" ref="BQ8:EB8" ca="1" si="5">+BP4*BP5</f>
        <v>307862.84118195053</v>
      </c>
      <c r="BR8" s="33">
        <f t="shared" ca="1" si="5"/>
        <v>283821.2729042914</v>
      </c>
      <c r="BS8" s="33">
        <f t="shared" ca="1" si="5"/>
        <v>337961.00863471255</v>
      </c>
      <c r="BT8" s="33">
        <f t="shared" ca="1" si="5"/>
        <v>307000.90524436987</v>
      </c>
      <c r="BU8" s="33">
        <f t="shared" ca="1" si="5"/>
        <v>297659.01441932953</v>
      </c>
      <c r="BV8" s="33">
        <f t="shared" ca="1" si="5"/>
        <v>299200.51926719892</v>
      </c>
      <c r="BW8" s="33">
        <f t="shared" ca="1" si="5"/>
        <v>318385.75430152647</v>
      </c>
      <c r="BX8" s="33">
        <f t="shared" ca="1" si="5"/>
        <v>312735.16542184388</v>
      </c>
      <c r="BY8" s="33">
        <f t="shared" ca="1" si="5"/>
        <v>292669.56281944981</v>
      </c>
      <c r="BZ8" s="33">
        <f t="shared" ca="1" si="5"/>
        <v>263862.96361422882</v>
      </c>
      <c r="CA8" s="33">
        <f t="shared" ca="1" si="5"/>
        <v>252172.38709525432</v>
      </c>
      <c r="CB8" s="33">
        <f t="shared" ca="1" si="5"/>
        <v>266568.11796449503</v>
      </c>
      <c r="CC8" s="33">
        <f t="shared" ca="1" si="5"/>
        <v>321589.71528619737</v>
      </c>
      <c r="CD8" s="33">
        <f t="shared" ca="1" si="5"/>
        <v>296476.1904848179</v>
      </c>
      <c r="CE8" s="33">
        <f t="shared" ca="1" si="5"/>
        <v>353029.88865888916</v>
      </c>
      <c r="CF8" s="33">
        <f t="shared" ca="1" si="5"/>
        <v>320689.34766892553</v>
      </c>
      <c r="CG8" s="33">
        <f t="shared" ca="1" si="5"/>
        <v>310930.92408287176</v>
      </c>
      <c r="CH8" s="33">
        <f t="shared" ca="1" si="5"/>
        <v>312541.16097679315</v>
      </c>
      <c r="CI8" s="33">
        <f t="shared" ca="1" si="5"/>
        <v>332581.82015053794</v>
      </c>
      <c r="CJ8" s="33">
        <f t="shared" ca="1" si="5"/>
        <v>326670.5147618847</v>
      </c>
      <c r="CK8" s="33">
        <f t="shared" ca="1" si="5"/>
        <v>305710.79722487612</v>
      </c>
      <c r="CL8" s="33">
        <f t="shared" ca="1" si="5"/>
        <v>275620.58789962978</v>
      </c>
      <c r="CM8" s="33">
        <f t="shared" ca="1" si="5"/>
        <v>263409.08413680451</v>
      </c>
      <c r="CN8" s="33">
        <f t="shared" ca="1" si="5"/>
        <v>278446.2828064363</v>
      </c>
      <c r="CO8" s="33">
        <f t="shared" ca="1" si="5"/>
        <v>335919.61969791399</v>
      </c>
      <c r="CP8" s="33">
        <f t="shared" ca="1" si="5"/>
        <v>320747.298306891</v>
      </c>
      <c r="CQ8" s="33">
        <f t="shared" ca="1" si="5"/>
        <v>368760.75416389672</v>
      </c>
      <c r="CR8" s="33">
        <f t="shared" ca="1" si="5"/>
        <v>334979.13207282592</v>
      </c>
      <c r="CS8" s="33">
        <f t="shared" ca="1" si="5"/>
        <v>324785.87717671995</v>
      </c>
      <c r="CT8" s="33">
        <f t="shared" ca="1" si="5"/>
        <v>326467.86555917881</v>
      </c>
      <c r="CU8" s="33">
        <f t="shared" ca="1" si="5"/>
        <v>347401.52819869661</v>
      </c>
      <c r="CV8" s="33">
        <f t="shared" ca="1" si="5"/>
        <v>341217.56112237478</v>
      </c>
      <c r="CW8" s="33">
        <f t="shared" ca="1" si="5"/>
        <v>319324.48116379633</v>
      </c>
      <c r="CX8" s="33">
        <f t="shared" ca="1" si="5"/>
        <v>287894.31720453524</v>
      </c>
      <c r="CY8" s="33">
        <f t="shared" ca="1" si="5"/>
        <v>275139.01991477166</v>
      </c>
      <c r="CZ8" s="33">
        <f t="shared" ca="1" si="5"/>
        <v>290845.84383766045</v>
      </c>
      <c r="DA8" s="33">
        <f t="shared" ca="1" si="5"/>
        <v>350878.54026258673</v>
      </c>
      <c r="DB8" s="33">
        <f t="shared" ca="1" si="5"/>
        <v>323477.79793687427</v>
      </c>
      <c r="DC8" s="33">
        <f t="shared" ca="1" si="5"/>
        <v>385182.1314977578</v>
      </c>
      <c r="DD8" s="33">
        <f t="shared" ca="1" si="5"/>
        <v>349896.1715479439</v>
      </c>
      <c r="DE8" s="33">
        <f t="shared" ca="1" si="5"/>
        <v>339248.99826974573</v>
      </c>
      <c r="DF8" s="33">
        <f t="shared" ca="1" si="5"/>
        <v>341005.88769736094</v>
      </c>
      <c r="DG8" s="33">
        <f t="shared" ca="1" si="5"/>
        <v>362871.75250129483</v>
      </c>
      <c r="DH8" s="33">
        <f t="shared" ca="1" si="5"/>
        <v>356402.63583200931</v>
      </c>
      <c r="DI8" s="33">
        <f t="shared" ca="1" si="5"/>
        <v>333535.25650354649</v>
      </c>
      <c r="DJ8" s="33">
        <f t="shared" ca="1" si="5"/>
        <v>300706.36797018204</v>
      </c>
      <c r="DK8" s="33">
        <f t="shared" ca="1" si="5"/>
        <v>287383.42656019342</v>
      </c>
      <c r="DL8" s="33">
        <f t="shared" ca="1" si="5"/>
        <v>303789.24526499084</v>
      </c>
      <c r="DM8" s="33">
        <f t="shared" ca="1" si="5"/>
        <v>366493.55383448192</v>
      </c>
      <c r="DN8" s="33">
        <f t="shared" ca="1" si="5"/>
        <v>337873.40674558334</v>
      </c>
      <c r="DO8" s="33">
        <f t="shared" ca="1" si="5"/>
        <v>402323.74467959517</v>
      </c>
      <c r="DP8" s="33">
        <f t="shared" ca="1" si="5"/>
        <v>365467.46714039176</v>
      </c>
      <c r="DQ8" s="33">
        <f t="shared" ca="1" si="5"/>
        <v>354346.46677913237</v>
      </c>
      <c r="DR8" s="33">
        <f t="shared" ca="1" si="5"/>
        <v>356181.54238546343</v>
      </c>
      <c r="DS8" s="33">
        <f t="shared" ca="1" si="5"/>
        <v>379020.49541365611</v>
      </c>
      <c r="DT8" s="33">
        <f t="shared" ca="1" si="5"/>
        <v>370283.58059599291</v>
      </c>
      <c r="DU8" s="33">
        <f t="shared" ca="1" si="5"/>
        <v>358076.42958733381</v>
      </c>
      <c r="DV8" s="33">
        <f t="shared" ca="1" si="5"/>
        <v>312418.08967007336</v>
      </c>
      <c r="DW8" s="33">
        <f t="shared" ca="1" si="5"/>
        <v>308528.79657762242</v>
      </c>
      <c r="DX8" s="33">
        <f t="shared" ca="1" si="5"/>
        <v>315621.03692267998</v>
      </c>
      <c r="DY8" s="33">
        <f t="shared" ca="1" si="5"/>
        <v>266537.25930973009</v>
      </c>
      <c r="DZ8" s="33">
        <f t="shared" ca="1" si="5"/>
        <v>245722.8807584458</v>
      </c>
      <c r="EA8" s="33">
        <f t="shared" ca="1" si="5"/>
        <v>292595.23705171817</v>
      </c>
      <c r="EB8" s="33">
        <f t="shared" ca="1" si="5"/>
        <v>265791.0242603122</v>
      </c>
      <c r="EC8" s="33">
        <f t="shared" ref="EC8:GN8" ca="1" si="6">+EB4*EB5</f>
        <v>257703.13041863422</v>
      </c>
      <c r="ED8" s="33">
        <f t="shared" ca="1" si="6"/>
        <v>259037.71329907019</v>
      </c>
      <c r="EE8" s="33">
        <f t="shared" ca="1" si="6"/>
        <v>275647.64240136318</v>
      </c>
      <c r="EF8" s="33">
        <f t="shared" ca="1" si="6"/>
        <v>269263.12927275622</v>
      </c>
      <c r="EG8" s="33">
        <f t="shared" ca="1" si="6"/>
        <v>260386.32281321488</v>
      </c>
      <c r="EH8" s="33">
        <f t="shared" ca="1" si="6"/>
        <v>227184.45233401979</v>
      </c>
      <c r="EI8" s="33">
        <f t="shared" ca="1" si="6"/>
        <v>224356.23287301464</v>
      </c>
      <c r="EJ8" s="33">
        <f t="shared" ca="1" si="6"/>
        <v>229513.57424308284</v>
      </c>
      <c r="EK8" s="33">
        <f t="shared" ca="1" si="6"/>
        <v>276886.84437867178</v>
      </c>
      <c r="EL8" s="33">
        <f t="shared" ca="1" si="6"/>
        <v>264380.8282202906</v>
      </c>
      <c r="EM8" s="33">
        <f t="shared" ca="1" si="6"/>
        <v>303956.6478521307</v>
      </c>
      <c r="EN8" s="33">
        <f t="shared" ca="1" si="6"/>
        <v>276111.63318105839</v>
      </c>
      <c r="EO8" s="33">
        <f t="shared" ca="1" si="6"/>
        <v>267709.68814233656</v>
      </c>
      <c r="EP8" s="33">
        <f t="shared" ca="1" si="6"/>
        <v>269096.09259206604</v>
      </c>
      <c r="EQ8" s="33">
        <f t="shared" ca="1" si="6"/>
        <v>286350.98170737352</v>
      </c>
      <c r="ER8" s="33">
        <f t="shared" ca="1" si="6"/>
        <v>279686.21814783069</v>
      </c>
      <c r="ES8" s="33">
        <f t="shared" ca="1" si="6"/>
        <v>270465.79337372648</v>
      </c>
      <c r="ET8" s="33">
        <f t="shared" ca="1" si="6"/>
        <v>235978.68919856253</v>
      </c>
      <c r="EU8" s="33">
        <f t="shared" ca="1" si="6"/>
        <v>233040.99027455071</v>
      </c>
      <c r="EV8" s="33">
        <f t="shared" ca="1" si="6"/>
        <v>238397.97066539575</v>
      </c>
      <c r="EW8" s="33">
        <f t="shared" ca="1" si="6"/>
        <v>287605.0448062332</v>
      </c>
      <c r="EX8" s="33">
        <f t="shared" ca="1" si="6"/>
        <v>265145.44463116123</v>
      </c>
      <c r="EY8" s="33">
        <f t="shared" ca="1" si="6"/>
        <v>315722.71163995512</v>
      </c>
      <c r="EZ8" s="33">
        <f t="shared" ca="1" si="6"/>
        <v>286799.8254332284</v>
      </c>
      <c r="FA8" s="33">
        <f t="shared" ca="1" si="6"/>
        <v>278072.64381236245</v>
      </c>
      <c r="FB8" s="33">
        <f t="shared" ca="1" si="6"/>
        <v>279512.71553111373</v>
      </c>
      <c r="FC8" s="33">
        <f t="shared" ca="1" si="6"/>
        <v>297435.53583798156</v>
      </c>
      <c r="FD8" s="33">
        <f t="shared" ca="1" si="6"/>
        <v>290478.45808723074</v>
      </c>
      <c r="FE8" s="33">
        <f t="shared" ca="1" si="6"/>
        <v>280902.24518325611</v>
      </c>
      <c r="FF8" s="33">
        <f t="shared" ca="1" si="6"/>
        <v>245084.38861872445</v>
      </c>
      <c r="FG8" s="33">
        <f t="shared" ca="1" si="6"/>
        <v>242033.33283405783</v>
      </c>
      <c r="FH8" s="33">
        <f t="shared" ca="1" si="6"/>
        <v>247597.02279433221</v>
      </c>
      <c r="FI8" s="33">
        <f t="shared" ca="1" si="6"/>
        <v>298702.84816560417</v>
      </c>
      <c r="FJ8" s="33">
        <f t="shared" ca="1" si="6"/>
        <v>275376.60037508112</v>
      </c>
      <c r="FK8" s="33">
        <f t="shared" ca="1" si="6"/>
        <v>327905.49018693162</v>
      </c>
      <c r="FL8" s="33">
        <f t="shared" ca="1" si="6"/>
        <v>297866.55782766279</v>
      </c>
      <c r="FM8" s="33">
        <f t="shared" ca="1" si="6"/>
        <v>288802.62082903518</v>
      </c>
      <c r="FN8" s="33">
        <f t="shared" ca="1" si="6"/>
        <v>290298.26053258608</v>
      </c>
      <c r="FO8" s="33">
        <f t="shared" ca="1" si="6"/>
        <v>308912.66792738193</v>
      </c>
      <c r="FP8" s="33">
        <f t="shared" ca="1" si="6"/>
        <v>301650.70647520112</v>
      </c>
      <c r="FQ8" s="33">
        <f t="shared" ca="1" si="6"/>
        <v>291706.17769030441</v>
      </c>
      <c r="FR8" s="33">
        <f t="shared" ca="1" si="6"/>
        <v>254510.71125790614</v>
      </c>
      <c r="FS8" s="33">
        <f t="shared" ca="1" si="6"/>
        <v>251342.30717382929</v>
      </c>
      <c r="FT8" s="33">
        <f t="shared" ca="1" si="6"/>
        <v>257119.9852094989</v>
      </c>
      <c r="FU8" s="33">
        <f t="shared" ca="1" si="6"/>
        <v>310191.41924889665</v>
      </c>
      <c r="FV8" s="33">
        <f t="shared" ca="1" si="6"/>
        <v>285968.00808181503</v>
      </c>
      <c r="FW8" s="33">
        <f t="shared" ca="1" si="6"/>
        <v>340517.23980950593</v>
      </c>
      <c r="FX8" s="33">
        <f t="shared" ca="1" si="6"/>
        <v>309322.96389795752</v>
      </c>
      <c r="FY8" s="33">
        <f t="shared" ca="1" si="6"/>
        <v>299910.41393784422</v>
      </c>
      <c r="FZ8" s="33">
        <f t="shared" ca="1" si="6"/>
        <v>301463.57824537787</v>
      </c>
      <c r="GA8" s="33">
        <f t="shared" ca="1" si="6"/>
        <v>320793.92438612739</v>
      </c>
      <c r="GB8" s="33">
        <f t="shared" ca="1" si="6"/>
        <v>313213.98355675058</v>
      </c>
      <c r="GC8" s="33">
        <f t="shared" ca="1" si="6"/>
        <v>302888.24783509941</v>
      </c>
      <c r="GD8" s="33">
        <f t="shared" ca="1" si="6"/>
        <v>264266.95518945926</v>
      </c>
      <c r="GE8" s="33">
        <f t="shared" ca="1" si="6"/>
        <v>260977.09561549276</v>
      </c>
      <c r="GF8" s="33">
        <f t="shared" ca="1" si="6"/>
        <v>266976.25130919635</v>
      </c>
      <c r="GG8" s="33">
        <f t="shared" ca="1" si="6"/>
        <v>322082.09032010438</v>
      </c>
      <c r="GH8" s="33">
        <f t="shared" ca="1" si="6"/>
        <v>307534.76202465181</v>
      </c>
      <c r="GI8" s="33">
        <f t="shared" ca="1" si="6"/>
        <v>353570.40066887031</v>
      </c>
      <c r="GJ8" s="33">
        <f t="shared" ca="1" si="6"/>
        <v>321180.34418071253</v>
      </c>
      <c r="GK8" s="33">
        <f t="shared" ca="1" si="6"/>
        <v>311406.9798054616</v>
      </c>
      <c r="GL8" s="33">
        <f t="shared" ca="1" si="6"/>
        <v>313019.68207811727</v>
      </c>
      <c r="GM8" s="33">
        <f t="shared" ca="1" si="6"/>
        <v>333091.02482092893</v>
      </c>
      <c r="GN8" s="33">
        <f t="shared" ca="1" si="6"/>
        <v>325179.46158026683</v>
      </c>
      <c r="GO8" s="33">
        <f t="shared" ref="GO8:IH8" ca="1" si="7">+GN4*GN5</f>
        <v>314459.2595501481</v>
      </c>
      <c r="GP8" s="33">
        <f t="shared" ca="1" si="7"/>
        <v>274362.54673602286</v>
      </c>
      <c r="GQ8" s="33">
        <f t="shared" ca="1" si="7"/>
        <v>270947.00713338796</v>
      </c>
      <c r="GR8" s="33">
        <f t="shared" ca="1" si="7"/>
        <v>277175.34405583981</v>
      </c>
      <c r="GS8" s="33">
        <f t="shared" ca="1" si="7"/>
        <v>334386.34995031054</v>
      </c>
      <c r="GT8" s="33">
        <f t="shared" ca="1" si="7"/>
        <v>308273.51271219651</v>
      </c>
      <c r="GU8" s="33">
        <f t="shared" ca="1" si="7"/>
        <v>367077.58451464731</v>
      </c>
      <c r="GV8" s="33">
        <f t="shared" ca="1" si="7"/>
        <v>333450.15508199815</v>
      </c>
      <c r="GW8" s="33">
        <f t="shared" ca="1" si="7"/>
        <v>323303.42622499604</v>
      </c>
      <c r="GX8" s="33">
        <f t="shared" ca="1" si="7"/>
        <v>324977.73734851729</v>
      </c>
      <c r="GY8" s="33">
        <f t="shared" ca="1" si="7"/>
        <v>345815.85048824531</v>
      </c>
      <c r="GZ8" s="33">
        <f t="shared" ca="1" si="7"/>
        <v>337558.45244724292</v>
      </c>
      <c r="HA8" s="33">
        <f t="shared" ca="1" si="7"/>
        <v>326430.15181711403</v>
      </c>
      <c r="HB8" s="33">
        <f t="shared" ca="1" si="7"/>
        <v>284807.03004926915</v>
      </c>
      <c r="HC8" s="33">
        <f t="shared" ca="1" si="7"/>
        <v>281261.46706403402</v>
      </c>
      <c r="HD8" s="33">
        <f t="shared" ca="1" si="7"/>
        <v>287726.90544887458</v>
      </c>
      <c r="HE8" s="33">
        <f t="shared" ca="1" si="7"/>
        <v>347115.83031773719</v>
      </c>
      <c r="HF8" s="33">
        <f t="shared" ca="1" si="7"/>
        <v>320008.9248438541</v>
      </c>
      <c r="HG8" s="33">
        <f t="shared" ca="1" si="7"/>
        <v>381051.56074332999</v>
      </c>
      <c r="HH8" s="33">
        <f t="shared" ca="1" si="7"/>
        <v>346143.99621296063</v>
      </c>
      <c r="HI8" s="33">
        <f t="shared" ca="1" si="7"/>
        <v>335610.99983697035</v>
      </c>
      <c r="HJ8" s="33">
        <f t="shared" ca="1" si="7"/>
        <v>337349.048940762</v>
      </c>
      <c r="HK8" s="33">
        <f t="shared" ca="1" si="7"/>
        <v>358980.43116024102</v>
      </c>
      <c r="HL8" s="33">
        <f t="shared" ca="1" si="7"/>
        <v>350362.39374696591</v>
      </c>
      <c r="HM8" s="33">
        <f t="shared" ca="1" si="7"/>
        <v>338811.98516190116</v>
      </c>
      <c r="HN8" s="33">
        <f t="shared" ca="1" si="7"/>
        <v>295610.0553270001</v>
      </c>
      <c r="HO8" s="33">
        <f t="shared" ca="1" si="7"/>
        <v>291930.00546991115</v>
      </c>
      <c r="HP8" s="33">
        <f t="shared" ca="1" si="7"/>
        <v>298640.68462107331</v>
      </c>
      <c r="HQ8" s="33">
        <f t="shared" ca="1" si="7"/>
        <v>360282.29284703074</v>
      </c>
      <c r="HR8" s="33">
        <f t="shared" ca="1" si="7"/>
        <v>332147.19440689677</v>
      </c>
      <c r="HS8" s="33">
        <f t="shared" ca="1" si="7"/>
        <v>395505.24063359422</v>
      </c>
      <c r="HT8" s="33">
        <f t="shared" ca="1" si="7"/>
        <v>359273.59606931434</v>
      </c>
      <c r="HU8" s="33">
        <f t="shared" ca="1" si="7"/>
        <v>348341.07224457961</v>
      </c>
      <c r="HV8" s="33">
        <f t="shared" ca="1" si="7"/>
        <v>350145.04734885989</v>
      </c>
      <c r="HW8" s="33">
        <f t="shared" ca="1" si="7"/>
        <v>372596.93027321569</v>
      </c>
      <c r="HX8" s="33">
        <f t="shared" ca="1" si="7"/>
        <v>363602.83304554317</v>
      </c>
      <c r="HY8" s="33">
        <f t="shared" ca="1" si="7"/>
        <v>351615.92646162416</v>
      </c>
      <c r="HZ8" s="33">
        <f t="shared" ca="1" si="7"/>
        <v>306781.36555738095</v>
      </c>
      <c r="IA8" s="33">
        <f t="shared" ca="1" si="7"/>
        <v>302962.24404871592</v>
      </c>
      <c r="IB8" s="33">
        <f t="shared" ca="1" si="7"/>
        <v>309926.52444686968</v>
      </c>
      <c r="IC8" s="33">
        <f t="shared" ca="1" si="7"/>
        <v>373897.61205345922</v>
      </c>
      <c r="ID8" s="33">
        <f t="shared" ca="1" si="7"/>
        <v>357009.95677892474</v>
      </c>
      <c r="IE8" s="33">
        <f t="shared" ca="1" si="7"/>
        <v>410451.65961102658</v>
      </c>
      <c r="IF8" s="33">
        <f t="shared" ca="1" si="7"/>
        <v>372850.79592077096</v>
      </c>
      <c r="IG8" s="33">
        <f t="shared" ca="1" si="7"/>
        <v>361505.12439335726</v>
      </c>
      <c r="IH8" s="33">
        <f t="shared" ca="1" si="7"/>
        <v>363377.27297541563</v>
      </c>
    </row>
    <row r="9" spans="1:242" x14ac:dyDescent="0.3">
      <c r="A9" t="s">
        <v>813</v>
      </c>
      <c r="B9" s="30" t="e">
        <f>+#REF!</f>
        <v>#REF!</v>
      </c>
      <c r="C9" s="30" t="e">
        <f>+Producción!E92</f>
        <v>#REF!</v>
      </c>
      <c r="D9" s="30" t="e">
        <f>+Producción!F92</f>
        <v>#REF!</v>
      </c>
      <c r="E9" s="30" t="e">
        <f>+Producción!G92</f>
        <v>#REF!</v>
      </c>
      <c r="F9" s="30" t="e">
        <f>+Producción!H92</f>
        <v>#REF!</v>
      </c>
      <c r="G9" s="30" t="e">
        <f>+Producción!I92</f>
        <v>#REF!</v>
      </c>
      <c r="H9" s="30" t="e">
        <f>+Producción!J92</f>
        <v>#REF!</v>
      </c>
      <c r="I9" s="30" t="e">
        <f>+Producción!K92</f>
        <v>#REF!</v>
      </c>
      <c r="J9" s="30" t="e">
        <f>+Producción!L92</f>
        <v>#REF!</v>
      </c>
      <c r="K9" s="30" t="e">
        <f>+Producción!M92</f>
        <v>#REF!</v>
      </c>
      <c r="L9" s="30" t="e">
        <f>+Producción!N92</f>
        <v>#REF!</v>
      </c>
      <c r="M9" s="30" t="e">
        <f>+Producción!O92</f>
        <v>#REF!</v>
      </c>
      <c r="N9" s="30" t="e">
        <f>+Producción!P92</f>
        <v>#REF!</v>
      </c>
      <c r="O9" s="30" t="e">
        <f>+Producción!Q92</f>
        <v>#REF!</v>
      </c>
      <c r="P9" s="30" t="e">
        <f>+Producción!R92</f>
        <v>#REF!</v>
      </c>
      <c r="Q9" s="30" t="e">
        <f>+Producción!S92</f>
        <v>#REF!</v>
      </c>
      <c r="R9" s="30" t="e">
        <f>+Producción!T92</f>
        <v>#REF!</v>
      </c>
      <c r="S9" s="30" t="e">
        <f>+Producción!U92</f>
        <v>#REF!</v>
      </c>
      <c r="T9" s="30" t="e">
        <f>+Producción!V92</f>
        <v>#REF!</v>
      </c>
      <c r="U9" s="30" t="e">
        <f>+Producción!W92</f>
        <v>#REF!</v>
      </c>
      <c r="V9" s="30" t="e">
        <f>+Producción!X92</f>
        <v>#REF!</v>
      </c>
      <c r="W9" s="30" t="e">
        <f>+Producción!Y92</f>
        <v>#REF!</v>
      </c>
      <c r="X9" s="30" t="e">
        <f>+Producción!Z92</f>
        <v>#REF!</v>
      </c>
      <c r="Y9" s="30" t="e">
        <f>+Producción!AA92</f>
        <v>#REF!</v>
      </c>
      <c r="Z9" s="30" t="e">
        <f>+Producción!AB92</f>
        <v>#REF!</v>
      </c>
      <c r="AA9" s="30" t="e">
        <f>+Producción!AC92</f>
        <v>#REF!</v>
      </c>
      <c r="AB9" s="30" t="e">
        <f>+Producción!AD92</f>
        <v>#REF!</v>
      </c>
      <c r="AC9" s="30" t="e">
        <f>+Producción!AE92</f>
        <v>#REF!</v>
      </c>
      <c r="AD9" s="30" t="e">
        <f>+Producción!AF92</f>
        <v>#REF!</v>
      </c>
      <c r="AE9" s="30" t="e">
        <f>+Producción!AG92</f>
        <v>#REF!</v>
      </c>
      <c r="AF9" s="30" t="e">
        <f>+Producción!AH92</f>
        <v>#REF!</v>
      </c>
      <c r="AG9" s="30" t="e">
        <f>+Producción!AI92</f>
        <v>#REF!</v>
      </c>
      <c r="AH9" s="30" t="e">
        <f>+Producción!AJ92</f>
        <v>#REF!</v>
      </c>
      <c r="AI9" s="30" t="e">
        <f>+Producción!AK92</f>
        <v>#REF!</v>
      </c>
      <c r="AJ9" s="30" t="e">
        <f>+Producción!AL92</f>
        <v>#REF!</v>
      </c>
      <c r="AK9" s="30" t="e">
        <f>+Producción!AM92</f>
        <v>#REF!</v>
      </c>
      <c r="AL9" s="30" t="e">
        <f>+Producción!AN92</f>
        <v>#REF!</v>
      </c>
      <c r="AM9" s="30" t="e">
        <f>+Producción!AO92</f>
        <v>#REF!</v>
      </c>
      <c r="AN9" s="30" t="e">
        <f>+Producción!AP92</f>
        <v>#REF!</v>
      </c>
      <c r="AO9" s="30" t="e">
        <f>+Producción!AQ92</f>
        <v>#REF!</v>
      </c>
      <c r="AP9" s="30" t="e">
        <f>+Producción!AR92</f>
        <v>#REF!</v>
      </c>
      <c r="AQ9" s="30" t="e">
        <f>+Producción!AS92</f>
        <v>#REF!</v>
      </c>
      <c r="AR9" s="30" t="e">
        <f>+Producción!AT92</f>
        <v>#REF!</v>
      </c>
      <c r="AS9" s="30" t="e">
        <f>+Producción!AU92</f>
        <v>#REF!</v>
      </c>
      <c r="AT9" s="30" t="e">
        <f>+Producción!AV92</f>
        <v>#REF!</v>
      </c>
      <c r="AU9" s="30" t="e">
        <f>+Producción!AW92</f>
        <v>#REF!</v>
      </c>
      <c r="AV9" s="30" t="e">
        <f>+Producción!AX92</f>
        <v>#REF!</v>
      </c>
      <c r="AW9" s="30" t="e">
        <f>+Producción!AY92</f>
        <v>#REF!</v>
      </c>
      <c r="AX9" s="30" t="e">
        <f>+Producción!AZ92</f>
        <v>#REF!</v>
      </c>
      <c r="AY9" s="30" t="e">
        <f>+Producción!BA92</f>
        <v>#REF!</v>
      </c>
      <c r="AZ9" s="30" t="e">
        <f>+Producción!BB92</f>
        <v>#REF!</v>
      </c>
      <c r="BA9" s="30" t="e">
        <f>+Producción!BC92</f>
        <v>#REF!</v>
      </c>
      <c r="BB9" s="30" t="e">
        <f>+Producción!BD92</f>
        <v>#REF!</v>
      </c>
      <c r="BC9" s="30" t="e">
        <f>+Producción!BE92</f>
        <v>#REF!</v>
      </c>
      <c r="BD9" s="30" t="e">
        <f>+Producción!BF92</f>
        <v>#REF!</v>
      </c>
      <c r="BE9" s="30" t="e">
        <f>+Producción!BG92</f>
        <v>#REF!</v>
      </c>
      <c r="BF9" s="30" t="e">
        <f>+Producción!BH92</f>
        <v>#REF!</v>
      </c>
      <c r="BG9" s="30" t="e">
        <f>+Producción!BI92</f>
        <v>#REF!</v>
      </c>
      <c r="BH9" s="30" t="e">
        <f>+Producción!BJ92</f>
        <v>#REF!</v>
      </c>
      <c r="BI9" s="30" t="e">
        <f>+Producción!BK92</f>
        <v>#REF!</v>
      </c>
      <c r="BJ9" s="30" t="e">
        <f>+Producción!BL92</f>
        <v>#REF!</v>
      </c>
      <c r="BK9" s="30" t="e">
        <f>+Producción!BM92</f>
        <v>#REF!</v>
      </c>
      <c r="BL9" s="30" t="e">
        <f>+Producción!BN92</f>
        <v>#REF!</v>
      </c>
      <c r="BM9" s="30" t="e">
        <f>+Producción!BO92</f>
        <v>#REF!</v>
      </c>
      <c r="BN9" s="30" t="e">
        <f>+Producción!BP92</f>
        <v>#REF!</v>
      </c>
      <c r="BO9" s="30" t="e">
        <f>+Producción!BQ92</f>
        <v>#REF!</v>
      </c>
      <c r="BP9" s="30" t="e">
        <f>+Producción!BR92</f>
        <v>#REF!</v>
      </c>
      <c r="BQ9" s="30" t="e">
        <f>+Producción!BS92</f>
        <v>#REF!</v>
      </c>
      <c r="BR9" s="30" t="e">
        <f>+Producción!BT92</f>
        <v>#REF!</v>
      </c>
      <c r="BS9" s="30" t="e">
        <f>+Producción!BU92</f>
        <v>#REF!</v>
      </c>
      <c r="BT9" s="30" t="e">
        <f>+Producción!BV92</f>
        <v>#REF!</v>
      </c>
      <c r="BU9" s="30" t="e">
        <f>+Producción!BW92</f>
        <v>#REF!</v>
      </c>
      <c r="BV9" s="30" t="e">
        <f>+Producción!BX92</f>
        <v>#REF!</v>
      </c>
      <c r="BW9" s="30" t="e">
        <f>+Producción!BY92</f>
        <v>#REF!</v>
      </c>
      <c r="BX9" s="30" t="e">
        <f>+Producción!BZ92</f>
        <v>#REF!</v>
      </c>
      <c r="BY9" s="30" t="e">
        <f>+Producción!CA92</f>
        <v>#REF!</v>
      </c>
      <c r="BZ9" s="30" t="e">
        <f>+Producción!CB92</f>
        <v>#REF!</v>
      </c>
      <c r="CA9" s="30" t="e">
        <f>+Producción!CC92</f>
        <v>#REF!</v>
      </c>
      <c r="CB9" s="30" t="e">
        <f>+Producción!CD92</f>
        <v>#REF!</v>
      </c>
      <c r="CC9" s="30" t="e">
        <f>+Producción!CE92</f>
        <v>#REF!</v>
      </c>
      <c r="CD9" s="30" t="e">
        <f>+Producción!CF92</f>
        <v>#REF!</v>
      </c>
      <c r="CE9" s="30" t="e">
        <f>+Producción!CG92</f>
        <v>#REF!</v>
      </c>
      <c r="CF9" s="30" t="e">
        <f>+Producción!CH92</f>
        <v>#REF!</v>
      </c>
      <c r="CG9" s="30" t="e">
        <f>+Producción!CI92</f>
        <v>#REF!</v>
      </c>
      <c r="CH9" s="30" t="e">
        <f>+Producción!CJ92</f>
        <v>#REF!</v>
      </c>
      <c r="CI9" s="30" t="e">
        <f>+Producción!CK92</f>
        <v>#REF!</v>
      </c>
      <c r="CJ9" s="30" t="e">
        <f>+Producción!CL92</f>
        <v>#REF!</v>
      </c>
      <c r="CK9" s="30" t="e">
        <f>+Producción!CM92</f>
        <v>#REF!</v>
      </c>
      <c r="CL9" s="30" t="e">
        <f>+Producción!CN92</f>
        <v>#REF!</v>
      </c>
      <c r="CM9" s="30" t="e">
        <f>+Producción!CO92</f>
        <v>#REF!</v>
      </c>
      <c r="CN9" s="30" t="e">
        <f>+Producción!CP92</f>
        <v>#REF!</v>
      </c>
      <c r="CO9" s="30" t="e">
        <f>+Producción!CQ92</f>
        <v>#REF!</v>
      </c>
      <c r="CP9" s="30" t="e">
        <f>+Producción!CR92</f>
        <v>#REF!</v>
      </c>
      <c r="CQ9" s="30" t="e">
        <f>+Producción!CS92</f>
        <v>#REF!</v>
      </c>
      <c r="CR9" s="30" t="e">
        <f>+Producción!CT92</f>
        <v>#REF!</v>
      </c>
      <c r="CS9" s="30" t="e">
        <f>+Producción!CU92</f>
        <v>#REF!</v>
      </c>
      <c r="CT9" s="30" t="e">
        <f>+Producción!CV92</f>
        <v>#REF!</v>
      </c>
      <c r="CU9" s="30" t="e">
        <f>+Producción!CW92</f>
        <v>#REF!</v>
      </c>
      <c r="CV9" s="30" t="e">
        <f>+Producción!CX92</f>
        <v>#REF!</v>
      </c>
      <c r="CW9" s="30" t="e">
        <f>+Producción!CY92</f>
        <v>#REF!</v>
      </c>
      <c r="CX9" s="30" t="e">
        <f>+Producción!CZ92</f>
        <v>#REF!</v>
      </c>
      <c r="CY9" s="30" t="e">
        <f>+Producción!DA92</f>
        <v>#REF!</v>
      </c>
      <c r="CZ9" s="30" t="e">
        <f>+Producción!DB92</f>
        <v>#REF!</v>
      </c>
      <c r="DA9" s="30" t="e">
        <f>+Producción!DC92</f>
        <v>#REF!</v>
      </c>
      <c r="DB9" s="30" t="e">
        <f>+Producción!DD92</f>
        <v>#REF!</v>
      </c>
      <c r="DC9" s="30" t="e">
        <f>+Producción!DE92</f>
        <v>#REF!</v>
      </c>
      <c r="DD9" s="30" t="e">
        <f>+Producción!DF92</f>
        <v>#REF!</v>
      </c>
      <c r="DE9" s="30" t="e">
        <f>+Producción!DG92</f>
        <v>#REF!</v>
      </c>
      <c r="DF9" s="30" t="e">
        <f>+Producción!DH92</f>
        <v>#REF!</v>
      </c>
      <c r="DG9" s="30" t="e">
        <f>+Producción!DI92</f>
        <v>#REF!</v>
      </c>
      <c r="DH9" s="30" t="e">
        <f>+Producción!DJ92</f>
        <v>#REF!</v>
      </c>
      <c r="DI9" s="30" t="e">
        <f>+Producción!DK92</f>
        <v>#REF!</v>
      </c>
      <c r="DJ9" s="30" t="e">
        <f>+Producción!DL92</f>
        <v>#REF!</v>
      </c>
      <c r="DK9" s="30" t="e">
        <f>+Producción!DM92</f>
        <v>#REF!</v>
      </c>
      <c r="DL9" s="30" t="e">
        <f>+Producción!DN92</f>
        <v>#REF!</v>
      </c>
      <c r="DM9" s="30" t="e">
        <f>+Producción!DO92</f>
        <v>#REF!</v>
      </c>
      <c r="DN9" s="30" t="e">
        <f>+Producción!DP92</f>
        <v>#REF!</v>
      </c>
      <c r="DO9" s="30" t="e">
        <f>+Producción!DQ92</f>
        <v>#REF!</v>
      </c>
      <c r="DP9" s="30" t="e">
        <f>+Producción!DR92</f>
        <v>#REF!</v>
      </c>
      <c r="DQ9" s="30" t="e">
        <f>+Producción!DS92</f>
        <v>#REF!</v>
      </c>
      <c r="DR9" s="30" t="e">
        <f>+Producción!DT92</f>
        <v>#REF!</v>
      </c>
      <c r="DS9" s="30" t="e">
        <f>+Producción!DU92</f>
        <v>#REF!</v>
      </c>
      <c r="DT9" s="30" t="e">
        <f>+Producción!DV92</f>
        <v>#REF!</v>
      </c>
      <c r="DU9" s="30" t="e">
        <f>+Producción!DW92</f>
        <v>#REF!</v>
      </c>
      <c r="DV9" s="30" t="e">
        <f>+Producción!DX92</f>
        <v>#REF!</v>
      </c>
      <c r="DW9" s="30" t="e">
        <f>+Producción!DY92</f>
        <v>#REF!</v>
      </c>
      <c r="DX9" s="30" t="e">
        <f>+Producción!DZ92</f>
        <v>#REF!</v>
      </c>
      <c r="DY9" s="30" t="e">
        <f>+Producción!EA92</f>
        <v>#REF!</v>
      </c>
      <c r="DZ9" s="30" t="e">
        <f>+Producción!EB92</f>
        <v>#REF!</v>
      </c>
      <c r="EA9" s="30" t="e">
        <f>+Producción!EC92</f>
        <v>#REF!</v>
      </c>
      <c r="EB9" s="30" t="e">
        <f>+Producción!ED92</f>
        <v>#REF!</v>
      </c>
      <c r="EC9" s="30" t="e">
        <f>+Producción!EE92</f>
        <v>#REF!</v>
      </c>
      <c r="ED9" s="30" t="e">
        <f>+Producción!EF92</f>
        <v>#REF!</v>
      </c>
      <c r="EE9" s="30" t="e">
        <f>+Producción!EG92</f>
        <v>#REF!</v>
      </c>
      <c r="EF9" s="30" t="e">
        <f>+Producción!EH92</f>
        <v>#REF!</v>
      </c>
      <c r="EG9" s="30" t="e">
        <f>+Producción!EI92</f>
        <v>#REF!</v>
      </c>
      <c r="EH9" s="30" t="e">
        <f>+Producción!EJ92</f>
        <v>#REF!</v>
      </c>
      <c r="EI9" s="30" t="e">
        <f>+Producción!EK92</f>
        <v>#REF!</v>
      </c>
      <c r="EJ9" s="30" t="e">
        <f>+Producción!EL92</f>
        <v>#REF!</v>
      </c>
      <c r="EK9" s="30" t="e">
        <f>+Producción!EM92</f>
        <v>#REF!</v>
      </c>
      <c r="EL9" s="30" t="e">
        <f>+Producción!EN92</f>
        <v>#REF!</v>
      </c>
      <c r="EM9" s="30" t="e">
        <f>+Producción!EO92</f>
        <v>#REF!</v>
      </c>
      <c r="EN9" s="30" t="e">
        <f>+Producción!EP92</f>
        <v>#REF!</v>
      </c>
      <c r="EO9" s="30" t="e">
        <f>+Producción!EQ92</f>
        <v>#REF!</v>
      </c>
      <c r="EP9" s="30" t="e">
        <f>+Producción!ER92</f>
        <v>#REF!</v>
      </c>
      <c r="EQ9" s="30" t="e">
        <f>+Producción!ES92</f>
        <v>#REF!</v>
      </c>
      <c r="ER9" s="30" t="e">
        <f>+Producción!ET92</f>
        <v>#REF!</v>
      </c>
      <c r="ES9" s="30" t="e">
        <f>+Producción!EU92</f>
        <v>#REF!</v>
      </c>
      <c r="ET9" s="30" t="e">
        <f>+Producción!EV92</f>
        <v>#REF!</v>
      </c>
      <c r="EU9" s="30" t="e">
        <f>+Producción!EW92</f>
        <v>#REF!</v>
      </c>
      <c r="EV9" s="30" t="e">
        <f>+Producción!EX92</f>
        <v>#REF!</v>
      </c>
      <c r="EW9" s="30" t="e">
        <f>+Producción!EY92</f>
        <v>#REF!</v>
      </c>
      <c r="EX9" s="30" t="e">
        <f>+Producción!EZ92</f>
        <v>#REF!</v>
      </c>
      <c r="EY9" s="30" t="e">
        <f>+Producción!FA92</f>
        <v>#REF!</v>
      </c>
      <c r="EZ9" s="30" t="e">
        <f>+Producción!FB92</f>
        <v>#REF!</v>
      </c>
      <c r="FA9" s="30" t="e">
        <f>+Producción!FC92</f>
        <v>#REF!</v>
      </c>
      <c r="FB9" s="30" t="e">
        <f>+Producción!FD92</f>
        <v>#REF!</v>
      </c>
      <c r="FC9" s="30" t="e">
        <f>+Producción!FE92</f>
        <v>#REF!</v>
      </c>
      <c r="FD9" s="30" t="e">
        <f>+Producción!FF92</f>
        <v>#REF!</v>
      </c>
      <c r="FE9" s="30" t="e">
        <f>+Producción!FG92</f>
        <v>#REF!</v>
      </c>
      <c r="FF9" s="30" t="e">
        <f>+Producción!FH92</f>
        <v>#REF!</v>
      </c>
      <c r="FG9" s="30" t="e">
        <f>+Producción!FI92</f>
        <v>#REF!</v>
      </c>
      <c r="FH9" s="30" t="e">
        <f>+Producción!FJ92</f>
        <v>#REF!</v>
      </c>
      <c r="FI9" s="30" t="e">
        <f>+Producción!FK92</f>
        <v>#REF!</v>
      </c>
      <c r="FJ9" s="30" t="e">
        <f>+Producción!FL92</f>
        <v>#REF!</v>
      </c>
      <c r="FK9" s="30" t="e">
        <f>+Producción!FM92</f>
        <v>#REF!</v>
      </c>
      <c r="FL9" s="30" t="e">
        <f>+Producción!FN92</f>
        <v>#REF!</v>
      </c>
      <c r="FM9" s="30" t="e">
        <f>+Producción!FO92</f>
        <v>#REF!</v>
      </c>
      <c r="FN9" s="30" t="e">
        <f>+Producción!FP92</f>
        <v>#REF!</v>
      </c>
      <c r="FO9" s="30" t="e">
        <f>+Producción!FQ92</f>
        <v>#REF!</v>
      </c>
      <c r="FP9" s="30" t="e">
        <f>+Producción!FR92</f>
        <v>#REF!</v>
      </c>
      <c r="FQ9" s="30" t="e">
        <f>+Producción!FS92</f>
        <v>#REF!</v>
      </c>
      <c r="FR9" s="30" t="e">
        <f>+Producción!FT92</f>
        <v>#REF!</v>
      </c>
      <c r="FS9" s="30" t="e">
        <f>+Producción!FU92</f>
        <v>#REF!</v>
      </c>
      <c r="FT9" s="30" t="e">
        <f>+Producción!FV92</f>
        <v>#REF!</v>
      </c>
      <c r="FU9" s="30" t="e">
        <f>+Producción!FW92</f>
        <v>#REF!</v>
      </c>
      <c r="FV9" s="30" t="e">
        <f>+Producción!FX92</f>
        <v>#REF!</v>
      </c>
      <c r="FW9" s="30" t="e">
        <f>+Producción!FY92</f>
        <v>#REF!</v>
      </c>
      <c r="FX9" s="30" t="e">
        <f>+Producción!FZ92</f>
        <v>#REF!</v>
      </c>
      <c r="FY9" s="30" t="e">
        <f>+Producción!GA92</f>
        <v>#REF!</v>
      </c>
      <c r="FZ9" s="30" t="e">
        <f>+Producción!GB92</f>
        <v>#REF!</v>
      </c>
      <c r="GA9" s="30" t="e">
        <f>+Producción!GC92</f>
        <v>#REF!</v>
      </c>
      <c r="GB9" s="30" t="e">
        <f>+Producción!GD92</f>
        <v>#REF!</v>
      </c>
      <c r="GC9" s="30" t="e">
        <f>+Producción!GE92</f>
        <v>#REF!</v>
      </c>
      <c r="GD9" s="30" t="e">
        <f>+Producción!GF92</f>
        <v>#REF!</v>
      </c>
      <c r="GE9" s="30" t="e">
        <f>+Producción!GG92</f>
        <v>#REF!</v>
      </c>
      <c r="GF9" s="30" t="e">
        <f>+Producción!GH92</f>
        <v>#REF!</v>
      </c>
      <c r="GG9" s="30" t="e">
        <f>+Producción!GI92</f>
        <v>#REF!</v>
      </c>
      <c r="GH9" s="30" t="e">
        <f>+Producción!GJ92</f>
        <v>#REF!</v>
      </c>
      <c r="GI9" s="30" t="e">
        <f>+Producción!GK92</f>
        <v>#REF!</v>
      </c>
      <c r="GJ9" s="30" t="e">
        <f>+Producción!GL92</f>
        <v>#REF!</v>
      </c>
      <c r="GK9" s="30" t="e">
        <f>+Producción!GM92</f>
        <v>#REF!</v>
      </c>
      <c r="GL9" s="30" t="e">
        <f>+Producción!GN92</f>
        <v>#REF!</v>
      </c>
      <c r="GM9" s="30" t="e">
        <f>+Producción!GO92</f>
        <v>#REF!</v>
      </c>
      <c r="GN9" s="30" t="e">
        <f>+Producción!GP92</f>
        <v>#REF!</v>
      </c>
      <c r="GO9" s="30" t="e">
        <f>+Producción!GQ92</f>
        <v>#REF!</v>
      </c>
      <c r="GP9" s="30" t="e">
        <f>+Producción!GR92</f>
        <v>#REF!</v>
      </c>
      <c r="GQ9" s="30" t="e">
        <f>+Producción!GS92</f>
        <v>#REF!</v>
      </c>
      <c r="GR9" s="30" t="e">
        <f>+Producción!GT92</f>
        <v>#REF!</v>
      </c>
      <c r="GS9" s="30" t="e">
        <f>+Producción!GU92</f>
        <v>#REF!</v>
      </c>
      <c r="GT9" s="30" t="e">
        <f>+Producción!GV92</f>
        <v>#REF!</v>
      </c>
      <c r="GU9" s="30" t="e">
        <f>+Producción!GW92</f>
        <v>#REF!</v>
      </c>
      <c r="GV9" s="30" t="e">
        <f>+Producción!GX92</f>
        <v>#REF!</v>
      </c>
      <c r="GW9" s="30" t="e">
        <f>+Producción!GY92</f>
        <v>#REF!</v>
      </c>
      <c r="GX9" s="30" t="e">
        <f>+Producción!GZ92</f>
        <v>#REF!</v>
      </c>
      <c r="GY9" s="30" t="e">
        <f>+Producción!HA92</f>
        <v>#REF!</v>
      </c>
      <c r="GZ9" s="30" t="e">
        <f>+Producción!HB92</f>
        <v>#REF!</v>
      </c>
      <c r="HA9" s="30" t="e">
        <f>+Producción!HC92</f>
        <v>#REF!</v>
      </c>
      <c r="HB9" s="30" t="e">
        <f>+Producción!HD92</f>
        <v>#REF!</v>
      </c>
      <c r="HC9" s="30" t="e">
        <f>+Producción!HE92</f>
        <v>#REF!</v>
      </c>
      <c r="HD9" s="30" t="e">
        <f>+Producción!HF92</f>
        <v>#REF!</v>
      </c>
      <c r="HE9" s="30" t="e">
        <f>+Producción!HG92</f>
        <v>#REF!</v>
      </c>
      <c r="HF9" s="30" t="e">
        <f>+Producción!HH92</f>
        <v>#REF!</v>
      </c>
      <c r="HG9" s="30" t="e">
        <f>+Producción!HI92</f>
        <v>#REF!</v>
      </c>
      <c r="HH9" s="30" t="e">
        <f>+Producción!HJ92</f>
        <v>#REF!</v>
      </c>
      <c r="HI9" s="30" t="e">
        <f>+Producción!HK92</f>
        <v>#REF!</v>
      </c>
      <c r="HJ9" s="30" t="e">
        <f>+Producción!HL92</f>
        <v>#REF!</v>
      </c>
      <c r="HK9" s="30" t="e">
        <f>+Producción!HM92</f>
        <v>#REF!</v>
      </c>
      <c r="HL9" s="30" t="e">
        <f>+Producción!HN92</f>
        <v>#REF!</v>
      </c>
      <c r="HM9" s="30" t="e">
        <f>+Producción!HO92</f>
        <v>#REF!</v>
      </c>
      <c r="HN9" s="30" t="e">
        <f>+Producción!HP92</f>
        <v>#REF!</v>
      </c>
      <c r="HO9" s="30" t="e">
        <f>+Producción!HQ92</f>
        <v>#REF!</v>
      </c>
      <c r="HP9" s="30" t="e">
        <f>+Producción!HR92</f>
        <v>#REF!</v>
      </c>
      <c r="HQ9" s="30" t="e">
        <f>+Producción!HS92</f>
        <v>#REF!</v>
      </c>
      <c r="HR9" s="30" t="e">
        <f>+Producción!HT92</f>
        <v>#REF!</v>
      </c>
      <c r="HS9" s="30" t="e">
        <f>+Producción!HU92</f>
        <v>#REF!</v>
      </c>
      <c r="HT9" s="30" t="e">
        <f>+Producción!HV92</f>
        <v>#REF!</v>
      </c>
      <c r="HU9" s="30" t="e">
        <f>+Producción!HW92</f>
        <v>#REF!</v>
      </c>
      <c r="HV9" s="30" t="e">
        <f>+Producción!HX92</f>
        <v>#REF!</v>
      </c>
      <c r="HW9" s="30" t="e">
        <f>+Producción!HY92</f>
        <v>#REF!</v>
      </c>
      <c r="HX9" s="30" t="e">
        <f>+Producción!HZ92</f>
        <v>#REF!</v>
      </c>
      <c r="HY9" s="30" t="e">
        <f>+Producción!IA92</f>
        <v>#REF!</v>
      </c>
      <c r="HZ9" s="30" t="e">
        <f>+Producción!IB92</f>
        <v>#REF!</v>
      </c>
      <c r="IA9" s="30" t="e">
        <f>+Producción!IC92</f>
        <v>#REF!</v>
      </c>
      <c r="IB9" s="30" t="e">
        <f>+Producción!ID92</f>
        <v>#REF!</v>
      </c>
      <c r="IC9" s="30" t="e">
        <f>+Producción!IE92</f>
        <v>#REF!</v>
      </c>
      <c r="ID9" s="30" t="e">
        <f>+Producción!IF92</f>
        <v>#REF!</v>
      </c>
      <c r="IE9" s="30" t="e">
        <f>+Producción!IG92</f>
        <v>#REF!</v>
      </c>
      <c r="IF9" s="30" t="e">
        <f>+Producción!IH92</f>
        <v>#REF!</v>
      </c>
      <c r="IG9" s="30" t="e">
        <f>+Producción!II92</f>
        <v>#REF!</v>
      </c>
      <c r="IH9" s="30" t="e">
        <f>+Producción!IJ92</f>
        <v>#REF!</v>
      </c>
    </row>
    <row r="10" spans="1:242" x14ac:dyDescent="0.3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</row>
    <row r="12" spans="1:242" x14ac:dyDescent="0.3">
      <c r="A12" t="s">
        <v>922</v>
      </c>
      <c r="B12" s="33" t="e">
        <f>+B8-B9</f>
        <v>#REF!</v>
      </c>
      <c r="C12" s="33" t="e">
        <f>+C8-C9</f>
        <v>#REF!</v>
      </c>
      <c r="D12" s="33" t="e">
        <f t="shared" ref="D12:BO12" si="8">+D8-D9</f>
        <v>#REF!</v>
      </c>
      <c r="E12" s="33" t="e">
        <f t="shared" si="8"/>
        <v>#REF!</v>
      </c>
      <c r="F12" s="33" t="e">
        <f>+F8-F9</f>
        <v>#REF!</v>
      </c>
      <c r="G12" s="33" t="e">
        <f t="shared" si="8"/>
        <v>#REF!</v>
      </c>
      <c r="H12" s="33" t="e">
        <f t="shared" si="8"/>
        <v>#REF!</v>
      </c>
      <c r="I12" s="33" t="e">
        <f ca="1">+I8-I9</f>
        <v>#REF!</v>
      </c>
      <c r="J12" s="33" t="e">
        <f t="shared" ca="1" si="8"/>
        <v>#REF!</v>
      </c>
      <c r="K12" s="33" t="e">
        <f t="shared" ca="1" si="8"/>
        <v>#REF!</v>
      </c>
      <c r="L12" s="33" t="e">
        <f t="shared" ca="1" si="8"/>
        <v>#REF!</v>
      </c>
      <c r="M12" s="33" t="e">
        <f t="shared" ca="1" si="8"/>
        <v>#REF!</v>
      </c>
      <c r="N12" s="33" t="e">
        <f t="shared" ca="1" si="8"/>
        <v>#REF!</v>
      </c>
      <c r="O12" s="33" t="e">
        <f t="shared" ca="1" si="8"/>
        <v>#REF!</v>
      </c>
      <c r="P12" s="33" t="e">
        <f t="shared" ca="1" si="8"/>
        <v>#REF!</v>
      </c>
      <c r="Q12" s="33" t="e">
        <f t="shared" ca="1" si="8"/>
        <v>#REF!</v>
      </c>
      <c r="R12" s="33" t="e">
        <f t="shared" ca="1" si="8"/>
        <v>#REF!</v>
      </c>
      <c r="S12" s="33" t="e">
        <f t="shared" ca="1" si="8"/>
        <v>#REF!</v>
      </c>
      <c r="T12" s="33" t="e">
        <f t="shared" ca="1" si="8"/>
        <v>#REF!</v>
      </c>
      <c r="U12" s="33" t="e">
        <f t="shared" ca="1" si="8"/>
        <v>#REF!</v>
      </c>
      <c r="V12" s="33" t="e">
        <f t="shared" ca="1" si="8"/>
        <v>#REF!</v>
      </c>
      <c r="W12" s="33" t="e">
        <f t="shared" ca="1" si="8"/>
        <v>#REF!</v>
      </c>
      <c r="X12" s="33" t="e">
        <f t="shared" ca="1" si="8"/>
        <v>#REF!</v>
      </c>
      <c r="Y12" s="33" t="e">
        <f t="shared" ca="1" si="8"/>
        <v>#REF!</v>
      </c>
      <c r="Z12" s="33" t="e">
        <f t="shared" ca="1" si="8"/>
        <v>#REF!</v>
      </c>
      <c r="AA12" s="33" t="e">
        <f t="shared" ca="1" si="8"/>
        <v>#REF!</v>
      </c>
      <c r="AB12" s="33" t="e">
        <f t="shared" ca="1" si="8"/>
        <v>#REF!</v>
      </c>
      <c r="AC12" s="33" t="e">
        <f t="shared" ca="1" si="8"/>
        <v>#REF!</v>
      </c>
      <c r="AD12" s="33" t="e">
        <f t="shared" ca="1" si="8"/>
        <v>#REF!</v>
      </c>
      <c r="AE12" s="33" t="e">
        <f t="shared" ca="1" si="8"/>
        <v>#REF!</v>
      </c>
      <c r="AF12" s="33" t="e">
        <f t="shared" ca="1" si="8"/>
        <v>#REF!</v>
      </c>
      <c r="AG12" s="33" t="e">
        <f t="shared" ca="1" si="8"/>
        <v>#REF!</v>
      </c>
      <c r="AH12" s="33" t="e">
        <f t="shared" ca="1" si="8"/>
        <v>#REF!</v>
      </c>
      <c r="AI12" s="33" t="e">
        <f t="shared" ca="1" si="8"/>
        <v>#REF!</v>
      </c>
      <c r="AJ12" s="33" t="e">
        <f t="shared" ca="1" si="8"/>
        <v>#REF!</v>
      </c>
      <c r="AK12" s="33" t="e">
        <f t="shared" ca="1" si="8"/>
        <v>#REF!</v>
      </c>
      <c r="AL12" s="33" t="e">
        <f t="shared" ca="1" si="8"/>
        <v>#REF!</v>
      </c>
      <c r="AM12" s="33" t="e">
        <f t="shared" ca="1" si="8"/>
        <v>#REF!</v>
      </c>
      <c r="AN12" s="33" t="e">
        <f t="shared" ca="1" si="8"/>
        <v>#REF!</v>
      </c>
      <c r="AO12" s="33" t="e">
        <f t="shared" ca="1" si="8"/>
        <v>#REF!</v>
      </c>
      <c r="AP12" s="33" t="e">
        <f t="shared" ca="1" si="8"/>
        <v>#REF!</v>
      </c>
      <c r="AQ12" s="33" t="e">
        <f t="shared" ca="1" si="8"/>
        <v>#REF!</v>
      </c>
      <c r="AR12" s="33" t="e">
        <f t="shared" ca="1" si="8"/>
        <v>#REF!</v>
      </c>
      <c r="AS12" s="33" t="e">
        <f t="shared" ca="1" si="8"/>
        <v>#REF!</v>
      </c>
      <c r="AT12" s="33" t="e">
        <f t="shared" ca="1" si="8"/>
        <v>#REF!</v>
      </c>
      <c r="AU12" s="33" t="e">
        <f t="shared" ca="1" si="8"/>
        <v>#REF!</v>
      </c>
      <c r="AV12" s="33" t="e">
        <f t="shared" ca="1" si="8"/>
        <v>#REF!</v>
      </c>
      <c r="AW12" s="33" t="e">
        <f t="shared" ca="1" si="8"/>
        <v>#REF!</v>
      </c>
      <c r="AX12" s="33" t="e">
        <f t="shared" ca="1" si="8"/>
        <v>#REF!</v>
      </c>
      <c r="AY12" s="33" t="e">
        <f t="shared" ca="1" si="8"/>
        <v>#REF!</v>
      </c>
      <c r="AZ12" s="33" t="e">
        <f t="shared" ca="1" si="8"/>
        <v>#REF!</v>
      </c>
      <c r="BA12" s="33" t="e">
        <f t="shared" ca="1" si="8"/>
        <v>#REF!</v>
      </c>
      <c r="BB12" s="33" t="e">
        <f t="shared" ca="1" si="8"/>
        <v>#REF!</v>
      </c>
      <c r="BC12" s="33" t="e">
        <f t="shared" ca="1" si="8"/>
        <v>#REF!</v>
      </c>
      <c r="BD12" s="33" t="e">
        <f t="shared" ca="1" si="8"/>
        <v>#REF!</v>
      </c>
      <c r="BE12" s="33" t="e">
        <f t="shared" ca="1" si="8"/>
        <v>#REF!</v>
      </c>
      <c r="BF12" s="33" t="e">
        <f t="shared" ca="1" si="8"/>
        <v>#REF!</v>
      </c>
      <c r="BG12" s="33" t="e">
        <f t="shared" ca="1" si="8"/>
        <v>#REF!</v>
      </c>
      <c r="BH12" s="33" t="e">
        <f t="shared" ca="1" si="8"/>
        <v>#REF!</v>
      </c>
      <c r="BI12" s="33" t="e">
        <f t="shared" ca="1" si="8"/>
        <v>#REF!</v>
      </c>
      <c r="BJ12" s="33" t="e">
        <f t="shared" ca="1" si="8"/>
        <v>#REF!</v>
      </c>
      <c r="BK12" s="33" t="e">
        <f t="shared" ca="1" si="8"/>
        <v>#REF!</v>
      </c>
      <c r="BL12" s="33" t="e">
        <f t="shared" ca="1" si="8"/>
        <v>#REF!</v>
      </c>
      <c r="BM12" s="33" t="e">
        <f t="shared" ca="1" si="8"/>
        <v>#REF!</v>
      </c>
      <c r="BN12" s="33" t="e">
        <f t="shared" ca="1" si="8"/>
        <v>#REF!</v>
      </c>
      <c r="BO12" s="33" t="e">
        <f t="shared" ca="1" si="8"/>
        <v>#REF!</v>
      </c>
      <c r="BP12" s="33" t="e">
        <f t="shared" ref="BP12:DR12" ca="1" si="9">+BP8-BP9</f>
        <v>#REF!</v>
      </c>
      <c r="BQ12" s="33" t="e">
        <f t="shared" ca="1" si="9"/>
        <v>#REF!</v>
      </c>
      <c r="BR12" s="33" t="e">
        <f t="shared" ca="1" si="9"/>
        <v>#REF!</v>
      </c>
      <c r="BS12" s="33" t="e">
        <f t="shared" ca="1" si="9"/>
        <v>#REF!</v>
      </c>
      <c r="BT12" s="33" t="e">
        <f t="shared" ca="1" si="9"/>
        <v>#REF!</v>
      </c>
      <c r="BU12" s="33" t="e">
        <f t="shared" ca="1" si="9"/>
        <v>#REF!</v>
      </c>
      <c r="BV12" s="33" t="e">
        <f t="shared" ca="1" si="9"/>
        <v>#REF!</v>
      </c>
      <c r="BW12" s="33" t="e">
        <f t="shared" ca="1" si="9"/>
        <v>#REF!</v>
      </c>
      <c r="BX12" s="33" t="e">
        <f t="shared" ca="1" si="9"/>
        <v>#REF!</v>
      </c>
      <c r="BY12" s="33" t="e">
        <f t="shared" ca="1" si="9"/>
        <v>#REF!</v>
      </c>
      <c r="BZ12" s="33" t="e">
        <f t="shared" ca="1" si="9"/>
        <v>#REF!</v>
      </c>
      <c r="CA12" s="33" t="e">
        <f t="shared" ca="1" si="9"/>
        <v>#REF!</v>
      </c>
      <c r="CB12" s="33" t="e">
        <f t="shared" ca="1" si="9"/>
        <v>#REF!</v>
      </c>
      <c r="CC12" s="33" t="e">
        <f t="shared" ca="1" si="9"/>
        <v>#REF!</v>
      </c>
      <c r="CD12" s="33" t="e">
        <f t="shared" ca="1" si="9"/>
        <v>#REF!</v>
      </c>
      <c r="CE12" s="33" t="e">
        <f t="shared" ca="1" si="9"/>
        <v>#REF!</v>
      </c>
      <c r="CF12" s="33" t="e">
        <f t="shared" ca="1" si="9"/>
        <v>#REF!</v>
      </c>
      <c r="CG12" s="33" t="e">
        <f t="shared" ca="1" si="9"/>
        <v>#REF!</v>
      </c>
      <c r="CH12" s="33" t="e">
        <f t="shared" ca="1" si="9"/>
        <v>#REF!</v>
      </c>
      <c r="CI12" s="33" t="e">
        <f t="shared" ca="1" si="9"/>
        <v>#REF!</v>
      </c>
      <c r="CJ12" s="33" t="e">
        <f t="shared" ca="1" si="9"/>
        <v>#REF!</v>
      </c>
      <c r="CK12" s="33" t="e">
        <f t="shared" ca="1" si="9"/>
        <v>#REF!</v>
      </c>
      <c r="CL12" s="33" t="e">
        <f t="shared" ca="1" si="9"/>
        <v>#REF!</v>
      </c>
      <c r="CM12" s="33" t="e">
        <f t="shared" ca="1" si="9"/>
        <v>#REF!</v>
      </c>
      <c r="CN12" s="33" t="e">
        <f t="shared" ca="1" si="9"/>
        <v>#REF!</v>
      </c>
      <c r="CO12" s="33" t="e">
        <f t="shared" ca="1" si="9"/>
        <v>#REF!</v>
      </c>
      <c r="CP12" s="33" t="e">
        <f t="shared" ca="1" si="9"/>
        <v>#REF!</v>
      </c>
      <c r="CQ12" s="33" t="e">
        <f t="shared" ca="1" si="9"/>
        <v>#REF!</v>
      </c>
      <c r="CR12" s="33" t="e">
        <f t="shared" ca="1" si="9"/>
        <v>#REF!</v>
      </c>
      <c r="CS12" s="33" t="e">
        <f t="shared" ca="1" si="9"/>
        <v>#REF!</v>
      </c>
      <c r="CT12" s="33" t="e">
        <f t="shared" ca="1" si="9"/>
        <v>#REF!</v>
      </c>
      <c r="CU12" s="33" t="e">
        <f t="shared" ca="1" si="9"/>
        <v>#REF!</v>
      </c>
      <c r="CV12" s="33" t="e">
        <f t="shared" ca="1" si="9"/>
        <v>#REF!</v>
      </c>
      <c r="CW12" s="33" t="e">
        <f t="shared" ca="1" si="9"/>
        <v>#REF!</v>
      </c>
      <c r="CX12" s="33" t="e">
        <f t="shared" ca="1" si="9"/>
        <v>#REF!</v>
      </c>
      <c r="CY12" s="33" t="e">
        <f t="shared" ca="1" si="9"/>
        <v>#REF!</v>
      </c>
      <c r="CZ12" s="33" t="e">
        <f t="shared" ca="1" si="9"/>
        <v>#REF!</v>
      </c>
      <c r="DA12" s="33" t="e">
        <f t="shared" ca="1" si="9"/>
        <v>#REF!</v>
      </c>
      <c r="DB12" s="33" t="e">
        <f t="shared" ca="1" si="9"/>
        <v>#REF!</v>
      </c>
      <c r="DC12" s="33" t="e">
        <f t="shared" ca="1" si="9"/>
        <v>#REF!</v>
      </c>
      <c r="DD12" s="33" t="e">
        <f t="shared" ca="1" si="9"/>
        <v>#REF!</v>
      </c>
      <c r="DE12" s="33" t="e">
        <f t="shared" ca="1" si="9"/>
        <v>#REF!</v>
      </c>
      <c r="DF12" s="33" t="e">
        <f t="shared" ca="1" si="9"/>
        <v>#REF!</v>
      </c>
      <c r="DG12" s="33" t="e">
        <f t="shared" ca="1" si="9"/>
        <v>#REF!</v>
      </c>
      <c r="DH12" s="33" t="e">
        <f t="shared" ca="1" si="9"/>
        <v>#REF!</v>
      </c>
      <c r="DI12" s="33" t="e">
        <f t="shared" ca="1" si="9"/>
        <v>#REF!</v>
      </c>
      <c r="DJ12" s="33" t="e">
        <f t="shared" ca="1" si="9"/>
        <v>#REF!</v>
      </c>
      <c r="DK12" s="33" t="e">
        <f t="shared" ca="1" si="9"/>
        <v>#REF!</v>
      </c>
      <c r="DL12" s="33" t="e">
        <f t="shared" ca="1" si="9"/>
        <v>#REF!</v>
      </c>
      <c r="DM12" s="33" t="e">
        <f t="shared" ca="1" si="9"/>
        <v>#REF!</v>
      </c>
      <c r="DN12" s="33" t="e">
        <f t="shared" ca="1" si="9"/>
        <v>#REF!</v>
      </c>
      <c r="DO12" s="33" t="e">
        <f t="shared" ca="1" si="9"/>
        <v>#REF!</v>
      </c>
      <c r="DP12" s="33" t="e">
        <f t="shared" ca="1" si="9"/>
        <v>#REF!</v>
      </c>
      <c r="DQ12" s="33" t="e">
        <f t="shared" ca="1" si="9"/>
        <v>#REF!</v>
      </c>
      <c r="DR12" s="33" t="e">
        <f t="shared" ca="1" si="9"/>
        <v>#REF!</v>
      </c>
      <c r="DS12" s="33" t="e">
        <f ca="1">+DS8-DS9</f>
        <v>#REF!</v>
      </c>
      <c r="DT12" s="33" t="e">
        <f t="shared" ref="DT12:DU12" ca="1" si="10">+DT8-DT9</f>
        <v>#REF!</v>
      </c>
      <c r="DU12" s="33" t="e">
        <f t="shared" ca="1" si="10"/>
        <v>#REF!</v>
      </c>
      <c r="DV12" s="33" t="e">
        <f ca="1">+DV8-DV9</f>
        <v>#REF!</v>
      </c>
      <c r="DW12" s="33" t="e">
        <f t="shared" ref="DW12:DX12" ca="1" si="11">+DW8-DW9</f>
        <v>#REF!</v>
      </c>
      <c r="DX12" s="33" t="e">
        <f t="shared" ca="1" si="11"/>
        <v>#REF!</v>
      </c>
      <c r="DY12" s="33" t="e">
        <f ca="1">+DY8-DY9</f>
        <v>#REF!</v>
      </c>
      <c r="DZ12" s="33" t="e">
        <f t="shared" ref="DZ12:GK12" ca="1" si="12">+DZ8-DZ9</f>
        <v>#REF!</v>
      </c>
      <c r="EA12" s="33" t="e">
        <f t="shared" ca="1" si="12"/>
        <v>#REF!</v>
      </c>
      <c r="EB12" s="33" t="e">
        <f t="shared" ca="1" si="12"/>
        <v>#REF!</v>
      </c>
      <c r="EC12" s="33" t="e">
        <f t="shared" ca="1" si="12"/>
        <v>#REF!</v>
      </c>
      <c r="ED12" s="33" t="e">
        <f t="shared" ca="1" si="12"/>
        <v>#REF!</v>
      </c>
      <c r="EE12" s="33" t="e">
        <f t="shared" ca="1" si="12"/>
        <v>#REF!</v>
      </c>
      <c r="EF12" s="33" t="e">
        <f t="shared" ca="1" si="12"/>
        <v>#REF!</v>
      </c>
      <c r="EG12" s="33" t="e">
        <f t="shared" ca="1" si="12"/>
        <v>#REF!</v>
      </c>
      <c r="EH12" s="33" t="e">
        <f t="shared" ca="1" si="12"/>
        <v>#REF!</v>
      </c>
      <c r="EI12" s="33" t="e">
        <f t="shared" ca="1" si="12"/>
        <v>#REF!</v>
      </c>
      <c r="EJ12" s="33" t="e">
        <f t="shared" ca="1" si="12"/>
        <v>#REF!</v>
      </c>
      <c r="EK12" s="33" t="e">
        <f t="shared" ca="1" si="12"/>
        <v>#REF!</v>
      </c>
      <c r="EL12" s="33" t="e">
        <f t="shared" ca="1" si="12"/>
        <v>#REF!</v>
      </c>
      <c r="EM12" s="33" t="e">
        <f t="shared" ca="1" si="12"/>
        <v>#REF!</v>
      </c>
      <c r="EN12" s="33" t="e">
        <f t="shared" ca="1" si="12"/>
        <v>#REF!</v>
      </c>
      <c r="EO12" s="33" t="e">
        <f t="shared" ca="1" si="12"/>
        <v>#REF!</v>
      </c>
      <c r="EP12" s="33" t="e">
        <f t="shared" ca="1" si="12"/>
        <v>#REF!</v>
      </c>
      <c r="EQ12" s="33" t="e">
        <f t="shared" ca="1" si="12"/>
        <v>#REF!</v>
      </c>
      <c r="ER12" s="33" t="e">
        <f t="shared" ca="1" si="12"/>
        <v>#REF!</v>
      </c>
      <c r="ES12" s="33" t="e">
        <f t="shared" ca="1" si="12"/>
        <v>#REF!</v>
      </c>
      <c r="ET12" s="33" t="e">
        <f t="shared" ca="1" si="12"/>
        <v>#REF!</v>
      </c>
      <c r="EU12" s="33" t="e">
        <f t="shared" ca="1" si="12"/>
        <v>#REF!</v>
      </c>
      <c r="EV12" s="33" t="e">
        <f t="shared" ca="1" si="12"/>
        <v>#REF!</v>
      </c>
      <c r="EW12" s="33" t="e">
        <f t="shared" ca="1" si="12"/>
        <v>#REF!</v>
      </c>
      <c r="EX12" s="33" t="e">
        <f t="shared" ca="1" si="12"/>
        <v>#REF!</v>
      </c>
      <c r="EY12" s="33" t="e">
        <f t="shared" ca="1" si="12"/>
        <v>#REF!</v>
      </c>
      <c r="EZ12" s="33" t="e">
        <f t="shared" ca="1" si="12"/>
        <v>#REF!</v>
      </c>
      <c r="FA12" s="33" t="e">
        <f t="shared" ca="1" si="12"/>
        <v>#REF!</v>
      </c>
      <c r="FB12" s="33" t="e">
        <f t="shared" ca="1" si="12"/>
        <v>#REF!</v>
      </c>
      <c r="FC12" s="33" t="e">
        <f t="shared" ca="1" si="12"/>
        <v>#REF!</v>
      </c>
      <c r="FD12" s="33" t="e">
        <f t="shared" ca="1" si="12"/>
        <v>#REF!</v>
      </c>
      <c r="FE12" s="33" t="e">
        <f t="shared" ca="1" si="12"/>
        <v>#REF!</v>
      </c>
      <c r="FF12" s="33" t="e">
        <f t="shared" ca="1" si="12"/>
        <v>#REF!</v>
      </c>
      <c r="FG12" s="33" t="e">
        <f t="shared" ca="1" si="12"/>
        <v>#REF!</v>
      </c>
      <c r="FH12" s="33" t="e">
        <f t="shared" ca="1" si="12"/>
        <v>#REF!</v>
      </c>
      <c r="FI12" s="33" t="e">
        <f t="shared" ca="1" si="12"/>
        <v>#REF!</v>
      </c>
      <c r="FJ12" s="33" t="e">
        <f t="shared" ca="1" si="12"/>
        <v>#REF!</v>
      </c>
      <c r="FK12" s="33" t="e">
        <f t="shared" ca="1" si="12"/>
        <v>#REF!</v>
      </c>
      <c r="FL12" s="33" t="e">
        <f t="shared" ca="1" si="12"/>
        <v>#REF!</v>
      </c>
      <c r="FM12" s="33" t="e">
        <f t="shared" ca="1" si="12"/>
        <v>#REF!</v>
      </c>
      <c r="FN12" s="33" t="e">
        <f t="shared" ca="1" si="12"/>
        <v>#REF!</v>
      </c>
      <c r="FO12" s="33" t="e">
        <f t="shared" ca="1" si="12"/>
        <v>#REF!</v>
      </c>
      <c r="FP12" s="33" t="e">
        <f t="shared" ca="1" si="12"/>
        <v>#REF!</v>
      </c>
      <c r="FQ12" s="33" t="e">
        <f t="shared" ca="1" si="12"/>
        <v>#REF!</v>
      </c>
      <c r="FR12" s="33" t="e">
        <f t="shared" ca="1" si="12"/>
        <v>#REF!</v>
      </c>
      <c r="FS12" s="33" t="e">
        <f t="shared" ca="1" si="12"/>
        <v>#REF!</v>
      </c>
      <c r="FT12" s="33" t="e">
        <f t="shared" ca="1" si="12"/>
        <v>#REF!</v>
      </c>
      <c r="FU12" s="33" t="e">
        <f t="shared" ca="1" si="12"/>
        <v>#REF!</v>
      </c>
      <c r="FV12" s="33" t="e">
        <f t="shared" ca="1" si="12"/>
        <v>#REF!</v>
      </c>
      <c r="FW12" s="33" t="e">
        <f t="shared" ca="1" si="12"/>
        <v>#REF!</v>
      </c>
      <c r="FX12" s="33" t="e">
        <f t="shared" ca="1" si="12"/>
        <v>#REF!</v>
      </c>
      <c r="FY12" s="33" t="e">
        <f t="shared" ca="1" si="12"/>
        <v>#REF!</v>
      </c>
      <c r="FZ12" s="33" t="e">
        <f t="shared" ca="1" si="12"/>
        <v>#REF!</v>
      </c>
      <c r="GA12" s="33" t="e">
        <f t="shared" ca="1" si="12"/>
        <v>#REF!</v>
      </c>
      <c r="GB12" s="33" t="e">
        <f t="shared" ca="1" si="12"/>
        <v>#REF!</v>
      </c>
      <c r="GC12" s="33" t="e">
        <f t="shared" ca="1" si="12"/>
        <v>#REF!</v>
      </c>
      <c r="GD12" s="33" t="e">
        <f t="shared" ca="1" si="12"/>
        <v>#REF!</v>
      </c>
      <c r="GE12" s="33" t="e">
        <f t="shared" ca="1" si="12"/>
        <v>#REF!</v>
      </c>
      <c r="GF12" s="33" t="e">
        <f t="shared" ca="1" si="12"/>
        <v>#REF!</v>
      </c>
      <c r="GG12" s="33" t="e">
        <f t="shared" ca="1" si="12"/>
        <v>#REF!</v>
      </c>
      <c r="GH12" s="33" t="e">
        <f t="shared" ca="1" si="12"/>
        <v>#REF!</v>
      </c>
      <c r="GI12" s="33" t="e">
        <f t="shared" ca="1" si="12"/>
        <v>#REF!</v>
      </c>
      <c r="GJ12" s="33" t="e">
        <f t="shared" ca="1" si="12"/>
        <v>#REF!</v>
      </c>
      <c r="GK12" s="33" t="e">
        <f t="shared" ca="1" si="12"/>
        <v>#REF!</v>
      </c>
      <c r="GL12" s="33" t="e">
        <f t="shared" ref="GL12:IH12" ca="1" si="13">+GL8-GL9</f>
        <v>#REF!</v>
      </c>
      <c r="GM12" s="33" t="e">
        <f t="shared" ca="1" si="13"/>
        <v>#REF!</v>
      </c>
      <c r="GN12" s="33" t="e">
        <f t="shared" ca="1" si="13"/>
        <v>#REF!</v>
      </c>
      <c r="GO12" s="33" t="e">
        <f t="shared" ca="1" si="13"/>
        <v>#REF!</v>
      </c>
      <c r="GP12" s="33" t="e">
        <f t="shared" ca="1" si="13"/>
        <v>#REF!</v>
      </c>
      <c r="GQ12" s="33" t="e">
        <f t="shared" ca="1" si="13"/>
        <v>#REF!</v>
      </c>
      <c r="GR12" s="33" t="e">
        <f t="shared" ca="1" si="13"/>
        <v>#REF!</v>
      </c>
      <c r="GS12" s="33" t="e">
        <f t="shared" ca="1" si="13"/>
        <v>#REF!</v>
      </c>
      <c r="GT12" s="33" t="e">
        <f t="shared" ca="1" si="13"/>
        <v>#REF!</v>
      </c>
      <c r="GU12" s="33" t="e">
        <f t="shared" ca="1" si="13"/>
        <v>#REF!</v>
      </c>
      <c r="GV12" s="33" t="e">
        <f t="shared" ca="1" si="13"/>
        <v>#REF!</v>
      </c>
      <c r="GW12" s="33" t="e">
        <f t="shared" ca="1" si="13"/>
        <v>#REF!</v>
      </c>
      <c r="GX12" s="33" t="e">
        <f t="shared" ca="1" si="13"/>
        <v>#REF!</v>
      </c>
      <c r="GY12" s="33" t="e">
        <f t="shared" ca="1" si="13"/>
        <v>#REF!</v>
      </c>
      <c r="GZ12" s="33" t="e">
        <f t="shared" ca="1" si="13"/>
        <v>#REF!</v>
      </c>
      <c r="HA12" s="33" t="e">
        <f t="shared" ca="1" si="13"/>
        <v>#REF!</v>
      </c>
      <c r="HB12" s="33" t="e">
        <f t="shared" ca="1" si="13"/>
        <v>#REF!</v>
      </c>
      <c r="HC12" s="33" t="e">
        <f t="shared" ca="1" si="13"/>
        <v>#REF!</v>
      </c>
      <c r="HD12" s="33" t="e">
        <f t="shared" ca="1" si="13"/>
        <v>#REF!</v>
      </c>
      <c r="HE12" s="33" t="e">
        <f t="shared" ca="1" si="13"/>
        <v>#REF!</v>
      </c>
      <c r="HF12" s="33" t="e">
        <f t="shared" ca="1" si="13"/>
        <v>#REF!</v>
      </c>
      <c r="HG12" s="33" t="e">
        <f t="shared" ca="1" si="13"/>
        <v>#REF!</v>
      </c>
      <c r="HH12" s="33" t="e">
        <f t="shared" ca="1" si="13"/>
        <v>#REF!</v>
      </c>
      <c r="HI12" s="33" t="e">
        <f t="shared" ca="1" si="13"/>
        <v>#REF!</v>
      </c>
      <c r="HJ12" s="33" t="e">
        <f t="shared" ca="1" si="13"/>
        <v>#REF!</v>
      </c>
      <c r="HK12" s="33" t="e">
        <f t="shared" ca="1" si="13"/>
        <v>#REF!</v>
      </c>
      <c r="HL12" s="33" t="e">
        <f t="shared" ca="1" si="13"/>
        <v>#REF!</v>
      </c>
      <c r="HM12" s="33" t="e">
        <f t="shared" ca="1" si="13"/>
        <v>#REF!</v>
      </c>
      <c r="HN12" s="33" t="e">
        <f t="shared" ca="1" si="13"/>
        <v>#REF!</v>
      </c>
      <c r="HO12" s="33" t="e">
        <f t="shared" ca="1" si="13"/>
        <v>#REF!</v>
      </c>
      <c r="HP12" s="33" t="e">
        <f t="shared" ca="1" si="13"/>
        <v>#REF!</v>
      </c>
      <c r="HQ12" s="33" t="e">
        <f t="shared" ca="1" si="13"/>
        <v>#REF!</v>
      </c>
      <c r="HR12" s="33" t="e">
        <f t="shared" ca="1" si="13"/>
        <v>#REF!</v>
      </c>
      <c r="HS12" s="33" t="e">
        <f t="shared" ca="1" si="13"/>
        <v>#REF!</v>
      </c>
      <c r="HT12" s="33" t="e">
        <f t="shared" ca="1" si="13"/>
        <v>#REF!</v>
      </c>
      <c r="HU12" s="33" t="e">
        <f t="shared" ca="1" si="13"/>
        <v>#REF!</v>
      </c>
      <c r="HV12" s="33" t="e">
        <f t="shared" ca="1" si="13"/>
        <v>#REF!</v>
      </c>
      <c r="HW12" s="33" t="e">
        <f t="shared" ca="1" si="13"/>
        <v>#REF!</v>
      </c>
      <c r="HX12" s="33" t="e">
        <f t="shared" ca="1" si="13"/>
        <v>#REF!</v>
      </c>
      <c r="HY12" s="33" t="e">
        <f t="shared" ca="1" si="13"/>
        <v>#REF!</v>
      </c>
      <c r="HZ12" s="33" t="e">
        <f t="shared" ca="1" si="13"/>
        <v>#REF!</v>
      </c>
      <c r="IA12" s="33" t="e">
        <f t="shared" ca="1" si="13"/>
        <v>#REF!</v>
      </c>
      <c r="IB12" s="33" t="e">
        <f t="shared" ca="1" si="13"/>
        <v>#REF!</v>
      </c>
      <c r="IC12" s="33" t="e">
        <f t="shared" ca="1" si="13"/>
        <v>#REF!</v>
      </c>
      <c r="ID12" s="33" t="e">
        <f t="shared" ca="1" si="13"/>
        <v>#REF!</v>
      </c>
      <c r="IE12" s="33" t="e">
        <f t="shared" ca="1" si="13"/>
        <v>#REF!</v>
      </c>
      <c r="IF12" s="33" t="e">
        <f t="shared" ca="1" si="13"/>
        <v>#REF!</v>
      </c>
      <c r="IG12" s="33" t="e">
        <f t="shared" ca="1" si="13"/>
        <v>#REF!</v>
      </c>
      <c r="IH12" s="33" t="e">
        <f t="shared" ca="1" si="13"/>
        <v>#REF!</v>
      </c>
    </row>
    <row r="13" spans="1:242" x14ac:dyDescent="0.3">
      <c r="A13" t="s">
        <v>923</v>
      </c>
      <c r="B13" s="33" t="e">
        <f>+B12</f>
        <v>#REF!</v>
      </c>
      <c r="C13" s="33" t="e">
        <f>+B13+C12</f>
        <v>#REF!</v>
      </c>
      <c r="D13" s="33" t="e">
        <f>+C13+D12</f>
        <v>#REF!</v>
      </c>
      <c r="E13" s="33" t="e">
        <f>+D13+E12</f>
        <v>#REF!</v>
      </c>
      <c r="F13" s="33" t="e">
        <f>+E13+F12</f>
        <v>#REF!</v>
      </c>
      <c r="G13" s="33" t="e">
        <f t="shared" ref="G13:BR13" si="14">+F13+G12</f>
        <v>#REF!</v>
      </c>
      <c r="H13" s="33" t="e">
        <f t="shared" si="14"/>
        <v>#REF!</v>
      </c>
      <c r="I13" s="33" t="e">
        <f t="shared" ca="1" si="14"/>
        <v>#REF!</v>
      </c>
      <c r="J13" s="33" t="e">
        <f t="shared" ca="1" si="14"/>
        <v>#REF!</v>
      </c>
      <c r="K13" s="33" t="e">
        <f t="shared" ca="1" si="14"/>
        <v>#REF!</v>
      </c>
      <c r="L13" s="33" t="e">
        <f t="shared" ca="1" si="14"/>
        <v>#REF!</v>
      </c>
      <c r="M13" s="33" t="e">
        <f t="shared" ca="1" si="14"/>
        <v>#REF!</v>
      </c>
      <c r="N13" s="33" t="e">
        <f t="shared" ca="1" si="14"/>
        <v>#REF!</v>
      </c>
      <c r="O13" s="33" t="e">
        <f t="shared" ca="1" si="14"/>
        <v>#REF!</v>
      </c>
      <c r="P13" s="33" t="e">
        <f t="shared" ca="1" si="14"/>
        <v>#REF!</v>
      </c>
      <c r="Q13" s="33" t="e">
        <f t="shared" ca="1" si="14"/>
        <v>#REF!</v>
      </c>
      <c r="R13" s="33" t="e">
        <f t="shared" ca="1" si="14"/>
        <v>#REF!</v>
      </c>
      <c r="S13" s="33" t="e">
        <f t="shared" ca="1" si="14"/>
        <v>#REF!</v>
      </c>
      <c r="T13" s="33" t="e">
        <f t="shared" ca="1" si="14"/>
        <v>#REF!</v>
      </c>
      <c r="U13" s="33" t="e">
        <f t="shared" ca="1" si="14"/>
        <v>#REF!</v>
      </c>
      <c r="V13" s="33" t="e">
        <f t="shared" ca="1" si="14"/>
        <v>#REF!</v>
      </c>
      <c r="W13" s="33" t="e">
        <f t="shared" ca="1" si="14"/>
        <v>#REF!</v>
      </c>
      <c r="X13" s="33" t="e">
        <f t="shared" ca="1" si="14"/>
        <v>#REF!</v>
      </c>
      <c r="Y13" s="33" t="e">
        <f t="shared" ca="1" si="14"/>
        <v>#REF!</v>
      </c>
      <c r="Z13" s="33" t="e">
        <f t="shared" ca="1" si="14"/>
        <v>#REF!</v>
      </c>
      <c r="AA13" s="33" t="e">
        <f t="shared" ca="1" si="14"/>
        <v>#REF!</v>
      </c>
      <c r="AB13" s="33" t="e">
        <f t="shared" ca="1" si="14"/>
        <v>#REF!</v>
      </c>
      <c r="AC13" s="33" t="e">
        <f t="shared" ca="1" si="14"/>
        <v>#REF!</v>
      </c>
      <c r="AD13" s="33" t="e">
        <f t="shared" ca="1" si="14"/>
        <v>#REF!</v>
      </c>
      <c r="AE13" s="33" t="e">
        <f t="shared" ca="1" si="14"/>
        <v>#REF!</v>
      </c>
      <c r="AF13" s="33" t="e">
        <f t="shared" ca="1" si="14"/>
        <v>#REF!</v>
      </c>
      <c r="AG13" s="33" t="e">
        <f t="shared" ca="1" si="14"/>
        <v>#REF!</v>
      </c>
      <c r="AH13" s="33" t="e">
        <f t="shared" ca="1" si="14"/>
        <v>#REF!</v>
      </c>
      <c r="AI13" s="33" t="e">
        <f t="shared" ca="1" si="14"/>
        <v>#REF!</v>
      </c>
      <c r="AJ13" s="33" t="e">
        <f t="shared" ca="1" si="14"/>
        <v>#REF!</v>
      </c>
      <c r="AK13" s="33" t="e">
        <f t="shared" ca="1" si="14"/>
        <v>#REF!</v>
      </c>
      <c r="AL13" s="33" t="e">
        <f t="shared" ca="1" si="14"/>
        <v>#REF!</v>
      </c>
      <c r="AM13" s="33" t="e">
        <f t="shared" ca="1" si="14"/>
        <v>#REF!</v>
      </c>
      <c r="AN13" s="33" t="e">
        <f t="shared" ca="1" si="14"/>
        <v>#REF!</v>
      </c>
      <c r="AO13" s="33" t="e">
        <f t="shared" ca="1" si="14"/>
        <v>#REF!</v>
      </c>
      <c r="AP13" s="33" t="e">
        <f t="shared" ca="1" si="14"/>
        <v>#REF!</v>
      </c>
      <c r="AQ13" s="33" t="e">
        <f t="shared" ca="1" si="14"/>
        <v>#REF!</v>
      </c>
      <c r="AR13" s="33" t="e">
        <f t="shared" ca="1" si="14"/>
        <v>#REF!</v>
      </c>
      <c r="AS13" s="33" t="e">
        <f t="shared" ca="1" si="14"/>
        <v>#REF!</v>
      </c>
      <c r="AT13" s="33" t="e">
        <f t="shared" ca="1" si="14"/>
        <v>#REF!</v>
      </c>
      <c r="AU13" s="33" t="e">
        <f t="shared" ca="1" si="14"/>
        <v>#REF!</v>
      </c>
      <c r="AV13" s="33" t="e">
        <f t="shared" ca="1" si="14"/>
        <v>#REF!</v>
      </c>
      <c r="AW13" s="33" t="e">
        <f t="shared" ca="1" si="14"/>
        <v>#REF!</v>
      </c>
      <c r="AX13" s="33" t="e">
        <f t="shared" ca="1" si="14"/>
        <v>#REF!</v>
      </c>
      <c r="AY13" s="33" t="e">
        <f t="shared" ca="1" si="14"/>
        <v>#REF!</v>
      </c>
      <c r="AZ13" s="33" t="e">
        <f t="shared" ca="1" si="14"/>
        <v>#REF!</v>
      </c>
      <c r="BA13" s="33" t="e">
        <f t="shared" ca="1" si="14"/>
        <v>#REF!</v>
      </c>
      <c r="BB13" s="33" t="e">
        <f t="shared" ca="1" si="14"/>
        <v>#REF!</v>
      </c>
      <c r="BC13" s="33" t="e">
        <f t="shared" ca="1" si="14"/>
        <v>#REF!</v>
      </c>
      <c r="BD13" s="33" t="e">
        <f t="shared" ca="1" si="14"/>
        <v>#REF!</v>
      </c>
      <c r="BE13" s="33" t="e">
        <f t="shared" ca="1" si="14"/>
        <v>#REF!</v>
      </c>
      <c r="BF13" s="33" t="e">
        <f t="shared" ca="1" si="14"/>
        <v>#REF!</v>
      </c>
      <c r="BG13" s="33" t="e">
        <f t="shared" ca="1" si="14"/>
        <v>#REF!</v>
      </c>
      <c r="BH13" s="33" t="e">
        <f t="shared" ca="1" si="14"/>
        <v>#REF!</v>
      </c>
      <c r="BI13" s="33" t="e">
        <f t="shared" ca="1" si="14"/>
        <v>#REF!</v>
      </c>
      <c r="BJ13" s="33" t="e">
        <f t="shared" ca="1" si="14"/>
        <v>#REF!</v>
      </c>
      <c r="BK13" s="33" t="e">
        <f t="shared" ca="1" si="14"/>
        <v>#REF!</v>
      </c>
      <c r="BL13" s="33" t="e">
        <f t="shared" ca="1" si="14"/>
        <v>#REF!</v>
      </c>
      <c r="BM13" s="33" t="e">
        <f t="shared" ca="1" si="14"/>
        <v>#REF!</v>
      </c>
      <c r="BN13" s="33" t="e">
        <f t="shared" ca="1" si="14"/>
        <v>#REF!</v>
      </c>
      <c r="BO13" s="33" t="e">
        <f t="shared" ca="1" si="14"/>
        <v>#REF!</v>
      </c>
      <c r="BP13" s="33" t="e">
        <f t="shared" ca="1" si="14"/>
        <v>#REF!</v>
      </c>
      <c r="BQ13" s="33" t="e">
        <f t="shared" ca="1" si="14"/>
        <v>#REF!</v>
      </c>
      <c r="BR13" s="33" t="e">
        <f t="shared" ca="1" si="14"/>
        <v>#REF!</v>
      </c>
      <c r="BS13" s="33" t="e">
        <f t="shared" ref="BS13:DR13" ca="1" si="15">+BR13+BS12</f>
        <v>#REF!</v>
      </c>
      <c r="BT13" s="33" t="e">
        <f t="shared" ca="1" si="15"/>
        <v>#REF!</v>
      </c>
      <c r="BU13" s="33" t="e">
        <f t="shared" ca="1" si="15"/>
        <v>#REF!</v>
      </c>
      <c r="BV13" s="33" t="e">
        <f t="shared" ca="1" si="15"/>
        <v>#REF!</v>
      </c>
      <c r="BW13" s="33" t="e">
        <f t="shared" ca="1" si="15"/>
        <v>#REF!</v>
      </c>
      <c r="BX13" s="33" t="e">
        <f t="shared" ca="1" si="15"/>
        <v>#REF!</v>
      </c>
      <c r="BY13" s="33" t="e">
        <f t="shared" ca="1" si="15"/>
        <v>#REF!</v>
      </c>
      <c r="BZ13" s="33" t="e">
        <f t="shared" ca="1" si="15"/>
        <v>#REF!</v>
      </c>
      <c r="CA13" s="33" t="e">
        <f t="shared" ca="1" si="15"/>
        <v>#REF!</v>
      </c>
      <c r="CB13" s="33" t="e">
        <f t="shared" ca="1" si="15"/>
        <v>#REF!</v>
      </c>
      <c r="CC13" s="33" t="e">
        <f t="shared" ca="1" si="15"/>
        <v>#REF!</v>
      </c>
      <c r="CD13" s="33" t="e">
        <f t="shared" ca="1" si="15"/>
        <v>#REF!</v>
      </c>
      <c r="CE13" s="33" t="e">
        <f t="shared" ca="1" si="15"/>
        <v>#REF!</v>
      </c>
      <c r="CF13" s="33" t="e">
        <f t="shared" ca="1" si="15"/>
        <v>#REF!</v>
      </c>
      <c r="CG13" s="33" t="e">
        <f t="shared" ca="1" si="15"/>
        <v>#REF!</v>
      </c>
      <c r="CH13" s="33" t="e">
        <f t="shared" ca="1" si="15"/>
        <v>#REF!</v>
      </c>
      <c r="CI13" s="33" t="e">
        <f t="shared" ca="1" si="15"/>
        <v>#REF!</v>
      </c>
      <c r="CJ13" s="33" t="e">
        <f t="shared" ca="1" si="15"/>
        <v>#REF!</v>
      </c>
      <c r="CK13" s="33" t="e">
        <f t="shared" ca="1" si="15"/>
        <v>#REF!</v>
      </c>
      <c r="CL13" s="33" t="e">
        <f t="shared" ca="1" si="15"/>
        <v>#REF!</v>
      </c>
      <c r="CM13" s="33" t="e">
        <f t="shared" ca="1" si="15"/>
        <v>#REF!</v>
      </c>
      <c r="CN13" s="33" t="e">
        <f t="shared" ca="1" si="15"/>
        <v>#REF!</v>
      </c>
      <c r="CO13" s="33" t="e">
        <f t="shared" ca="1" si="15"/>
        <v>#REF!</v>
      </c>
      <c r="CP13" s="33" t="e">
        <f t="shared" ca="1" si="15"/>
        <v>#REF!</v>
      </c>
      <c r="CQ13" s="33" t="e">
        <f t="shared" ca="1" si="15"/>
        <v>#REF!</v>
      </c>
      <c r="CR13" s="33" t="e">
        <f t="shared" ca="1" si="15"/>
        <v>#REF!</v>
      </c>
      <c r="CS13" s="33" t="e">
        <f t="shared" ca="1" si="15"/>
        <v>#REF!</v>
      </c>
      <c r="CT13" s="33" t="e">
        <f t="shared" ca="1" si="15"/>
        <v>#REF!</v>
      </c>
      <c r="CU13" s="33" t="e">
        <f t="shared" ca="1" si="15"/>
        <v>#REF!</v>
      </c>
      <c r="CV13" s="33" t="e">
        <f t="shared" ca="1" si="15"/>
        <v>#REF!</v>
      </c>
      <c r="CW13" s="33" t="e">
        <f t="shared" ca="1" si="15"/>
        <v>#REF!</v>
      </c>
      <c r="CX13" s="33" t="e">
        <f t="shared" ca="1" si="15"/>
        <v>#REF!</v>
      </c>
      <c r="CY13" s="33" t="e">
        <f t="shared" ca="1" si="15"/>
        <v>#REF!</v>
      </c>
      <c r="CZ13" s="33" t="e">
        <f t="shared" ca="1" si="15"/>
        <v>#REF!</v>
      </c>
      <c r="DA13" s="33" t="e">
        <f t="shared" ca="1" si="15"/>
        <v>#REF!</v>
      </c>
      <c r="DB13" s="33" t="e">
        <f t="shared" ca="1" si="15"/>
        <v>#REF!</v>
      </c>
      <c r="DC13" s="33" t="e">
        <f t="shared" ca="1" si="15"/>
        <v>#REF!</v>
      </c>
      <c r="DD13" s="33" t="e">
        <f t="shared" ca="1" si="15"/>
        <v>#REF!</v>
      </c>
      <c r="DE13" s="33" t="e">
        <f t="shared" ca="1" si="15"/>
        <v>#REF!</v>
      </c>
      <c r="DF13" s="33" t="e">
        <f t="shared" ca="1" si="15"/>
        <v>#REF!</v>
      </c>
      <c r="DG13" s="33" t="e">
        <f t="shared" ca="1" si="15"/>
        <v>#REF!</v>
      </c>
      <c r="DH13" s="33" t="e">
        <f t="shared" ca="1" si="15"/>
        <v>#REF!</v>
      </c>
      <c r="DI13" s="33" t="e">
        <f t="shared" ca="1" si="15"/>
        <v>#REF!</v>
      </c>
      <c r="DJ13" s="33" t="e">
        <f t="shared" ca="1" si="15"/>
        <v>#REF!</v>
      </c>
      <c r="DK13" s="33" t="e">
        <f t="shared" ca="1" si="15"/>
        <v>#REF!</v>
      </c>
      <c r="DL13" s="33" t="e">
        <f t="shared" ca="1" si="15"/>
        <v>#REF!</v>
      </c>
      <c r="DM13" s="33" t="e">
        <f t="shared" ca="1" si="15"/>
        <v>#REF!</v>
      </c>
      <c r="DN13" s="33" t="e">
        <f t="shared" ca="1" si="15"/>
        <v>#REF!</v>
      </c>
      <c r="DO13" s="33" t="e">
        <f t="shared" ca="1" si="15"/>
        <v>#REF!</v>
      </c>
      <c r="DP13" s="33" t="e">
        <f t="shared" ca="1" si="15"/>
        <v>#REF!</v>
      </c>
      <c r="DQ13" s="33" t="e">
        <f t="shared" ca="1" si="15"/>
        <v>#REF!</v>
      </c>
      <c r="DR13" s="33" t="e">
        <f t="shared" ca="1" si="15"/>
        <v>#REF!</v>
      </c>
      <c r="DS13" s="33" t="e">
        <f ca="1">+DR13+DS12</f>
        <v>#REF!</v>
      </c>
      <c r="DT13" s="33" t="e">
        <f ca="1">+DS13+DT12</f>
        <v>#REF!</v>
      </c>
      <c r="DU13" s="33" t="e">
        <f ca="1">+DT13+DU12</f>
        <v>#REF!</v>
      </c>
      <c r="DV13" s="33" t="e">
        <f ca="1">+DU13+DV12</f>
        <v>#REF!</v>
      </c>
      <c r="DW13" s="33" t="e">
        <f t="shared" ref="DW13:GH13" ca="1" si="16">+DV13+DW12</f>
        <v>#REF!</v>
      </c>
      <c r="DX13" s="33" t="e">
        <f t="shared" ca="1" si="16"/>
        <v>#REF!</v>
      </c>
      <c r="DY13" s="33" t="e">
        <f t="shared" ca="1" si="16"/>
        <v>#REF!</v>
      </c>
      <c r="DZ13" s="33" t="e">
        <f t="shared" ca="1" si="16"/>
        <v>#REF!</v>
      </c>
      <c r="EA13" s="33" t="e">
        <f t="shared" ca="1" si="16"/>
        <v>#REF!</v>
      </c>
      <c r="EB13" s="33" t="e">
        <f t="shared" ca="1" si="16"/>
        <v>#REF!</v>
      </c>
      <c r="EC13" s="33" t="e">
        <f t="shared" ca="1" si="16"/>
        <v>#REF!</v>
      </c>
      <c r="ED13" s="33" t="e">
        <f t="shared" ca="1" si="16"/>
        <v>#REF!</v>
      </c>
      <c r="EE13" s="33" t="e">
        <f t="shared" ca="1" si="16"/>
        <v>#REF!</v>
      </c>
      <c r="EF13" s="33" t="e">
        <f t="shared" ca="1" si="16"/>
        <v>#REF!</v>
      </c>
      <c r="EG13" s="33" t="e">
        <f t="shared" ca="1" si="16"/>
        <v>#REF!</v>
      </c>
      <c r="EH13" s="33" t="e">
        <f t="shared" ca="1" si="16"/>
        <v>#REF!</v>
      </c>
      <c r="EI13" s="33" t="e">
        <f t="shared" ca="1" si="16"/>
        <v>#REF!</v>
      </c>
      <c r="EJ13" s="33" t="e">
        <f t="shared" ca="1" si="16"/>
        <v>#REF!</v>
      </c>
      <c r="EK13" s="33" t="e">
        <f t="shared" ca="1" si="16"/>
        <v>#REF!</v>
      </c>
      <c r="EL13" s="33" t="e">
        <f t="shared" ca="1" si="16"/>
        <v>#REF!</v>
      </c>
      <c r="EM13" s="33" t="e">
        <f t="shared" ca="1" si="16"/>
        <v>#REF!</v>
      </c>
      <c r="EN13" s="33" t="e">
        <f t="shared" ca="1" si="16"/>
        <v>#REF!</v>
      </c>
      <c r="EO13" s="33" t="e">
        <f t="shared" ca="1" si="16"/>
        <v>#REF!</v>
      </c>
      <c r="EP13" s="33" t="e">
        <f t="shared" ca="1" si="16"/>
        <v>#REF!</v>
      </c>
      <c r="EQ13" s="33" t="e">
        <f t="shared" ca="1" si="16"/>
        <v>#REF!</v>
      </c>
      <c r="ER13" s="33" t="e">
        <f t="shared" ca="1" si="16"/>
        <v>#REF!</v>
      </c>
      <c r="ES13" s="33" t="e">
        <f t="shared" ca="1" si="16"/>
        <v>#REF!</v>
      </c>
      <c r="ET13" s="33" t="e">
        <f t="shared" ca="1" si="16"/>
        <v>#REF!</v>
      </c>
      <c r="EU13" s="33" t="e">
        <f t="shared" ca="1" si="16"/>
        <v>#REF!</v>
      </c>
      <c r="EV13" s="33" t="e">
        <f t="shared" ca="1" si="16"/>
        <v>#REF!</v>
      </c>
      <c r="EW13" s="33" t="e">
        <f t="shared" ca="1" si="16"/>
        <v>#REF!</v>
      </c>
      <c r="EX13" s="33" t="e">
        <f t="shared" ca="1" si="16"/>
        <v>#REF!</v>
      </c>
      <c r="EY13" s="33" t="e">
        <f t="shared" ca="1" si="16"/>
        <v>#REF!</v>
      </c>
      <c r="EZ13" s="33" t="e">
        <f t="shared" ca="1" si="16"/>
        <v>#REF!</v>
      </c>
      <c r="FA13" s="33" t="e">
        <f t="shared" ca="1" si="16"/>
        <v>#REF!</v>
      </c>
      <c r="FB13" s="33" t="e">
        <f t="shared" ca="1" si="16"/>
        <v>#REF!</v>
      </c>
      <c r="FC13" s="33" t="e">
        <f t="shared" ca="1" si="16"/>
        <v>#REF!</v>
      </c>
      <c r="FD13" s="33" t="e">
        <f t="shared" ca="1" si="16"/>
        <v>#REF!</v>
      </c>
      <c r="FE13" s="33" t="e">
        <f t="shared" ca="1" si="16"/>
        <v>#REF!</v>
      </c>
      <c r="FF13" s="33" t="e">
        <f t="shared" ca="1" si="16"/>
        <v>#REF!</v>
      </c>
      <c r="FG13" s="33" t="e">
        <f t="shared" ca="1" si="16"/>
        <v>#REF!</v>
      </c>
      <c r="FH13" s="33" t="e">
        <f t="shared" ca="1" si="16"/>
        <v>#REF!</v>
      </c>
      <c r="FI13" s="33" t="e">
        <f t="shared" ca="1" si="16"/>
        <v>#REF!</v>
      </c>
      <c r="FJ13" s="33" t="e">
        <f t="shared" ca="1" si="16"/>
        <v>#REF!</v>
      </c>
      <c r="FK13" s="33" t="e">
        <f t="shared" ca="1" si="16"/>
        <v>#REF!</v>
      </c>
      <c r="FL13" s="33" t="e">
        <f t="shared" ca="1" si="16"/>
        <v>#REF!</v>
      </c>
      <c r="FM13" s="33" t="e">
        <f t="shared" ca="1" si="16"/>
        <v>#REF!</v>
      </c>
      <c r="FN13" s="33" t="e">
        <f t="shared" ca="1" si="16"/>
        <v>#REF!</v>
      </c>
      <c r="FO13" s="33" t="e">
        <f t="shared" ca="1" si="16"/>
        <v>#REF!</v>
      </c>
      <c r="FP13" s="33" t="e">
        <f t="shared" ca="1" si="16"/>
        <v>#REF!</v>
      </c>
      <c r="FQ13" s="33" t="e">
        <f t="shared" ca="1" si="16"/>
        <v>#REF!</v>
      </c>
      <c r="FR13" s="33" t="e">
        <f t="shared" ca="1" si="16"/>
        <v>#REF!</v>
      </c>
      <c r="FS13" s="33" t="e">
        <f t="shared" ca="1" si="16"/>
        <v>#REF!</v>
      </c>
      <c r="FT13" s="33" t="e">
        <f t="shared" ca="1" si="16"/>
        <v>#REF!</v>
      </c>
      <c r="FU13" s="33" t="e">
        <f t="shared" ca="1" si="16"/>
        <v>#REF!</v>
      </c>
      <c r="FV13" s="33" t="e">
        <f t="shared" ca="1" si="16"/>
        <v>#REF!</v>
      </c>
      <c r="FW13" s="33" t="e">
        <f t="shared" ca="1" si="16"/>
        <v>#REF!</v>
      </c>
      <c r="FX13" s="33" t="e">
        <f t="shared" ca="1" si="16"/>
        <v>#REF!</v>
      </c>
      <c r="FY13" s="33" t="e">
        <f t="shared" ca="1" si="16"/>
        <v>#REF!</v>
      </c>
      <c r="FZ13" s="33" t="e">
        <f t="shared" ca="1" si="16"/>
        <v>#REF!</v>
      </c>
      <c r="GA13" s="33" t="e">
        <f t="shared" ca="1" si="16"/>
        <v>#REF!</v>
      </c>
      <c r="GB13" s="33" t="e">
        <f t="shared" ca="1" si="16"/>
        <v>#REF!</v>
      </c>
      <c r="GC13" s="33" t="e">
        <f t="shared" ca="1" si="16"/>
        <v>#REF!</v>
      </c>
      <c r="GD13" s="33" t="e">
        <f t="shared" ca="1" si="16"/>
        <v>#REF!</v>
      </c>
      <c r="GE13" s="33" t="e">
        <f t="shared" ca="1" si="16"/>
        <v>#REF!</v>
      </c>
      <c r="GF13" s="33" t="e">
        <f t="shared" ca="1" si="16"/>
        <v>#REF!</v>
      </c>
      <c r="GG13" s="33" t="e">
        <f t="shared" ca="1" si="16"/>
        <v>#REF!</v>
      </c>
      <c r="GH13" s="33" t="e">
        <f t="shared" ca="1" si="16"/>
        <v>#REF!</v>
      </c>
      <c r="GI13" s="33" t="e">
        <f t="shared" ref="GI13:IH13" ca="1" si="17">+GH13+GI12</f>
        <v>#REF!</v>
      </c>
      <c r="GJ13" s="33" t="e">
        <f t="shared" ca="1" si="17"/>
        <v>#REF!</v>
      </c>
      <c r="GK13" s="33" t="e">
        <f t="shared" ca="1" si="17"/>
        <v>#REF!</v>
      </c>
      <c r="GL13" s="33" t="e">
        <f t="shared" ca="1" si="17"/>
        <v>#REF!</v>
      </c>
      <c r="GM13" s="33" t="e">
        <f t="shared" ca="1" si="17"/>
        <v>#REF!</v>
      </c>
      <c r="GN13" s="33" t="e">
        <f t="shared" ca="1" si="17"/>
        <v>#REF!</v>
      </c>
      <c r="GO13" s="33" t="e">
        <f t="shared" ca="1" si="17"/>
        <v>#REF!</v>
      </c>
      <c r="GP13" s="33" t="e">
        <f t="shared" ca="1" si="17"/>
        <v>#REF!</v>
      </c>
      <c r="GQ13" s="33" t="e">
        <f t="shared" ca="1" si="17"/>
        <v>#REF!</v>
      </c>
      <c r="GR13" s="33" t="e">
        <f t="shared" ca="1" si="17"/>
        <v>#REF!</v>
      </c>
      <c r="GS13" s="33" t="e">
        <f t="shared" ca="1" si="17"/>
        <v>#REF!</v>
      </c>
      <c r="GT13" s="33" t="e">
        <f t="shared" ca="1" si="17"/>
        <v>#REF!</v>
      </c>
      <c r="GU13" s="33" t="e">
        <f t="shared" ca="1" si="17"/>
        <v>#REF!</v>
      </c>
      <c r="GV13" s="33" t="e">
        <f t="shared" ca="1" si="17"/>
        <v>#REF!</v>
      </c>
      <c r="GW13" s="33" t="e">
        <f t="shared" ca="1" si="17"/>
        <v>#REF!</v>
      </c>
      <c r="GX13" s="33" t="e">
        <f t="shared" ca="1" si="17"/>
        <v>#REF!</v>
      </c>
      <c r="GY13" s="33" t="e">
        <f t="shared" ca="1" si="17"/>
        <v>#REF!</v>
      </c>
      <c r="GZ13" s="33" t="e">
        <f t="shared" ca="1" si="17"/>
        <v>#REF!</v>
      </c>
      <c r="HA13" s="33" t="e">
        <f t="shared" ca="1" si="17"/>
        <v>#REF!</v>
      </c>
      <c r="HB13" s="33" t="e">
        <f t="shared" ca="1" si="17"/>
        <v>#REF!</v>
      </c>
      <c r="HC13" s="33" t="e">
        <f t="shared" ca="1" si="17"/>
        <v>#REF!</v>
      </c>
      <c r="HD13" s="33" t="e">
        <f t="shared" ca="1" si="17"/>
        <v>#REF!</v>
      </c>
      <c r="HE13" s="33" t="e">
        <f t="shared" ca="1" si="17"/>
        <v>#REF!</v>
      </c>
      <c r="HF13" s="33" t="e">
        <f t="shared" ca="1" si="17"/>
        <v>#REF!</v>
      </c>
      <c r="HG13" s="33" t="e">
        <f t="shared" ca="1" si="17"/>
        <v>#REF!</v>
      </c>
      <c r="HH13" s="33" t="e">
        <f t="shared" ca="1" si="17"/>
        <v>#REF!</v>
      </c>
      <c r="HI13" s="33" t="e">
        <f t="shared" ca="1" si="17"/>
        <v>#REF!</v>
      </c>
      <c r="HJ13" s="33" t="e">
        <f t="shared" ca="1" si="17"/>
        <v>#REF!</v>
      </c>
      <c r="HK13" s="33" t="e">
        <f t="shared" ca="1" si="17"/>
        <v>#REF!</v>
      </c>
      <c r="HL13" s="33" t="e">
        <f t="shared" ca="1" si="17"/>
        <v>#REF!</v>
      </c>
      <c r="HM13" s="33" t="e">
        <f t="shared" ca="1" si="17"/>
        <v>#REF!</v>
      </c>
      <c r="HN13" s="33" t="e">
        <f t="shared" ca="1" si="17"/>
        <v>#REF!</v>
      </c>
      <c r="HO13" s="33" t="e">
        <f t="shared" ca="1" si="17"/>
        <v>#REF!</v>
      </c>
      <c r="HP13" s="33" t="e">
        <f t="shared" ca="1" si="17"/>
        <v>#REF!</v>
      </c>
      <c r="HQ13" s="33" t="e">
        <f t="shared" ca="1" si="17"/>
        <v>#REF!</v>
      </c>
      <c r="HR13" s="33" t="e">
        <f t="shared" ca="1" si="17"/>
        <v>#REF!</v>
      </c>
      <c r="HS13" s="33" t="e">
        <f t="shared" ca="1" si="17"/>
        <v>#REF!</v>
      </c>
      <c r="HT13" s="33" t="e">
        <f t="shared" ca="1" si="17"/>
        <v>#REF!</v>
      </c>
      <c r="HU13" s="33" t="e">
        <f t="shared" ca="1" si="17"/>
        <v>#REF!</v>
      </c>
      <c r="HV13" s="33" t="e">
        <f t="shared" ca="1" si="17"/>
        <v>#REF!</v>
      </c>
      <c r="HW13" s="33" t="e">
        <f t="shared" ca="1" si="17"/>
        <v>#REF!</v>
      </c>
      <c r="HX13" s="33" t="e">
        <f t="shared" ca="1" si="17"/>
        <v>#REF!</v>
      </c>
      <c r="HY13" s="33" t="e">
        <f t="shared" ca="1" si="17"/>
        <v>#REF!</v>
      </c>
      <c r="HZ13" s="33" t="e">
        <f t="shared" ca="1" si="17"/>
        <v>#REF!</v>
      </c>
      <c r="IA13" s="33" t="e">
        <f t="shared" ca="1" si="17"/>
        <v>#REF!</v>
      </c>
      <c r="IB13" s="33" t="e">
        <f t="shared" ca="1" si="17"/>
        <v>#REF!</v>
      </c>
      <c r="IC13" s="33" t="e">
        <f t="shared" ca="1" si="17"/>
        <v>#REF!</v>
      </c>
      <c r="ID13" s="33" t="e">
        <f t="shared" ca="1" si="17"/>
        <v>#REF!</v>
      </c>
      <c r="IE13" s="33" t="e">
        <f t="shared" ca="1" si="17"/>
        <v>#REF!</v>
      </c>
      <c r="IF13" s="33" t="e">
        <f t="shared" ca="1" si="17"/>
        <v>#REF!</v>
      </c>
      <c r="IG13" s="33" t="e">
        <f t="shared" ca="1" si="17"/>
        <v>#REF!</v>
      </c>
      <c r="IH13" s="33" t="e">
        <f t="shared" ca="1" si="17"/>
        <v>#REF!</v>
      </c>
    </row>
    <row r="15" spans="1:242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2" x14ac:dyDescent="0.3">
      <c r="B16" t="s">
        <v>947</v>
      </c>
      <c r="C16" s="30">
        <f>+SUMIFS(8:8,2:2,C15)</f>
        <v>0</v>
      </c>
      <c r="D16" s="30">
        <f t="shared" ref="D16:M16" ca="1" si="18">+SUMIFS(8:8,2:2,D15)</f>
        <v>2695674.3351707966</v>
      </c>
      <c r="E16" s="30">
        <f t="shared" ca="1" si="18"/>
        <v>3045648.1789018521</v>
      </c>
      <c r="F16" s="30">
        <f t="shared" ca="1" si="18"/>
        <v>3194659.6534607252</v>
      </c>
      <c r="G16" s="30">
        <f t="shared" ca="1" si="18"/>
        <v>3301171.033596538</v>
      </c>
      <c r="H16" s="30">
        <f t="shared" ca="1" si="18"/>
        <v>3443436.3197852299</v>
      </c>
      <c r="I16" s="30">
        <f t="shared" ca="1" si="18"/>
        <v>3533476.3462855741</v>
      </c>
      <c r="J16" s="30">
        <f t="shared" ca="1" si="18"/>
        <v>3685818.1492967228</v>
      </c>
      <c r="K16" s="30">
        <f t="shared" ca="1" si="18"/>
        <v>3861083.7373880371</v>
      </c>
      <c r="L16" s="30">
        <f t="shared" ca="1" si="18"/>
        <v>4021434.8104171562</v>
      </c>
      <c r="M16" s="30">
        <f t="shared" ca="1" si="18"/>
        <v>4214802.8186743176</v>
      </c>
      <c r="N16" s="30">
        <f ca="1">+SUMIFS(8:8,2:2,N15)</f>
        <v>3159846.0617149593</v>
      </c>
      <c r="O16" s="30">
        <f t="shared" ref="O16:W16" ca="1" si="19">+SUMIFS(8:8,2:2,O15)</f>
        <v>3193177.9813116807</v>
      </c>
      <c r="P16" s="30">
        <f t="shared" ca="1" si="19"/>
        <v>3307190.3170807008</v>
      </c>
      <c r="Q16" s="30">
        <f t="shared" ca="1" si="19"/>
        <v>3434671.9712358555</v>
      </c>
      <c r="R16" s="30">
        <f t="shared" ca="1" si="19"/>
        <v>3566633.8150138254</v>
      </c>
      <c r="S16" s="30">
        <f t="shared" ca="1" si="19"/>
        <v>3713809.8102078689</v>
      </c>
      <c r="T16" s="30">
        <f t="shared" ca="1" si="19"/>
        <v>3844517.0617544116</v>
      </c>
      <c r="U16" s="30">
        <f t="shared" ca="1" si="19"/>
        <v>3990702.1372105083</v>
      </c>
      <c r="V16" s="30">
        <f t="shared" ca="1" si="19"/>
        <v>4141894.4275578288</v>
      </c>
      <c r="W16" s="30">
        <f t="shared" ca="1" si="19"/>
        <v>2549018.9461798239</v>
      </c>
    </row>
    <row r="17" spans="1:242" x14ac:dyDescent="0.3">
      <c r="B17" t="s">
        <v>948</v>
      </c>
      <c r="C17" s="30" t="e">
        <f>+SUMIFS(9:9,2:2,C15)</f>
        <v>#REF!</v>
      </c>
      <c r="D17" s="30" t="e">
        <f t="shared" ref="D17:W17" si="20">+SUMIFS(9:9,2:2,D15)</f>
        <v>#REF!</v>
      </c>
      <c r="E17" s="30" t="e">
        <f t="shared" si="20"/>
        <v>#REF!</v>
      </c>
      <c r="F17" s="30" t="e">
        <f t="shared" si="20"/>
        <v>#REF!</v>
      </c>
      <c r="G17" s="30" t="e">
        <f>+SUMIFS(9:9,2:2,G15)</f>
        <v>#REF!</v>
      </c>
      <c r="H17" s="30" t="e">
        <f t="shared" si="20"/>
        <v>#REF!</v>
      </c>
      <c r="I17" s="30" t="e">
        <f t="shared" si="20"/>
        <v>#REF!</v>
      </c>
      <c r="J17" s="30" t="e">
        <f t="shared" si="20"/>
        <v>#REF!</v>
      </c>
      <c r="K17" s="30" t="e">
        <f t="shared" si="20"/>
        <v>#REF!</v>
      </c>
      <c r="L17" s="30" t="e">
        <f t="shared" si="20"/>
        <v>#REF!</v>
      </c>
      <c r="M17" s="30" t="e">
        <f t="shared" si="20"/>
        <v>#REF!</v>
      </c>
      <c r="N17" s="30" t="e">
        <f t="shared" si="20"/>
        <v>#REF!</v>
      </c>
      <c r="O17" s="30" t="e">
        <f t="shared" si="20"/>
        <v>#REF!</v>
      </c>
      <c r="P17" s="30" t="e">
        <f t="shared" si="20"/>
        <v>#REF!</v>
      </c>
      <c r="Q17" s="30" t="e">
        <f t="shared" si="20"/>
        <v>#REF!</v>
      </c>
      <c r="R17" s="30" t="e">
        <f t="shared" si="20"/>
        <v>#REF!</v>
      </c>
      <c r="S17" s="30" t="e">
        <f t="shared" si="20"/>
        <v>#REF!</v>
      </c>
      <c r="T17" s="30" t="e">
        <f t="shared" si="20"/>
        <v>#REF!</v>
      </c>
      <c r="U17" s="30" t="e">
        <f t="shared" si="20"/>
        <v>#REF!</v>
      </c>
      <c r="V17" s="30" t="e">
        <f t="shared" si="20"/>
        <v>#REF!</v>
      </c>
      <c r="W17" s="30" t="e">
        <f t="shared" si="20"/>
        <v>#REF!</v>
      </c>
    </row>
    <row r="18" spans="1:242" x14ac:dyDescent="0.3">
      <c r="B18" t="s">
        <v>924</v>
      </c>
      <c r="C18" s="33" t="e">
        <f>+C16-C17</f>
        <v>#REF!</v>
      </c>
      <c r="D18" s="33" t="e">
        <f t="shared" ref="D18:W18" ca="1" si="21">+D16-D17</f>
        <v>#REF!</v>
      </c>
      <c r="E18" s="33" t="e">
        <f t="shared" ca="1" si="21"/>
        <v>#REF!</v>
      </c>
      <c r="F18" s="33" t="e">
        <f t="shared" ca="1" si="21"/>
        <v>#REF!</v>
      </c>
      <c r="G18" s="33" t="e">
        <f t="shared" ca="1" si="21"/>
        <v>#REF!</v>
      </c>
      <c r="H18" s="33" t="e">
        <f t="shared" ca="1" si="21"/>
        <v>#REF!</v>
      </c>
      <c r="I18" s="33" t="e">
        <f t="shared" ca="1" si="21"/>
        <v>#REF!</v>
      </c>
      <c r="J18" s="33" t="e">
        <f t="shared" ca="1" si="21"/>
        <v>#REF!</v>
      </c>
      <c r="K18" s="33" t="e">
        <f t="shared" ca="1" si="21"/>
        <v>#REF!</v>
      </c>
      <c r="L18" s="33" t="e">
        <f t="shared" ca="1" si="21"/>
        <v>#REF!</v>
      </c>
      <c r="M18" s="33" t="e">
        <f t="shared" ca="1" si="21"/>
        <v>#REF!</v>
      </c>
      <c r="N18" s="33" t="e">
        <f t="shared" ca="1" si="21"/>
        <v>#REF!</v>
      </c>
      <c r="O18" s="33" t="e">
        <f t="shared" ca="1" si="21"/>
        <v>#REF!</v>
      </c>
      <c r="P18" s="33" t="e">
        <f t="shared" ca="1" si="21"/>
        <v>#REF!</v>
      </c>
      <c r="Q18" s="33" t="e">
        <f t="shared" ca="1" si="21"/>
        <v>#REF!</v>
      </c>
      <c r="R18" s="33" t="e">
        <f t="shared" ca="1" si="21"/>
        <v>#REF!</v>
      </c>
      <c r="S18" s="33" t="e">
        <f t="shared" ca="1" si="21"/>
        <v>#REF!</v>
      </c>
      <c r="T18" s="33" t="e">
        <f t="shared" ca="1" si="21"/>
        <v>#REF!</v>
      </c>
      <c r="U18" s="33" t="e">
        <f t="shared" ca="1" si="21"/>
        <v>#REF!</v>
      </c>
      <c r="V18" s="33" t="e">
        <f t="shared" ca="1" si="21"/>
        <v>#REF!</v>
      </c>
      <c r="W18" s="33" t="e">
        <f t="shared" ca="1" si="21"/>
        <v>#REF!</v>
      </c>
    </row>
    <row r="19" spans="1:242" x14ac:dyDescent="0.3">
      <c r="B19" t="s">
        <v>925</v>
      </c>
      <c r="C19" s="33" t="e">
        <f>+C18</f>
        <v>#REF!</v>
      </c>
      <c r="D19" s="33" t="e">
        <f ca="1">+D18+C19</f>
        <v>#REF!</v>
      </c>
      <c r="E19" s="33" t="e">
        <f t="shared" ref="E19:W19" ca="1" si="22">+E18+D19</f>
        <v>#REF!</v>
      </c>
      <c r="F19" s="33" t="e">
        <f t="shared" ca="1" si="22"/>
        <v>#REF!</v>
      </c>
      <c r="G19" s="33" t="e">
        <f t="shared" ca="1" si="22"/>
        <v>#REF!</v>
      </c>
      <c r="H19" s="33" t="e">
        <f t="shared" ca="1" si="22"/>
        <v>#REF!</v>
      </c>
      <c r="I19" s="33" t="e">
        <f t="shared" ca="1" si="22"/>
        <v>#REF!</v>
      </c>
      <c r="J19" s="33" t="e">
        <f t="shared" ca="1" si="22"/>
        <v>#REF!</v>
      </c>
      <c r="K19" s="33" t="e">
        <f t="shared" ca="1" si="22"/>
        <v>#REF!</v>
      </c>
      <c r="L19" s="33" t="e">
        <f t="shared" ca="1" si="22"/>
        <v>#REF!</v>
      </c>
      <c r="M19" s="33" t="e">
        <f t="shared" ca="1" si="22"/>
        <v>#REF!</v>
      </c>
      <c r="N19" s="33" t="e">
        <f t="shared" ca="1" si="22"/>
        <v>#REF!</v>
      </c>
      <c r="O19" s="33" t="e">
        <f t="shared" ca="1" si="22"/>
        <v>#REF!</v>
      </c>
      <c r="P19" s="33" t="e">
        <f t="shared" ca="1" si="22"/>
        <v>#REF!</v>
      </c>
      <c r="Q19" s="33" t="e">
        <f t="shared" ca="1" si="22"/>
        <v>#REF!</v>
      </c>
      <c r="R19" s="33" t="e">
        <f t="shared" ca="1" si="22"/>
        <v>#REF!</v>
      </c>
      <c r="S19" s="33" t="e">
        <f t="shared" ca="1" si="22"/>
        <v>#REF!</v>
      </c>
      <c r="T19" s="33" t="e">
        <f t="shared" ca="1" si="22"/>
        <v>#REF!</v>
      </c>
      <c r="U19" s="33" t="e">
        <f t="shared" ca="1" si="22"/>
        <v>#REF!</v>
      </c>
      <c r="V19" s="33" t="e">
        <f t="shared" ca="1" si="22"/>
        <v>#REF!</v>
      </c>
      <c r="W19" s="33" t="e">
        <f t="shared" ca="1" si="22"/>
        <v>#REF!</v>
      </c>
    </row>
    <row r="21" spans="1:242" x14ac:dyDescent="0.3">
      <c r="B21" s="6" t="s">
        <v>788</v>
      </c>
      <c r="C21" s="6" t="s">
        <v>793</v>
      </c>
      <c r="D21" s="6"/>
      <c r="E21" s="6"/>
    </row>
    <row r="22" spans="1:242" x14ac:dyDescent="0.3">
      <c r="A22" t="s">
        <v>932</v>
      </c>
      <c r="B22" s="35" t="e">
        <f>+NPV(15%,C18,D18:H18)</f>
        <v>#REF!</v>
      </c>
      <c r="C22" s="35" t="e">
        <f>+NPV(12%,C18,D18:M18)</f>
        <v>#REF!</v>
      </c>
      <c r="D22" s="35"/>
      <c r="E22" s="35"/>
    </row>
    <row r="23" spans="1:242" x14ac:dyDescent="0.3">
      <c r="A23" t="s">
        <v>933</v>
      </c>
      <c r="B23" s="9" t="e">
        <f>+IRR(C18:H18)</f>
        <v>#VALUE!</v>
      </c>
      <c r="C23" s="9" t="e">
        <f>+IRR(C18:M18)</f>
        <v>#VALUE!</v>
      </c>
      <c r="D23" s="9"/>
      <c r="E23" s="9"/>
    </row>
    <row r="24" spans="1:242" x14ac:dyDescent="0.3">
      <c r="A24" t="s">
        <v>953</v>
      </c>
      <c r="B24" s="33">
        <f ca="1">+SUM(C16:H16)</f>
        <v>15680589.520915143</v>
      </c>
      <c r="C24" s="33">
        <f ca="1">+SUM(C16:M16)</f>
        <v>34997205.382976949</v>
      </c>
      <c r="D24" s="9"/>
      <c r="E24" s="9"/>
    </row>
    <row r="25" spans="1:242" x14ac:dyDescent="0.3">
      <c r="A25" t="s">
        <v>954</v>
      </c>
      <c r="B25" s="33" t="e">
        <f>+SUM(C17:H17)</f>
        <v>#REF!</v>
      </c>
      <c r="C25" s="33" t="e">
        <f>+SUM(C17:M17)</f>
        <v>#REF!</v>
      </c>
      <c r="D25" s="38"/>
      <c r="E25" s="38"/>
    </row>
    <row r="26" spans="1:242" x14ac:dyDescent="0.3">
      <c r="A26" t="s">
        <v>971</v>
      </c>
      <c r="B26" s="33" t="e">
        <f ca="1">+B24-B25</f>
        <v>#REF!</v>
      </c>
      <c r="C26" s="33" t="e">
        <f ca="1">+C24-C25</f>
        <v>#REF!</v>
      </c>
    </row>
    <row r="27" spans="1:242" x14ac:dyDescent="0.3">
      <c r="A27" t="s">
        <v>956</v>
      </c>
      <c r="B27" s="17">
        <f ca="1">COUNTIFS(13:13,"&lt;0")/12</f>
        <v>0</v>
      </c>
    </row>
    <row r="28" spans="1:242" x14ac:dyDescent="0.3">
      <c r="A28" t="s">
        <v>818</v>
      </c>
      <c r="B28" s="30" t="e">
        <f>+#REF!</f>
        <v>#REF!</v>
      </c>
      <c r="C28" s="33" t="e">
        <f>+B28</f>
        <v>#REF!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971</v>
      </c>
      <c r="B29" s="38" t="e">
        <f ca="1">+B26/B28</f>
        <v>#REF!</v>
      </c>
      <c r="C29" s="38" t="e">
        <f ca="1">+C26/C28</f>
        <v>#REF!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3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2" spans="1:242" x14ac:dyDescent="0.3">
      <c r="C32" s="6" t="s">
        <v>906</v>
      </c>
      <c r="D32" s="6" t="s">
        <v>959</v>
      </c>
      <c r="E32" s="6" t="s">
        <v>960</v>
      </c>
      <c r="F32" s="9">
        <v>0.36</v>
      </c>
    </row>
    <row r="33" spans="1:242" x14ac:dyDescent="0.3">
      <c r="A33" t="s">
        <v>961</v>
      </c>
      <c r="C33" s="31">
        <f>+SUM(C4:DW4)</f>
        <v>254510.59115624992</v>
      </c>
      <c r="E33" s="31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783</v>
      </c>
      <c r="C34" s="31">
        <f>+C5</f>
        <v>0</v>
      </c>
      <c r="E34" s="33" t="e">
        <f>+(E36-E35)/C33</f>
        <v>#REF!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962</v>
      </c>
      <c r="C35" s="31">
        <v>0</v>
      </c>
      <c r="E35" s="31">
        <f>+C35</f>
        <v>0</v>
      </c>
    </row>
    <row r="36" spans="1:242" x14ac:dyDescent="0.3">
      <c r="A36" t="s">
        <v>963</v>
      </c>
      <c r="C36" s="31">
        <f>+(C33*C34)+C35</f>
        <v>0</v>
      </c>
      <c r="D36" s="30" t="e">
        <f>+#REF!</f>
        <v>#REF!</v>
      </c>
      <c r="E36" s="33" t="e">
        <f>+E37+E42</f>
        <v>#REF!</v>
      </c>
    </row>
    <row r="37" spans="1:242" x14ac:dyDescent="0.3">
      <c r="A37" t="s">
        <v>813</v>
      </c>
      <c r="C37" s="31" t="e">
        <f>+SUM(C38:C41)</f>
        <v>#REF!</v>
      </c>
      <c r="D37" s="30" t="e">
        <f>+SUM('Simulacion prestamo'!C12:F12)+SUM('Simulacion prestamo'!C15:F15)</f>
        <v>#REF!</v>
      </c>
      <c r="E37" s="31" t="e">
        <f>+C37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964</v>
      </c>
      <c r="C38" s="30" t="e">
        <f>+'Simulacion prestamo'!C60*'Simulacion prestamo'!B50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643</v>
      </c>
      <c r="C39" s="30">
        <f>(4*300000*10)+300000</f>
        <v>12300000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965</v>
      </c>
      <c r="C40" s="30" t="e">
        <f>+#REF!*77</f>
        <v>#REF!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644</v>
      </c>
      <c r="C41" s="30" t="e">
        <f>+#REF!*125</f>
        <v>#REF!</v>
      </c>
    </row>
    <row r="42" spans="1:242" x14ac:dyDescent="0.3">
      <c r="A42" t="s">
        <v>284</v>
      </c>
      <c r="C42" s="30" t="e">
        <f>+C36-C37</f>
        <v>#REF!</v>
      </c>
      <c r="D42" s="30" t="e">
        <f>+D36-D43-D37</f>
        <v>#REF!</v>
      </c>
      <c r="E42" s="30" t="e">
        <f>+E37*F32</f>
        <v>#REF!</v>
      </c>
      <c r="F42" s="38"/>
    </row>
    <row r="43" spans="1:242" x14ac:dyDescent="0.3">
      <c r="A43" t="s">
        <v>966</v>
      </c>
      <c r="C43" s="30" t="e">
        <f>+B28</f>
        <v>#REF!</v>
      </c>
      <c r="D43" s="33" t="e">
        <f>+C43</f>
        <v>#REF!</v>
      </c>
    </row>
    <row r="44" spans="1:242" x14ac:dyDescent="0.3">
      <c r="C44" s="38" t="e">
        <f>+C42/C37</f>
        <v>#REF!</v>
      </c>
      <c r="D44" s="38" t="e">
        <f>+D42/(D43+D37)</f>
        <v>#REF!</v>
      </c>
    </row>
    <row r="45" spans="1:242" x14ac:dyDescent="0.3">
      <c r="B45" s="32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1048550" spans="16384:16384" x14ac:dyDescent="0.3">
      <c r="XFD1048550" t="e" cm="1">
        <f t="array" ref="XFD1048550">solver_pre</f>
        <v>#NAME?</v>
      </c>
    </row>
    <row r="1048551" spans="16384:16384" x14ac:dyDescent="0.3">
      <c r="XFD1048551" t="e" cm="1">
        <f t="array" ref="XFD1048551">solver_scl</f>
        <v>#NAME?</v>
      </c>
    </row>
    <row r="1048552" spans="16384:16384" x14ac:dyDescent="0.3">
      <c r="XFD1048552" t="e" cm="1">
        <f t="array" ref="XFD1048552">solver_rlx</f>
        <v>#NAME?</v>
      </c>
    </row>
    <row r="1048553" spans="16384:16384" x14ac:dyDescent="0.3">
      <c r="XFD1048553" t="e" cm="1">
        <f t="array" ref="XFD1048553">solver_tol</f>
        <v>#NAME?</v>
      </c>
    </row>
    <row r="1048554" spans="16384:16384" x14ac:dyDescent="0.3">
      <c r="XFD1048554" t="e" cm="1">
        <f t="array" ref="XFD1048554">solver_cvg</f>
        <v>#NAME?</v>
      </c>
    </row>
    <row r="1048555" spans="16384:16384" x14ac:dyDescent="0.3">
      <c r="XFD1048555" t="e" cm="1">
        <f t="array" ref="XFD1048555">AREAS(solver_adj1)</f>
        <v>#NAME?</v>
      </c>
    </row>
    <row r="1048556" spans="16384:16384" x14ac:dyDescent="0.3">
      <c r="XFD1048556" t="e" cm="1">
        <f t="array" ref="XFD1048556">solver_ssz</f>
        <v>#NAME?</v>
      </c>
    </row>
    <row r="1048557" spans="16384:16384" x14ac:dyDescent="0.3">
      <c r="XFD1048557" t="e" cm="1">
        <f t="array" ref="XFD1048557">solver_rsd</f>
        <v>#NAME?</v>
      </c>
    </row>
    <row r="1048558" spans="16384:16384" x14ac:dyDescent="0.3">
      <c r="XFD1048558" t="e" cm="1">
        <f t="array" ref="XFD1048558">solver_mrt</f>
        <v>#NAME?</v>
      </c>
    </row>
    <row r="1048559" spans="16384:16384" x14ac:dyDescent="0.3">
      <c r="XFD1048559" t="e" cm="1">
        <f t="array" ref="XFD1048559">solver_mni</f>
        <v>#NAME?</v>
      </c>
    </row>
    <row r="1048560" spans="16384:16384" x14ac:dyDescent="0.3">
      <c r="XFD1048560" t="e" cm="1">
        <f t="array" ref="XFD1048560">solver_rbv</f>
        <v>#NAME?</v>
      </c>
    </row>
    <row r="1048561" spans="16384:16384" x14ac:dyDescent="0.3">
      <c r="XFD1048561" t="e" cm="1">
        <f t="array" ref="XFD1048561">solver_neg</f>
        <v>#NAME?</v>
      </c>
    </row>
    <row r="1048562" spans="16384:16384" x14ac:dyDescent="0.3">
      <c r="XFD1048562" t="e" cm="1">
        <f t="array" ref="XFD1048562">solver_ntr</f>
        <v>#NAME?</v>
      </c>
    </row>
    <row r="1048563" spans="16384:16384" x14ac:dyDescent="0.3">
      <c r="XFD1048563" t="e" cm="1">
        <f t="array" ref="XFD1048563">solver_acc</f>
        <v>#NAME?</v>
      </c>
    </row>
    <row r="1048564" spans="16384:16384" x14ac:dyDescent="0.3">
      <c r="XFD1048564" t="e" cm="1">
        <f t="array" ref="XFD1048564">solver_res</f>
        <v>#NAME?</v>
      </c>
    </row>
    <row r="1048565" spans="16384:16384" x14ac:dyDescent="0.3">
      <c r="XFD1048565" t="e" cm="1">
        <f t="array" ref="XFD1048565">solver_ars</f>
        <v>#NAME?</v>
      </c>
    </row>
    <row r="1048566" spans="16384:16384" x14ac:dyDescent="0.3">
      <c r="XFD1048566" t="e" cm="1">
        <f t="array" ref="XFD1048566">solver_sta</f>
        <v>#NAME?</v>
      </c>
    </row>
    <row r="1048567" spans="16384:16384" x14ac:dyDescent="0.3">
      <c r="XFD1048567" t="e" cm="1">
        <f t="array" ref="XFD1048567">solver_met</f>
        <v>#NAME?</v>
      </c>
    </row>
    <row r="1048568" spans="16384:16384" x14ac:dyDescent="0.3">
      <c r="XFD1048568" t="e" cm="1">
        <f t="array" ref="XFD1048568">solver_soc</f>
        <v>#NAME?</v>
      </c>
    </row>
    <row r="1048569" spans="16384:16384" x14ac:dyDescent="0.3">
      <c r="XFD1048569" t="e" cm="1">
        <f t="array" ref="XFD1048569">solver_lpt</f>
        <v>#NAME?</v>
      </c>
    </row>
    <row r="1048570" spans="16384:16384" x14ac:dyDescent="0.3">
      <c r="XFD1048570" t="e" cm="1">
        <f t="array" ref="XFD1048570">solver_lpp</f>
        <v>#NAME?</v>
      </c>
    </row>
    <row r="1048571" spans="16384:16384" x14ac:dyDescent="0.3">
      <c r="XFD1048571" t="e" cm="1">
        <f t="array" ref="XFD1048571">solver_gap</f>
        <v>#NAME?</v>
      </c>
    </row>
    <row r="1048572" spans="16384:16384" x14ac:dyDescent="0.3">
      <c r="XFD1048572" t="e" cm="1">
        <f t="array" ref="XFD1048572">solver_ips</f>
        <v>#NAME?</v>
      </c>
    </row>
    <row r="1048573" spans="16384:16384" x14ac:dyDescent="0.3">
      <c r="XFD1048573" t="e" cm="1">
        <f t="array" ref="XFD1048573">solver_fea</f>
        <v>#NAME?</v>
      </c>
    </row>
    <row r="1048574" spans="16384:16384" x14ac:dyDescent="0.3">
      <c r="XFD1048574" t="e" cm="1">
        <f t="array" ref="XFD1048574">solver_ipi</f>
        <v>#NAME?</v>
      </c>
    </row>
    <row r="1048575" spans="16384:16384" x14ac:dyDescent="0.3">
      <c r="XFD1048575" t="e" cm="1">
        <f t="array" ref="XFD1048575">solver_ipd</f>
        <v>#NAME?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3CA4-A1A5-4CE2-943E-5E3FF44FF87A}">
  <dimension ref="A1:XFD1048575"/>
  <sheetViews>
    <sheetView zoomScale="120" zoomScaleNormal="120" workbookViewId="0">
      <selection activeCell="C16" sqref="C16"/>
    </sheetView>
  </sheetViews>
  <sheetFormatPr baseColWidth="10" defaultColWidth="11.44140625" defaultRowHeight="14.4" x14ac:dyDescent="0.3"/>
  <cols>
    <col min="1" max="1" width="46.5546875" bestFit="1" customWidth="1"/>
    <col min="2" max="2" width="15.5546875" customWidth="1"/>
    <col min="3" max="5" width="13.5546875" bestFit="1" customWidth="1"/>
    <col min="6" max="12" width="12.5546875" bestFit="1" customWidth="1"/>
    <col min="13" max="23" width="13.5546875" bestFit="1" customWidth="1"/>
    <col min="24" max="119" width="12.5546875" bestFit="1" customWidth="1"/>
    <col min="120" max="242" width="13.5546875" bestFit="1" customWidth="1"/>
    <col min="16384" max="16384" width="11.44140625" bestFit="1" customWidth="1"/>
  </cols>
  <sheetData>
    <row r="1" spans="1:242" x14ac:dyDescent="0.3">
      <c r="A1" s="6" t="s">
        <v>906</v>
      </c>
      <c r="B1" s="9"/>
    </row>
    <row r="2" spans="1:242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H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</row>
    <row r="3" spans="1:242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</row>
    <row r="4" spans="1:242" x14ac:dyDescent="0.3">
      <c r="A4" t="s">
        <v>946</v>
      </c>
      <c r="B4">
        <v>0</v>
      </c>
      <c r="C4" s="10">
        <f>+Producción!E8</f>
        <v>2195.9335397999998</v>
      </c>
      <c r="D4" s="10">
        <f>+Producción!F8</f>
        <v>2055.0388319999997</v>
      </c>
      <c r="E4" s="10">
        <f>+Producción!G8</f>
        <v>1852.7674396</v>
      </c>
      <c r="F4" s="10">
        <f>+Producción!H8</f>
        <v>1770.6796800000002</v>
      </c>
      <c r="G4" s="10">
        <f>+Producción!I8</f>
        <v>1871.7622308</v>
      </c>
      <c r="H4" s="10">
        <f>+Producción!J8</f>
        <v>2150.5786302000006</v>
      </c>
      <c r="I4" s="10">
        <f>+Producción!K8</f>
        <v>1982.6360400000001</v>
      </c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</row>
    <row r="5" spans="1:242" x14ac:dyDescent="0.3">
      <c r="A5" t="s">
        <v>907</v>
      </c>
      <c r="B5">
        <v>0</v>
      </c>
      <c r="C5" s="10">
        <f>+Tarifas!U69</f>
        <v>0</v>
      </c>
      <c r="D5" s="10">
        <f>+Tarifas!V69</f>
        <v>0</v>
      </c>
      <c r="E5" s="10">
        <f>+Tarifas!W69</f>
        <v>0</v>
      </c>
      <c r="F5" s="10">
        <f>+Tarifas!X69</f>
        <v>0</v>
      </c>
      <c r="G5" s="10">
        <f>+Tarifas!Y69</f>
        <v>0</v>
      </c>
      <c r="H5" s="10">
        <f ca="1">+Tarifas!Z69</f>
        <v>98.972189850194397</v>
      </c>
      <c r="I5" s="10">
        <f ca="1">+Tarifas!AA69</f>
        <v>98.972189850194397</v>
      </c>
      <c r="J5" s="10">
        <f ca="1">+Tarifas!AB69</f>
        <v>98.972189850194397</v>
      </c>
      <c r="K5" s="10">
        <f ca="1">+Tarifas!AC69</f>
        <v>98.972189850194397</v>
      </c>
      <c r="L5" s="10">
        <f ca="1">+Tarifas!AD69</f>
        <v>98.972189850194397</v>
      </c>
      <c r="M5" s="10">
        <f ca="1">+Tarifas!AE69</f>
        <v>98.972189850194397</v>
      </c>
      <c r="N5" s="10">
        <f ca="1">+Tarifas!AF69</f>
        <v>98.972189850194397</v>
      </c>
      <c r="O5" s="10">
        <f ca="1">+Tarifas!AG69</f>
        <v>98.972189850194397</v>
      </c>
      <c r="P5" s="10">
        <f ca="1">+Tarifas!AH69</f>
        <v>98.972189850194397</v>
      </c>
      <c r="Q5" s="10">
        <f ca="1">+Tarifas!AI69</f>
        <v>98.972189850194397</v>
      </c>
      <c r="R5" s="10">
        <f ca="1">+Tarifas!AJ69</f>
        <v>98.972189850194397</v>
      </c>
      <c r="S5" s="10">
        <f ca="1">+Tarifas!AK69</f>
        <v>98.972189850194397</v>
      </c>
      <c r="T5" s="10">
        <f ca="1">+Tarifas!AL69</f>
        <v>103.92079934270411</v>
      </c>
      <c r="U5" s="10">
        <f ca="1">+Tarifas!AM69</f>
        <v>103.92079934270411</v>
      </c>
      <c r="V5" s="10">
        <f ca="1">+Tarifas!AN69</f>
        <v>103.92079934270411</v>
      </c>
      <c r="W5" s="10">
        <f ca="1">+Tarifas!AO69</f>
        <v>103.92079934270411</v>
      </c>
      <c r="X5" s="10">
        <f ca="1">+Tarifas!AP69</f>
        <v>103.92079934270411</v>
      </c>
      <c r="Y5" s="10">
        <f ca="1">+Tarifas!AQ69</f>
        <v>103.92079934270411</v>
      </c>
      <c r="Z5" s="10">
        <f ca="1">+Tarifas!AR69</f>
        <v>103.92079934270411</v>
      </c>
      <c r="AA5" s="10">
        <f ca="1">+Tarifas!AS69</f>
        <v>103.92079934270411</v>
      </c>
      <c r="AB5" s="10">
        <f ca="1">+Tarifas!AT69</f>
        <v>103.92079934270411</v>
      </c>
      <c r="AC5" s="10">
        <f ca="1">+Tarifas!AU69</f>
        <v>103.92079934270411</v>
      </c>
      <c r="AD5" s="10">
        <f ca="1">+Tarifas!AV69</f>
        <v>103.92079934270411</v>
      </c>
      <c r="AE5" s="10">
        <f ca="1">+Tarifas!AW69</f>
        <v>103.92079934270411</v>
      </c>
      <c r="AF5" s="10">
        <f ca="1">+Tarifas!AX69</f>
        <v>109.11683930983932</v>
      </c>
      <c r="AG5" s="10">
        <f ca="1">+Tarifas!AY69</f>
        <v>109.11683930983932</v>
      </c>
      <c r="AH5" s="10">
        <f ca="1">+Tarifas!AZ69</f>
        <v>109.11683930983932</v>
      </c>
      <c r="AI5" s="10">
        <f ca="1">+Tarifas!BA69</f>
        <v>109.11683930983932</v>
      </c>
      <c r="AJ5" s="10">
        <f ca="1">+Tarifas!BB69</f>
        <v>109.11683930983932</v>
      </c>
      <c r="AK5" s="10">
        <f ca="1">+Tarifas!BC69</f>
        <v>109.11683930983932</v>
      </c>
      <c r="AL5" s="10">
        <f ca="1">+Tarifas!BD69</f>
        <v>109.11683930983932</v>
      </c>
      <c r="AM5" s="10">
        <f ca="1">+Tarifas!BE69</f>
        <v>109.11683930983932</v>
      </c>
      <c r="AN5" s="10">
        <f ca="1">+Tarifas!BF69</f>
        <v>109.11683930983932</v>
      </c>
      <c r="AO5" s="10">
        <f ca="1">+Tarifas!BG69</f>
        <v>109.11683930983932</v>
      </c>
      <c r="AP5" s="10">
        <f ca="1">+Tarifas!BH69</f>
        <v>109.11683930983932</v>
      </c>
      <c r="AQ5" s="10">
        <f ca="1">+Tarifas!BI69</f>
        <v>109.11683930983932</v>
      </c>
      <c r="AR5" s="10">
        <f ca="1">+Tarifas!BJ69</f>
        <v>112.39034448913451</v>
      </c>
      <c r="AS5" s="10">
        <f ca="1">+Tarifas!BK69</f>
        <v>112.39034448913451</v>
      </c>
      <c r="AT5" s="10">
        <f ca="1">+Tarifas!BL69</f>
        <v>112.39034448913451</v>
      </c>
      <c r="AU5" s="10">
        <f ca="1">+Tarifas!BM69</f>
        <v>112.39034448913451</v>
      </c>
      <c r="AV5" s="10">
        <f ca="1">+Tarifas!BN69</f>
        <v>112.39034448913451</v>
      </c>
      <c r="AW5" s="10">
        <f ca="1">+Tarifas!BO69</f>
        <v>112.39034448913451</v>
      </c>
      <c r="AX5" s="10">
        <f ca="1">+Tarifas!BP69</f>
        <v>112.39034448913451</v>
      </c>
      <c r="AY5" s="10">
        <f ca="1">+Tarifas!BQ69</f>
        <v>112.39034448913451</v>
      </c>
      <c r="AZ5" s="10">
        <f ca="1">+Tarifas!BR69</f>
        <v>112.39034448913451</v>
      </c>
      <c r="BA5" s="10">
        <f ca="1">+Tarifas!BS69</f>
        <v>112.39034448913451</v>
      </c>
      <c r="BB5" s="10">
        <f ca="1">+Tarifas!BT69</f>
        <v>112.39034448913451</v>
      </c>
      <c r="BC5" s="10">
        <f ca="1">+Tarifas!BU69</f>
        <v>112.39034448913451</v>
      </c>
      <c r="BD5" s="10">
        <f ca="1">+Tarifas!BV69</f>
        <v>118.00986171359123</v>
      </c>
      <c r="BE5" s="10">
        <f ca="1">+Tarifas!BW69</f>
        <v>118.00986171359123</v>
      </c>
      <c r="BF5" s="10">
        <f ca="1">+Tarifas!BX69</f>
        <v>118.00986171359123</v>
      </c>
      <c r="BG5" s="10">
        <f ca="1">+Tarifas!BY69</f>
        <v>118.00986171359123</v>
      </c>
      <c r="BH5" s="10">
        <f ca="1">+Tarifas!BZ69</f>
        <v>118.00986171359123</v>
      </c>
      <c r="BI5" s="10">
        <f ca="1">+Tarifas!CA69</f>
        <v>118.00986171359123</v>
      </c>
      <c r="BJ5" s="10">
        <f ca="1">+Tarifas!CB69</f>
        <v>118.00986171359123</v>
      </c>
      <c r="BK5" s="10">
        <f ca="1">+Tarifas!CC69</f>
        <v>118.00986171359123</v>
      </c>
      <c r="BL5" s="10">
        <f ca="1">+Tarifas!CD69</f>
        <v>118.00986171359123</v>
      </c>
      <c r="BM5" s="10">
        <f ca="1">+Tarifas!CE69</f>
        <v>118.00986171359123</v>
      </c>
      <c r="BN5" s="10">
        <f ca="1">+Tarifas!CF69</f>
        <v>118.00986171359123</v>
      </c>
      <c r="BO5" s="10">
        <f ca="1">+Tarifas!CG69</f>
        <v>118.00986171359123</v>
      </c>
      <c r="BP5" s="10">
        <f ca="1">+Tarifas!CH69</f>
        <v>121.55015756499897</v>
      </c>
      <c r="BQ5" s="10">
        <f ca="1">+Tarifas!CI69</f>
        <v>121.55015756499897</v>
      </c>
      <c r="BR5" s="10">
        <f ca="1">+Tarifas!CJ69</f>
        <v>121.55015756499897</v>
      </c>
      <c r="BS5" s="10">
        <f ca="1">+Tarifas!CK69</f>
        <v>121.55015756499897</v>
      </c>
      <c r="BT5" s="10">
        <f ca="1">+Tarifas!CL69</f>
        <v>121.55015756499897</v>
      </c>
      <c r="BU5" s="10">
        <f ca="1">+Tarifas!CM69</f>
        <v>121.55015756499897</v>
      </c>
      <c r="BV5" s="10">
        <f ca="1">+Tarifas!CN69</f>
        <v>121.55015756499897</v>
      </c>
      <c r="BW5" s="10">
        <f ca="1">+Tarifas!CO69</f>
        <v>121.55015756499897</v>
      </c>
      <c r="BX5" s="10">
        <f ca="1">+Tarifas!CP69</f>
        <v>121.55015756499897</v>
      </c>
      <c r="BY5" s="10">
        <f ca="1">+Tarifas!CQ69</f>
        <v>121.55015756499897</v>
      </c>
      <c r="BZ5" s="10">
        <f ca="1">+Tarifas!CR69</f>
        <v>121.55015756499897</v>
      </c>
      <c r="CA5" s="10">
        <f ca="1">+Tarifas!CS69</f>
        <v>121.55015756499897</v>
      </c>
      <c r="CB5" s="10">
        <f ca="1">+Tarifas!CT69</f>
        <v>127.62766544324893</v>
      </c>
      <c r="CC5" s="10">
        <f ca="1">+Tarifas!CU69</f>
        <v>127.62766544324893</v>
      </c>
      <c r="CD5" s="10">
        <f ca="1">+Tarifas!CV69</f>
        <v>127.62766544324893</v>
      </c>
      <c r="CE5" s="10">
        <f ca="1">+Tarifas!CW69</f>
        <v>127.62766544324893</v>
      </c>
      <c r="CF5" s="10">
        <f ca="1">+Tarifas!CX69</f>
        <v>127.62766544324893</v>
      </c>
      <c r="CG5" s="10">
        <f ca="1">+Tarifas!CY69</f>
        <v>127.62766544324893</v>
      </c>
      <c r="CH5" s="10">
        <f ca="1">+Tarifas!CZ69</f>
        <v>127.62766544324893</v>
      </c>
      <c r="CI5" s="10">
        <f ca="1">+Tarifas!DA69</f>
        <v>127.62766544324893</v>
      </c>
      <c r="CJ5" s="10">
        <f ca="1">+Tarifas!DB69</f>
        <v>127.62766544324893</v>
      </c>
      <c r="CK5" s="10">
        <f ca="1">+Tarifas!DC69</f>
        <v>127.62766544324893</v>
      </c>
      <c r="CL5" s="10">
        <f ca="1">+Tarifas!DD69</f>
        <v>127.62766544324893</v>
      </c>
      <c r="CM5" s="10">
        <f ca="1">+Tarifas!DE69</f>
        <v>127.62766544324893</v>
      </c>
      <c r="CN5" s="10">
        <f ca="1">+Tarifas!DF69</f>
        <v>134.00904871541138</v>
      </c>
      <c r="CO5" s="10">
        <f ca="1">+Tarifas!DG69</f>
        <v>134.00904871541138</v>
      </c>
      <c r="CP5" s="10">
        <f ca="1">+Tarifas!DH69</f>
        <v>134.00904871541138</v>
      </c>
      <c r="CQ5" s="10">
        <f ca="1">+Tarifas!DI69</f>
        <v>134.00904871541138</v>
      </c>
      <c r="CR5" s="10">
        <f ca="1">+Tarifas!DJ69</f>
        <v>134.00904871541138</v>
      </c>
      <c r="CS5" s="10">
        <f ca="1">+Tarifas!DK69</f>
        <v>134.00904871541138</v>
      </c>
      <c r="CT5" s="10">
        <f ca="1">+Tarifas!DL69</f>
        <v>134.00904871541138</v>
      </c>
      <c r="CU5" s="10">
        <f ca="1">+Tarifas!DM69</f>
        <v>134.00904871541138</v>
      </c>
      <c r="CV5" s="10">
        <f ca="1">+Tarifas!DN69</f>
        <v>134.00904871541138</v>
      </c>
      <c r="CW5" s="10">
        <f ca="1">+Tarifas!DO69</f>
        <v>134.00904871541138</v>
      </c>
      <c r="CX5" s="10">
        <f ca="1">+Tarifas!DP69</f>
        <v>134.00904871541138</v>
      </c>
      <c r="CY5" s="10">
        <f ca="1">+Tarifas!DQ69</f>
        <v>134.00904871541138</v>
      </c>
      <c r="CZ5" s="10">
        <f ca="1">+Tarifas!DR69</f>
        <v>140.70950115118197</v>
      </c>
      <c r="DA5" s="10">
        <f ca="1">+Tarifas!DS69</f>
        <v>140.70950115118197</v>
      </c>
      <c r="DB5" s="10">
        <f ca="1">+Tarifas!DT69</f>
        <v>140.70950115118197</v>
      </c>
      <c r="DC5" s="10">
        <f ca="1">+Tarifas!DU69</f>
        <v>140.70950115118197</v>
      </c>
      <c r="DD5" s="10">
        <f ca="1">+Tarifas!DV69</f>
        <v>140.70950115118197</v>
      </c>
      <c r="DE5" s="10">
        <f ca="1">+Tarifas!DW69</f>
        <v>140.70950115118197</v>
      </c>
      <c r="DF5" s="10">
        <f ca="1">+Tarifas!DX69</f>
        <v>140.70950115118197</v>
      </c>
      <c r="DG5" s="10">
        <f ca="1">+Tarifas!DY69</f>
        <v>140.70950115118197</v>
      </c>
      <c r="DH5" s="10">
        <f ca="1">+Tarifas!DZ69</f>
        <v>140.70950115118197</v>
      </c>
      <c r="DI5" s="10">
        <f ca="1">+Tarifas!EA69</f>
        <v>140.70950115118197</v>
      </c>
      <c r="DJ5" s="10">
        <f ca="1">+Tarifas!EB69</f>
        <v>140.70950115118197</v>
      </c>
      <c r="DK5" s="10">
        <f ca="1">+Tarifas!EC69</f>
        <v>140.70950115118197</v>
      </c>
      <c r="DL5" s="10">
        <f ca="1">+Tarifas!ED69</f>
        <v>147.74497620874106</v>
      </c>
      <c r="DM5" s="10">
        <f ca="1">+Tarifas!EE69</f>
        <v>147.74497620874106</v>
      </c>
      <c r="DN5" s="10">
        <f ca="1">+Tarifas!EF69</f>
        <v>147.74497620874106</v>
      </c>
      <c r="DO5" s="10">
        <f ca="1">+Tarifas!EG69</f>
        <v>147.74497620874106</v>
      </c>
      <c r="DP5" s="10">
        <f ca="1">+Tarifas!EH69</f>
        <v>147.74497620874106</v>
      </c>
      <c r="DQ5" s="10">
        <f ca="1">+Tarifas!EI69</f>
        <v>147.74497620874106</v>
      </c>
      <c r="DR5" s="10">
        <f ca="1">+Tarifas!EJ69</f>
        <v>147.74497620874106</v>
      </c>
      <c r="DS5" s="10">
        <f ca="1">+Tarifas!EK69</f>
        <v>147.74497620874106</v>
      </c>
      <c r="DT5" s="10">
        <f ca="1">+Tarifas!EL69</f>
        <v>147.74497620874106</v>
      </c>
      <c r="DU5" s="10">
        <f ca="1">+Tarifas!EM69</f>
        <v>147.74497620874106</v>
      </c>
      <c r="DV5" s="10">
        <f ca="1">+Tarifas!EN69</f>
        <v>147.74497620874106</v>
      </c>
      <c r="DW5" s="10">
        <f ca="1">+Tarifas!EO69</f>
        <v>147.74497620874106</v>
      </c>
      <c r="DX5" s="10">
        <f ca="1">+Tarifas!EP69</f>
        <v>155.13222501917812</v>
      </c>
      <c r="DY5" s="10">
        <f ca="1">+Tarifas!EQ69</f>
        <v>155.13222501917812</v>
      </c>
      <c r="DZ5" s="10">
        <f ca="1">+Tarifas!ER69</f>
        <v>155.13222501917812</v>
      </c>
      <c r="EA5" s="10">
        <f ca="1">+Tarifas!ES69</f>
        <v>155.13222501917812</v>
      </c>
      <c r="EB5" s="10">
        <f ca="1">+Tarifas!ET69</f>
        <v>155.13222501917812</v>
      </c>
      <c r="EC5" s="10">
        <f ca="1">+Tarifas!EU69</f>
        <v>155.13222501917812</v>
      </c>
      <c r="ED5" s="10">
        <f ca="1">+Tarifas!EV69</f>
        <v>155.13222501917812</v>
      </c>
      <c r="EE5" s="10">
        <f ca="1">+Tarifas!EW69</f>
        <v>155.13222501917812</v>
      </c>
      <c r="EF5" s="10">
        <f ca="1">+Tarifas!EX69</f>
        <v>155.13222501917812</v>
      </c>
      <c r="EG5" s="10">
        <f ca="1">+Tarifas!EY69</f>
        <v>155.13222501917812</v>
      </c>
      <c r="EH5" s="10">
        <f ca="1">+Tarifas!EZ69</f>
        <v>155.13222501917812</v>
      </c>
      <c r="EI5" s="10">
        <f ca="1">+Tarifas!FA69</f>
        <v>155.13222501917812</v>
      </c>
      <c r="EJ5" s="10">
        <f ca="1">+Tarifas!FB69</f>
        <v>162.88883627013703</v>
      </c>
      <c r="EK5" s="10">
        <f ca="1">+Tarifas!FC69</f>
        <v>162.88883627013703</v>
      </c>
      <c r="EL5" s="10">
        <f ca="1">+Tarifas!FD69</f>
        <v>162.88883627013703</v>
      </c>
      <c r="EM5" s="10">
        <f ca="1">+Tarifas!FE69</f>
        <v>162.88883627013703</v>
      </c>
      <c r="EN5" s="10">
        <f ca="1">+Tarifas!FF69</f>
        <v>162.88883627013703</v>
      </c>
      <c r="EO5" s="10">
        <f ca="1">+Tarifas!FG69</f>
        <v>162.88883627013703</v>
      </c>
      <c r="EP5" s="10">
        <f ca="1">+Tarifas!FH69</f>
        <v>162.88883627013703</v>
      </c>
      <c r="EQ5" s="10">
        <f ca="1">+Tarifas!FI69</f>
        <v>162.88883627013703</v>
      </c>
      <c r="ER5" s="10">
        <f ca="1">+Tarifas!FJ69</f>
        <v>162.88883627013703</v>
      </c>
      <c r="ES5" s="10">
        <f ca="1">+Tarifas!FK69</f>
        <v>162.88883627013703</v>
      </c>
      <c r="ET5" s="10">
        <f ca="1">+Tarifas!FL69</f>
        <v>162.88883627013703</v>
      </c>
      <c r="EU5" s="10">
        <f ca="1">+Tarifas!FM69</f>
        <v>162.88883627013703</v>
      </c>
      <c r="EV5" s="10">
        <f ca="1">+Tarifas!FN69</f>
        <v>171.03327808364389</v>
      </c>
      <c r="EW5" s="10">
        <f ca="1">+Tarifas!FO69</f>
        <v>171.03327808364389</v>
      </c>
      <c r="EX5" s="10">
        <f ca="1">+Tarifas!FP69</f>
        <v>171.03327808364389</v>
      </c>
      <c r="EY5" s="10">
        <f ca="1">+Tarifas!FQ69</f>
        <v>171.03327808364389</v>
      </c>
      <c r="EZ5" s="10">
        <f ca="1">+Tarifas!FR69</f>
        <v>171.03327808364389</v>
      </c>
      <c r="FA5" s="10">
        <f ca="1">+Tarifas!FS69</f>
        <v>171.03327808364389</v>
      </c>
      <c r="FB5" s="10">
        <f ca="1">+Tarifas!FT69</f>
        <v>171.03327808364389</v>
      </c>
      <c r="FC5" s="10">
        <f ca="1">+Tarifas!FU69</f>
        <v>171.03327808364389</v>
      </c>
      <c r="FD5" s="10">
        <f ca="1">+Tarifas!FV69</f>
        <v>171.03327808364389</v>
      </c>
      <c r="FE5" s="10">
        <f ca="1">+Tarifas!FW69</f>
        <v>171.03327808364389</v>
      </c>
      <c r="FF5" s="10">
        <f ca="1">+Tarifas!FX69</f>
        <v>171.03327808364389</v>
      </c>
      <c r="FG5" s="10">
        <f ca="1">+Tarifas!FY69</f>
        <v>171.03327808364389</v>
      </c>
      <c r="FH5" s="10">
        <f ca="1">+Tarifas!FZ69</f>
        <v>179.58494198782608</v>
      </c>
      <c r="FI5" s="10">
        <f ca="1">+Tarifas!GA69</f>
        <v>179.58494198782608</v>
      </c>
      <c r="FJ5" s="10">
        <f ca="1">+Tarifas!GB69</f>
        <v>179.58494198782608</v>
      </c>
      <c r="FK5" s="10">
        <f ca="1">+Tarifas!GC69</f>
        <v>179.58494198782608</v>
      </c>
      <c r="FL5" s="10">
        <f ca="1">+Tarifas!GD69</f>
        <v>179.58494198782608</v>
      </c>
      <c r="FM5" s="10">
        <f ca="1">+Tarifas!GE69</f>
        <v>179.58494198782608</v>
      </c>
      <c r="FN5" s="10">
        <f ca="1">+Tarifas!GF69</f>
        <v>179.58494198782608</v>
      </c>
      <c r="FO5" s="10">
        <f ca="1">+Tarifas!GG69</f>
        <v>179.58494198782608</v>
      </c>
      <c r="FP5" s="10">
        <f ca="1">+Tarifas!GH69</f>
        <v>179.58494198782608</v>
      </c>
      <c r="FQ5" s="10">
        <f ca="1">+Tarifas!GI69</f>
        <v>179.58494198782608</v>
      </c>
      <c r="FR5" s="10">
        <f ca="1">+Tarifas!GJ69</f>
        <v>179.58494198782608</v>
      </c>
      <c r="FS5" s="10">
        <f ca="1">+Tarifas!GK69</f>
        <v>179.58494198782608</v>
      </c>
      <c r="FT5" s="10">
        <f ca="1">+Tarifas!GL69</f>
        <v>188.56418908721739</v>
      </c>
      <c r="FU5" s="10">
        <f ca="1">+Tarifas!GM69</f>
        <v>188.56418908721739</v>
      </c>
      <c r="FV5" s="10">
        <f ca="1">+Tarifas!GN69</f>
        <v>188.56418908721739</v>
      </c>
      <c r="FW5" s="10">
        <f ca="1">+Tarifas!GO69</f>
        <v>188.56418908721739</v>
      </c>
      <c r="FX5" s="10">
        <f ca="1">+Tarifas!GP69</f>
        <v>188.56418908721739</v>
      </c>
      <c r="FY5" s="10">
        <f ca="1">+Tarifas!GQ69</f>
        <v>188.56418908721739</v>
      </c>
      <c r="FZ5" s="10">
        <f ca="1">+Tarifas!GR69</f>
        <v>188.56418908721739</v>
      </c>
      <c r="GA5" s="10">
        <f ca="1">+Tarifas!GS69</f>
        <v>188.56418908721739</v>
      </c>
      <c r="GB5" s="10">
        <f ca="1">+Tarifas!GT69</f>
        <v>188.56418908721739</v>
      </c>
      <c r="GC5" s="10">
        <f ca="1">+Tarifas!GU69</f>
        <v>188.56418908721739</v>
      </c>
      <c r="GD5" s="10">
        <f ca="1">+Tarifas!GV69</f>
        <v>188.56418908721739</v>
      </c>
      <c r="GE5" s="10">
        <f ca="1">+Tarifas!GW69</f>
        <v>188.56418908721739</v>
      </c>
      <c r="GF5" s="10">
        <f ca="1">+Tarifas!GX69</f>
        <v>197.99239854157827</v>
      </c>
      <c r="GG5" s="10">
        <f ca="1">+Tarifas!GY69</f>
        <v>197.99239854157827</v>
      </c>
      <c r="GH5" s="10">
        <f ca="1">+Tarifas!GZ69</f>
        <v>197.99239854157827</v>
      </c>
      <c r="GI5" s="10">
        <f ca="1">+Tarifas!HA69</f>
        <v>197.99239854157827</v>
      </c>
      <c r="GJ5" s="10">
        <f ca="1">+Tarifas!HB69</f>
        <v>197.99239854157827</v>
      </c>
      <c r="GK5" s="10">
        <f ca="1">+Tarifas!HC69</f>
        <v>197.99239854157827</v>
      </c>
      <c r="GL5" s="10">
        <f ca="1">+Tarifas!HD69</f>
        <v>197.99239854157827</v>
      </c>
      <c r="GM5" s="10">
        <f ca="1">+Tarifas!HE69</f>
        <v>197.99239854157827</v>
      </c>
      <c r="GN5" s="10">
        <f ca="1">+Tarifas!HF69</f>
        <v>197.99239854157827</v>
      </c>
      <c r="GO5" s="10">
        <f ca="1">+Tarifas!HG69</f>
        <v>197.99239854157827</v>
      </c>
      <c r="GP5" s="10">
        <f ca="1">+Tarifas!HH69</f>
        <v>197.99239854157827</v>
      </c>
      <c r="GQ5" s="10">
        <f ca="1">+Tarifas!HI69</f>
        <v>197.99239854157827</v>
      </c>
      <c r="GR5" s="10">
        <f ca="1">+Tarifas!HJ69</f>
        <v>207.8920184686572</v>
      </c>
      <c r="GS5" s="10">
        <f ca="1">+Tarifas!HK69</f>
        <v>207.8920184686572</v>
      </c>
      <c r="GT5" s="10">
        <f ca="1">+Tarifas!HL69</f>
        <v>207.8920184686572</v>
      </c>
      <c r="GU5" s="10">
        <f ca="1">+Tarifas!HM69</f>
        <v>207.8920184686572</v>
      </c>
      <c r="GV5" s="10">
        <f ca="1">+Tarifas!HN69</f>
        <v>207.8920184686572</v>
      </c>
      <c r="GW5" s="10">
        <f ca="1">+Tarifas!HO69</f>
        <v>207.8920184686572</v>
      </c>
      <c r="GX5" s="10">
        <f ca="1">+Tarifas!HP69</f>
        <v>207.8920184686572</v>
      </c>
      <c r="GY5" s="10">
        <f ca="1">+Tarifas!HQ69</f>
        <v>207.8920184686572</v>
      </c>
      <c r="GZ5" s="10">
        <f ca="1">+Tarifas!HR69</f>
        <v>207.8920184686572</v>
      </c>
      <c r="HA5" s="10">
        <f ca="1">+Tarifas!HS69</f>
        <v>207.8920184686572</v>
      </c>
      <c r="HB5" s="10">
        <f ca="1">+Tarifas!HT69</f>
        <v>207.8920184686572</v>
      </c>
      <c r="HC5" s="10">
        <f ca="1">+Tarifas!HU69</f>
        <v>207.8920184686572</v>
      </c>
      <c r="HD5" s="10">
        <f ca="1">+Tarifas!HV69</f>
        <v>218.28661939209007</v>
      </c>
      <c r="HE5" s="10">
        <f ca="1">+Tarifas!HW69</f>
        <v>218.28661939209007</v>
      </c>
      <c r="HF5" s="10">
        <f ca="1">+Tarifas!HX69</f>
        <v>218.28661939209007</v>
      </c>
      <c r="HG5" s="10">
        <f ca="1">+Tarifas!HY69</f>
        <v>218.28661939209007</v>
      </c>
      <c r="HH5" s="10">
        <f ca="1">+Tarifas!HZ69</f>
        <v>218.28661939209007</v>
      </c>
      <c r="HI5" s="10">
        <f ca="1">+Tarifas!IA69</f>
        <v>218.28661939209007</v>
      </c>
      <c r="HJ5" s="10">
        <f ca="1">+Tarifas!IB69</f>
        <v>218.28661939209007</v>
      </c>
      <c r="HK5" s="10">
        <f ca="1">+Tarifas!IC69</f>
        <v>218.28661939209007</v>
      </c>
      <c r="HL5" s="10">
        <f ca="1">+Tarifas!ID69</f>
        <v>218.28661939209007</v>
      </c>
      <c r="HM5" s="10">
        <f ca="1">+Tarifas!IE69</f>
        <v>218.28661939209007</v>
      </c>
      <c r="HN5" s="10">
        <f ca="1">+Tarifas!IF69</f>
        <v>218.28661939209007</v>
      </c>
      <c r="HO5" s="10">
        <f ca="1">+Tarifas!IG69</f>
        <v>218.28661939209007</v>
      </c>
      <c r="HP5" s="10">
        <f ca="1">+Tarifas!IH69</f>
        <v>229.20095036169459</v>
      </c>
      <c r="HQ5" s="10">
        <f ca="1">+Tarifas!II69</f>
        <v>229.20095036169459</v>
      </c>
      <c r="HR5" s="10">
        <f ca="1">+Tarifas!IJ69</f>
        <v>229.20095036169459</v>
      </c>
      <c r="HS5" s="10">
        <f ca="1">+Tarifas!IK69</f>
        <v>229.20095036169459</v>
      </c>
      <c r="HT5" s="10">
        <f ca="1">+Tarifas!IL69</f>
        <v>229.20095036169459</v>
      </c>
      <c r="HU5" s="10">
        <f ca="1">+Tarifas!IM69</f>
        <v>229.20095036169459</v>
      </c>
      <c r="HV5" s="10">
        <f ca="1">+Tarifas!IN69</f>
        <v>229.20095036169459</v>
      </c>
      <c r="HW5" s="10">
        <f ca="1">+Tarifas!IO69</f>
        <v>229.20095036169459</v>
      </c>
      <c r="HX5" s="10">
        <f ca="1">+Tarifas!IP69</f>
        <v>229.20095036169459</v>
      </c>
      <c r="HY5" s="10">
        <f ca="1">+Tarifas!IQ69</f>
        <v>229.20095036169459</v>
      </c>
      <c r="HZ5" s="10">
        <f ca="1">+Tarifas!IR69</f>
        <v>229.20095036169459</v>
      </c>
      <c r="IA5" s="10">
        <f ca="1">+Tarifas!IS69</f>
        <v>229.20095036169459</v>
      </c>
      <c r="IB5" s="10">
        <f ca="1">+Tarifas!IT69</f>
        <v>240.66099787977933</v>
      </c>
      <c r="IC5" s="10">
        <f ca="1">+Tarifas!IU69</f>
        <v>240.66099787977933</v>
      </c>
      <c r="ID5" s="10">
        <f ca="1">+Tarifas!IV69</f>
        <v>240.66099787977933</v>
      </c>
      <c r="IE5" s="10">
        <f ca="1">+Tarifas!IW69</f>
        <v>240.66099787977933</v>
      </c>
      <c r="IF5" s="10">
        <f ca="1">+Tarifas!IX69</f>
        <v>240.66099787977933</v>
      </c>
      <c r="IG5" s="10">
        <f ca="1">+Tarifas!IY69</f>
        <v>240.66099787977933</v>
      </c>
      <c r="IH5" s="10">
        <f ca="1">+Tarifas!IZ69</f>
        <v>240.66099787977933</v>
      </c>
    </row>
    <row r="6" spans="1:242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2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ca="1" si="4"/>
        <v>212847.47647592548</v>
      </c>
      <c r="J8" s="33">
        <f t="shared" ca="1" si="4"/>
        <v>196225.83055471763</v>
      </c>
      <c r="K8" s="33">
        <f t="shared" ca="1" si="4"/>
        <v>233656.48013572081</v>
      </c>
      <c r="L8" s="33">
        <f t="shared" ca="1" si="4"/>
        <v>212251.55886373934</v>
      </c>
      <c r="M8" s="33">
        <f t="shared" ca="1" si="4"/>
        <v>205792.8453665548</v>
      </c>
      <c r="N8" s="33">
        <f t="shared" ca="1" si="4"/>
        <v>206858.5972955137</v>
      </c>
      <c r="O8" s="33">
        <f t="shared" ca="1" si="4"/>
        <v>220122.71467641165</v>
      </c>
      <c r="P8" s="33">
        <f t="shared" ca="1" si="4"/>
        <v>216892.80762561847</v>
      </c>
      <c r="Q8" s="33">
        <f t="shared" ca="1" si="4"/>
        <v>202976.60834159263</v>
      </c>
      <c r="R8" s="33">
        <f t="shared" ca="1" si="4"/>
        <v>182998.22128896127</v>
      </c>
      <c r="S8" s="33">
        <f t="shared" ca="1" si="4"/>
        <v>174890.39638048873</v>
      </c>
      <c r="T8" s="33">
        <f t="shared" ca="1" si="4"/>
        <v>184874.34072470962</v>
      </c>
      <c r="U8" s="33">
        <f t="shared" ca="1" si="4"/>
        <v>223033.74856441614</v>
      </c>
      <c r="V8" s="33">
        <f t="shared" ca="1" si="4"/>
        <v>205616.63815983623</v>
      </c>
      <c r="W8" s="33">
        <f t="shared" ca="1" si="4"/>
        <v>244838.61168507318</v>
      </c>
      <c r="X8" s="33">
        <f t="shared" ca="1" si="4"/>
        <v>222409.3120379326</v>
      </c>
      <c r="Y8" s="33">
        <f t="shared" ca="1" si="4"/>
        <v>215641.50296623987</v>
      </c>
      <c r="Z8" s="33">
        <f t="shared" ca="1" si="4"/>
        <v>216758.25873751327</v>
      </c>
      <c r="AA8" s="33">
        <f t="shared" ca="1" si="4"/>
        <v>230657.15887878271</v>
      </c>
      <c r="AB8" s="33">
        <f t="shared" ca="1" si="4"/>
        <v>227504.5876306142</v>
      </c>
      <c r="AC8" s="33">
        <f t="shared" ca="1" si="4"/>
        <v>212907.51908713984</v>
      </c>
      <c r="AD8" s="33">
        <f t="shared" ca="1" si="4"/>
        <v>191951.66187043043</v>
      </c>
      <c r="AE8" s="33">
        <f t="shared" ca="1" si="4"/>
        <v>183447.15043652797</v>
      </c>
      <c r="AF8" s="33">
        <f t="shared" ca="1" si="4"/>
        <v>193919.5730393081</v>
      </c>
      <c r="AG8" s="33">
        <f t="shared" ca="1" si="4"/>
        <v>233945.98258160154</v>
      </c>
      <c r="AH8" s="33">
        <f t="shared" ca="1" si="4"/>
        <v>215676.71600845401</v>
      </c>
      <c r="AI8" s="33">
        <f t="shared" ca="1" si="4"/>
        <v>256817.67872917413</v>
      </c>
      <c r="AJ8" s="33">
        <f t="shared" ca="1" si="4"/>
        <v>233290.9946361075</v>
      </c>
      <c r="AK8" s="33">
        <f t="shared" ca="1" si="4"/>
        <v>226192.06116351453</v>
      </c>
      <c r="AL8" s="33">
        <f t="shared" ca="1" si="4"/>
        <v>227363.45575243147</v>
      </c>
      <c r="AM8" s="33">
        <f t="shared" ca="1" si="4"/>
        <v>241942.37876871089</v>
      </c>
      <c r="AN8" s="33">
        <f t="shared" ca="1" si="4"/>
        <v>238635.3136170455</v>
      </c>
      <c r="AO8" s="33">
        <f t="shared" ca="1" si="4"/>
        <v>223324.07938638786</v>
      </c>
      <c r="AP8" s="33">
        <f t="shared" ca="1" si="4"/>
        <v>201342.95095682406</v>
      </c>
      <c r="AQ8" s="33">
        <f t="shared" ca="1" si="4"/>
        <v>192422.35390721995</v>
      </c>
      <c r="AR8" s="33">
        <f t="shared" ca="1" si="4"/>
        <v>203407.14273355473</v>
      </c>
      <c r="AS8" s="33">
        <f t="shared" ca="1" si="4"/>
        <v>240717.72504568315</v>
      </c>
      <c r="AT8" s="33">
        <f t="shared" ca="1" si="4"/>
        <v>229845.34226496489</v>
      </c>
      <c r="AU8" s="33">
        <f t="shared" ca="1" si="4"/>
        <v>264251.45964469208</v>
      </c>
      <c r="AV8" s="33">
        <f t="shared" ca="1" si="4"/>
        <v>240043.77798135736</v>
      </c>
      <c r="AW8" s="33">
        <f t="shared" ca="1" si="4"/>
        <v>232739.3605388515</v>
      </c>
      <c r="AX8" s="33">
        <f t="shared" ca="1" si="4"/>
        <v>233944.66202538827</v>
      </c>
      <c r="AY8" s="33">
        <f t="shared" ca="1" si="4"/>
        <v>248945.58293614103</v>
      </c>
      <c r="AZ8" s="33">
        <f t="shared" ca="1" si="4"/>
        <v>245542.53452860448</v>
      </c>
      <c r="BA8" s="33">
        <f t="shared" ca="1" si="4"/>
        <v>229788.12164321725</v>
      </c>
      <c r="BB8" s="33">
        <f t="shared" ca="1" si="4"/>
        <v>207170.75665818702</v>
      </c>
      <c r="BC8" s="33">
        <f t="shared" ca="1" si="4"/>
        <v>197991.95585176806</v>
      </c>
      <c r="BD8" s="33">
        <f t="shared" ca="1" si="4"/>
        <v>209294.69578911102</v>
      </c>
      <c r="BE8" s="33">
        <f t="shared" ca="1" si="4"/>
        <v>252494.64243393249</v>
      </c>
      <c r="BF8" s="33">
        <f t="shared" ca="1" si="4"/>
        <v>232776.87733271689</v>
      </c>
      <c r="BG8" s="33">
        <f t="shared" ca="1" si="4"/>
        <v>277179.74570825155</v>
      </c>
      <c r="BH8" s="33">
        <f t="shared" ca="1" si="4"/>
        <v>251787.72306190027</v>
      </c>
      <c r="BI8" s="33">
        <f t="shared" ca="1" si="4"/>
        <v>244125.94298324714</v>
      </c>
      <c r="BJ8" s="33">
        <f t="shared" ca="1" si="4"/>
        <v>245390.21285706069</v>
      </c>
      <c r="BK8" s="33">
        <f t="shared" ca="1" si="4"/>
        <v>261125.04152753513</v>
      </c>
      <c r="BL8" s="33">
        <f t="shared" ca="1" si="4"/>
        <v>256497.50914603451</v>
      </c>
      <c r="BM8" s="33">
        <f t="shared" ca="1" si="4"/>
        <v>240040.20707037614</v>
      </c>
      <c r="BN8" s="33">
        <f t="shared" ca="1" si="4"/>
        <v>216413.75964755233</v>
      </c>
      <c r="BO8" s="33">
        <f t="shared" ca="1" si="4"/>
        <v>206825.44311284693</v>
      </c>
      <c r="BP8" s="33">
        <f t="shared" ca="1" si="4"/>
        <v>218632.45913970211</v>
      </c>
      <c r="BQ8" s="33">
        <f t="shared" ref="BQ8:EB8" ca="1" si="5">+BP4*BP5</f>
        <v>258735.79205717117</v>
      </c>
      <c r="BR8" s="33">
        <f t="shared" ca="1" si="5"/>
        <v>238530.64424935126</v>
      </c>
      <c r="BS8" s="33">
        <f t="shared" ca="1" si="5"/>
        <v>284031.06044832221</v>
      </c>
      <c r="BT8" s="33">
        <f t="shared" ca="1" si="5"/>
        <v>258011.39908835336</v>
      </c>
      <c r="BU8" s="33">
        <f t="shared" ca="1" si="5"/>
        <v>250160.23552262795</v>
      </c>
      <c r="BV8" s="33">
        <f t="shared" ca="1" si="5"/>
        <v>251455.755554348</v>
      </c>
      <c r="BW8" s="33">
        <f t="shared" ca="1" si="5"/>
        <v>267579.51691298495</v>
      </c>
      <c r="BX8" s="33">
        <f t="shared" ca="1" si="5"/>
        <v>262830.61774814531</v>
      </c>
      <c r="BY8" s="33">
        <f t="shared" ca="1" si="5"/>
        <v>245966.97300783545</v>
      </c>
      <c r="BZ8" s="33">
        <f t="shared" ca="1" si="5"/>
        <v>221757.17154812848</v>
      </c>
      <c r="CA8" s="33">
        <f t="shared" ca="1" si="5"/>
        <v>211932.11255877753</v>
      </c>
      <c r="CB8" s="33">
        <f t="shared" ca="1" si="5"/>
        <v>224030.65233186283</v>
      </c>
      <c r="CC8" s="33">
        <f t="shared" ca="1" si="5"/>
        <v>270272.20752776158</v>
      </c>
      <c r="CD8" s="33">
        <f t="shared" ca="1" si="5"/>
        <v>249166.16008830437</v>
      </c>
      <c r="CE8" s="33">
        <f t="shared" ca="1" si="5"/>
        <v>296695.33195800259</v>
      </c>
      <c r="CF8" s="33">
        <f t="shared" ca="1" si="5"/>
        <v>269515.51559409697</v>
      </c>
      <c r="CG8" s="33">
        <f t="shared" ca="1" si="5"/>
        <v>261314.28726113687</v>
      </c>
      <c r="CH8" s="33">
        <f t="shared" ca="1" si="5"/>
        <v>262667.57145921973</v>
      </c>
      <c r="CI8" s="33">
        <f t="shared" ca="1" si="5"/>
        <v>279510.2531052393</v>
      </c>
      <c r="CJ8" s="33">
        <f t="shared" ca="1" si="5"/>
        <v>274542.24112966901</v>
      </c>
      <c r="CK8" s="33">
        <f t="shared" ca="1" si="5"/>
        <v>256927.15936984267</v>
      </c>
      <c r="CL8" s="33">
        <f t="shared" ca="1" si="5"/>
        <v>231638.57919224203</v>
      </c>
      <c r="CM8" s="33">
        <f t="shared" ca="1" si="5"/>
        <v>221375.71964688887</v>
      </c>
      <c r="CN8" s="33">
        <f t="shared" ca="1" si="5"/>
        <v>234013.36533732407</v>
      </c>
      <c r="CO8" s="33">
        <f t="shared" ca="1" si="5"/>
        <v>282315.42506526806</v>
      </c>
      <c r="CP8" s="33">
        <f t="shared" ca="1" si="5"/>
        <v>269564.21878983389</v>
      </c>
      <c r="CQ8" s="33">
        <f t="shared" ca="1" si="5"/>
        <v>309915.95296753017</v>
      </c>
      <c r="CR8" s="33">
        <f t="shared" ca="1" si="5"/>
        <v>281525.01525269408</v>
      </c>
      <c r="CS8" s="33">
        <f t="shared" ca="1" si="5"/>
        <v>272958.34358469013</v>
      </c>
      <c r="CT8" s="33">
        <f t="shared" ca="1" si="5"/>
        <v>274371.92956569279</v>
      </c>
      <c r="CU8" s="33">
        <f t="shared" ca="1" si="5"/>
        <v>291965.11412443651</v>
      </c>
      <c r="CV8" s="33">
        <f t="shared" ca="1" si="5"/>
        <v>286767.95030497451</v>
      </c>
      <c r="CW8" s="33">
        <f t="shared" ca="1" si="5"/>
        <v>268368.44693553093</v>
      </c>
      <c r="CX8" s="33">
        <f t="shared" ca="1" si="5"/>
        <v>241953.73467189659</v>
      </c>
      <c r="CY8" s="33">
        <f t="shared" ca="1" si="5"/>
        <v>231233.85716241444</v>
      </c>
      <c r="CZ8" s="33">
        <f t="shared" ca="1" si="5"/>
        <v>244434.2730125018</v>
      </c>
      <c r="DA8" s="33">
        <f t="shared" ca="1" si="5"/>
        <v>294887.28383770585</v>
      </c>
      <c r="DB8" s="33">
        <f t="shared" ca="1" si="5"/>
        <v>271859.00039375603</v>
      </c>
      <c r="DC8" s="33">
        <f t="shared" ca="1" si="5"/>
        <v>323716.89774811559</v>
      </c>
      <c r="DD8" s="33">
        <f t="shared" ca="1" si="5"/>
        <v>294061.67608816561</v>
      </c>
      <c r="DE8" s="33">
        <f t="shared" ca="1" si="5"/>
        <v>285113.51982244587</v>
      </c>
      <c r="DF8" s="33">
        <f t="shared" ca="1" si="5"/>
        <v>286590.05455416505</v>
      </c>
      <c r="DG8" s="33">
        <f t="shared" ca="1" si="5"/>
        <v>304966.68561279034</v>
      </c>
      <c r="DH8" s="33">
        <f t="shared" ca="1" si="5"/>
        <v>299529.87479498651</v>
      </c>
      <c r="DI8" s="33">
        <f t="shared" ca="1" si="5"/>
        <v>280311.54535936355</v>
      </c>
      <c r="DJ8" s="33">
        <f t="shared" ca="1" si="5"/>
        <v>252721.30925153597</v>
      </c>
      <c r="DK8" s="33">
        <f t="shared" ca="1" si="5"/>
        <v>241524.3691303753</v>
      </c>
      <c r="DL8" s="33">
        <f t="shared" ca="1" si="5"/>
        <v>255312.238041854</v>
      </c>
      <c r="DM8" s="33">
        <f t="shared" ca="1" si="5"/>
        <v>308010.53992472414</v>
      </c>
      <c r="DN8" s="33">
        <f t="shared" ca="1" si="5"/>
        <v>283957.43758405402</v>
      </c>
      <c r="DO8" s="33">
        <f t="shared" ca="1" si="5"/>
        <v>338123.14712434058</v>
      </c>
      <c r="DP8" s="33">
        <f t="shared" ca="1" si="5"/>
        <v>307148.19046905264</v>
      </c>
      <c r="DQ8" s="33">
        <f t="shared" ca="1" si="5"/>
        <v>297801.81782501546</v>
      </c>
      <c r="DR8" s="33">
        <f t="shared" ca="1" si="5"/>
        <v>299344.06221757032</v>
      </c>
      <c r="DS8" s="33">
        <f t="shared" ca="1" si="5"/>
        <v>318538.50146466837</v>
      </c>
      <c r="DT8" s="33">
        <f t="shared" ca="1" si="5"/>
        <v>311195.77518173872</v>
      </c>
      <c r="DU8" s="33">
        <f t="shared" ca="1" si="5"/>
        <v>300936.57380212093</v>
      </c>
      <c r="DV8" s="33">
        <f t="shared" ca="1" si="5"/>
        <v>262564.13919080631</v>
      </c>
      <c r="DW8" s="33">
        <f t="shared" ca="1" si="5"/>
        <v>259295.47797481029</v>
      </c>
      <c r="DX8" s="33">
        <f t="shared" ca="1" si="5"/>
        <v>265255.97783927358</v>
      </c>
      <c r="DY8" s="33">
        <f t="shared" ca="1" si="5"/>
        <v>320006.73990073975</v>
      </c>
      <c r="DZ8" s="33">
        <f t="shared" ca="1" si="5"/>
        <v>295016.83252153831</v>
      </c>
      <c r="EA8" s="33">
        <f t="shared" ca="1" si="5"/>
        <v>351292.15390707803</v>
      </c>
      <c r="EB8" s="33">
        <f t="shared" ca="1" si="5"/>
        <v>319110.8042031104</v>
      </c>
      <c r="EC8" s="33">
        <f t="shared" ref="EC8:GN8" ca="1" si="6">+EB4*EB5</f>
        <v>309400.41494030552</v>
      </c>
      <c r="ED8" s="33">
        <f t="shared" ca="1" si="6"/>
        <v>311002.72569341253</v>
      </c>
      <c r="EE8" s="33">
        <f t="shared" ca="1" si="6"/>
        <v>330944.73783750291</v>
      </c>
      <c r="EF8" s="33">
        <f t="shared" ca="1" si="6"/>
        <v>323279.44092017849</v>
      </c>
      <c r="EG8" s="33">
        <f t="shared" ca="1" si="6"/>
        <v>312621.87693379901</v>
      </c>
      <c r="EH8" s="33">
        <f t="shared" ca="1" si="6"/>
        <v>272759.44885087485</v>
      </c>
      <c r="EI8" s="33">
        <f t="shared" ca="1" si="6"/>
        <v>269363.86621532153</v>
      </c>
      <c r="EJ8" s="33">
        <f t="shared" ca="1" si="6"/>
        <v>275555.81102133048</v>
      </c>
      <c r="EK8" s="33">
        <f t="shared" ca="1" si="6"/>
        <v>332432.53352454514</v>
      </c>
      <c r="EL8" s="33">
        <f t="shared" ca="1" si="6"/>
        <v>317417.71169305401</v>
      </c>
      <c r="EM8" s="33">
        <f t="shared" ca="1" si="6"/>
        <v>364932.75350027852</v>
      </c>
      <c r="EN8" s="33">
        <f t="shared" ca="1" si="6"/>
        <v>331501.80883440142</v>
      </c>
      <c r="EO8" s="33">
        <f t="shared" ca="1" si="6"/>
        <v>321414.36722256208</v>
      </c>
      <c r="EP8" s="33">
        <f t="shared" ca="1" si="6"/>
        <v>323078.89536129503</v>
      </c>
      <c r="EQ8" s="33">
        <f t="shared" ca="1" si="6"/>
        <v>343795.25159395911</v>
      </c>
      <c r="ER8" s="33">
        <f t="shared" ca="1" si="6"/>
        <v>335793.48379450798</v>
      </c>
      <c r="ES8" s="33">
        <f t="shared" ca="1" si="6"/>
        <v>324723.36894413969</v>
      </c>
      <c r="ET8" s="33">
        <f t="shared" ca="1" si="6"/>
        <v>283317.87912897323</v>
      </c>
      <c r="EU8" s="33">
        <f t="shared" ca="1" si="6"/>
        <v>279790.85458494688</v>
      </c>
      <c r="EV8" s="33">
        <f t="shared" ca="1" si="6"/>
        <v>286222.48757699493</v>
      </c>
      <c r="EW8" s="33">
        <f t="shared" ca="1" si="6"/>
        <v>345300.8896609791</v>
      </c>
      <c r="EX8" s="33">
        <f t="shared" ca="1" si="6"/>
        <v>318335.71619850665</v>
      </c>
      <c r="EY8" s="33">
        <f t="shared" ca="1" si="6"/>
        <v>379059.18266803125</v>
      </c>
      <c r="EZ8" s="33">
        <f t="shared" ca="1" si="6"/>
        <v>344334.13691831374</v>
      </c>
      <c r="FA8" s="33">
        <f t="shared" ca="1" si="6"/>
        <v>333856.21369569353</v>
      </c>
      <c r="FB8" s="33">
        <f t="shared" ca="1" si="6"/>
        <v>335585.17518173228</v>
      </c>
      <c r="FC8" s="33">
        <f t="shared" ca="1" si="6"/>
        <v>357103.45488146722</v>
      </c>
      <c r="FD8" s="33">
        <f t="shared" ca="1" si="6"/>
        <v>348750.73235397</v>
      </c>
      <c r="FE8" s="33">
        <f t="shared" ca="1" si="6"/>
        <v>337253.45546317985</v>
      </c>
      <c r="FF8" s="33">
        <f t="shared" ca="1" si="6"/>
        <v>294250.25381275429</v>
      </c>
      <c r="FG8" s="33">
        <f t="shared" ca="1" si="6"/>
        <v>290587.13212599646</v>
      </c>
      <c r="FH8" s="33">
        <f t="shared" ca="1" si="6"/>
        <v>297266.94226067245</v>
      </c>
      <c r="FI8" s="33">
        <f t="shared" ca="1" si="6"/>
        <v>358625.00007724512</v>
      </c>
      <c r="FJ8" s="33">
        <f t="shared" ca="1" si="6"/>
        <v>330619.32263877516</v>
      </c>
      <c r="FK8" s="33">
        <f t="shared" ca="1" si="6"/>
        <v>393685.92286880844</v>
      </c>
      <c r="FL8" s="33">
        <f t="shared" ca="1" si="6"/>
        <v>357620.94328853133</v>
      </c>
      <c r="FM8" s="33">
        <f t="shared" ca="1" si="6"/>
        <v>346738.70889808174</v>
      </c>
      <c r="FN8" s="33">
        <f t="shared" ca="1" si="6"/>
        <v>348534.38574581</v>
      </c>
      <c r="FO8" s="33">
        <f t="shared" ca="1" si="6"/>
        <v>370882.99036874122</v>
      </c>
      <c r="FP8" s="33">
        <f t="shared" ca="1" si="6"/>
        <v>362164.22205989191</v>
      </c>
      <c r="FQ8" s="33">
        <f t="shared" ca="1" si="6"/>
        <v>350224.74221176363</v>
      </c>
      <c r="FR8" s="33">
        <f t="shared" ca="1" si="6"/>
        <v>305567.57126709097</v>
      </c>
      <c r="FS8" s="33">
        <f t="shared" ca="1" si="6"/>
        <v>301763.56028468866</v>
      </c>
      <c r="FT8" s="33">
        <f t="shared" ca="1" si="6"/>
        <v>308700.28619377525</v>
      </c>
      <c r="FU8" s="33">
        <f t="shared" ca="1" si="6"/>
        <v>372418.26931098528</v>
      </c>
      <c r="FV8" s="33">
        <f t="shared" ca="1" si="6"/>
        <v>343335.4504325742</v>
      </c>
      <c r="FW8" s="33">
        <f t="shared" ca="1" si="6"/>
        <v>408827.6891329934</v>
      </c>
      <c r="FX8" s="33">
        <f t="shared" ca="1" si="6"/>
        <v>371375.59495347482</v>
      </c>
      <c r="FY8" s="33">
        <f t="shared" ca="1" si="6"/>
        <v>360074.81308646948</v>
      </c>
      <c r="FZ8" s="33">
        <f t="shared" ca="1" si="6"/>
        <v>361939.55442834116</v>
      </c>
      <c r="GA8" s="33">
        <f t="shared" ca="1" si="6"/>
        <v>385147.72076753894</v>
      </c>
      <c r="GB8" s="33">
        <f t="shared" ca="1" si="6"/>
        <v>376047.18390552117</v>
      </c>
      <c r="GC8" s="33">
        <f t="shared" ca="1" si="6"/>
        <v>363650.02399654791</v>
      </c>
      <c r="GD8" s="33">
        <f t="shared" ca="1" si="6"/>
        <v>317280.99483232945</v>
      </c>
      <c r="GE8" s="33">
        <f t="shared" ca="1" si="6"/>
        <v>313331.16342893505</v>
      </c>
      <c r="GF8" s="33">
        <f t="shared" ca="1" si="6"/>
        <v>320533.79716453666</v>
      </c>
      <c r="GG8" s="33">
        <f t="shared" ca="1" si="6"/>
        <v>386694.30296790646</v>
      </c>
      <c r="GH8" s="33">
        <f t="shared" ca="1" si="6"/>
        <v>369228.6656526975</v>
      </c>
      <c r="GI8" s="33">
        <f t="shared" ca="1" si="6"/>
        <v>424499.41721642489</v>
      </c>
      <c r="GJ8" s="33">
        <f t="shared" ca="1" si="6"/>
        <v>385611.65942669136</v>
      </c>
      <c r="GK8" s="33">
        <f t="shared" ca="1" si="6"/>
        <v>373877.6809214509</v>
      </c>
      <c r="GL8" s="33">
        <f t="shared" ca="1" si="6"/>
        <v>375813.90401476086</v>
      </c>
      <c r="GM8" s="33">
        <f t="shared" ca="1" si="6"/>
        <v>399911.71673029463</v>
      </c>
      <c r="GN8" s="33">
        <f t="shared" ca="1" si="6"/>
        <v>390413.03138056357</v>
      </c>
      <c r="GO8" s="33">
        <f t="shared" ref="GO8:IH8" ca="1" si="7">+GN4*GN5</f>
        <v>377542.27210428118</v>
      </c>
      <c r="GP8" s="33">
        <f t="shared" ca="1" si="7"/>
        <v>329401.84182592412</v>
      </c>
      <c r="GQ8" s="33">
        <f t="shared" ca="1" si="7"/>
        <v>325301.11798689433</v>
      </c>
      <c r="GR8" s="33">
        <f t="shared" ca="1" si="7"/>
        <v>332778.90851688973</v>
      </c>
      <c r="GS8" s="33">
        <f t="shared" ca="1" si="7"/>
        <v>401466.8943172422</v>
      </c>
      <c r="GT8" s="33">
        <f t="shared" ca="1" si="7"/>
        <v>370115.61556631501</v>
      </c>
      <c r="GU8" s="33">
        <f t="shared" ca="1" si="7"/>
        <v>440716.24888536689</v>
      </c>
      <c r="GV8" s="33">
        <f t="shared" ca="1" si="7"/>
        <v>400342.89135984587</v>
      </c>
      <c r="GW8" s="33">
        <f t="shared" ca="1" si="7"/>
        <v>388160.64850721409</v>
      </c>
      <c r="GX8" s="33">
        <f t="shared" ca="1" si="7"/>
        <v>390170.83967375179</v>
      </c>
      <c r="GY8" s="33">
        <f t="shared" ca="1" si="7"/>
        <v>415189.24298740702</v>
      </c>
      <c r="GZ8" s="33">
        <f t="shared" ca="1" si="7"/>
        <v>405275.34564334637</v>
      </c>
      <c r="HA8" s="33">
        <f t="shared" ca="1" si="7"/>
        <v>391914.61996279651</v>
      </c>
      <c r="HB8" s="33">
        <f t="shared" ca="1" si="7"/>
        <v>341941.57103179739</v>
      </c>
      <c r="HC8" s="33">
        <f t="shared" ca="1" si="7"/>
        <v>337684.74009207735</v>
      </c>
      <c r="HD8" s="33">
        <f t="shared" ca="1" si="7"/>
        <v>345447.19651156676</v>
      </c>
      <c r="HE8" s="33">
        <f t="shared" ca="1" si="7"/>
        <v>416750.0090440918</v>
      </c>
      <c r="HF8" s="33">
        <f t="shared" ca="1" si="7"/>
        <v>384205.24411344191</v>
      </c>
      <c r="HG8" s="33">
        <f t="shared" ca="1" si="7"/>
        <v>457493.5151781622</v>
      </c>
      <c r="HH8" s="33">
        <f t="shared" ca="1" si="7"/>
        <v>415583.21733774908</v>
      </c>
      <c r="HI8" s="33">
        <f t="shared" ca="1" si="7"/>
        <v>402937.21864925016</v>
      </c>
      <c r="HJ8" s="33">
        <f t="shared" ca="1" si="7"/>
        <v>405023.93413860485</v>
      </c>
      <c r="HK8" s="33">
        <f t="shared" ca="1" si="7"/>
        <v>430994.7425784049</v>
      </c>
      <c r="HL8" s="33">
        <f t="shared" ca="1" si="7"/>
        <v>420647.85875395604</v>
      </c>
      <c r="HM8" s="33">
        <f t="shared" ca="1" si="7"/>
        <v>406780.34692690265</v>
      </c>
      <c r="HN8" s="33">
        <f t="shared" ca="1" si="7"/>
        <v>354911.7685536932</v>
      </c>
      <c r="HO8" s="33">
        <f t="shared" ca="1" si="7"/>
        <v>350493.47161281132</v>
      </c>
      <c r="HP8" s="33">
        <f t="shared" ca="1" si="7"/>
        <v>358550.36603441933</v>
      </c>
      <c r="HQ8" s="33">
        <f t="shared" ca="1" si="7"/>
        <v>432557.76800783334</v>
      </c>
      <c r="HR8" s="33">
        <f t="shared" ca="1" si="7"/>
        <v>398778.54647636553</v>
      </c>
      <c r="HS8" s="33">
        <f t="shared" ca="1" si="7"/>
        <v>474846.71747802355</v>
      </c>
      <c r="HT8" s="33">
        <f t="shared" ca="1" si="7"/>
        <v>431346.71868504316</v>
      </c>
      <c r="HU8" s="33">
        <f t="shared" ca="1" si="7"/>
        <v>418221.04418422177</v>
      </c>
      <c r="HV8" s="33">
        <f t="shared" ca="1" si="7"/>
        <v>420386.91095075896</v>
      </c>
      <c r="HW8" s="33">
        <f t="shared" ca="1" si="7"/>
        <v>447342.81902103411</v>
      </c>
      <c r="HX8" s="33">
        <f t="shared" ca="1" si="7"/>
        <v>436544.43481151847</v>
      </c>
      <c r="HY8" s="33">
        <f t="shared" ca="1" si="7"/>
        <v>422152.86003751232</v>
      </c>
      <c r="HZ8" s="33">
        <f t="shared" ca="1" si="7"/>
        <v>368324.13190019905</v>
      </c>
      <c r="IA8" s="33">
        <f t="shared" ca="1" si="7"/>
        <v>363738.86443538847</v>
      </c>
      <c r="IB8" s="33">
        <f t="shared" ca="1" si="7"/>
        <v>372100.23451827822</v>
      </c>
      <c r="IC8" s="33">
        <f t="shared" ca="1" si="7"/>
        <v>448904.42784533865</v>
      </c>
      <c r="ID8" s="33">
        <f t="shared" ca="1" si="7"/>
        <v>428628.97546405863</v>
      </c>
      <c r="IE8" s="33">
        <f t="shared" ca="1" si="7"/>
        <v>492791.50621992559</v>
      </c>
      <c r="IF8" s="33">
        <f t="shared" ca="1" si="7"/>
        <v>447647.61212372204</v>
      </c>
      <c r="IG8" s="33">
        <f t="shared" ca="1" si="7"/>
        <v>434025.90922606731</v>
      </c>
      <c r="IH8" s="33">
        <f t="shared" ca="1" si="7"/>
        <v>436273.62560878176</v>
      </c>
    </row>
    <row r="9" spans="1:242" x14ac:dyDescent="0.3">
      <c r="A9" t="s">
        <v>813</v>
      </c>
      <c r="B9" s="30" t="e">
        <f>+#REF!</f>
        <v>#REF!</v>
      </c>
      <c r="C9" s="30" t="e">
        <f>+Producción!E114</f>
        <v>#REF!</v>
      </c>
      <c r="D9" s="30" t="e">
        <f>+Producción!F114</f>
        <v>#REF!</v>
      </c>
      <c r="E9" s="30" t="e">
        <f>+Producción!G114</f>
        <v>#REF!</v>
      </c>
      <c r="F9" s="30" t="e">
        <f>+Producción!H114</f>
        <v>#REF!</v>
      </c>
      <c r="G9" s="30" t="e">
        <f>+Producción!I114</f>
        <v>#REF!</v>
      </c>
      <c r="H9" s="30" t="e">
        <f>+Producción!J114</f>
        <v>#REF!</v>
      </c>
      <c r="I9" s="30" t="e">
        <f>+Producción!K114</f>
        <v>#REF!</v>
      </c>
      <c r="J9" s="30" t="e">
        <f>+Producción!L114</f>
        <v>#REF!</v>
      </c>
      <c r="K9" s="30" t="e">
        <f>+Producción!M114</f>
        <v>#REF!</v>
      </c>
      <c r="L9" s="30" t="e">
        <f>+Producción!N114</f>
        <v>#REF!</v>
      </c>
      <c r="M9" s="30" t="e">
        <f>+Producción!O114</f>
        <v>#REF!</v>
      </c>
      <c r="N9" s="30" t="e">
        <f>+Producción!P114</f>
        <v>#REF!</v>
      </c>
      <c r="O9" s="30" t="e">
        <f>+Producción!Q114</f>
        <v>#REF!</v>
      </c>
      <c r="P9" s="30" t="e">
        <f>+Producción!R114</f>
        <v>#REF!</v>
      </c>
      <c r="Q9" s="30" t="e">
        <f>+Producción!S114</f>
        <v>#REF!</v>
      </c>
      <c r="R9" s="30" t="e">
        <f>+Producción!T114</f>
        <v>#REF!</v>
      </c>
      <c r="S9" s="30" t="e">
        <f>+Producción!U114</f>
        <v>#REF!</v>
      </c>
      <c r="T9" s="30" t="e">
        <f>+Producción!V114</f>
        <v>#REF!</v>
      </c>
      <c r="U9" s="30" t="e">
        <f>+Producción!W114</f>
        <v>#REF!</v>
      </c>
      <c r="V9" s="30" t="e">
        <f>+Producción!X114</f>
        <v>#REF!</v>
      </c>
      <c r="W9" s="30" t="e">
        <f>+Producción!Y114</f>
        <v>#REF!</v>
      </c>
      <c r="X9" s="30" t="e">
        <f>+Producción!Z114</f>
        <v>#REF!</v>
      </c>
      <c r="Y9" s="30" t="e">
        <f>+Producción!AA114</f>
        <v>#REF!</v>
      </c>
      <c r="Z9" s="30" t="e">
        <f>+Producción!AB114</f>
        <v>#REF!</v>
      </c>
      <c r="AA9" s="30" t="e">
        <f>+Producción!AC114</f>
        <v>#REF!</v>
      </c>
      <c r="AB9" s="30" t="e">
        <f>+Producción!AD114</f>
        <v>#REF!</v>
      </c>
      <c r="AC9" s="30" t="e">
        <f>+Producción!AE114</f>
        <v>#REF!</v>
      </c>
      <c r="AD9" s="30" t="e">
        <f>+Producción!AF114</f>
        <v>#REF!</v>
      </c>
      <c r="AE9" s="30" t="e">
        <f>+Producción!AG114</f>
        <v>#REF!</v>
      </c>
      <c r="AF9" s="30" t="e">
        <f>+Producción!AH114</f>
        <v>#REF!</v>
      </c>
      <c r="AG9" s="30" t="e">
        <f>+Producción!AI114</f>
        <v>#REF!</v>
      </c>
      <c r="AH9" s="30" t="e">
        <f>+Producción!AJ114</f>
        <v>#REF!</v>
      </c>
      <c r="AI9" s="30" t="e">
        <f>+Producción!AK114</f>
        <v>#REF!</v>
      </c>
      <c r="AJ9" s="30" t="e">
        <f>+Producción!AL114</f>
        <v>#REF!</v>
      </c>
      <c r="AK9" s="30" t="e">
        <f>+Producción!AM114</f>
        <v>#REF!</v>
      </c>
      <c r="AL9" s="30" t="e">
        <f>+Producción!AN114</f>
        <v>#REF!</v>
      </c>
      <c r="AM9" s="30" t="e">
        <f>+Producción!AO114</f>
        <v>#REF!</v>
      </c>
      <c r="AN9" s="30" t="e">
        <f>+Producción!AP114</f>
        <v>#REF!</v>
      </c>
      <c r="AO9" s="30" t="e">
        <f>+Producción!AQ114</f>
        <v>#REF!</v>
      </c>
      <c r="AP9" s="30" t="e">
        <f>+Producción!AR114</f>
        <v>#REF!</v>
      </c>
      <c r="AQ9" s="30" t="e">
        <f>+Producción!AS114</f>
        <v>#REF!</v>
      </c>
      <c r="AR9" s="30" t="e">
        <f>+Producción!AT114</f>
        <v>#REF!</v>
      </c>
      <c r="AS9" s="30" t="e">
        <f>+Producción!AU114</f>
        <v>#REF!</v>
      </c>
      <c r="AT9" s="30" t="e">
        <f>+Producción!AV114</f>
        <v>#REF!</v>
      </c>
      <c r="AU9" s="30" t="e">
        <f>+Producción!AW114</f>
        <v>#REF!</v>
      </c>
      <c r="AV9" s="30" t="e">
        <f>+Producción!AX114</f>
        <v>#REF!</v>
      </c>
      <c r="AW9" s="30" t="e">
        <f>+Producción!AY114</f>
        <v>#REF!</v>
      </c>
      <c r="AX9" s="30" t="e">
        <f>+Producción!AZ114</f>
        <v>#REF!</v>
      </c>
      <c r="AY9" s="30" t="e">
        <f>+Producción!BA114</f>
        <v>#REF!</v>
      </c>
      <c r="AZ9" s="30" t="e">
        <f>+Producción!BB114</f>
        <v>#REF!</v>
      </c>
      <c r="BA9" s="30" t="e">
        <f>+Producción!BC114</f>
        <v>#REF!</v>
      </c>
      <c r="BB9" s="30" t="e">
        <f>+Producción!BD114</f>
        <v>#REF!</v>
      </c>
      <c r="BC9" s="30" t="e">
        <f>+Producción!BE114</f>
        <v>#REF!</v>
      </c>
      <c r="BD9" s="30" t="e">
        <f>+Producción!BF114</f>
        <v>#REF!</v>
      </c>
      <c r="BE9" s="30" t="e">
        <f>+Producción!BG114</f>
        <v>#REF!</v>
      </c>
      <c r="BF9" s="30" t="e">
        <f>+Producción!BH114</f>
        <v>#REF!</v>
      </c>
      <c r="BG9" s="30" t="e">
        <f>+Producción!BI114</f>
        <v>#REF!</v>
      </c>
      <c r="BH9" s="30" t="e">
        <f>+Producción!BJ114</f>
        <v>#REF!</v>
      </c>
      <c r="BI9" s="30" t="e">
        <f>+Producción!BK114</f>
        <v>#REF!</v>
      </c>
      <c r="BJ9" s="30" t="e">
        <f>+Producción!BL114</f>
        <v>#REF!</v>
      </c>
      <c r="BK9" s="30" t="e">
        <f>+Producción!BM114</f>
        <v>#REF!</v>
      </c>
      <c r="BL9" s="30" t="e">
        <f>+Producción!BN114</f>
        <v>#REF!</v>
      </c>
      <c r="BM9" s="30" t="e">
        <f>+Producción!BO114</f>
        <v>#REF!</v>
      </c>
      <c r="BN9" s="30" t="e">
        <f>+Producción!BP114</f>
        <v>#REF!</v>
      </c>
      <c r="BO9" s="30" t="e">
        <f>+Producción!BQ114</f>
        <v>#REF!</v>
      </c>
      <c r="BP9" s="30" t="e">
        <f>+Producción!BR114</f>
        <v>#REF!</v>
      </c>
      <c r="BQ9" s="30" t="e">
        <f>+Producción!BS114</f>
        <v>#REF!</v>
      </c>
      <c r="BR9" s="30" t="e">
        <f>+Producción!BT114</f>
        <v>#REF!</v>
      </c>
      <c r="BS9" s="30" t="e">
        <f>+Producción!BU114</f>
        <v>#REF!</v>
      </c>
      <c r="BT9" s="30" t="e">
        <f>+Producción!BV114</f>
        <v>#REF!</v>
      </c>
      <c r="BU9" s="30" t="e">
        <f>+Producción!BW114</f>
        <v>#REF!</v>
      </c>
      <c r="BV9" s="30" t="e">
        <f>+Producción!BX114</f>
        <v>#REF!</v>
      </c>
      <c r="BW9" s="30" t="e">
        <f>+Producción!BY114</f>
        <v>#REF!</v>
      </c>
      <c r="BX9" s="30" t="e">
        <f>+Producción!BZ114</f>
        <v>#REF!</v>
      </c>
      <c r="BY9" s="30" t="e">
        <f>+Producción!CA114</f>
        <v>#REF!</v>
      </c>
      <c r="BZ9" s="30" t="e">
        <f>+Producción!CB114</f>
        <v>#REF!</v>
      </c>
      <c r="CA9" s="30" t="e">
        <f>+Producción!CC114</f>
        <v>#REF!</v>
      </c>
      <c r="CB9" s="30" t="e">
        <f>+Producción!CD114</f>
        <v>#REF!</v>
      </c>
      <c r="CC9" s="30" t="e">
        <f>+Producción!CE114</f>
        <v>#REF!</v>
      </c>
      <c r="CD9" s="30" t="e">
        <f>+Producción!CF114</f>
        <v>#REF!</v>
      </c>
      <c r="CE9" s="30" t="e">
        <f>+Producción!CG114</f>
        <v>#REF!</v>
      </c>
      <c r="CF9" s="30" t="e">
        <f>+Producción!CH114</f>
        <v>#REF!</v>
      </c>
      <c r="CG9" s="30" t="e">
        <f>+Producción!CI114</f>
        <v>#REF!</v>
      </c>
      <c r="CH9" s="30" t="e">
        <f>+Producción!CJ114</f>
        <v>#REF!</v>
      </c>
      <c r="CI9" s="30" t="e">
        <f>+Producción!CK114</f>
        <v>#REF!</v>
      </c>
      <c r="CJ9" s="30" t="e">
        <f>+Producción!CL114</f>
        <v>#REF!</v>
      </c>
      <c r="CK9" s="30" t="e">
        <f>+Producción!CM114</f>
        <v>#REF!</v>
      </c>
      <c r="CL9" s="30" t="e">
        <f>+Producción!CN114</f>
        <v>#REF!</v>
      </c>
      <c r="CM9" s="30" t="e">
        <f>+Producción!CO114</f>
        <v>#REF!</v>
      </c>
      <c r="CN9" s="30" t="e">
        <f>+Producción!CP114</f>
        <v>#REF!</v>
      </c>
      <c r="CO9" s="30" t="e">
        <f>+Producción!CQ114</f>
        <v>#REF!</v>
      </c>
      <c r="CP9" s="30" t="e">
        <f>+Producción!CR114</f>
        <v>#REF!</v>
      </c>
      <c r="CQ9" s="30" t="e">
        <f>+Producción!CS114</f>
        <v>#REF!</v>
      </c>
      <c r="CR9" s="30" t="e">
        <f>+Producción!CT114</f>
        <v>#REF!</v>
      </c>
      <c r="CS9" s="30" t="e">
        <f>+Producción!CU114</f>
        <v>#REF!</v>
      </c>
      <c r="CT9" s="30" t="e">
        <f>+Producción!CV114</f>
        <v>#REF!</v>
      </c>
      <c r="CU9" s="30" t="e">
        <f>+Producción!CW114</f>
        <v>#REF!</v>
      </c>
      <c r="CV9" s="30" t="e">
        <f>+Producción!CX114</f>
        <v>#REF!</v>
      </c>
      <c r="CW9" s="30" t="e">
        <f>+Producción!CY114</f>
        <v>#REF!</v>
      </c>
      <c r="CX9" s="30" t="e">
        <f>+Producción!CZ114</f>
        <v>#REF!</v>
      </c>
      <c r="CY9" s="30" t="e">
        <f>+Producción!DA114</f>
        <v>#REF!</v>
      </c>
      <c r="CZ9" s="30" t="e">
        <f>+Producción!DB114</f>
        <v>#REF!</v>
      </c>
      <c r="DA9" s="30" t="e">
        <f>+Producción!DC114</f>
        <v>#REF!</v>
      </c>
      <c r="DB9" s="30" t="e">
        <f>+Producción!DD114</f>
        <v>#REF!</v>
      </c>
      <c r="DC9" s="30" t="e">
        <f>+Producción!DE114</f>
        <v>#REF!</v>
      </c>
      <c r="DD9" s="30" t="e">
        <f>+Producción!DF114</f>
        <v>#REF!</v>
      </c>
      <c r="DE9" s="30" t="e">
        <f>+Producción!DG114</f>
        <v>#REF!</v>
      </c>
      <c r="DF9" s="30" t="e">
        <f>+Producción!DH114</f>
        <v>#REF!</v>
      </c>
      <c r="DG9" s="30" t="e">
        <f>+Producción!DI114</f>
        <v>#REF!</v>
      </c>
      <c r="DH9" s="30" t="e">
        <f>+Producción!DJ114</f>
        <v>#REF!</v>
      </c>
      <c r="DI9" s="30" t="e">
        <f>+Producción!DK114</f>
        <v>#REF!</v>
      </c>
      <c r="DJ9" s="30" t="e">
        <f>+Producción!DL114</f>
        <v>#REF!</v>
      </c>
      <c r="DK9" s="30" t="e">
        <f>+Producción!DM114</f>
        <v>#REF!</v>
      </c>
      <c r="DL9" s="30" t="e">
        <f>+Producción!DN114</f>
        <v>#REF!</v>
      </c>
      <c r="DM9" s="30" t="e">
        <f>+Producción!DO114</f>
        <v>#REF!</v>
      </c>
      <c r="DN9" s="30" t="e">
        <f>+Producción!DP114</f>
        <v>#REF!</v>
      </c>
      <c r="DO9" s="30" t="e">
        <f>+Producción!DQ114</f>
        <v>#REF!</v>
      </c>
      <c r="DP9" s="30" t="e">
        <f>+Producción!DR114</f>
        <v>#REF!</v>
      </c>
      <c r="DQ9" s="30" t="e">
        <f>+Producción!DS114</f>
        <v>#REF!</v>
      </c>
      <c r="DR9" s="30" t="e">
        <f>+Producción!DT114</f>
        <v>#REF!</v>
      </c>
      <c r="DS9" s="30" t="e">
        <f>+Producción!DU114</f>
        <v>#REF!</v>
      </c>
      <c r="DT9" s="30" t="e">
        <f>+Producción!DV114</f>
        <v>#REF!</v>
      </c>
      <c r="DU9" s="30" t="e">
        <f>+Producción!DW114</f>
        <v>#REF!</v>
      </c>
      <c r="DV9" s="30" t="e">
        <f>+Producción!DX114</f>
        <v>#REF!</v>
      </c>
      <c r="DW9" s="30" t="e">
        <f>+Producción!DY114</f>
        <v>#REF!</v>
      </c>
      <c r="DX9" s="30" t="e">
        <f>+Producción!DZ114</f>
        <v>#REF!</v>
      </c>
      <c r="DY9" s="30" t="e">
        <f>+Producción!EA114</f>
        <v>#REF!</v>
      </c>
      <c r="DZ9" s="30" t="e">
        <f>+Producción!EB114</f>
        <v>#REF!</v>
      </c>
      <c r="EA9" s="30" t="e">
        <f>+Producción!EC114</f>
        <v>#REF!</v>
      </c>
      <c r="EB9" s="30" t="e">
        <f>+Producción!ED114</f>
        <v>#REF!</v>
      </c>
      <c r="EC9" s="30" t="e">
        <f>+Producción!EE114</f>
        <v>#REF!</v>
      </c>
      <c r="ED9" s="30" t="e">
        <f>+Producción!EF114</f>
        <v>#REF!</v>
      </c>
      <c r="EE9" s="30" t="e">
        <f>+Producción!EG114</f>
        <v>#REF!</v>
      </c>
      <c r="EF9" s="30" t="e">
        <f>+Producción!EH114</f>
        <v>#REF!</v>
      </c>
      <c r="EG9" s="30" t="e">
        <f>+Producción!EI114</f>
        <v>#REF!</v>
      </c>
      <c r="EH9" s="30" t="e">
        <f>+Producción!EJ114</f>
        <v>#REF!</v>
      </c>
      <c r="EI9" s="30" t="e">
        <f>+Producción!EK114</f>
        <v>#REF!</v>
      </c>
      <c r="EJ9" s="30" t="e">
        <f>+Producción!EL114</f>
        <v>#REF!</v>
      </c>
      <c r="EK9" s="30" t="e">
        <f>+Producción!EM114</f>
        <v>#REF!</v>
      </c>
      <c r="EL9" s="30" t="e">
        <f>+Producción!EN114</f>
        <v>#REF!</v>
      </c>
      <c r="EM9" s="30" t="e">
        <f>+Producción!EO114</f>
        <v>#REF!</v>
      </c>
      <c r="EN9" s="30" t="e">
        <f>+Producción!EP114</f>
        <v>#REF!</v>
      </c>
      <c r="EO9" s="30" t="e">
        <f>+Producción!EQ114</f>
        <v>#REF!</v>
      </c>
      <c r="EP9" s="30" t="e">
        <f>+Producción!ER114</f>
        <v>#REF!</v>
      </c>
      <c r="EQ9" s="30" t="e">
        <f>+Producción!ES114</f>
        <v>#REF!</v>
      </c>
      <c r="ER9" s="30" t="e">
        <f>+Producción!ET114</f>
        <v>#REF!</v>
      </c>
      <c r="ES9" s="30" t="e">
        <f>+Producción!EU114</f>
        <v>#REF!</v>
      </c>
      <c r="ET9" s="30" t="e">
        <f>+Producción!EV114</f>
        <v>#REF!</v>
      </c>
      <c r="EU9" s="30" t="e">
        <f>+Producción!EW114</f>
        <v>#REF!</v>
      </c>
      <c r="EV9" s="30" t="e">
        <f>+Producción!EX114</f>
        <v>#REF!</v>
      </c>
      <c r="EW9" s="30" t="e">
        <f>+Producción!EY114</f>
        <v>#REF!</v>
      </c>
      <c r="EX9" s="30" t="e">
        <f>+Producción!EZ114</f>
        <v>#REF!</v>
      </c>
      <c r="EY9" s="30" t="e">
        <f>+Producción!FA114</f>
        <v>#REF!</v>
      </c>
      <c r="EZ9" s="30" t="e">
        <f>+Producción!FB114</f>
        <v>#REF!</v>
      </c>
      <c r="FA9" s="30" t="e">
        <f>+Producción!FC114</f>
        <v>#REF!</v>
      </c>
      <c r="FB9" s="30" t="e">
        <f>+Producción!FD114</f>
        <v>#REF!</v>
      </c>
      <c r="FC9" s="30" t="e">
        <f>+Producción!FE114</f>
        <v>#REF!</v>
      </c>
      <c r="FD9" s="30" t="e">
        <f>+Producción!FF114</f>
        <v>#REF!</v>
      </c>
      <c r="FE9" s="30" t="e">
        <f>+Producción!FG114</f>
        <v>#REF!</v>
      </c>
      <c r="FF9" s="30" t="e">
        <f>+Producción!FH114</f>
        <v>#REF!</v>
      </c>
      <c r="FG9" s="30" t="e">
        <f>+Producción!FI114</f>
        <v>#REF!</v>
      </c>
      <c r="FH9" s="30" t="e">
        <f>+Producción!FJ114</f>
        <v>#REF!</v>
      </c>
      <c r="FI9" s="30" t="e">
        <f>+Producción!FK114</f>
        <v>#REF!</v>
      </c>
      <c r="FJ9" s="30" t="e">
        <f>+Producción!FL114</f>
        <v>#REF!</v>
      </c>
      <c r="FK9" s="30" t="e">
        <f>+Producción!FM114</f>
        <v>#REF!</v>
      </c>
      <c r="FL9" s="30" t="e">
        <f>+Producción!FN114</f>
        <v>#REF!</v>
      </c>
      <c r="FM9" s="30" t="e">
        <f>+Producción!FO114</f>
        <v>#REF!</v>
      </c>
      <c r="FN9" s="30" t="e">
        <f>+Producción!FP114</f>
        <v>#REF!</v>
      </c>
      <c r="FO9" s="30" t="e">
        <f>+Producción!FQ114</f>
        <v>#REF!</v>
      </c>
      <c r="FP9" s="30" t="e">
        <f>+Producción!FR114</f>
        <v>#REF!</v>
      </c>
      <c r="FQ9" s="30" t="e">
        <f>+Producción!FS114</f>
        <v>#REF!</v>
      </c>
      <c r="FR9" s="30" t="e">
        <f>+Producción!FT114</f>
        <v>#REF!</v>
      </c>
      <c r="FS9" s="30" t="e">
        <f>+Producción!FU114</f>
        <v>#REF!</v>
      </c>
      <c r="FT9" s="30" t="e">
        <f>+Producción!FV114</f>
        <v>#REF!</v>
      </c>
      <c r="FU9" s="30" t="e">
        <f>+Producción!FW114</f>
        <v>#REF!</v>
      </c>
      <c r="FV9" s="30" t="e">
        <f>+Producción!FX114</f>
        <v>#REF!</v>
      </c>
      <c r="FW9" s="30" t="e">
        <f>+Producción!FY114</f>
        <v>#REF!</v>
      </c>
      <c r="FX9" s="30" t="e">
        <f>+Producción!FZ114</f>
        <v>#REF!</v>
      </c>
      <c r="FY9" s="30" t="e">
        <f>+Producción!GA114</f>
        <v>#REF!</v>
      </c>
      <c r="FZ9" s="30" t="e">
        <f>+Producción!GB114</f>
        <v>#REF!</v>
      </c>
      <c r="GA9" s="30" t="e">
        <f>+Producción!GC114</f>
        <v>#REF!</v>
      </c>
      <c r="GB9" s="30" t="e">
        <f>+Producción!GD114</f>
        <v>#REF!</v>
      </c>
      <c r="GC9" s="30" t="e">
        <f>+Producción!GE114</f>
        <v>#REF!</v>
      </c>
      <c r="GD9" s="30" t="e">
        <f>+Producción!GF114</f>
        <v>#REF!</v>
      </c>
      <c r="GE9" s="30" t="e">
        <f>+Producción!GG114</f>
        <v>#REF!</v>
      </c>
      <c r="GF9" s="30" t="e">
        <f>+Producción!GH114</f>
        <v>#REF!</v>
      </c>
      <c r="GG9" s="30" t="e">
        <f>+Producción!GI114</f>
        <v>#REF!</v>
      </c>
      <c r="GH9" s="30" t="e">
        <f>+Producción!GJ114</f>
        <v>#REF!</v>
      </c>
      <c r="GI9" s="30" t="e">
        <f>+Producción!GK114</f>
        <v>#REF!</v>
      </c>
      <c r="GJ9" s="30" t="e">
        <f>+Producción!GL114</f>
        <v>#REF!</v>
      </c>
      <c r="GK9" s="30" t="e">
        <f>+Producción!GM114</f>
        <v>#REF!</v>
      </c>
      <c r="GL9" s="30" t="e">
        <f>+Producción!GN114</f>
        <v>#REF!</v>
      </c>
      <c r="GM9" s="30" t="e">
        <f>+Producción!GO114</f>
        <v>#REF!</v>
      </c>
      <c r="GN9" s="30" t="e">
        <f>+Producción!GP114</f>
        <v>#REF!</v>
      </c>
      <c r="GO9" s="30" t="e">
        <f>+Producción!GQ114</f>
        <v>#REF!</v>
      </c>
      <c r="GP9" s="30" t="e">
        <f>+Producción!GR114</f>
        <v>#REF!</v>
      </c>
      <c r="GQ9" s="30" t="e">
        <f>+Producción!GS114</f>
        <v>#REF!</v>
      </c>
      <c r="GR9" s="30" t="e">
        <f>+Producción!GT114</f>
        <v>#REF!</v>
      </c>
      <c r="GS9" s="30" t="e">
        <f>+Producción!GU114</f>
        <v>#REF!</v>
      </c>
      <c r="GT9" s="30" t="e">
        <f>+Producción!GV114</f>
        <v>#REF!</v>
      </c>
      <c r="GU9" s="30" t="e">
        <f>+Producción!GW114</f>
        <v>#REF!</v>
      </c>
      <c r="GV9" s="30" t="e">
        <f>+Producción!GX114</f>
        <v>#REF!</v>
      </c>
      <c r="GW9" s="30" t="e">
        <f>+Producción!GY114</f>
        <v>#REF!</v>
      </c>
      <c r="GX9" s="30" t="e">
        <f>+Producción!GZ114</f>
        <v>#REF!</v>
      </c>
      <c r="GY9" s="30" t="e">
        <f>+Producción!HA114</f>
        <v>#REF!</v>
      </c>
      <c r="GZ9" s="30" t="e">
        <f>+Producción!HB114</f>
        <v>#REF!</v>
      </c>
      <c r="HA9" s="30" t="e">
        <f>+Producción!HC114</f>
        <v>#REF!</v>
      </c>
      <c r="HB9" s="30" t="e">
        <f>+Producción!HD114</f>
        <v>#REF!</v>
      </c>
      <c r="HC9" s="30" t="e">
        <f>+Producción!HE114</f>
        <v>#REF!</v>
      </c>
      <c r="HD9" s="30" t="e">
        <f>+Producción!HF114</f>
        <v>#REF!</v>
      </c>
      <c r="HE9" s="30" t="e">
        <f>+Producción!HG114</f>
        <v>#REF!</v>
      </c>
      <c r="HF9" s="30" t="e">
        <f>+Producción!HH114</f>
        <v>#REF!</v>
      </c>
      <c r="HG9" s="30" t="e">
        <f>+Producción!HI114</f>
        <v>#REF!</v>
      </c>
      <c r="HH9" s="30" t="e">
        <f>+Producción!HJ114</f>
        <v>#REF!</v>
      </c>
      <c r="HI9" s="30" t="e">
        <f>+Producción!HK114</f>
        <v>#REF!</v>
      </c>
      <c r="HJ9" s="30" t="e">
        <f>+Producción!HL114</f>
        <v>#REF!</v>
      </c>
      <c r="HK9" s="30" t="e">
        <f>+Producción!HM114</f>
        <v>#REF!</v>
      </c>
      <c r="HL9" s="30" t="e">
        <f>+Producción!HN114</f>
        <v>#REF!</v>
      </c>
      <c r="HM9" s="30" t="e">
        <f>+Producción!HO114</f>
        <v>#REF!</v>
      </c>
      <c r="HN9" s="30" t="e">
        <f>+Producción!HP114</f>
        <v>#REF!</v>
      </c>
      <c r="HO9" s="30" t="e">
        <f>+Producción!HQ114</f>
        <v>#REF!</v>
      </c>
      <c r="HP9" s="30" t="e">
        <f>+Producción!HR114</f>
        <v>#REF!</v>
      </c>
      <c r="HQ9" s="30" t="e">
        <f>+Producción!HS114</f>
        <v>#REF!</v>
      </c>
      <c r="HR9" s="30" t="e">
        <f>+Producción!HT114</f>
        <v>#REF!</v>
      </c>
      <c r="HS9" s="30" t="e">
        <f>+Producción!HU114</f>
        <v>#REF!</v>
      </c>
      <c r="HT9" s="30" t="e">
        <f>+Producción!HV114</f>
        <v>#REF!</v>
      </c>
      <c r="HU9" s="30" t="e">
        <f>+Producción!HW114</f>
        <v>#REF!</v>
      </c>
      <c r="HV9" s="30" t="e">
        <f>+Producción!HX114</f>
        <v>#REF!</v>
      </c>
      <c r="HW9" s="30" t="e">
        <f>+Producción!HY114</f>
        <v>#REF!</v>
      </c>
      <c r="HX9" s="30" t="e">
        <f>+Producción!HZ114</f>
        <v>#REF!</v>
      </c>
      <c r="HY9" s="30" t="e">
        <f>+Producción!IA114</f>
        <v>#REF!</v>
      </c>
      <c r="HZ9" s="30" t="e">
        <f>+Producción!IB114</f>
        <v>#REF!</v>
      </c>
      <c r="IA9" s="30" t="e">
        <f>+Producción!IC114</f>
        <v>#REF!</v>
      </c>
      <c r="IB9" s="30" t="e">
        <f>+Producción!ID114</f>
        <v>#REF!</v>
      </c>
      <c r="IC9" s="30" t="e">
        <f>+Producción!IE114</f>
        <v>#REF!</v>
      </c>
      <c r="ID9" s="30" t="e">
        <f>+Producción!IF114</f>
        <v>#REF!</v>
      </c>
      <c r="IE9" s="30" t="e">
        <f>+Producción!IG114</f>
        <v>#REF!</v>
      </c>
      <c r="IF9" s="30" t="e">
        <f>+Producción!IH114</f>
        <v>#REF!</v>
      </c>
      <c r="IG9" s="30" t="e">
        <f>+Producción!II114</f>
        <v>#REF!</v>
      </c>
      <c r="IH9" s="30" t="e">
        <f>+Producción!IJ114</f>
        <v>#REF!</v>
      </c>
    </row>
    <row r="10" spans="1:242" x14ac:dyDescent="0.3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</row>
    <row r="12" spans="1:242" x14ac:dyDescent="0.3">
      <c r="A12" t="s">
        <v>922</v>
      </c>
      <c r="B12" s="33" t="e">
        <f>+B8-B9</f>
        <v>#REF!</v>
      </c>
      <c r="C12" s="33" t="e">
        <f>+C8-C9</f>
        <v>#REF!</v>
      </c>
      <c r="D12" s="33" t="e">
        <f t="shared" ref="D12:BO12" si="8">+D8-D9</f>
        <v>#REF!</v>
      </c>
      <c r="E12" s="33" t="e">
        <f t="shared" si="8"/>
        <v>#REF!</v>
      </c>
      <c r="F12" s="33" t="e">
        <f>+F8-F9</f>
        <v>#REF!</v>
      </c>
      <c r="G12" s="33" t="e">
        <f t="shared" si="8"/>
        <v>#REF!</v>
      </c>
      <c r="H12" s="33" t="e">
        <f t="shared" si="8"/>
        <v>#REF!</v>
      </c>
      <c r="I12" s="33" t="e">
        <f ca="1">+I8-I9</f>
        <v>#REF!</v>
      </c>
      <c r="J12" s="33" t="e">
        <f t="shared" ca="1" si="8"/>
        <v>#REF!</v>
      </c>
      <c r="K12" s="33" t="e">
        <f t="shared" ca="1" si="8"/>
        <v>#REF!</v>
      </c>
      <c r="L12" s="33" t="e">
        <f t="shared" ca="1" si="8"/>
        <v>#REF!</v>
      </c>
      <c r="M12" s="33" t="e">
        <f t="shared" ca="1" si="8"/>
        <v>#REF!</v>
      </c>
      <c r="N12" s="33" t="e">
        <f t="shared" ca="1" si="8"/>
        <v>#REF!</v>
      </c>
      <c r="O12" s="33" t="e">
        <f t="shared" ca="1" si="8"/>
        <v>#REF!</v>
      </c>
      <c r="P12" s="33" t="e">
        <f t="shared" ca="1" si="8"/>
        <v>#REF!</v>
      </c>
      <c r="Q12" s="33" t="e">
        <f t="shared" ca="1" si="8"/>
        <v>#REF!</v>
      </c>
      <c r="R12" s="33" t="e">
        <f t="shared" ca="1" si="8"/>
        <v>#REF!</v>
      </c>
      <c r="S12" s="33" t="e">
        <f t="shared" ca="1" si="8"/>
        <v>#REF!</v>
      </c>
      <c r="T12" s="33" t="e">
        <f t="shared" ca="1" si="8"/>
        <v>#REF!</v>
      </c>
      <c r="U12" s="33" t="e">
        <f t="shared" ca="1" si="8"/>
        <v>#REF!</v>
      </c>
      <c r="V12" s="33" t="e">
        <f t="shared" ca="1" si="8"/>
        <v>#REF!</v>
      </c>
      <c r="W12" s="33" t="e">
        <f t="shared" ca="1" si="8"/>
        <v>#REF!</v>
      </c>
      <c r="X12" s="33" t="e">
        <f t="shared" ca="1" si="8"/>
        <v>#REF!</v>
      </c>
      <c r="Y12" s="33" t="e">
        <f t="shared" ca="1" si="8"/>
        <v>#REF!</v>
      </c>
      <c r="Z12" s="33" t="e">
        <f t="shared" ca="1" si="8"/>
        <v>#REF!</v>
      </c>
      <c r="AA12" s="33" t="e">
        <f t="shared" ca="1" si="8"/>
        <v>#REF!</v>
      </c>
      <c r="AB12" s="33" t="e">
        <f t="shared" ca="1" si="8"/>
        <v>#REF!</v>
      </c>
      <c r="AC12" s="33" t="e">
        <f t="shared" ca="1" si="8"/>
        <v>#REF!</v>
      </c>
      <c r="AD12" s="33" t="e">
        <f t="shared" ca="1" si="8"/>
        <v>#REF!</v>
      </c>
      <c r="AE12" s="33" t="e">
        <f t="shared" ca="1" si="8"/>
        <v>#REF!</v>
      </c>
      <c r="AF12" s="33" t="e">
        <f t="shared" ca="1" si="8"/>
        <v>#REF!</v>
      </c>
      <c r="AG12" s="33" t="e">
        <f t="shared" ca="1" si="8"/>
        <v>#REF!</v>
      </c>
      <c r="AH12" s="33" t="e">
        <f t="shared" ca="1" si="8"/>
        <v>#REF!</v>
      </c>
      <c r="AI12" s="33" t="e">
        <f t="shared" ca="1" si="8"/>
        <v>#REF!</v>
      </c>
      <c r="AJ12" s="33" t="e">
        <f t="shared" ca="1" si="8"/>
        <v>#REF!</v>
      </c>
      <c r="AK12" s="33" t="e">
        <f t="shared" ca="1" si="8"/>
        <v>#REF!</v>
      </c>
      <c r="AL12" s="33" t="e">
        <f t="shared" ca="1" si="8"/>
        <v>#REF!</v>
      </c>
      <c r="AM12" s="33" t="e">
        <f t="shared" ca="1" si="8"/>
        <v>#REF!</v>
      </c>
      <c r="AN12" s="33" t="e">
        <f t="shared" ca="1" si="8"/>
        <v>#REF!</v>
      </c>
      <c r="AO12" s="33" t="e">
        <f t="shared" ca="1" si="8"/>
        <v>#REF!</v>
      </c>
      <c r="AP12" s="33" t="e">
        <f t="shared" ca="1" si="8"/>
        <v>#REF!</v>
      </c>
      <c r="AQ12" s="33" t="e">
        <f t="shared" ca="1" si="8"/>
        <v>#REF!</v>
      </c>
      <c r="AR12" s="33" t="e">
        <f t="shared" ca="1" si="8"/>
        <v>#REF!</v>
      </c>
      <c r="AS12" s="33" t="e">
        <f t="shared" ca="1" si="8"/>
        <v>#REF!</v>
      </c>
      <c r="AT12" s="33" t="e">
        <f t="shared" ca="1" si="8"/>
        <v>#REF!</v>
      </c>
      <c r="AU12" s="33" t="e">
        <f t="shared" ca="1" si="8"/>
        <v>#REF!</v>
      </c>
      <c r="AV12" s="33" t="e">
        <f t="shared" ca="1" si="8"/>
        <v>#REF!</v>
      </c>
      <c r="AW12" s="33" t="e">
        <f t="shared" ca="1" si="8"/>
        <v>#REF!</v>
      </c>
      <c r="AX12" s="33" t="e">
        <f t="shared" ca="1" si="8"/>
        <v>#REF!</v>
      </c>
      <c r="AY12" s="33" t="e">
        <f t="shared" ca="1" si="8"/>
        <v>#REF!</v>
      </c>
      <c r="AZ12" s="33" t="e">
        <f t="shared" ca="1" si="8"/>
        <v>#REF!</v>
      </c>
      <c r="BA12" s="33" t="e">
        <f t="shared" ca="1" si="8"/>
        <v>#REF!</v>
      </c>
      <c r="BB12" s="33" t="e">
        <f t="shared" ca="1" si="8"/>
        <v>#REF!</v>
      </c>
      <c r="BC12" s="33" t="e">
        <f t="shared" ca="1" si="8"/>
        <v>#REF!</v>
      </c>
      <c r="BD12" s="33" t="e">
        <f t="shared" ca="1" si="8"/>
        <v>#REF!</v>
      </c>
      <c r="BE12" s="33" t="e">
        <f t="shared" ca="1" si="8"/>
        <v>#REF!</v>
      </c>
      <c r="BF12" s="33" t="e">
        <f t="shared" ca="1" si="8"/>
        <v>#REF!</v>
      </c>
      <c r="BG12" s="33" t="e">
        <f t="shared" ca="1" si="8"/>
        <v>#REF!</v>
      </c>
      <c r="BH12" s="33" t="e">
        <f t="shared" ca="1" si="8"/>
        <v>#REF!</v>
      </c>
      <c r="BI12" s="33" t="e">
        <f t="shared" ca="1" si="8"/>
        <v>#REF!</v>
      </c>
      <c r="BJ12" s="33" t="e">
        <f t="shared" ca="1" si="8"/>
        <v>#REF!</v>
      </c>
      <c r="BK12" s="33" t="e">
        <f t="shared" ca="1" si="8"/>
        <v>#REF!</v>
      </c>
      <c r="BL12" s="33" t="e">
        <f t="shared" ca="1" si="8"/>
        <v>#REF!</v>
      </c>
      <c r="BM12" s="33" t="e">
        <f t="shared" ca="1" si="8"/>
        <v>#REF!</v>
      </c>
      <c r="BN12" s="33" t="e">
        <f t="shared" ca="1" si="8"/>
        <v>#REF!</v>
      </c>
      <c r="BO12" s="33" t="e">
        <f t="shared" ca="1" si="8"/>
        <v>#REF!</v>
      </c>
      <c r="BP12" s="33" t="e">
        <f t="shared" ref="BP12:DR12" ca="1" si="9">+BP8-BP9</f>
        <v>#REF!</v>
      </c>
      <c r="BQ12" s="33" t="e">
        <f t="shared" ca="1" si="9"/>
        <v>#REF!</v>
      </c>
      <c r="BR12" s="33" t="e">
        <f t="shared" ca="1" si="9"/>
        <v>#REF!</v>
      </c>
      <c r="BS12" s="33" t="e">
        <f t="shared" ca="1" si="9"/>
        <v>#REF!</v>
      </c>
      <c r="BT12" s="33" t="e">
        <f t="shared" ca="1" si="9"/>
        <v>#REF!</v>
      </c>
      <c r="BU12" s="33" t="e">
        <f t="shared" ca="1" si="9"/>
        <v>#REF!</v>
      </c>
      <c r="BV12" s="33" t="e">
        <f t="shared" ca="1" si="9"/>
        <v>#REF!</v>
      </c>
      <c r="BW12" s="33" t="e">
        <f t="shared" ca="1" si="9"/>
        <v>#REF!</v>
      </c>
      <c r="BX12" s="33" t="e">
        <f t="shared" ca="1" si="9"/>
        <v>#REF!</v>
      </c>
      <c r="BY12" s="33" t="e">
        <f t="shared" ca="1" si="9"/>
        <v>#REF!</v>
      </c>
      <c r="BZ12" s="33" t="e">
        <f t="shared" ca="1" si="9"/>
        <v>#REF!</v>
      </c>
      <c r="CA12" s="33" t="e">
        <f t="shared" ca="1" si="9"/>
        <v>#REF!</v>
      </c>
      <c r="CB12" s="33" t="e">
        <f t="shared" ca="1" si="9"/>
        <v>#REF!</v>
      </c>
      <c r="CC12" s="33" t="e">
        <f t="shared" ca="1" si="9"/>
        <v>#REF!</v>
      </c>
      <c r="CD12" s="33" t="e">
        <f t="shared" ca="1" si="9"/>
        <v>#REF!</v>
      </c>
      <c r="CE12" s="33" t="e">
        <f t="shared" ca="1" si="9"/>
        <v>#REF!</v>
      </c>
      <c r="CF12" s="33" t="e">
        <f t="shared" ca="1" si="9"/>
        <v>#REF!</v>
      </c>
      <c r="CG12" s="33" t="e">
        <f t="shared" ca="1" si="9"/>
        <v>#REF!</v>
      </c>
      <c r="CH12" s="33" t="e">
        <f t="shared" ca="1" si="9"/>
        <v>#REF!</v>
      </c>
      <c r="CI12" s="33" t="e">
        <f t="shared" ca="1" si="9"/>
        <v>#REF!</v>
      </c>
      <c r="CJ12" s="33" t="e">
        <f t="shared" ca="1" si="9"/>
        <v>#REF!</v>
      </c>
      <c r="CK12" s="33" t="e">
        <f t="shared" ca="1" si="9"/>
        <v>#REF!</v>
      </c>
      <c r="CL12" s="33" t="e">
        <f t="shared" ca="1" si="9"/>
        <v>#REF!</v>
      </c>
      <c r="CM12" s="33" t="e">
        <f t="shared" ca="1" si="9"/>
        <v>#REF!</v>
      </c>
      <c r="CN12" s="33" t="e">
        <f t="shared" ca="1" si="9"/>
        <v>#REF!</v>
      </c>
      <c r="CO12" s="33" t="e">
        <f t="shared" ca="1" si="9"/>
        <v>#REF!</v>
      </c>
      <c r="CP12" s="33" t="e">
        <f t="shared" ca="1" si="9"/>
        <v>#REF!</v>
      </c>
      <c r="CQ12" s="33" t="e">
        <f t="shared" ca="1" si="9"/>
        <v>#REF!</v>
      </c>
      <c r="CR12" s="33" t="e">
        <f t="shared" ca="1" si="9"/>
        <v>#REF!</v>
      </c>
      <c r="CS12" s="33" t="e">
        <f t="shared" ca="1" si="9"/>
        <v>#REF!</v>
      </c>
      <c r="CT12" s="33" t="e">
        <f t="shared" ca="1" si="9"/>
        <v>#REF!</v>
      </c>
      <c r="CU12" s="33" t="e">
        <f t="shared" ca="1" si="9"/>
        <v>#REF!</v>
      </c>
      <c r="CV12" s="33" t="e">
        <f t="shared" ca="1" si="9"/>
        <v>#REF!</v>
      </c>
      <c r="CW12" s="33" t="e">
        <f t="shared" ca="1" si="9"/>
        <v>#REF!</v>
      </c>
      <c r="CX12" s="33" t="e">
        <f t="shared" ca="1" si="9"/>
        <v>#REF!</v>
      </c>
      <c r="CY12" s="33" t="e">
        <f t="shared" ca="1" si="9"/>
        <v>#REF!</v>
      </c>
      <c r="CZ12" s="33" t="e">
        <f t="shared" ca="1" si="9"/>
        <v>#REF!</v>
      </c>
      <c r="DA12" s="33" t="e">
        <f t="shared" ca="1" si="9"/>
        <v>#REF!</v>
      </c>
      <c r="DB12" s="33" t="e">
        <f t="shared" ca="1" si="9"/>
        <v>#REF!</v>
      </c>
      <c r="DC12" s="33" t="e">
        <f t="shared" ca="1" si="9"/>
        <v>#REF!</v>
      </c>
      <c r="DD12" s="33" t="e">
        <f t="shared" ca="1" si="9"/>
        <v>#REF!</v>
      </c>
      <c r="DE12" s="33" t="e">
        <f t="shared" ca="1" si="9"/>
        <v>#REF!</v>
      </c>
      <c r="DF12" s="33" t="e">
        <f t="shared" ca="1" si="9"/>
        <v>#REF!</v>
      </c>
      <c r="DG12" s="33" t="e">
        <f t="shared" ca="1" si="9"/>
        <v>#REF!</v>
      </c>
      <c r="DH12" s="33" t="e">
        <f t="shared" ca="1" si="9"/>
        <v>#REF!</v>
      </c>
      <c r="DI12" s="33" t="e">
        <f t="shared" ca="1" si="9"/>
        <v>#REF!</v>
      </c>
      <c r="DJ12" s="33" t="e">
        <f t="shared" ca="1" si="9"/>
        <v>#REF!</v>
      </c>
      <c r="DK12" s="33" t="e">
        <f t="shared" ca="1" si="9"/>
        <v>#REF!</v>
      </c>
      <c r="DL12" s="33" t="e">
        <f t="shared" ca="1" si="9"/>
        <v>#REF!</v>
      </c>
      <c r="DM12" s="33" t="e">
        <f t="shared" ca="1" si="9"/>
        <v>#REF!</v>
      </c>
      <c r="DN12" s="33" t="e">
        <f t="shared" ca="1" si="9"/>
        <v>#REF!</v>
      </c>
      <c r="DO12" s="33" t="e">
        <f t="shared" ca="1" si="9"/>
        <v>#REF!</v>
      </c>
      <c r="DP12" s="33" t="e">
        <f t="shared" ca="1" si="9"/>
        <v>#REF!</v>
      </c>
      <c r="DQ12" s="33" t="e">
        <f t="shared" ca="1" si="9"/>
        <v>#REF!</v>
      </c>
      <c r="DR12" s="33" t="e">
        <f t="shared" ca="1" si="9"/>
        <v>#REF!</v>
      </c>
      <c r="DS12" s="33" t="e">
        <f ca="1">+DS8-DS9</f>
        <v>#REF!</v>
      </c>
      <c r="DT12" s="33" t="e">
        <f t="shared" ref="DT12:DU12" ca="1" si="10">+DT8-DT9</f>
        <v>#REF!</v>
      </c>
      <c r="DU12" s="33" t="e">
        <f t="shared" ca="1" si="10"/>
        <v>#REF!</v>
      </c>
      <c r="DV12" s="33" t="e">
        <f ca="1">+DV8-DV9</f>
        <v>#REF!</v>
      </c>
      <c r="DW12" s="33" t="e">
        <f t="shared" ref="DW12:DX12" ca="1" si="11">+DW8-DW9</f>
        <v>#REF!</v>
      </c>
      <c r="DX12" s="33" t="e">
        <f t="shared" ca="1" si="11"/>
        <v>#REF!</v>
      </c>
      <c r="DY12" s="33" t="e">
        <f ca="1">+DY8-DY9</f>
        <v>#REF!</v>
      </c>
      <c r="DZ12" s="33" t="e">
        <f t="shared" ref="DZ12:GK12" ca="1" si="12">+DZ8-DZ9</f>
        <v>#REF!</v>
      </c>
      <c r="EA12" s="33" t="e">
        <f t="shared" ca="1" si="12"/>
        <v>#REF!</v>
      </c>
      <c r="EB12" s="33" t="e">
        <f t="shared" ca="1" si="12"/>
        <v>#REF!</v>
      </c>
      <c r="EC12" s="33" t="e">
        <f t="shared" ca="1" si="12"/>
        <v>#REF!</v>
      </c>
      <c r="ED12" s="33" t="e">
        <f t="shared" ca="1" si="12"/>
        <v>#REF!</v>
      </c>
      <c r="EE12" s="33" t="e">
        <f t="shared" ca="1" si="12"/>
        <v>#REF!</v>
      </c>
      <c r="EF12" s="33" t="e">
        <f t="shared" ca="1" si="12"/>
        <v>#REF!</v>
      </c>
      <c r="EG12" s="33" t="e">
        <f t="shared" ca="1" si="12"/>
        <v>#REF!</v>
      </c>
      <c r="EH12" s="33" t="e">
        <f t="shared" ca="1" si="12"/>
        <v>#REF!</v>
      </c>
      <c r="EI12" s="33" t="e">
        <f t="shared" ca="1" si="12"/>
        <v>#REF!</v>
      </c>
      <c r="EJ12" s="33" t="e">
        <f t="shared" ca="1" si="12"/>
        <v>#REF!</v>
      </c>
      <c r="EK12" s="33" t="e">
        <f t="shared" ca="1" si="12"/>
        <v>#REF!</v>
      </c>
      <c r="EL12" s="33" t="e">
        <f t="shared" ca="1" si="12"/>
        <v>#REF!</v>
      </c>
      <c r="EM12" s="33" t="e">
        <f t="shared" ca="1" si="12"/>
        <v>#REF!</v>
      </c>
      <c r="EN12" s="33" t="e">
        <f t="shared" ca="1" si="12"/>
        <v>#REF!</v>
      </c>
      <c r="EO12" s="33" t="e">
        <f t="shared" ca="1" si="12"/>
        <v>#REF!</v>
      </c>
      <c r="EP12" s="33" t="e">
        <f t="shared" ca="1" si="12"/>
        <v>#REF!</v>
      </c>
      <c r="EQ12" s="33" t="e">
        <f t="shared" ca="1" si="12"/>
        <v>#REF!</v>
      </c>
      <c r="ER12" s="33" t="e">
        <f t="shared" ca="1" si="12"/>
        <v>#REF!</v>
      </c>
      <c r="ES12" s="33" t="e">
        <f t="shared" ca="1" si="12"/>
        <v>#REF!</v>
      </c>
      <c r="ET12" s="33" t="e">
        <f t="shared" ca="1" si="12"/>
        <v>#REF!</v>
      </c>
      <c r="EU12" s="33" t="e">
        <f t="shared" ca="1" si="12"/>
        <v>#REF!</v>
      </c>
      <c r="EV12" s="33" t="e">
        <f t="shared" ca="1" si="12"/>
        <v>#REF!</v>
      </c>
      <c r="EW12" s="33" t="e">
        <f t="shared" ca="1" si="12"/>
        <v>#REF!</v>
      </c>
      <c r="EX12" s="33" t="e">
        <f t="shared" ca="1" si="12"/>
        <v>#REF!</v>
      </c>
      <c r="EY12" s="33" t="e">
        <f t="shared" ca="1" si="12"/>
        <v>#REF!</v>
      </c>
      <c r="EZ12" s="33" t="e">
        <f t="shared" ca="1" si="12"/>
        <v>#REF!</v>
      </c>
      <c r="FA12" s="33" t="e">
        <f t="shared" ca="1" si="12"/>
        <v>#REF!</v>
      </c>
      <c r="FB12" s="33" t="e">
        <f t="shared" ca="1" si="12"/>
        <v>#REF!</v>
      </c>
      <c r="FC12" s="33" t="e">
        <f t="shared" ca="1" si="12"/>
        <v>#REF!</v>
      </c>
      <c r="FD12" s="33" t="e">
        <f t="shared" ca="1" si="12"/>
        <v>#REF!</v>
      </c>
      <c r="FE12" s="33" t="e">
        <f t="shared" ca="1" si="12"/>
        <v>#REF!</v>
      </c>
      <c r="FF12" s="33" t="e">
        <f t="shared" ca="1" si="12"/>
        <v>#REF!</v>
      </c>
      <c r="FG12" s="33" t="e">
        <f t="shared" ca="1" si="12"/>
        <v>#REF!</v>
      </c>
      <c r="FH12" s="33" t="e">
        <f t="shared" ca="1" si="12"/>
        <v>#REF!</v>
      </c>
      <c r="FI12" s="33" t="e">
        <f t="shared" ca="1" si="12"/>
        <v>#REF!</v>
      </c>
      <c r="FJ12" s="33" t="e">
        <f t="shared" ca="1" si="12"/>
        <v>#REF!</v>
      </c>
      <c r="FK12" s="33" t="e">
        <f t="shared" ca="1" si="12"/>
        <v>#REF!</v>
      </c>
      <c r="FL12" s="33" t="e">
        <f t="shared" ca="1" si="12"/>
        <v>#REF!</v>
      </c>
      <c r="FM12" s="33" t="e">
        <f t="shared" ca="1" si="12"/>
        <v>#REF!</v>
      </c>
      <c r="FN12" s="33" t="e">
        <f t="shared" ca="1" si="12"/>
        <v>#REF!</v>
      </c>
      <c r="FO12" s="33" t="e">
        <f t="shared" ca="1" si="12"/>
        <v>#REF!</v>
      </c>
      <c r="FP12" s="33" t="e">
        <f t="shared" ca="1" si="12"/>
        <v>#REF!</v>
      </c>
      <c r="FQ12" s="33" t="e">
        <f t="shared" ca="1" si="12"/>
        <v>#REF!</v>
      </c>
      <c r="FR12" s="33" t="e">
        <f t="shared" ca="1" si="12"/>
        <v>#REF!</v>
      </c>
      <c r="FS12" s="33" t="e">
        <f t="shared" ca="1" si="12"/>
        <v>#REF!</v>
      </c>
      <c r="FT12" s="33" t="e">
        <f t="shared" ca="1" si="12"/>
        <v>#REF!</v>
      </c>
      <c r="FU12" s="33" t="e">
        <f t="shared" ca="1" si="12"/>
        <v>#REF!</v>
      </c>
      <c r="FV12" s="33" t="e">
        <f t="shared" ca="1" si="12"/>
        <v>#REF!</v>
      </c>
      <c r="FW12" s="33" t="e">
        <f t="shared" ca="1" si="12"/>
        <v>#REF!</v>
      </c>
      <c r="FX12" s="33" t="e">
        <f t="shared" ca="1" si="12"/>
        <v>#REF!</v>
      </c>
      <c r="FY12" s="33" t="e">
        <f t="shared" ca="1" si="12"/>
        <v>#REF!</v>
      </c>
      <c r="FZ12" s="33" t="e">
        <f t="shared" ca="1" si="12"/>
        <v>#REF!</v>
      </c>
      <c r="GA12" s="33" t="e">
        <f t="shared" ca="1" si="12"/>
        <v>#REF!</v>
      </c>
      <c r="GB12" s="33" t="e">
        <f t="shared" ca="1" si="12"/>
        <v>#REF!</v>
      </c>
      <c r="GC12" s="33" t="e">
        <f t="shared" ca="1" si="12"/>
        <v>#REF!</v>
      </c>
      <c r="GD12" s="33" t="e">
        <f t="shared" ca="1" si="12"/>
        <v>#REF!</v>
      </c>
      <c r="GE12" s="33" t="e">
        <f t="shared" ca="1" si="12"/>
        <v>#REF!</v>
      </c>
      <c r="GF12" s="33" t="e">
        <f t="shared" ca="1" si="12"/>
        <v>#REF!</v>
      </c>
      <c r="GG12" s="33" t="e">
        <f t="shared" ca="1" si="12"/>
        <v>#REF!</v>
      </c>
      <c r="GH12" s="33" t="e">
        <f t="shared" ca="1" si="12"/>
        <v>#REF!</v>
      </c>
      <c r="GI12" s="33" t="e">
        <f t="shared" ca="1" si="12"/>
        <v>#REF!</v>
      </c>
      <c r="GJ12" s="33" t="e">
        <f t="shared" ca="1" si="12"/>
        <v>#REF!</v>
      </c>
      <c r="GK12" s="33" t="e">
        <f t="shared" ca="1" si="12"/>
        <v>#REF!</v>
      </c>
      <c r="GL12" s="33" t="e">
        <f t="shared" ref="GL12:IH12" ca="1" si="13">+GL8-GL9</f>
        <v>#REF!</v>
      </c>
      <c r="GM12" s="33" t="e">
        <f t="shared" ca="1" si="13"/>
        <v>#REF!</v>
      </c>
      <c r="GN12" s="33" t="e">
        <f t="shared" ca="1" si="13"/>
        <v>#REF!</v>
      </c>
      <c r="GO12" s="33" t="e">
        <f t="shared" ca="1" si="13"/>
        <v>#REF!</v>
      </c>
      <c r="GP12" s="33" t="e">
        <f t="shared" ca="1" si="13"/>
        <v>#REF!</v>
      </c>
      <c r="GQ12" s="33" t="e">
        <f t="shared" ca="1" si="13"/>
        <v>#REF!</v>
      </c>
      <c r="GR12" s="33" t="e">
        <f t="shared" ca="1" si="13"/>
        <v>#REF!</v>
      </c>
      <c r="GS12" s="33" t="e">
        <f t="shared" ca="1" si="13"/>
        <v>#REF!</v>
      </c>
      <c r="GT12" s="33" t="e">
        <f t="shared" ca="1" si="13"/>
        <v>#REF!</v>
      </c>
      <c r="GU12" s="33" t="e">
        <f t="shared" ca="1" si="13"/>
        <v>#REF!</v>
      </c>
      <c r="GV12" s="33" t="e">
        <f t="shared" ca="1" si="13"/>
        <v>#REF!</v>
      </c>
      <c r="GW12" s="33" t="e">
        <f t="shared" ca="1" si="13"/>
        <v>#REF!</v>
      </c>
      <c r="GX12" s="33" t="e">
        <f t="shared" ca="1" si="13"/>
        <v>#REF!</v>
      </c>
      <c r="GY12" s="33" t="e">
        <f t="shared" ca="1" si="13"/>
        <v>#REF!</v>
      </c>
      <c r="GZ12" s="33" t="e">
        <f t="shared" ca="1" si="13"/>
        <v>#REF!</v>
      </c>
      <c r="HA12" s="33" t="e">
        <f t="shared" ca="1" si="13"/>
        <v>#REF!</v>
      </c>
      <c r="HB12" s="33" t="e">
        <f t="shared" ca="1" si="13"/>
        <v>#REF!</v>
      </c>
      <c r="HC12" s="33" t="e">
        <f t="shared" ca="1" si="13"/>
        <v>#REF!</v>
      </c>
      <c r="HD12" s="33" t="e">
        <f t="shared" ca="1" si="13"/>
        <v>#REF!</v>
      </c>
      <c r="HE12" s="33" t="e">
        <f t="shared" ca="1" si="13"/>
        <v>#REF!</v>
      </c>
      <c r="HF12" s="33" t="e">
        <f t="shared" ca="1" si="13"/>
        <v>#REF!</v>
      </c>
      <c r="HG12" s="33" t="e">
        <f t="shared" ca="1" si="13"/>
        <v>#REF!</v>
      </c>
      <c r="HH12" s="33" t="e">
        <f t="shared" ca="1" si="13"/>
        <v>#REF!</v>
      </c>
      <c r="HI12" s="33" t="e">
        <f t="shared" ca="1" si="13"/>
        <v>#REF!</v>
      </c>
      <c r="HJ12" s="33" t="e">
        <f t="shared" ca="1" si="13"/>
        <v>#REF!</v>
      </c>
      <c r="HK12" s="33" t="e">
        <f t="shared" ca="1" si="13"/>
        <v>#REF!</v>
      </c>
      <c r="HL12" s="33" t="e">
        <f t="shared" ca="1" si="13"/>
        <v>#REF!</v>
      </c>
      <c r="HM12" s="33" t="e">
        <f t="shared" ca="1" si="13"/>
        <v>#REF!</v>
      </c>
      <c r="HN12" s="33" t="e">
        <f t="shared" ca="1" si="13"/>
        <v>#REF!</v>
      </c>
      <c r="HO12" s="33" t="e">
        <f t="shared" ca="1" si="13"/>
        <v>#REF!</v>
      </c>
      <c r="HP12" s="33" t="e">
        <f t="shared" ca="1" si="13"/>
        <v>#REF!</v>
      </c>
      <c r="HQ12" s="33" t="e">
        <f t="shared" ca="1" si="13"/>
        <v>#REF!</v>
      </c>
      <c r="HR12" s="33" t="e">
        <f t="shared" ca="1" si="13"/>
        <v>#REF!</v>
      </c>
      <c r="HS12" s="33" t="e">
        <f t="shared" ca="1" si="13"/>
        <v>#REF!</v>
      </c>
      <c r="HT12" s="33" t="e">
        <f t="shared" ca="1" si="13"/>
        <v>#REF!</v>
      </c>
      <c r="HU12" s="33" t="e">
        <f t="shared" ca="1" si="13"/>
        <v>#REF!</v>
      </c>
      <c r="HV12" s="33" t="e">
        <f t="shared" ca="1" si="13"/>
        <v>#REF!</v>
      </c>
      <c r="HW12" s="33" t="e">
        <f t="shared" ca="1" si="13"/>
        <v>#REF!</v>
      </c>
      <c r="HX12" s="33" t="e">
        <f t="shared" ca="1" si="13"/>
        <v>#REF!</v>
      </c>
      <c r="HY12" s="33" t="e">
        <f t="shared" ca="1" si="13"/>
        <v>#REF!</v>
      </c>
      <c r="HZ12" s="33" t="e">
        <f t="shared" ca="1" si="13"/>
        <v>#REF!</v>
      </c>
      <c r="IA12" s="33" t="e">
        <f t="shared" ca="1" si="13"/>
        <v>#REF!</v>
      </c>
      <c r="IB12" s="33" t="e">
        <f t="shared" ca="1" si="13"/>
        <v>#REF!</v>
      </c>
      <c r="IC12" s="33" t="e">
        <f t="shared" ca="1" si="13"/>
        <v>#REF!</v>
      </c>
      <c r="ID12" s="33" t="e">
        <f t="shared" ca="1" si="13"/>
        <v>#REF!</v>
      </c>
      <c r="IE12" s="33" t="e">
        <f t="shared" ca="1" si="13"/>
        <v>#REF!</v>
      </c>
      <c r="IF12" s="33" t="e">
        <f t="shared" ca="1" si="13"/>
        <v>#REF!</v>
      </c>
      <c r="IG12" s="33" t="e">
        <f t="shared" ca="1" si="13"/>
        <v>#REF!</v>
      </c>
      <c r="IH12" s="33" t="e">
        <f t="shared" ca="1" si="13"/>
        <v>#REF!</v>
      </c>
    </row>
    <row r="13" spans="1:242" x14ac:dyDescent="0.3">
      <c r="A13" t="s">
        <v>923</v>
      </c>
      <c r="B13" s="33" t="e">
        <f>+B12</f>
        <v>#REF!</v>
      </c>
      <c r="C13" s="33" t="e">
        <f>+B13+C12</f>
        <v>#REF!</v>
      </c>
      <c r="D13" s="33" t="e">
        <f>+C13+D12</f>
        <v>#REF!</v>
      </c>
      <c r="E13" s="33" t="e">
        <f>+D13+E12</f>
        <v>#REF!</v>
      </c>
      <c r="F13" s="33" t="e">
        <f>+E13+F12</f>
        <v>#REF!</v>
      </c>
      <c r="G13" s="33" t="e">
        <f t="shared" ref="G13:BR13" si="14">+F13+G12</f>
        <v>#REF!</v>
      </c>
      <c r="H13" s="33" t="e">
        <f t="shared" si="14"/>
        <v>#REF!</v>
      </c>
      <c r="I13" s="33" t="e">
        <f t="shared" ca="1" si="14"/>
        <v>#REF!</v>
      </c>
      <c r="J13" s="33" t="e">
        <f t="shared" ca="1" si="14"/>
        <v>#REF!</v>
      </c>
      <c r="K13" s="33" t="e">
        <f t="shared" ca="1" si="14"/>
        <v>#REF!</v>
      </c>
      <c r="L13" s="33" t="e">
        <f t="shared" ca="1" si="14"/>
        <v>#REF!</v>
      </c>
      <c r="M13" s="33" t="e">
        <f t="shared" ca="1" si="14"/>
        <v>#REF!</v>
      </c>
      <c r="N13" s="33" t="e">
        <f t="shared" ca="1" si="14"/>
        <v>#REF!</v>
      </c>
      <c r="O13" s="33" t="e">
        <f t="shared" ca="1" si="14"/>
        <v>#REF!</v>
      </c>
      <c r="P13" s="33" t="e">
        <f t="shared" ca="1" si="14"/>
        <v>#REF!</v>
      </c>
      <c r="Q13" s="33" t="e">
        <f t="shared" ca="1" si="14"/>
        <v>#REF!</v>
      </c>
      <c r="R13" s="33" t="e">
        <f t="shared" ca="1" si="14"/>
        <v>#REF!</v>
      </c>
      <c r="S13" s="33" t="e">
        <f t="shared" ca="1" si="14"/>
        <v>#REF!</v>
      </c>
      <c r="T13" s="33" t="e">
        <f t="shared" ca="1" si="14"/>
        <v>#REF!</v>
      </c>
      <c r="U13" s="33" t="e">
        <f t="shared" ca="1" si="14"/>
        <v>#REF!</v>
      </c>
      <c r="V13" s="33" t="e">
        <f t="shared" ca="1" si="14"/>
        <v>#REF!</v>
      </c>
      <c r="W13" s="33" t="e">
        <f t="shared" ca="1" si="14"/>
        <v>#REF!</v>
      </c>
      <c r="X13" s="33" t="e">
        <f t="shared" ca="1" si="14"/>
        <v>#REF!</v>
      </c>
      <c r="Y13" s="33" t="e">
        <f t="shared" ca="1" si="14"/>
        <v>#REF!</v>
      </c>
      <c r="Z13" s="33" t="e">
        <f t="shared" ca="1" si="14"/>
        <v>#REF!</v>
      </c>
      <c r="AA13" s="33" t="e">
        <f t="shared" ca="1" si="14"/>
        <v>#REF!</v>
      </c>
      <c r="AB13" s="33" t="e">
        <f t="shared" ca="1" si="14"/>
        <v>#REF!</v>
      </c>
      <c r="AC13" s="33" t="e">
        <f t="shared" ca="1" si="14"/>
        <v>#REF!</v>
      </c>
      <c r="AD13" s="33" t="e">
        <f t="shared" ca="1" si="14"/>
        <v>#REF!</v>
      </c>
      <c r="AE13" s="33" t="e">
        <f t="shared" ca="1" si="14"/>
        <v>#REF!</v>
      </c>
      <c r="AF13" s="33" t="e">
        <f t="shared" ca="1" si="14"/>
        <v>#REF!</v>
      </c>
      <c r="AG13" s="33" t="e">
        <f t="shared" ca="1" si="14"/>
        <v>#REF!</v>
      </c>
      <c r="AH13" s="33" t="e">
        <f t="shared" ca="1" si="14"/>
        <v>#REF!</v>
      </c>
      <c r="AI13" s="33" t="e">
        <f t="shared" ca="1" si="14"/>
        <v>#REF!</v>
      </c>
      <c r="AJ13" s="33" t="e">
        <f t="shared" ca="1" si="14"/>
        <v>#REF!</v>
      </c>
      <c r="AK13" s="33" t="e">
        <f t="shared" ca="1" si="14"/>
        <v>#REF!</v>
      </c>
      <c r="AL13" s="33" t="e">
        <f t="shared" ca="1" si="14"/>
        <v>#REF!</v>
      </c>
      <c r="AM13" s="33" t="e">
        <f t="shared" ca="1" si="14"/>
        <v>#REF!</v>
      </c>
      <c r="AN13" s="33" t="e">
        <f t="shared" ca="1" si="14"/>
        <v>#REF!</v>
      </c>
      <c r="AO13" s="33" t="e">
        <f t="shared" ca="1" si="14"/>
        <v>#REF!</v>
      </c>
      <c r="AP13" s="33" t="e">
        <f t="shared" ca="1" si="14"/>
        <v>#REF!</v>
      </c>
      <c r="AQ13" s="33" t="e">
        <f t="shared" ca="1" si="14"/>
        <v>#REF!</v>
      </c>
      <c r="AR13" s="33" t="e">
        <f t="shared" ca="1" si="14"/>
        <v>#REF!</v>
      </c>
      <c r="AS13" s="33" t="e">
        <f t="shared" ca="1" si="14"/>
        <v>#REF!</v>
      </c>
      <c r="AT13" s="33" t="e">
        <f t="shared" ca="1" si="14"/>
        <v>#REF!</v>
      </c>
      <c r="AU13" s="33" t="e">
        <f t="shared" ca="1" si="14"/>
        <v>#REF!</v>
      </c>
      <c r="AV13" s="33" t="e">
        <f t="shared" ca="1" si="14"/>
        <v>#REF!</v>
      </c>
      <c r="AW13" s="33" t="e">
        <f t="shared" ca="1" si="14"/>
        <v>#REF!</v>
      </c>
      <c r="AX13" s="33" t="e">
        <f t="shared" ca="1" si="14"/>
        <v>#REF!</v>
      </c>
      <c r="AY13" s="33" t="e">
        <f t="shared" ca="1" si="14"/>
        <v>#REF!</v>
      </c>
      <c r="AZ13" s="33" t="e">
        <f t="shared" ca="1" si="14"/>
        <v>#REF!</v>
      </c>
      <c r="BA13" s="33" t="e">
        <f t="shared" ca="1" si="14"/>
        <v>#REF!</v>
      </c>
      <c r="BB13" s="33" t="e">
        <f t="shared" ca="1" si="14"/>
        <v>#REF!</v>
      </c>
      <c r="BC13" s="33" t="e">
        <f t="shared" ca="1" si="14"/>
        <v>#REF!</v>
      </c>
      <c r="BD13" s="33" t="e">
        <f t="shared" ca="1" si="14"/>
        <v>#REF!</v>
      </c>
      <c r="BE13" s="33" t="e">
        <f t="shared" ca="1" si="14"/>
        <v>#REF!</v>
      </c>
      <c r="BF13" s="33" t="e">
        <f t="shared" ca="1" si="14"/>
        <v>#REF!</v>
      </c>
      <c r="BG13" s="33" t="e">
        <f t="shared" ca="1" si="14"/>
        <v>#REF!</v>
      </c>
      <c r="BH13" s="33" t="e">
        <f t="shared" ca="1" si="14"/>
        <v>#REF!</v>
      </c>
      <c r="BI13" s="33" t="e">
        <f t="shared" ca="1" si="14"/>
        <v>#REF!</v>
      </c>
      <c r="BJ13" s="33" t="e">
        <f t="shared" ca="1" si="14"/>
        <v>#REF!</v>
      </c>
      <c r="BK13" s="33" t="e">
        <f t="shared" ca="1" si="14"/>
        <v>#REF!</v>
      </c>
      <c r="BL13" s="33" t="e">
        <f t="shared" ca="1" si="14"/>
        <v>#REF!</v>
      </c>
      <c r="BM13" s="33" t="e">
        <f t="shared" ca="1" si="14"/>
        <v>#REF!</v>
      </c>
      <c r="BN13" s="33" t="e">
        <f t="shared" ca="1" si="14"/>
        <v>#REF!</v>
      </c>
      <c r="BO13" s="33" t="e">
        <f t="shared" ca="1" si="14"/>
        <v>#REF!</v>
      </c>
      <c r="BP13" s="33" t="e">
        <f t="shared" ca="1" si="14"/>
        <v>#REF!</v>
      </c>
      <c r="BQ13" s="33" t="e">
        <f t="shared" ca="1" si="14"/>
        <v>#REF!</v>
      </c>
      <c r="BR13" s="33" t="e">
        <f t="shared" ca="1" si="14"/>
        <v>#REF!</v>
      </c>
      <c r="BS13" s="33" t="e">
        <f t="shared" ref="BS13:DR13" ca="1" si="15">+BR13+BS12</f>
        <v>#REF!</v>
      </c>
      <c r="BT13" s="33" t="e">
        <f t="shared" ca="1" si="15"/>
        <v>#REF!</v>
      </c>
      <c r="BU13" s="33" t="e">
        <f t="shared" ca="1" si="15"/>
        <v>#REF!</v>
      </c>
      <c r="BV13" s="33" t="e">
        <f t="shared" ca="1" si="15"/>
        <v>#REF!</v>
      </c>
      <c r="BW13" s="33" t="e">
        <f t="shared" ca="1" si="15"/>
        <v>#REF!</v>
      </c>
      <c r="BX13" s="33" t="e">
        <f t="shared" ca="1" si="15"/>
        <v>#REF!</v>
      </c>
      <c r="BY13" s="33" t="e">
        <f t="shared" ca="1" si="15"/>
        <v>#REF!</v>
      </c>
      <c r="BZ13" s="33" t="e">
        <f t="shared" ca="1" si="15"/>
        <v>#REF!</v>
      </c>
      <c r="CA13" s="33" t="e">
        <f t="shared" ca="1" si="15"/>
        <v>#REF!</v>
      </c>
      <c r="CB13" s="33" t="e">
        <f t="shared" ca="1" si="15"/>
        <v>#REF!</v>
      </c>
      <c r="CC13" s="33" t="e">
        <f t="shared" ca="1" si="15"/>
        <v>#REF!</v>
      </c>
      <c r="CD13" s="33" t="e">
        <f t="shared" ca="1" si="15"/>
        <v>#REF!</v>
      </c>
      <c r="CE13" s="33" t="e">
        <f t="shared" ca="1" si="15"/>
        <v>#REF!</v>
      </c>
      <c r="CF13" s="33" t="e">
        <f t="shared" ca="1" si="15"/>
        <v>#REF!</v>
      </c>
      <c r="CG13" s="33" t="e">
        <f t="shared" ca="1" si="15"/>
        <v>#REF!</v>
      </c>
      <c r="CH13" s="33" t="e">
        <f t="shared" ca="1" si="15"/>
        <v>#REF!</v>
      </c>
      <c r="CI13" s="33" t="e">
        <f t="shared" ca="1" si="15"/>
        <v>#REF!</v>
      </c>
      <c r="CJ13" s="33" t="e">
        <f t="shared" ca="1" si="15"/>
        <v>#REF!</v>
      </c>
      <c r="CK13" s="33" t="e">
        <f t="shared" ca="1" si="15"/>
        <v>#REF!</v>
      </c>
      <c r="CL13" s="33" t="e">
        <f t="shared" ca="1" si="15"/>
        <v>#REF!</v>
      </c>
      <c r="CM13" s="33" t="e">
        <f t="shared" ca="1" si="15"/>
        <v>#REF!</v>
      </c>
      <c r="CN13" s="33" t="e">
        <f t="shared" ca="1" si="15"/>
        <v>#REF!</v>
      </c>
      <c r="CO13" s="33" t="e">
        <f t="shared" ca="1" si="15"/>
        <v>#REF!</v>
      </c>
      <c r="CP13" s="33" t="e">
        <f t="shared" ca="1" si="15"/>
        <v>#REF!</v>
      </c>
      <c r="CQ13" s="33" t="e">
        <f t="shared" ca="1" si="15"/>
        <v>#REF!</v>
      </c>
      <c r="CR13" s="33" t="e">
        <f t="shared" ca="1" si="15"/>
        <v>#REF!</v>
      </c>
      <c r="CS13" s="33" t="e">
        <f t="shared" ca="1" si="15"/>
        <v>#REF!</v>
      </c>
      <c r="CT13" s="33" t="e">
        <f t="shared" ca="1" si="15"/>
        <v>#REF!</v>
      </c>
      <c r="CU13" s="33" t="e">
        <f t="shared" ca="1" si="15"/>
        <v>#REF!</v>
      </c>
      <c r="CV13" s="33" t="e">
        <f t="shared" ca="1" si="15"/>
        <v>#REF!</v>
      </c>
      <c r="CW13" s="33" t="e">
        <f t="shared" ca="1" si="15"/>
        <v>#REF!</v>
      </c>
      <c r="CX13" s="33" t="e">
        <f t="shared" ca="1" si="15"/>
        <v>#REF!</v>
      </c>
      <c r="CY13" s="33" t="e">
        <f t="shared" ca="1" si="15"/>
        <v>#REF!</v>
      </c>
      <c r="CZ13" s="33" t="e">
        <f t="shared" ca="1" si="15"/>
        <v>#REF!</v>
      </c>
      <c r="DA13" s="33" t="e">
        <f t="shared" ca="1" si="15"/>
        <v>#REF!</v>
      </c>
      <c r="DB13" s="33" t="e">
        <f t="shared" ca="1" si="15"/>
        <v>#REF!</v>
      </c>
      <c r="DC13" s="33" t="e">
        <f t="shared" ca="1" si="15"/>
        <v>#REF!</v>
      </c>
      <c r="DD13" s="33" t="e">
        <f t="shared" ca="1" si="15"/>
        <v>#REF!</v>
      </c>
      <c r="DE13" s="33" t="e">
        <f t="shared" ca="1" si="15"/>
        <v>#REF!</v>
      </c>
      <c r="DF13" s="33" t="e">
        <f t="shared" ca="1" si="15"/>
        <v>#REF!</v>
      </c>
      <c r="DG13" s="33" t="e">
        <f t="shared" ca="1" si="15"/>
        <v>#REF!</v>
      </c>
      <c r="DH13" s="33" t="e">
        <f t="shared" ca="1" si="15"/>
        <v>#REF!</v>
      </c>
      <c r="DI13" s="33" t="e">
        <f t="shared" ca="1" si="15"/>
        <v>#REF!</v>
      </c>
      <c r="DJ13" s="33" t="e">
        <f t="shared" ca="1" si="15"/>
        <v>#REF!</v>
      </c>
      <c r="DK13" s="33" t="e">
        <f t="shared" ca="1" si="15"/>
        <v>#REF!</v>
      </c>
      <c r="DL13" s="33" t="e">
        <f t="shared" ca="1" si="15"/>
        <v>#REF!</v>
      </c>
      <c r="DM13" s="33" t="e">
        <f t="shared" ca="1" si="15"/>
        <v>#REF!</v>
      </c>
      <c r="DN13" s="33" t="e">
        <f t="shared" ca="1" si="15"/>
        <v>#REF!</v>
      </c>
      <c r="DO13" s="33" t="e">
        <f t="shared" ca="1" si="15"/>
        <v>#REF!</v>
      </c>
      <c r="DP13" s="33" t="e">
        <f t="shared" ca="1" si="15"/>
        <v>#REF!</v>
      </c>
      <c r="DQ13" s="33" t="e">
        <f t="shared" ca="1" si="15"/>
        <v>#REF!</v>
      </c>
      <c r="DR13" s="33" t="e">
        <f t="shared" ca="1" si="15"/>
        <v>#REF!</v>
      </c>
      <c r="DS13" s="33" t="e">
        <f ca="1">+DR13+DS12</f>
        <v>#REF!</v>
      </c>
      <c r="DT13" s="33" t="e">
        <f ca="1">+DS13+DT12</f>
        <v>#REF!</v>
      </c>
      <c r="DU13" s="33" t="e">
        <f ca="1">+DT13+DU12</f>
        <v>#REF!</v>
      </c>
      <c r="DV13" s="33" t="e">
        <f ca="1">+DU13+DV12</f>
        <v>#REF!</v>
      </c>
      <c r="DW13" s="33" t="e">
        <f t="shared" ref="DW13:GH13" ca="1" si="16">+DV13+DW12</f>
        <v>#REF!</v>
      </c>
      <c r="DX13" s="33" t="e">
        <f t="shared" ca="1" si="16"/>
        <v>#REF!</v>
      </c>
      <c r="DY13" s="33" t="e">
        <f t="shared" ca="1" si="16"/>
        <v>#REF!</v>
      </c>
      <c r="DZ13" s="33" t="e">
        <f t="shared" ca="1" si="16"/>
        <v>#REF!</v>
      </c>
      <c r="EA13" s="33" t="e">
        <f t="shared" ca="1" si="16"/>
        <v>#REF!</v>
      </c>
      <c r="EB13" s="33" t="e">
        <f t="shared" ca="1" si="16"/>
        <v>#REF!</v>
      </c>
      <c r="EC13" s="33" t="e">
        <f t="shared" ca="1" si="16"/>
        <v>#REF!</v>
      </c>
      <c r="ED13" s="33" t="e">
        <f t="shared" ca="1" si="16"/>
        <v>#REF!</v>
      </c>
      <c r="EE13" s="33" t="e">
        <f t="shared" ca="1" si="16"/>
        <v>#REF!</v>
      </c>
      <c r="EF13" s="33" t="e">
        <f t="shared" ca="1" si="16"/>
        <v>#REF!</v>
      </c>
      <c r="EG13" s="33" t="e">
        <f t="shared" ca="1" si="16"/>
        <v>#REF!</v>
      </c>
      <c r="EH13" s="33" t="e">
        <f t="shared" ca="1" si="16"/>
        <v>#REF!</v>
      </c>
      <c r="EI13" s="33" t="e">
        <f t="shared" ca="1" si="16"/>
        <v>#REF!</v>
      </c>
      <c r="EJ13" s="33" t="e">
        <f t="shared" ca="1" si="16"/>
        <v>#REF!</v>
      </c>
      <c r="EK13" s="33" t="e">
        <f t="shared" ca="1" si="16"/>
        <v>#REF!</v>
      </c>
      <c r="EL13" s="33" t="e">
        <f t="shared" ca="1" si="16"/>
        <v>#REF!</v>
      </c>
      <c r="EM13" s="33" t="e">
        <f t="shared" ca="1" si="16"/>
        <v>#REF!</v>
      </c>
      <c r="EN13" s="33" t="e">
        <f t="shared" ca="1" si="16"/>
        <v>#REF!</v>
      </c>
      <c r="EO13" s="33" t="e">
        <f t="shared" ca="1" si="16"/>
        <v>#REF!</v>
      </c>
      <c r="EP13" s="33" t="e">
        <f t="shared" ca="1" si="16"/>
        <v>#REF!</v>
      </c>
      <c r="EQ13" s="33" t="e">
        <f t="shared" ca="1" si="16"/>
        <v>#REF!</v>
      </c>
      <c r="ER13" s="33" t="e">
        <f t="shared" ca="1" si="16"/>
        <v>#REF!</v>
      </c>
      <c r="ES13" s="33" t="e">
        <f t="shared" ca="1" si="16"/>
        <v>#REF!</v>
      </c>
      <c r="ET13" s="33" t="e">
        <f t="shared" ca="1" si="16"/>
        <v>#REF!</v>
      </c>
      <c r="EU13" s="33" t="e">
        <f t="shared" ca="1" si="16"/>
        <v>#REF!</v>
      </c>
      <c r="EV13" s="33" t="e">
        <f t="shared" ca="1" si="16"/>
        <v>#REF!</v>
      </c>
      <c r="EW13" s="33" t="e">
        <f t="shared" ca="1" si="16"/>
        <v>#REF!</v>
      </c>
      <c r="EX13" s="33" t="e">
        <f t="shared" ca="1" si="16"/>
        <v>#REF!</v>
      </c>
      <c r="EY13" s="33" t="e">
        <f t="shared" ca="1" si="16"/>
        <v>#REF!</v>
      </c>
      <c r="EZ13" s="33" t="e">
        <f t="shared" ca="1" si="16"/>
        <v>#REF!</v>
      </c>
      <c r="FA13" s="33" t="e">
        <f t="shared" ca="1" si="16"/>
        <v>#REF!</v>
      </c>
      <c r="FB13" s="33" t="e">
        <f t="shared" ca="1" si="16"/>
        <v>#REF!</v>
      </c>
      <c r="FC13" s="33" t="e">
        <f t="shared" ca="1" si="16"/>
        <v>#REF!</v>
      </c>
      <c r="FD13" s="33" t="e">
        <f t="shared" ca="1" si="16"/>
        <v>#REF!</v>
      </c>
      <c r="FE13" s="33" t="e">
        <f t="shared" ca="1" si="16"/>
        <v>#REF!</v>
      </c>
      <c r="FF13" s="33" t="e">
        <f t="shared" ca="1" si="16"/>
        <v>#REF!</v>
      </c>
      <c r="FG13" s="33" t="e">
        <f t="shared" ca="1" si="16"/>
        <v>#REF!</v>
      </c>
      <c r="FH13" s="33" t="e">
        <f t="shared" ca="1" si="16"/>
        <v>#REF!</v>
      </c>
      <c r="FI13" s="33" t="e">
        <f t="shared" ca="1" si="16"/>
        <v>#REF!</v>
      </c>
      <c r="FJ13" s="33" t="e">
        <f t="shared" ca="1" si="16"/>
        <v>#REF!</v>
      </c>
      <c r="FK13" s="33" t="e">
        <f t="shared" ca="1" si="16"/>
        <v>#REF!</v>
      </c>
      <c r="FL13" s="33" t="e">
        <f t="shared" ca="1" si="16"/>
        <v>#REF!</v>
      </c>
      <c r="FM13" s="33" t="e">
        <f t="shared" ca="1" si="16"/>
        <v>#REF!</v>
      </c>
      <c r="FN13" s="33" t="e">
        <f t="shared" ca="1" si="16"/>
        <v>#REF!</v>
      </c>
      <c r="FO13" s="33" t="e">
        <f t="shared" ca="1" si="16"/>
        <v>#REF!</v>
      </c>
      <c r="FP13" s="33" t="e">
        <f t="shared" ca="1" si="16"/>
        <v>#REF!</v>
      </c>
      <c r="FQ13" s="33" t="e">
        <f t="shared" ca="1" si="16"/>
        <v>#REF!</v>
      </c>
      <c r="FR13" s="33" t="e">
        <f t="shared" ca="1" si="16"/>
        <v>#REF!</v>
      </c>
      <c r="FS13" s="33" t="e">
        <f t="shared" ca="1" si="16"/>
        <v>#REF!</v>
      </c>
      <c r="FT13" s="33" t="e">
        <f t="shared" ca="1" si="16"/>
        <v>#REF!</v>
      </c>
      <c r="FU13" s="33" t="e">
        <f t="shared" ca="1" si="16"/>
        <v>#REF!</v>
      </c>
      <c r="FV13" s="33" t="e">
        <f t="shared" ca="1" si="16"/>
        <v>#REF!</v>
      </c>
      <c r="FW13" s="33" t="e">
        <f t="shared" ca="1" si="16"/>
        <v>#REF!</v>
      </c>
      <c r="FX13" s="33" t="e">
        <f t="shared" ca="1" si="16"/>
        <v>#REF!</v>
      </c>
      <c r="FY13" s="33" t="e">
        <f t="shared" ca="1" si="16"/>
        <v>#REF!</v>
      </c>
      <c r="FZ13" s="33" t="e">
        <f t="shared" ca="1" si="16"/>
        <v>#REF!</v>
      </c>
      <c r="GA13" s="33" t="e">
        <f t="shared" ca="1" si="16"/>
        <v>#REF!</v>
      </c>
      <c r="GB13" s="33" t="e">
        <f t="shared" ca="1" si="16"/>
        <v>#REF!</v>
      </c>
      <c r="GC13" s="33" t="e">
        <f t="shared" ca="1" si="16"/>
        <v>#REF!</v>
      </c>
      <c r="GD13" s="33" t="e">
        <f t="shared" ca="1" si="16"/>
        <v>#REF!</v>
      </c>
      <c r="GE13" s="33" t="e">
        <f t="shared" ca="1" si="16"/>
        <v>#REF!</v>
      </c>
      <c r="GF13" s="33" t="e">
        <f t="shared" ca="1" si="16"/>
        <v>#REF!</v>
      </c>
      <c r="GG13" s="33" t="e">
        <f t="shared" ca="1" si="16"/>
        <v>#REF!</v>
      </c>
      <c r="GH13" s="33" t="e">
        <f t="shared" ca="1" si="16"/>
        <v>#REF!</v>
      </c>
      <c r="GI13" s="33" t="e">
        <f t="shared" ref="GI13:IH13" ca="1" si="17">+GH13+GI12</f>
        <v>#REF!</v>
      </c>
      <c r="GJ13" s="33" t="e">
        <f t="shared" ca="1" si="17"/>
        <v>#REF!</v>
      </c>
      <c r="GK13" s="33" t="e">
        <f t="shared" ca="1" si="17"/>
        <v>#REF!</v>
      </c>
      <c r="GL13" s="33" t="e">
        <f t="shared" ca="1" si="17"/>
        <v>#REF!</v>
      </c>
      <c r="GM13" s="33" t="e">
        <f t="shared" ca="1" si="17"/>
        <v>#REF!</v>
      </c>
      <c r="GN13" s="33" t="e">
        <f t="shared" ca="1" si="17"/>
        <v>#REF!</v>
      </c>
      <c r="GO13" s="33" t="e">
        <f t="shared" ca="1" si="17"/>
        <v>#REF!</v>
      </c>
      <c r="GP13" s="33" t="e">
        <f t="shared" ca="1" si="17"/>
        <v>#REF!</v>
      </c>
      <c r="GQ13" s="33" t="e">
        <f t="shared" ca="1" si="17"/>
        <v>#REF!</v>
      </c>
      <c r="GR13" s="33" t="e">
        <f t="shared" ca="1" si="17"/>
        <v>#REF!</v>
      </c>
      <c r="GS13" s="33" t="e">
        <f t="shared" ca="1" si="17"/>
        <v>#REF!</v>
      </c>
      <c r="GT13" s="33" t="e">
        <f t="shared" ca="1" si="17"/>
        <v>#REF!</v>
      </c>
      <c r="GU13" s="33" t="e">
        <f t="shared" ca="1" si="17"/>
        <v>#REF!</v>
      </c>
      <c r="GV13" s="33" t="e">
        <f t="shared" ca="1" si="17"/>
        <v>#REF!</v>
      </c>
      <c r="GW13" s="33" t="e">
        <f t="shared" ca="1" si="17"/>
        <v>#REF!</v>
      </c>
      <c r="GX13" s="33" t="e">
        <f t="shared" ca="1" si="17"/>
        <v>#REF!</v>
      </c>
      <c r="GY13" s="33" t="e">
        <f t="shared" ca="1" si="17"/>
        <v>#REF!</v>
      </c>
      <c r="GZ13" s="33" t="e">
        <f t="shared" ca="1" si="17"/>
        <v>#REF!</v>
      </c>
      <c r="HA13" s="33" t="e">
        <f t="shared" ca="1" si="17"/>
        <v>#REF!</v>
      </c>
      <c r="HB13" s="33" t="e">
        <f t="shared" ca="1" si="17"/>
        <v>#REF!</v>
      </c>
      <c r="HC13" s="33" t="e">
        <f t="shared" ca="1" si="17"/>
        <v>#REF!</v>
      </c>
      <c r="HD13" s="33" t="e">
        <f t="shared" ca="1" si="17"/>
        <v>#REF!</v>
      </c>
      <c r="HE13" s="33" t="e">
        <f t="shared" ca="1" si="17"/>
        <v>#REF!</v>
      </c>
      <c r="HF13" s="33" t="e">
        <f t="shared" ca="1" si="17"/>
        <v>#REF!</v>
      </c>
      <c r="HG13" s="33" t="e">
        <f t="shared" ca="1" si="17"/>
        <v>#REF!</v>
      </c>
      <c r="HH13" s="33" t="e">
        <f t="shared" ca="1" si="17"/>
        <v>#REF!</v>
      </c>
      <c r="HI13" s="33" t="e">
        <f t="shared" ca="1" si="17"/>
        <v>#REF!</v>
      </c>
      <c r="HJ13" s="33" t="e">
        <f t="shared" ca="1" si="17"/>
        <v>#REF!</v>
      </c>
      <c r="HK13" s="33" t="e">
        <f t="shared" ca="1" si="17"/>
        <v>#REF!</v>
      </c>
      <c r="HL13" s="33" t="e">
        <f t="shared" ca="1" si="17"/>
        <v>#REF!</v>
      </c>
      <c r="HM13" s="33" t="e">
        <f t="shared" ca="1" si="17"/>
        <v>#REF!</v>
      </c>
      <c r="HN13" s="33" t="e">
        <f t="shared" ca="1" si="17"/>
        <v>#REF!</v>
      </c>
      <c r="HO13" s="33" t="e">
        <f t="shared" ca="1" si="17"/>
        <v>#REF!</v>
      </c>
      <c r="HP13" s="33" t="e">
        <f t="shared" ca="1" si="17"/>
        <v>#REF!</v>
      </c>
      <c r="HQ13" s="33" t="e">
        <f t="shared" ca="1" si="17"/>
        <v>#REF!</v>
      </c>
      <c r="HR13" s="33" t="e">
        <f t="shared" ca="1" si="17"/>
        <v>#REF!</v>
      </c>
      <c r="HS13" s="33" t="e">
        <f t="shared" ca="1" si="17"/>
        <v>#REF!</v>
      </c>
      <c r="HT13" s="33" t="e">
        <f t="shared" ca="1" si="17"/>
        <v>#REF!</v>
      </c>
      <c r="HU13" s="33" t="e">
        <f t="shared" ca="1" si="17"/>
        <v>#REF!</v>
      </c>
      <c r="HV13" s="33" t="e">
        <f t="shared" ca="1" si="17"/>
        <v>#REF!</v>
      </c>
      <c r="HW13" s="33" t="e">
        <f t="shared" ca="1" si="17"/>
        <v>#REF!</v>
      </c>
      <c r="HX13" s="33" t="e">
        <f t="shared" ca="1" si="17"/>
        <v>#REF!</v>
      </c>
      <c r="HY13" s="33" t="e">
        <f t="shared" ca="1" si="17"/>
        <v>#REF!</v>
      </c>
      <c r="HZ13" s="33" t="e">
        <f t="shared" ca="1" si="17"/>
        <v>#REF!</v>
      </c>
      <c r="IA13" s="33" t="e">
        <f t="shared" ca="1" si="17"/>
        <v>#REF!</v>
      </c>
      <c r="IB13" s="33" t="e">
        <f t="shared" ca="1" si="17"/>
        <v>#REF!</v>
      </c>
      <c r="IC13" s="33" t="e">
        <f t="shared" ca="1" si="17"/>
        <v>#REF!</v>
      </c>
      <c r="ID13" s="33" t="e">
        <f t="shared" ca="1" si="17"/>
        <v>#REF!</v>
      </c>
      <c r="IE13" s="33" t="e">
        <f t="shared" ca="1" si="17"/>
        <v>#REF!</v>
      </c>
      <c r="IF13" s="33" t="e">
        <f t="shared" ca="1" si="17"/>
        <v>#REF!</v>
      </c>
      <c r="IG13" s="33" t="e">
        <f t="shared" ca="1" si="17"/>
        <v>#REF!</v>
      </c>
      <c r="IH13" s="33" t="e">
        <f t="shared" ca="1" si="17"/>
        <v>#REF!</v>
      </c>
    </row>
    <row r="15" spans="1:242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2" x14ac:dyDescent="0.3">
      <c r="B16" t="s">
        <v>947</v>
      </c>
      <c r="C16" s="30">
        <f>+SUMIFS(8:8,2:2,C15)</f>
        <v>0</v>
      </c>
      <c r="D16" s="30">
        <f t="shared" ref="D16:M16" ca="1" si="18">+SUMIFS(8:8,2:2,D15)</f>
        <v>2265513.5370052443</v>
      </c>
      <c r="E16" s="30">
        <f t="shared" ca="1" si="18"/>
        <v>2559640.4907792159</v>
      </c>
      <c r="F16" s="30">
        <f t="shared" ca="1" si="18"/>
        <v>2684873.5385467797</v>
      </c>
      <c r="G16" s="30">
        <f t="shared" ca="1" si="18"/>
        <v>2774388.4218524098</v>
      </c>
      <c r="H16" s="30">
        <f t="shared" ca="1" si="18"/>
        <v>2893951.8006705651</v>
      </c>
      <c r="I16" s="30">
        <f t="shared" ca="1" si="18"/>
        <v>2969623.7378357477</v>
      </c>
      <c r="J16" s="30">
        <f t="shared" ca="1" si="18"/>
        <v>3097655.6786642671</v>
      </c>
      <c r="K16" s="30">
        <f t="shared" ca="1" si="18"/>
        <v>3244953.3537622858</v>
      </c>
      <c r="L16" s="30">
        <f t="shared" ca="1" si="18"/>
        <v>3379716.4896059074</v>
      </c>
      <c r="M16" s="30">
        <f t="shared" ca="1" si="18"/>
        <v>3542227.9008007557</v>
      </c>
      <c r="N16" s="30">
        <f ca="1">+SUMIFS(8:8,2:2,N15)</f>
        <v>3680055.0197631349</v>
      </c>
      <c r="O16" s="30">
        <f t="shared" ref="O16:W16" ca="1" si="19">+SUMIFS(8:8,2:2,O15)</f>
        <v>3833754.7192039932</v>
      </c>
      <c r="P16" s="30">
        <f t="shared" ca="1" si="19"/>
        <v>3970638.8305376195</v>
      </c>
      <c r="Q16" s="30">
        <f t="shared" ca="1" si="19"/>
        <v>4123694.3119701012</v>
      </c>
      <c r="R16" s="30">
        <f t="shared" ca="1" si="19"/>
        <v>4282128.7444694862</v>
      </c>
      <c r="S16" s="30">
        <f t="shared" ca="1" si="19"/>
        <v>4458829.4073924264</v>
      </c>
      <c r="T16" s="30">
        <f t="shared" ca="1" si="19"/>
        <v>4615757.5665440504</v>
      </c>
      <c r="U16" s="30">
        <f t="shared" ca="1" si="19"/>
        <v>4791268.523398634</v>
      </c>
      <c r="V16" s="30">
        <f t="shared" ca="1" si="19"/>
        <v>4972791.1820223182</v>
      </c>
      <c r="W16" s="30">
        <f t="shared" ca="1" si="19"/>
        <v>3060372.2910061725</v>
      </c>
    </row>
    <row r="17" spans="1:242" x14ac:dyDescent="0.3">
      <c r="B17" t="s">
        <v>948</v>
      </c>
      <c r="C17" s="30" t="e">
        <f>+SUMIFS(9:9,2:2,C15)</f>
        <v>#REF!</v>
      </c>
      <c r="D17" s="30" t="e">
        <f t="shared" ref="D17:W17" si="20">+SUMIFS(9:9,2:2,D15)</f>
        <v>#REF!</v>
      </c>
      <c r="E17" s="30" t="e">
        <f t="shared" si="20"/>
        <v>#REF!</v>
      </c>
      <c r="F17" s="30" t="e">
        <f t="shared" si="20"/>
        <v>#REF!</v>
      </c>
      <c r="G17" s="30" t="e">
        <f>+SUMIFS(9:9,2:2,G15)</f>
        <v>#REF!</v>
      </c>
      <c r="H17" s="30" t="e">
        <f t="shared" si="20"/>
        <v>#REF!</v>
      </c>
      <c r="I17" s="30" t="e">
        <f t="shared" si="20"/>
        <v>#REF!</v>
      </c>
      <c r="J17" s="30" t="e">
        <f t="shared" si="20"/>
        <v>#REF!</v>
      </c>
      <c r="K17" s="30" t="e">
        <f t="shared" si="20"/>
        <v>#REF!</v>
      </c>
      <c r="L17" s="30" t="e">
        <f t="shared" si="20"/>
        <v>#REF!</v>
      </c>
      <c r="M17" s="30" t="e">
        <f t="shared" si="20"/>
        <v>#REF!</v>
      </c>
      <c r="N17" s="30" t="e">
        <f t="shared" si="20"/>
        <v>#REF!</v>
      </c>
      <c r="O17" s="30" t="e">
        <f t="shared" si="20"/>
        <v>#REF!</v>
      </c>
      <c r="P17" s="30" t="e">
        <f t="shared" si="20"/>
        <v>#REF!</v>
      </c>
      <c r="Q17" s="30" t="e">
        <f t="shared" si="20"/>
        <v>#REF!</v>
      </c>
      <c r="R17" s="30" t="e">
        <f t="shared" si="20"/>
        <v>#REF!</v>
      </c>
      <c r="S17" s="30" t="e">
        <f t="shared" si="20"/>
        <v>#REF!</v>
      </c>
      <c r="T17" s="30" t="e">
        <f t="shared" si="20"/>
        <v>#REF!</v>
      </c>
      <c r="U17" s="30" t="e">
        <f t="shared" si="20"/>
        <v>#REF!</v>
      </c>
      <c r="V17" s="30" t="e">
        <f t="shared" si="20"/>
        <v>#REF!</v>
      </c>
      <c r="W17" s="30" t="e">
        <f t="shared" si="20"/>
        <v>#REF!</v>
      </c>
    </row>
    <row r="18" spans="1:242" x14ac:dyDescent="0.3">
      <c r="B18" t="s">
        <v>924</v>
      </c>
      <c r="C18" s="33" t="e">
        <f>+C16-C17</f>
        <v>#REF!</v>
      </c>
      <c r="D18" s="33" t="e">
        <f t="shared" ref="D18:W18" ca="1" si="21">+D16-D17</f>
        <v>#REF!</v>
      </c>
      <c r="E18" s="33" t="e">
        <f t="shared" ca="1" si="21"/>
        <v>#REF!</v>
      </c>
      <c r="F18" s="33" t="e">
        <f t="shared" ca="1" si="21"/>
        <v>#REF!</v>
      </c>
      <c r="G18" s="33" t="e">
        <f t="shared" ca="1" si="21"/>
        <v>#REF!</v>
      </c>
      <c r="H18" s="33" t="e">
        <f t="shared" ca="1" si="21"/>
        <v>#REF!</v>
      </c>
      <c r="I18" s="33" t="e">
        <f t="shared" ca="1" si="21"/>
        <v>#REF!</v>
      </c>
      <c r="J18" s="33" t="e">
        <f t="shared" ca="1" si="21"/>
        <v>#REF!</v>
      </c>
      <c r="K18" s="33" t="e">
        <f t="shared" ca="1" si="21"/>
        <v>#REF!</v>
      </c>
      <c r="L18" s="33" t="e">
        <f t="shared" ca="1" si="21"/>
        <v>#REF!</v>
      </c>
      <c r="M18" s="33" t="e">
        <f t="shared" ca="1" si="21"/>
        <v>#REF!</v>
      </c>
      <c r="N18" s="33" t="e">
        <f t="shared" ca="1" si="21"/>
        <v>#REF!</v>
      </c>
      <c r="O18" s="33" t="e">
        <f t="shared" ca="1" si="21"/>
        <v>#REF!</v>
      </c>
      <c r="P18" s="33" t="e">
        <f t="shared" ca="1" si="21"/>
        <v>#REF!</v>
      </c>
      <c r="Q18" s="33" t="e">
        <f t="shared" ca="1" si="21"/>
        <v>#REF!</v>
      </c>
      <c r="R18" s="33" t="e">
        <f t="shared" ca="1" si="21"/>
        <v>#REF!</v>
      </c>
      <c r="S18" s="33" t="e">
        <f t="shared" ca="1" si="21"/>
        <v>#REF!</v>
      </c>
      <c r="T18" s="33" t="e">
        <f t="shared" ca="1" si="21"/>
        <v>#REF!</v>
      </c>
      <c r="U18" s="33" t="e">
        <f t="shared" ca="1" si="21"/>
        <v>#REF!</v>
      </c>
      <c r="V18" s="33" t="e">
        <f t="shared" ca="1" si="21"/>
        <v>#REF!</v>
      </c>
      <c r="W18" s="33" t="e">
        <f t="shared" ca="1" si="21"/>
        <v>#REF!</v>
      </c>
    </row>
    <row r="19" spans="1:242" x14ac:dyDescent="0.3">
      <c r="B19" t="s">
        <v>925</v>
      </c>
      <c r="C19" s="33" t="e">
        <f>+C18</f>
        <v>#REF!</v>
      </c>
      <c r="D19" s="33" t="e">
        <f ca="1">+D18+C19</f>
        <v>#REF!</v>
      </c>
      <c r="E19" s="33" t="e">
        <f t="shared" ref="E19:W19" ca="1" si="22">+E18+D19</f>
        <v>#REF!</v>
      </c>
      <c r="F19" s="33" t="e">
        <f t="shared" ca="1" si="22"/>
        <v>#REF!</v>
      </c>
      <c r="G19" s="33" t="e">
        <f t="shared" ca="1" si="22"/>
        <v>#REF!</v>
      </c>
      <c r="H19" s="33" t="e">
        <f t="shared" ca="1" si="22"/>
        <v>#REF!</v>
      </c>
      <c r="I19" s="33" t="e">
        <f t="shared" ca="1" si="22"/>
        <v>#REF!</v>
      </c>
      <c r="J19" s="33" t="e">
        <f t="shared" ca="1" si="22"/>
        <v>#REF!</v>
      </c>
      <c r="K19" s="33" t="e">
        <f t="shared" ca="1" si="22"/>
        <v>#REF!</v>
      </c>
      <c r="L19" s="33" t="e">
        <f t="shared" ca="1" si="22"/>
        <v>#REF!</v>
      </c>
      <c r="M19" s="33" t="e">
        <f t="shared" ca="1" si="22"/>
        <v>#REF!</v>
      </c>
      <c r="N19" s="33" t="e">
        <f t="shared" ca="1" si="22"/>
        <v>#REF!</v>
      </c>
      <c r="O19" s="33" t="e">
        <f t="shared" ca="1" si="22"/>
        <v>#REF!</v>
      </c>
      <c r="P19" s="33" t="e">
        <f t="shared" ca="1" si="22"/>
        <v>#REF!</v>
      </c>
      <c r="Q19" s="33" t="e">
        <f t="shared" ca="1" si="22"/>
        <v>#REF!</v>
      </c>
      <c r="R19" s="33" t="e">
        <f t="shared" ca="1" si="22"/>
        <v>#REF!</v>
      </c>
      <c r="S19" s="33" t="e">
        <f t="shared" ca="1" si="22"/>
        <v>#REF!</v>
      </c>
      <c r="T19" s="33" t="e">
        <f t="shared" ca="1" si="22"/>
        <v>#REF!</v>
      </c>
      <c r="U19" s="33" t="e">
        <f t="shared" ca="1" si="22"/>
        <v>#REF!</v>
      </c>
      <c r="V19" s="33" t="e">
        <f t="shared" ca="1" si="22"/>
        <v>#REF!</v>
      </c>
      <c r="W19" s="33" t="e">
        <f t="shared" ca="1" si="22"/>
        <v>#REF!</v>
      </c>
    </row>
    <row r="21" spans="1:242" x14ac:dyDescent="0.3">
      <c r="B21" s="6" t="s">
        <v>788</v>
      </c>
      <c r="C21" s="6" t="s">
        <v>793</v>
      </c>
      <c r="D21" s="6" t="s">
        <v>798</v>
      </c>
      <c r="E21" s="6"/>
    </row>
    <row r="22" spans="1:242" x14ac:dyDescent="0.3">
      <c r="A22" t="s">
        <v>932</v>
      </c>
      <c r="B22" s="35" t="e">
        <f>+NPV(15%,C18,D18:H18)</f>
        <v>#REF!</v>
      </c>
      <c r="C22" s="35" t="e">
        <f>+NPV(12%,C18,D18:M18)</f>
        <v>#REF!</v>
      </c>
      <c r="D22" s="35" t="e">
        <f>+NPV(12%,C18,D18:R18)</f>
        <v>#REF!</v>
      </c>
      <c r="E22" s="35"/>
    </row>
    <row r="23" spans="1:242" x14ac:dyDescent="0.3">
      <c r="A23" t="s">
        <v>933</v>
      </c>
      <c r="B23" s="9" t="e">
        <f>+IRR(C18:H18)</f>
        <v>#VALUE!</v>
      </c>
      <c r="C23" s="9" t="e">
        <f>+IRR(C18:M18)</f>
        <v>#VALUE!</v>
      </c>
      <c r="D23" s="9" t="e">
        <f>+IRR(C18:R18)</f>
        <v>#VALUE!</v>
      </c>
      <c r="E23" s="9"/>
    </row>
    <row r="24" spans="1:242" x14ac:dyDescent="0.3">
      <c r="A24" t="s">
        <v>953</v>
      </c>
      <c r="B24" s="33">
        <f ca="1">+SUM(C16:H16)</f>
        <v>13178367.788854215</v>
      </c>
      <c r="C24" s="33">
        <f ca="1">+SUM(C16:M16)</f>
        <v>29412544.949523177</v>
      </c>
      <c r="D24" s="33">
        <f ca="1">+SUM(C16:R16)</f>
        <v>49302816.575467505</v>
      </c>
      <c r="E24" s="9"/>
    </row>
    <row r="25" spans="1:242" x14ac:dyDescent="0.3">
      <c r="A25" t="s">
        <v>954</v>
      </c>
      <c r="B25" s="33" t="e">
        <f>+SUM(C17:H17)</f>
        <v>#REF!</v>
      </c>
      <c r="C25" s="33" t="e">
        <f>+SUM(C17:M17)</f>
        <v>#REF!</v>
      </c>
      <c r="D25" s="33" t="e">
        <f>+SUM(C17:R17)</f>
        <v>#REF!</v>
      </c>
      <c r="E25" s="38"/>
    </row>
    <row r="26" spans="1:242" x14ac:dyDescent="0.3">
      <c r="A26" t="s">
        <v>971</v>
      </c>
      <c r="B26" s="33" t="e">
        <f ca="1">+B24-B25</f>
        <v>#REF!</v>
      </c>
      <c r="C26" s="33" t="e">
        <f ca="1">+C24-C25</f>
        <v>#REF!</v>
      </c>
      <c r="D26" s="33" t="e">
        <f ca="1">+D24-D25</f>
        <v>#REF!</v>
      </c>
      <c r="E26" s="33"/>
    </row>
    <row r="27" spans="1:242" x14ac:dyDescent="0.3">
      <c r="A27" t="s">
        <v>956</v>
      </c>
      <c r="B27" s="17">
        <f ca="1">COUNTIFS(13:13,"&lt;0")/12</f>
        <v>0</v>
      </c>
    </row>
    <row r="28" spans="1:242" x14ac:dyDescent="0.3">
      <c r="A28" t="s">
        <v>818</v>
      </c>
      <c r="B28" s="30" t="e">
        <f>+#REF!</f>
        <v>#REF!</v>
      </c>
      <c r="C28" s="33" t="e">
        <f>+B28</f>
        <v>#REF!</v>
      </c>
      <c r="D28" s="33" t="e">
        <f>+C28</f>
        <v>#REF!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971</v>
      </c>
      <c r="B29" s="38" t="e">
        <f ca="1">+B26/B28</f>
        <v>#REF!</v>
      </c>
      <c r="C29" s="38" t="e">
        <f ca="1">+C26/C28</f>
        <v>#REF!</v>
      </c>
      <c r="D29" s="38" t="e">
        <f ca="1">+D26/D28</f>
        <v>#REF!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3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2" spans="1:242" x14ac:dyDescent="0.3">
      <c r="C32" s="6" t="s">
        <v>906</v>
      </c>
      <c r="D32" s="6" t="s">
        <v>959</v>
      </c>
      <c r="E32" s="6" t="s">
        <v>960</v>
      </c>
      <c r="F32" s="9">
        <v>0.36</v>
      </c>
    </row>
    <row r="33" spans="1:242" x14ac:dyDescent="0.3">
      <c r="A33" t="s">
        <v>961</v>
      </c>
      <c r="C33" s="31">
        <f>+SUM(C4:GE4)</f>
        <v>370978.62217074994</v>
      </c>
      <c r="E33" s="31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783</v>
      </c>
      <c r="C34" s="31">
        <f>+C5</f>
        <v>0</v>
      </c>
      <c r="E34" s="33" t="e">
        <f>+(E36-E35)/C33</f>
        <v>#REF!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962</v>
      </c>
      <c r="C35" s="31">
        <v>0</v>
      </c>
      <c r="E35" s="31">
        <f>+C35</f>
        <v>0</v>
      </c>
    </row>
    <row r="36" spans="1:242" x14ac:dyDescent="0.3">
      <c r="A36" t="s">
        <v>963</v>
      </c>
      <c r="C36" s="31">
        <f>+(C33*C34)+C35</f>
        <v>0</v>
      </c>
      <c r="D36" s="30" t="e">
        <f>+#REF!</f>
        <v>#REF!</v>
      </c>
      <c r="E36" s="33" t="e">
        <f>+E37+E42</f>
        <v>#REF!</v>
      </c>
    </row>
    <row r="37" spans="1:242" x14ac:dyDescent="0.3">
      <c r="A37" t="s">
        <v>813</v>
      </c>
      <c r="C37" s="31" t="e">
        <f>+SUM(C38:C41)</f>
        <v>#REF!</v>
      </c>
      <c r="D37" s="30" t="e">
        <f>+SUM('Simulacion prestamo'!C12:F12)+SUM('Simulacion prestamo'!C15:F15)</f>
        <v>#REF!</v>
      </c>
      <c r="E37" s="31" t="e">
        <f>+C37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964</v>
      </c>
      <c r="C38" s="30" t="e">
        <f>+'Simulacion prestamo'!C104*'Simulacion prestamo'!B94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643</v>
      </c>
      <c r="C39" s="30">
        <f>(4*300000*15)+300000</f>
        <v>18300000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965</v>
      </c>
      <c r="C40" s="30" t="e">
        <f>+#REF!*185</f>
        <v>#REF!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644</v>
      </c>
      <c r="C41" s="30" t="e">
        <f>+#REF!*185</f>
        <v>#REF!</v>
      </c>
    </row>
    <row r="42" spans="1:242" x14ac:dyDescent="0.3">
      <c r="A42" t="s">
        <v>284</v>
      </c>
      <c r="C42" s="30" t="e">
        <f>+C36-C37</f>
        <v>#REF!</v>
      </c>
      <c r="D42" s="30" t="e">
        <f>+D36-D43-D37</f>
        <v>#REF!</v>
      </c>
      <c r="E42" s="30" t="e">
        <f>+E37*F32</f>
        <v>#REF!</v>
      </c>
      <c r="F42" s="38"/>
    </row>
    <row r="43" spans="1:242" x14ac:dyDescent="0.3">
      <c r="A43" t="s">
        <v>966</v>
      </c>
      <c r="C43" s="30" t="e">
        <f>+B28</f>
        <v>#REF!</v>
      </c>
      <c r="D43" s="33" t="e">
        <f>+C43</f>
        <v>#REF!</v>
      </c>
    </row>
    <row r="44" spans="1:242" x14ac:dyDescent="0.3">
      <c r="C44" s="38" t="e">
        <f>+C42/C37</f>
        <v>#REF!</v>
      </c>
      <c r="D44" s="38" t="e">
        <f>+D42/(D43+D37)</f>
        <v>#REF!</v>
      </c>
    </row>
    <row r="45" spans="1:242" x14ac:dyDescent="0.3">
      <c r="B45" s="32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1048550" spans="16384:16384" x14ac:dyDescent="0.3">
      <c r="XFD1048550" t="e" cm="1">
        <f t="array" ref="XFD1048550">solver_pre</f>
        <v>#NAME?</v>
      </c>
    </row>
    <row r="1048551" spans="16384:16384" x14ac:dyDescent="0.3">
      <c r="XFD1048551" t="e" cm="1">
        <f t="array" ref="XFD1048551">solver_scl</f>
        <v>#NAME?</v>
      </c>
    </row>
    <row r="1048552" spans="16384:16384" x14ac:dyDescent="0.3">
      <c r="XFD1048552" t="e" cm="1">
        <f t="array" ref="XFD1048552">solver_rlx</f>
        <v>#NAME?</v>
      </c>
    </row>
    <row r="1048553" spans="16384:16384" x14ac:dyDescent="0.3">
      <c r="XFD1048553" t="e" cm="1">
        <f t="array" ref="XFD1048553">solver_tol</f>
        <v>#NAME?</v>
      </c>
    </row>
    <row r="1048554" spans="16384:16384" x14ac:dyDescent="0.3">
      <c r="XFD1048554" t="e" cm="1">
        <f t="array" ref="XFD1048554">solver_cvg</f>
        <v>#NAME?</v>
      </c>
    </row>
    <row r="1048555" spans="16384:16384" x14ac:dyDescent="0.3">
      <c r="XFD1048555" t="e" cm="1">
        <f t="array" ref="XFD1048555">AREAS(solver_adj1)</f>
        <v>#NAME?</v>
      </c>
    </row>
    <row r="1048556" spans="16384:16384" x14ac:dyDescent="0.3">
      <c r="XFD1048556" t="e" cm="1">
        <f t="array" ref="XFD1048556">solver_ssz</f>
        <v>#NAME?</v>
      </c>
    </row>
    <row r="1048557" spans="16384:16384" x14ac:dyDescent="0.3">
      <c r="XFD1048557" t="e" cm="1">
        <f t="array" ref="XFD1048557">solver_rsd</f>
        <v>#NAME?</v>
      </c>
    </row>
    <row r="1048558" spans="16384:16384" x14ac:dyDescent="0.3">
      <c r="XFD1048558" t="e" cm="1">
        <f t="array" ref="XFD1048558">solver_mrt</f>
        <v>#NAME?</v>
      </c>
    </row>
    <row r="1048559" spans="16384:16384" x14ac:dyDescent="0.3">
      <c r="XFD1048559" t="e" cm="1">
        <f t="array" ref="XFD1048559">solver_mni</f>
        <v>#NAME?</v>
      </c>
    </row>
    <row r="1048560" spans="16384:16384" x14ac:dyDescent="0.3">
      <c r="XFD1048560" t="e" cm="1">
        <f t="array" ref="XFD1048560">solver_rbv</f>
        <v>#NAME?</v>
      </c>
    </row>
    <row r="1048561" spans="16384:16384" x14ac:dyDescent="0.3">
      <c r="XFD1048561" t="e" cm="1">
        <f t="array" ref="XFD1048561">solver_neg</f>
        <v>#NAME?</v>
      </c>
    </row>
    <row r="1048562" spans="16384:16384" x14ac:dyDescent="0.3">
      <c r="XFD1048562" t="e" cm="1">
        <f t="array" ref="XFD1048562">solver_ntr</f>
        <v>#NAME?</v>
      </c>
    </row>
    <row r="1048563" spans="16384:16384" x14ac:dyDescent="0.3">
      <c r="XFD1048563" t="e" cm="1">
        <f t="array" ref="XFD1048563">solver_acc</f>
        <v>#NAME?</v>
      </c>
    </row>
    <row r="1048564" spans="16384:16384" x14ac:dyDescent="0.3">
      <c r="XFD1048564" t="e" cm="1">
        <f t="array" ref="XFD1048564">solver_res</f>
        <v>#NAME?</v>
      </c>
    </row>
    <row r="1048565" spans="16384:16384" x14ac:dyDescent="0.3">
      <c r="XFD1048565" t="e" cm="1">
        <f t="array" ref="XFD1048565">solver_ars</f>
        <v>#NAME?</v>
      </c>
    </row>
    <row r="1048566" spans="16384:16384" x14ac:dyDescent="0.3">
      <c r="XFD1048566" t="e" cm="1">
        <f t="array" ref="XFD1048566">solver_sta</f>
        <v>#NAME?</v>
      </c>
    </row>
    <row r="1048567" spans="16384:16384" x14ac:dyDescent="0.3">
      <c r="XFD1048567" t="e" cm="1">
        <f t="array" ref="XFD1048567">solver_met</f>
        <v>#NAME?</v>
      </c>
    </row>
    <row r="1048568" spans="16384:16384" x14ac:dyDescent="0.3">
      <c r="XFD1048568" t="e" cm="1">
        <f t="array" ref="XFD1048568">solver_soc</f>
        <v>#NAME?</v>
      </c>
    </row>
    <row r="1048569" spans="16384:16384" x14ac:dyDescent="0.3">
      <c r="XFD1048569" t="e" cm="1">
        <f t="array" ref="XFD1048569">solver_lpt</f>
        <v>#NAME?</v>
      </c>
    </row>
    <row r="1048570" spans="16384:16384" x14ac:dyDescent="0.3">
      <c r="XFD1048570" t="e" cm="1">
        <f t="array" ref="XFD1048570">solver_lpp</f>
        <v>#NAME?</v>
      </c>
    </row>
    <row r="1048571" spans="16384:16384" x14ac:dyDescent="0.3">
      <c r="XFD1048571" t="e" cm="1">
        <f t="array" ref="XFD1048571">solver_gap</f>
        <v>#NAME?</v>
      </c>
    </row>
    <row r="1048572" spans="16384:16384" x14ac:dyDescent="0.3">
      <c r="XFD1048572" t="e" cm="1">
        <f t="array" ref="XFD1048572">solver_ips</f>
        <v>#NAME?</v>
      </c>
    </row>
    <row r="1048573" spans="16384:16384" x14ac:dyDescent="0.3">
      <c r="XFD1048573" t="e" cm="1">
        <f t="array" ref="XFD1048573">solver_fea</f>
        <v>#NAME?</v>
      </c>
    </row>
    <row r="1048574" spans="16384:16384" x14ac:dyDescent="0.3">
      <c r="XFD1048574" t="e" cm="1">
        <f t="array" ref="XFD1048574">solver_ipi</f>
        <v>#NAME?</v>
      </c>
    </row>
    <row r="1048575" spans="16384:16384" x14ac:dyDescent="0.3">
      <c r="XFD1048575" t="e" cm="1">
        <f t="array" ref="XFD1048575">solver_ipd</f>
        <v>#NAME?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AF8C-5B24-46CD-933B-FEDA7651C755}">
  <dimension ref="A1:XFD1048576"/>
  <sheetViews>
    <sheetView topLeftCell="T3" zoomScale="80" zoomScaleNormal="80" workbookViewId="0">
      <selection activeCell="AH21" sqref="AH21"/>
    </sheetView>
  </sheetViews>
  <sheetFormatPr baseColWidth="10" defaultColWidth="11.44140625" defaultRowHeight="14.4" x14ac:dyDescent="0.3"/>
  <cols>
    <col min="1" max="1" width="22.44140625" bestFit="1" customWidth="1"/>
    <col min="2" max="3" width="16.44140625" bestFit="1" customWidth="1"/>
    <col min="4" max="4" width="15.44140625" bestFit="1" customWidth="1"/>
    <col min="5" max="7" width="12.5546875" bestFit="1" customWidth="1"/>
    <col min="8" max="14" width="13.5546875" bestFit="1" customWidth="1"/>
    <col min="15" max="15" width="24.44140625" bestFit="1" customWidth="1"/>
    <col min="16" max="17" width="13.5546875" bestFit="1" customWidth="1"/>
    <col min="18" max="23" width="15.44140625" bestFit="1" customWidth="1"/>
    <col min="24" max="57" width="12.5546875" bestFit="1" customWidth="1"/>
    <col min="58" max="183" width="13.5546875" bestFit="1" customWidth="1"/>
    <col min="184" max="247" width="15.44140625" bestFit="1" customWidth="1"/>
    <col min="16384" max="16384" width="11.44140625" bestFit="1" customWidth="1"/>
  </cols>
  <sheetData>
    <row r="1" spans="1:249" x14ac:dyDescent="0.3">
      <c r="A1" s="6" t="s">
        <v>906</v>
      </c>
      <c r="B1" s="9"/>
    </row>
    <row r="2" spans="1:249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M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  <c r="II2">
        <f t="shared" si="3"/>
        <v>2044</v>
      </c>
      <c r="IJ2">
        <f t="shared" si="3"/>
        <v>2044</v>
      </c>
      <c r="IK2">
        <f t="shared" si="3"/>
        <v>2044</v>
      </c>
      <c r="IL2">
        <f t="shared" si="3"/>
        <v>2044</v>
      </c>
      <c r="IM2">
        <f t="shared" si="3"/>
        <v>2044</v>
      </c>
    </row>
    <row r="3" spans="1:249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  <c r="II3" s="14">
        <v>52810</v>
      </c>
      <c r="IJ3" s="14">
        <v>52841</v>
      </c>
      <c r="IK3" s="14">
        <v>52871</v>
      </c>
      <c r="IL3" s="14">
        <v>52902</v>
      </c>
      <c r="IM3" s="14">
        <v>52932</v>
      </c>
      <c r="IN3" s="14"/>
      <c r="IO3" s="14"/>
    </row>
    <row r="4" spans="1:249" x14ac:dyDescent="0.3">
      <c r="A4" t="s">
        <v>946</v>
      </c>
      <c r="B4">
        <v>0</v>
      </c>
      <c r="C4" s="10">
        <f>+Producción!E8</f>
        <v>2195.9335397999998</v>
      </c>
      <c r="D4" s="10">
        <f>+Producción!F8</f>
        <v>2055.0388319999997</v>
      </c>
      <c r="E4" s="10">
        <f>+Producción!G8</f>
        <v>1852.7674396</v>
      </c>
      <c r="F4" s="10">
        <f>+Producción!H8</f>
        <v>1770.6796800000002</v>
      </c>
      <c r="G4" s="10">
        <f>+Producción!I8</f>
        <v>1871.7622308</v>
      </c>
      <c r="H4" s="10">
        <f>+Producción!J8</f>
        <v>2150.5786302000006</v>
      </c>
      <c r="I4" s="10">
        <f>+Producción!K8</f>
        <v>1982.6360400000001</v>
      </c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  <c r="II4" s="10">
        <f>+Producción!IK8</f>
        <v>1887.0819824999992</v>
      </c>
      <c r="IJ4" s="10">
        <f>+Producción!IL8</f>
        <v>1829.1143734285722</v>
      </c>
      <c r="IK4" s="10">
        <f>+Producción!IM8</f>
        <v>1599.5866731428541</v>
      </c>
      <c r="IL4" s="10">
        <f>+Producción!IN8</f>
        <v>1583.3300685714269</v>
      </c>
      <c r="IM4" s="10">
        <f>+Producción!IO8</f>
        <v>1623.4672409999998</v>
      </c>
      <c r="IN4" s="10"/>
      <c r="IO4" s="10"/>
    </row>
    <row r="5" spans="1:249" x14ac:dyDescent="0.3">
      <c r="A5" t="s">
        <v>907</v>
      </c>
      <c r="B5">
        <v>0</v>
      </c>
      <c r="C5" s="10">
        <f>+Tarifas!U9</f>
        <v>0</v>
      </c>
      <c r="D5" s="10">
        <f>+Tarifas!V9</f>
        <v>0</v>
      </c>
      <c r="E5" s="10">
        <f>+Tarifas!W9</f>
        <v>0</v>
      </c>
      <c r="F5" s="10">
        <f>+Tarifas!X9</f>
        <v>0</v>
      </c>
      <c r="G5" s="10">
        <f>+Tarifas!Y9</f>
        <v>0</v>
      </c>
      <c r="H5" s="10">
        <f>+Tarifas!Z9</f>
        <v>0</v>
      </c>
      <c r="I5" s="10">
        <f ca="1">+Tarifas!AA10</f>
        <v>117.76437779643383</v>
      </c>
      <c r="J5" s="10">
        <f ca="1">+Tarifas!AB10</f>
        <v>117.76437779643383</v>
      </c>
      <c r="K5" s="10">
        <f ca="1">+Tarifas!AC10</f>
        <v>117.76437779643383</v>
      </c>
      <c r="L5" s="10">
        <f ca="1">+Tarifas!AD10</f>
        <v>117.76437779643383</v>
      </c>
      <c r="M5" s="10">
        <f ca="1">+Tarifas!AE10</f>
        <v>117.76437779643383</v>
      </c>
      <c r="N5" s="10">
        <f ca="1">+Tarifas!AF10</f>
        <v>117.76437779643383</v>
      </c>
      <c r="O5" s="10">
        <f ca="1">+Tarifas!AG10</f>
        <v>117.76437779643383</v>
      </c>
      <c r="P5" s="10">
        <f ca="1">+Tarifas!AH10</f>
        <v>117.76437779643383</v>
      </c>
      <c r="Q5" s="10">
        <f ca="1">+Tarifas!AI10</f>
        <v>117.76437779643383</v>
      </c>
      <c r="R5" s="10">
        <f ca="1">+Tarifas!AJ10</f>
        <v>117.76437779643383</v>
      </c>
      <c r="S5" s="10">
        <f ca="1">+Tarifas!AK10</f>
        <v>117.76437779643383</v>
      </c>
      <c r="T5" s="10">
        <f ca="1">+Tarifas!AL10</f>
        <v>121.29730913032685</v>
      </c>
      <c r="U5" s="10">
        <f ca="1">+Tarifas!AM10</f>
        <v>121.29730913032685</v>
      </c>
      <c r="V5" s="10">
        <f ca="1">+Tarifas!AN10</f>
        <v>121.29730913032685</v>
      </c>
      <c r="W5" s="10">
        <f ca="1">+Tarifas!AO10</f>
        <v>121.29730913032685</v>
      </c>
      <c r="X5" s="10">
        <f ca="1">+Tarifas!AP10</f>
        <v>121.29730913032685</v>
      </c>
      <c r="Y5" s="10">
        <f ca="1">+Tarifas!AQ10</f>
        <v>121.29730913032685</v>
      </c>
      <c r="Z5" s="10">
        <f ca="1">+Tarifas!AR10</f>
        <v>121.29730913032685</v>
      </c>
      <c r="AA5" s="10">
        <f ca="1">+Tarifas!AS10</f>
        <v>121.29730913032685</v>
      </c>
      <c r="AB5" s="10">
        <f ca="1">+Tarifas!AT10</f>
        <v>121.29730913032685</v>
      </c>
      <c r="AC5" s="10">
        <f ca="1">+Tarifas!AU10</f>
        <v>121.29730913032685</v>
      </c>
      <c r="AD5" s="10">
        <f ca="1">+Tarifas!AV10</f>
        <v>121.29730913032685</v>
      </c>
      <c r="AE5" s="10">
        <f ca="1">+Tarifas!AW10</f>
        <v>121.29730913032685</v>
      </c>
      <c r="AF5" s="10">
        <f ca="1">+Tarifas!AX10</f>
        <v>124.93622840423666</v>
      </c>
      <c r="AG5" s="10">
        <f ca="1">+Tarifas!AY10</f>
        <v>124.93622840423666</v>
      </c>
      <c r="AH5" s="10">
        <f ca="1">+Tarifas!AZ10</f>
        <v>124.93622840423666</v>
      </c>
      <c r="AI5" s="10">
        <f ca="1">+Tarifas!BA10</f>
        <v>124.93622840423666</v>
      </c>
      <c r="AJ5" s="10">
        <f ca="1">+Tarifas!BB10</f>
        <v>124.93622840423666</v>
      </c>
      <c r="AK5" s="10">
        <f ca="1">+Tarifas!BC10</f>
        <v>124.93622840423666</v>
      </c>
      <c r="AL5" s="10">
        <f ca="1">+Tarifas!BD10</f>
        <v>124.93622840423666</v>
      </c>
      <c r="AM5" s="10">
        <f ca="1">+Tarifas!BE10</f>
        <v>124.93622840423666</v>
      </c>
      <c r="AN5" s="10">
        <f ca="1">+Tarifas!BF10</f>
        <v>124.93622840423666</v>
      </c>
      <c r="AO5" s="10">
        <f ca="1">+Tarifas!BG10</f>
        <v>124.93622840423666</v>
      </c>
      <c r="AP5" s="10">
        <f ca="1">+Tarifas!BH10</f>
        <v>124.93622840423666</v>
      </c>
      <c r="AQ5" s="10">
        <f ca="1">+Tarifas!BI10</f>
        <v>124.93622840423666</v>
      </c>
      <c r="AR5" s="10">
        <f ca="1">+Tarifas!BJ10</f>
        <v>128.68431525636376</v>
      </c>
      <c r="AS5" s="10">
        <f ca="1">+Tarifas!BK10</f>
        <v>128.68431525636376</v>
      </c>
      <c r="AT5" s="10">
        <f ca="1">+Tarifas!BL10</f>
        <v>128.68431525636376</v>
      </c>
      <c r="AU5" s="10">
        <f ca="1">+Tarifas!BM10</f>
        <v>128.68431525636376</v>
      </c>
      <c r="AV5" s="10">
        <f ca="1">+Tarifas!BN10</f>
        <v>128.68431525636376</v>
      </c>
      <c r="AW5" s="10">
        <f ca="1">+Tarifas!BO10</f>
        <v>128.68431525636376</v>
      </c>
      <c r="AX5" s="10">
        <f ca="1">+Tarifas!BP10</f>
        <v>128.68431525636376</v>
      </c>
      <c r="AY5" s="10">
        <f ca="1">+Tarifas!BQ10</f>
        <v>128.68431525636376</v>
      </c>
      <c r="AZ5" s="10">
        <f ca="1">+Tarifas!BR10</f>
        <v>128.68431525636376</v>
      </c>
      <c r="BA5" s="10">
        <f ca="1">+Tarifas!BS10</f>
        <v>128.68431525636376</v>
      </c>
      <c r="BB5" s="10">
        <f ca="1">+Tarifas!BT10</f>
        <v>128.68431525636376</v>
      </c>
      <c r="BC5" s="10">
        <f ca="1">+Tarifas!BU10</f>
        <v>128.68431525636376</v>
      </c>
      <c r="BD5" s="10">
        <f ca="1">+Tarifas!BV10</f>
        <v>132.54484471405468</v>
      </c>
      <c r="BE5" s="10">
        <f ca="1">+Tarifas!BW10</f>
        <v>132.54484471405468</v>
      </c>
      <c r="BF5" s="10">
        <f ca="1">+Tarifas!BX10</f>
        <v>132.54484471405468</v>
      </c>
      <c r="BG5" s="10">
        <f ca="1">+Tarifas!BY10</f>
        <v>132.54484471405468</v>
      </c>
      <c r="BH5" s="10">
        <f ca="1">+Tarifas!BZ10</f>
        <v>132.54484471405468</v>
      </c>
      <c r="BI5" s="10">
        <f ca="1">+Tarifas!CA10</f>
        <v>132.54484471405468</v>
      </c>
      <c r="BJ5" s="10">
        <f ca="1">+Tarifas!CB10</f>
        <v>132.54484471405468</v>
      </c>
      <c r="BK5" s="10">
        <f ca="1">+Tarifas!CC10</f>
        <v>132.54484471405468</v>
      </c>
      <c r="BL5" s="10">
        <f ca="1">+Tarifas!CD10</f>
        <v>132.54484471405468</v>
      </c>
      <c r="BM5" s="10">
        <f ca="1">+Tarifas!CE10</f>
        <v>132.54484471405468</v>
      </c>
      <c r="BN5" s="10">
        <f ca="1">+Tarifas!CF10</f>
        <v>132.54484471405468</v>
      </c>
      <c r="BO5" s="10">
        <f ca="1">+Tarifas!CG10</f>
        <v>132.54484471405468</v>
      </c>
      <c r="BP5" s="10">
        <f ca="1">+Tarifas!CH10</f>
        <v>136.52119005547632</v>
      </c>
      <c r="BQ5" s="10">
        <f ca="1">+Tarifas!CI10</f>
        <v>136.52119005547632</v>
      </c>
      <c r="BR5" s="10">
        <f ca="1">+Tarifas!CJ10</f>
        <v>136.52119005547632</v>
      </c>
      <c r="BS5" s="10">
        <f ca="1">+Tarifas!CK10</f>
        <v>136.52119005547632</v>
      </c>
      <c r="BT5" s="10">
        <f ca="1">+Tarifas!CL10</f>
        <v>136.52119005547632</v>
      </c>
      <c r="BU5" s="10">
        <f ca="1">+Tarifas!CM10</f>
        <v>136.52119005547632</v>
      </c>
      <c r="BV5" s="10">
        <f ca="1">+Tarifas!CN10</f>
        <v>136.52119005547632</v>
      </c>
      <c r="BW5" s="10">
        <f ca="1">+Tarifas!CO10</f>
        <v>136.52119005547632</v>
      </c>
      <c r="BX5" s="10">
        <f ca="1">+Tarifas!CP10</f>
        <v>136.52119005547632</v>
      </c>
      <c r="BY5" s="10">
        <f ca="1">+Tarifas!CQ10</f>
        <v>136.52119005547632</v>
      </c>
      <c r="BZ5" s="10">
        <f ca="1">+Tarifas!CR10</f>
        <v>136.52119005547632</v>
      </c>
      <c r="CA5" s="10">
        <f ca="1">+Tarifas!CS10</f>
        <v>136.52119005547632</v>
      </c>
      <c r="CB5" s="10">
        <f ca="1">+Tarifas!CT10</f>
        <v>140.61682575714062</v>
      </c>
      <c r="CC5" s="10">
        <f ca="1">+Tarifas!CU10</f>
        <v>140.61682575714062</v>
      </c>
      <c r="CD5" s="10">
        <f ca="1">+Tarifas!CV10</f>
        <v>140.61682575714062</v>
      </c>
      <c r="CE5" s="10">
        <f ca="1">+Tarifas!CW10</f>
        <v>140.61682575714062</v>
      </c>
      <c r="CF5" s="10">
        <f ca="1">+Tarifas!CX10</f>
        <v>140.61682575714062</v>
      </c>
      <c r="CG5" s="10">
        <f ca="1">+Tarifas!CY10</f>
        <v>140.61682575714062</v>
      </c>
      <c r="CH5" s="10">
        <f ca="1">+Tarifas!CZ10</f>
        <v>140.61682575714062</v>
      </c>
      <c r="CI5" s="10">
        <f ca="1">+Tarifas!DA10</f>
        <v>140.61682575714062</v>
      </c>
      <c r="CJ5" s="10">
        <f ca="1">+Tarifas!DB10</f>
        <v>140.61682575714062</v>
      </c>
      <c r="CK5" s="10">
        <f ca="1">+Tarifas!DC10</f>
        <v>140.61682575714062</v>
      </c>
      <c r="CL5" s="10">
        <f ca="1">+Tarifas!DD10</f>
        <v>140.61682575714062</v>
      </c>
      <c r="CM5" s="10">
        <f ca="1">+Tarifas!DE10</f>
        <v>140.61682575714062</v>
      </c>
      <c r="CN5" s="10">
        <f ca="1">+Tarifas!DF10</f>
        <v>144.83533052985484</v>
      </c>
      <c r="CO5" s="10">
        <f ca="1">+Tarifas!DG10</f>
        <v>144.83533052985484</v>
      </c>
      <c r="CP5" s="10">
        <f ca="1">+Tarifas!DH10</f>
        <v>144.83533052985484</v>
      </c>
      <c r="CQ5" s="10">
        <f ca="1">+Tarifas!DI10</f>
        <v>144.83533052985484</v>
      </c>
      <c r="CR5" s="10">
        <f ca="1">+Tarifas!DJ10</f>
        <v>144.83533052985484</v>
      </c>
      <c r="CS5" s="10">
        <f ca="1">+Tarifas!DK10</f>
        <v>144.83533052985484</v>
      </c>
      <c r="CT5" s="10">
        <f ca="1">+Tarifas!DL10</f>
        <v>144.83533052985484</v>
      </c>
      <c r="CU5" s="10">
        <f ca="1">+Tarifas!DM10</f>
        <v>144.83533052985484</v>
      </c>
      <c r="CV5" s="10">
        <f ca="1">+Tarifas!DN10</f>
        <v>144.83533052985484</v>
      </c>
      <c r="CW5" s="10">
        <f ca="1">+Tarifas!DO10</f>
        <v>144.83533052985484</v>
      </c>
      <c r="CX5" s="10">
        <f ca="1">+Tarifas!DP10</f>
        <v>144.83533052985484</v>
      </c>
      <c r="CY5" s="10">
        <f ca="1">+Tarifas!DQ10</f>
        <v>144.83533052985484</v>
      </c>
      <c r="CZ5" s="10">
        <f ca="1">+Tarifas!DR10</f>
        <v>149.1803904457505</v>
      </c>
      <c r="DA5" s="10">
        <f ca="1">+Tarifas!DS10</f>
        <v>149.1803904457505</v>
      </c>
      <c r="DB5" s="10">
        <f ca="1">+Tarifas!DT10</f>
        <v>149.1803904457505</v>
      </c>
      <c r="DC5" s="10">
        <f ca="1">+Tarifas!DU10</f>
        <v>149.1803904457505</v>
      </c>
      <c r="DD5" s="10">
        <f ca="1">+Tarifas!DV10</f>
        <v>149.1803904457505</v>
      </c>
      <c r="DE5" s="10">
        <f ca="1">+Tarifas!DW10</f>
        <v>149.1803904457505</v>
      </c>
      <c r="DF5" s="10">
        <f ca="1">+Tarifas!DX10</f>
        <v>149.1803904457505</v>
      </c>
      <c r="DG5" s="10">
        <f ca="1">+Tarifas!DY10</f>
        <v>149.1803904457505</v>
      </c>
      <c r="DH5" s="10">
        <f ca="1">+Tarifas!DZ10</f>
        <v>149.1803904457505</v>
      </c>
      <c r="DI5" s="10">
        <f ca="1">+Tarifas!EA10</f>
        <v>149.1803904457505</v>
      </c>
      <c r="DJ5" s="10">
        <f ca="1">+Tarifas!EB10</f>
        <v>149.1803904457505</v>
      </c>
      <c r="DK5" s="10">
        <f ca="1">+Tarifas!EC10</f>
        <v>149.1803904457505</v>
      </c>
      <c r="DL5" s="10">
        <f ca="1">+Tarifas!ED10</f>
        <v>153.65580215912303</v>
      </c>
      <c r="DM5" s="10">
        <f ca="1">+Tarifas!EE10</f>
        <v>153.65580215912303</v>
      </c>
      <c r="DN5" s="10">
        <f ca="1">+Tarifas!EF10</f>
        <v>153.65580215912303</v>
      </c>
      <c r="DO5" s="10">
        <f ca="1">+Tarifas!EG10</f>
        <v>153.65580215912303</v>
      </c>
      <c r="DP5" s="10">
        <f ca="1">+Tarifas!EH10</f>
        <v>153.65580215912303</v>
      </c>
      <c r="DQ5" s="10">
        <f ca="1">+Tarifas!EI10</f>
        <v>153.65580215912303</v>
      </c>
      <c r="DR5" s="10">
        <f ca="1">+Tarifas!EJ10</f>
        <v>153.65580215912303</v>
      </c>
      <c r="DS5" s="10">
        <f ca="1">+Tarifas!EK10</f>
        <v>153.65580215912303</v>
      </c>
      <c r="DT5" s="10">
        <f ca="1">+Tarifas!EL10</f>
        <v>153.65580215912303</v>
      </c>
      <c r="DU5" s="10">
        <f ca="1">+Tarifas!EM10</f>
        <v>153.65580215912303</v>
      </c>
      <c r="DV5" s="10">
        <f ca="1">+Tarifas!EN10</f>
        <v>153.65580215912303</v>
      </c>
      <c r="DW5" s="10">
        <f ca="1">+Tarifas!EO10</f>
        <v>153.65580215912303</v>
      </c>
      <c r="DX5" s="10">
        <f ca="1">+Tarifas!EP10</f>
        <v>158.26547622389671</v>
      </c>
      <c r="DY5" s="10">
        <f ca="1">+Tarifas!EQ10</f>
        <v>158.26547622389671</v>
      </c>
      <c r="DZ5" s="10">
        <f ca="1">+Tarifas!ER10</f>
        <v>158.26547622389671</v>
      </c>
      <c r="EA5" s="10">
        <f ca="1">+Tarifas!ES10</f>
        <v>158.26547622389671</v>
      </c>
      <c r="EB5" s="10">
        <f ca="1">+Tarifas!ET10</f>
        <v>158.26547622389671</v>
      </c>
      <c r="EC5" s="10">
        <f ca="1">+Tarifas!EU10</f>
        <v>158.26547622389671</v>
      </c>
      <c r="ED5" s="10">
        <f ca="1">+Tarifas!EV10</f>
        <v>158.26547622389671</v>
      </c>
      <c r="EE5" s="10">
        <f ca="1">+Tarifas!EW10</f>
        <v>158.26547622389671</v>
      </c>
      <c r="EF5" s="10">
        <f ca="1">+Tarifas!EX10</f>
        <v>158.26547622389671</v>
      </c>
      <c r="EG5" s="10">
        <f ca="1">+Tarifas!EY10</f>
        <v>158.26547622389671</v>
      </c>
      <c r="EH5" s="10">
        <f ca="1">+Tarifas!EZ10</f>
        <v>158.26547622389671</v>
      </c>
      <c r="EI5" s="10">
        <f ca="1">+Tarifas!FA10</f>
        <v>158.26547622389671</v>
      </c>
      <c r="EJ5" s="10">
        <f ca="1">+Tarifas!FB10</f>
        <v>163.01344051061361</v>
      </c>
      <c r="EK5" s="10">
        <f ca="1">+Tarifas!FC10</f>
        <v>163.01344051061361</v>
      </c>
      <c r="EL5" s="10">
        <f ca="1">+Tarifas!FD10</f>
        <v>163.01344051061361</v>
      </c>
      <c r="EM5" s="10">
        <f ca="1">+Tarifas!FE10</f>
        <v>163.01344051061361</v>
      </c>
      <c r="EN5" s="10">
        <f ca="1">+Tarifas!FF10</f>
        <v>163.01344051061361</v>
      </c>
      <c r="EO5" s="10">
        <f ca="1">+Tarifas!FG10</f>
        <v>163.01344051061361</v>
      </c>
      <c r="EP5" s="10">
        <f ca="1">+Tarifas!FH10</f>
        <v>163.01344051061361</v>
      </c>
      <c r="EQ5" s="10">
        <f ca="1">+Tarifas!FI10</f>
        <v>163.01344051061361</v>
      </c>
      <c r="ER5" s="10">
        <f ca="1">+Tarifas!FJ10</f>
        <v>163.01344051061361</v>
      </c>
      <c r="ES5" s="10">
        <f ca="1">+Tarifas!FK10</f>
        <v>163.01344051061361</v>
      </c>
      <c r="ET5" s="10">
        <f ca="1">+Tarifas!FL10</f>
        <v>163.01344051061361</v>
      </c>
      <c r="EU5" s="10">
        <f ca="1">+Tarifas!FM10</f>
        <v>163.01344051061361</v>
      </c>
      <c r="EV5" s="10">
        <f ca="1">+Tarifas!FN10</f>
        <v>167.90384372593201</v>
      </c>
      <c r="EW5" s="10">
        <f ca="1">+Tarifas!FO10</f>
        <v>167.90384372593201</v>
      </c>
      <c r="EX5" s="10">
        <f ca="1">+Tarifas!FP10</f>
        <v>167.90384372593201</v>
      </c>
      <c r="EY5" s="10">
        <f ca="1">+Tarifas!FQ10</f>
        <v>167.90384372593201</v>
      </c>
      <c r="EZ5" s="10">
        <f ca="1">+Tarifas!FR10</f>
        <v>167.90384372593201</v>
      </c>
      <c r="FA5" s="10">
        <f ca="1">+Tarifas!FS10</f>
        <v>167.90384372593201</v>
      </c>
      <c r="FB5" s="10">
        <f ca="1">+Tarifas!FT10</f>
        <v>167.90384372593201</v>
      </c>
      <c r="FC5" s="10">
        <f ca="1">+Tarifas!FU10</f>
        <v>167.90384372593201</v>
      </c>
      <c r="FD5" s="10">
        <f ca="1">+Tarifas!FV10</f>
        <v>167.90384372593201</v>
      </c>
      <c r="FE5" s="10">
        <f ca="1">+Tarifas!FW10</f>
        <v>167.90384372593201</v>
      </c>
      <c r="FF5" s="10">
        <f ca="1">+Tarifas!FX10</f>
        <v>167.90384372593201</v>
      </c>
      <c r="FG5" s="10">
        <f ca="1">+Tarifas!FY10</f>
        <v>167.90384372593201</v>
      </c>
      <c r="FH5" s="10">
        <f ca="1">+Tarifas!FZ10</f>
        <v>172.94095903770997</v>
      </c>
      <c r="FI5" s="10">
        <f ca="1">+Tarifas!GA10</f>
        <v>172.94095903770997</v>
      </c>
      <c r="FJ5" s="10">
        <f ca="1">+Tarifas!GB10</f>
        <v>172.94095903770997</v>
      </c>
      <c r="FK5" s="10">
        <f ca="1">+Tarifas!GC10</f>
        <v>172.94095903770997</v>
      </c>
      <c r="FL5" s="10">
        <f ca="1">+Tarifas!GD10</f>
        <v>172.94095903770997</v>
      </c>
      <c r="FM5" s="10">
        <f ca="1">+Tarifas!GE10</f>
        <v>172.94095903770997</v>
      </c>
      <c r="FN5" s="10">
        <f ca="1">+Tarifas!GF10</f>
        <v>172.94095903770997</v>
      </c>
      <c r="FO5" s="10">
        <f ca="1">+Tarifas!GG10</f>
        <v>172.94095903770997</v>
      </c>
      <c r="FP5" s="10">
        <f ca="1">+Tarifas!GH10</f>
        <v>172.94095903770997</v>
      </c>
      <c r="FQ5" s="10">
        <f ca="1">+Tarifas!GI10</f>
        <v>172.94095903770997</v>
      </c>
      <c r="FR5" s="10">
        <f ca="1">+Tarifas!GJ10</f>
        <v>172.94095903770997</v>
      </c>
      <c r="FS5" s="10">
        <f ca="1">+Tarifas!GK10</f>
        <v>172.94095903770997</v>
      </c>
      <c r="FT5" s="10">
        <f ca="1">+Tarifas!GL10</f>
        <v>178.12918780884127</v>
      </c>
      <c r="FU5" s="10">
        <f ca="1">+Tarifas!GM10</f>
        <v>178.12918780884127</v>
      </c>
      <c r="FV5" s="10">
        <f ca="1">+Tarifas!GN10</f>
        <v>178.12918780884127</v>
      </c>
      <c r="FW5" s="10">
        <f ca="1">+Tarifas!GO10</f>
        <v>178.12918780884127</v>
      </c>
      <c r="FX5" s="10">
        <f ca="1">+Tarifas!GP10</f>
        <v>178.12918780884127</v>
      </c>
      <c r="FY5" s="10">
        <f ca="1">+Tarifas!GQ10</f>
        <v>178.12918780884127</v>
      </c>
      <c r="FZ5" s="10">
        <f ca="1">+Tarifas!GR10</f>
        <v>178.12918780884127</v>
      </c>
      <c r="GA5" s="10">
        <f ca="1">+Tarifas!GS10</f>
        <v>178.12918780884127</v>
      </c>
      <c r="GB5" s="10">
        <f ca="1">+Tarifas!GT10</f>
        <v>178.12918780884127</v>
      </c>
      <c r="GC5" s="10">
        <f ca="1">+Tarifas!GU10</f>
        <v>178.12918780884127</v>
      </c>
      <c r="GD5" s="10">
        <f ca="1">+Tarifas!GV10</f>
        <v>178.12918780884127</v>
      </c>
      <c r="GE5" s="10">
        <f ca="1">+Tarifas!GW10</f>
        <v>178.12918780884127</v>
      </c>
      <c r="GF5" s="10">
        <f ca="1">+Tarifas!GX10</f>
        <v>183.4730634431065</v>
      </c>
      <c r="GG5" s="10">
        <f ca="1">+Tarifas!GY10</f>
        <v>183.4730634431065</v>
      </c>
      <c r="GH5" s="10">
        <f ca="1">+Tarifas!GZ10</f>
        <v>183.4730634431065</v>
      </c>
      <c r="GI5" s="10">
        <f ca="1">+Tarifas!HA10</f>
        <v>183.4730634431065</v>
      </c>
      <c r="GJ5" s="10">
        <f ca="1">+Tarifas!HB10</f>
        <v>183.4730634431065</v>
      </c>
      <c r="GK5" s="10">
        <f ca="1">+Tarifas!HC10</f>
        <v>183.4730634431065</v>
      </c>
      <c r="GL5" s="10">
        <f ca="1">+Tarifas!HD10</f>
        <v>183.4730634431065</v>
      </c>
      <c r="GM5" s="10">
        <f ca="1">+Tarifas!HE10</f>
        <v>183.4730634431065</v>
      </c>
      <c r="GN5" s="10">
        <f ca="1">+Tarifas!HF10</f>
        <v>183.4730634431065</v>
      </c>
      <c r="GO5" s="10">
        <f ca="1">+Tarifas!HG10</f>
        <v>183.4730634431065</v>
      </c>
      <c r="GP5" s="10">
        <f ca="1">+Tarifas!HH10</f>
        <v>183.4730634431065</v>
      </c>
      <c r="GQ5" s="10">
        <f ca="1">+Tarifas!HI10</f>
        <v>183.4730634431065</v>
      </c>
      <c r="GR5" s="10">
        <f ca="1">+Tarifas!HJ10</f>
        <v>188.97725534639969</v>
      </c>
      <c r="GS5" s="10">
        <f ca="1">+Tarifas!HK10</f>
        <v>188.97725534639969</v>
      </c>
      <c r="GT5" s="10">
        <f ca="1">+Tarifas!HL10</f>
        <v>188.97725534639969</v>
      </c>
      <c r="GU5" s="10">
        <f ca="1">+Tarifas!HM10</f>
        <v>188.97725534639969</v>
      </c>
      <c r="GV5" s="10">
        <f ca="1">+Tarifas!HN10</f>
        <v>188.97725534639969</v>
      </c>
      <c r="GW5" s="10">
        <f ca="1">+Tarifas!HO10</f>
        <v>188.97725534639969</v>
      </c>
      <c r="GX5" s="10">
        <f ca="1">+Tarifas!HP10</f>
        <v>188.97725534639969</v>
      </c>
      <c r="GY5" s="10">
        <f ca="1">+Tarifas!HQ10</f>
        <v>188.97725534639969</v>
      </c>
      <c r="GZ5" s="10">
        <f ca="1">+Tarifas!HR10</f>
        <v>188.97725534639969</v>
      </c>
      <c r="HA5" s="10">
        <f ca="1">+Tarifas!HS10</f>
        <v>188.97725534639969</v>
      </c>
      <c r="HB5" s="10">
        <f ca="1">+Tarifas!HT10</f>
        <v>188.97725534639969</v>
      </c>
      <c r="HC5" s="10">
        <f ca="1">+Tarifas!HU10</f>
        <v>188.97725534639969</v>
      </c>
      <c r="HD5" s="10">
        <f ca="1">+Tarifas!HV10</f>
        <v>194.64657300679167</v>
      </c>
      <c r="HE5" s="10">
        <f ca="1">+Tarifas!HW10</f>
        <v>194.64657300679167</v>
      </c>
      <c r="HF5" s="10">
        <f ca="1">+Tarifas!HX10</f>
        <v>194.64657300679167</v>
      </c>
      <c r="HG5" s="10">
        <f ca="1">+Tarifas!HY10</f>
        <v>194.64657300679167</v>
      </c>
      <c r="HH5" s="10">
        <f ca="1">+Tarifas!HZ10</f>
        <v>194.64657300679167</v>
      </c>
      <c r="HI5" s="10">
        <f ca="1">+Tarifas!IA10</f>
        <v>194.64657300679167</v>
      </c>
      <c r="HJ5" s="10">
        <f ca="1">+Tarifas!IB10</f>
        <v>194.64657300679167</v>
      </c>
      <c r="HK5" s="10">
        <f ca="1">+Tarifas!IC10</f>
        <v>194.64657300679167</v>
      </c>
      <c r="HL5" s="10">
        <f ca="1">+Tarifas!ID10</f>
        <v>194.64657300679167</v>
      </c>
      <c r="HM5" s="10">
        <f ca="1">+Tarifas!IE10</f>
        <v>194.64657300679167</v>
      </c>
      <c r="HN5" s="10">
        <f ca="1">+Tarifas!IF10</f>
        <v>194.64657300679167</v>
      </c>
      <c r="HO5" s="10">
        <f ca="1">+Tarifas!IG10</f>
        <v>194.64657300679167</v>
      </c>
      <c r="HP5" s="10">
        <f ca="1">+Tarifas!IH10</f>
        <v>200.48597019699542</v>
      </c>
      <c r="HQ5" s="10">
        <f ca="1">+Tarifas!II10</f>
        <v>200.48597019699542</v>
      </c>
      <c r="HR5" s="10">
        <f ca="1">+Tarifas!IJ10</f>
        <v>200.48597019699542</v>
      </c>
      <c r="HS5" s="10">
        <f ca="1">+Tarifas!IK10</f>
        <v>200.48597019699542</v>
      </c>
      <c r="HT5" s="10">
        <f ca="1">+Tarifas!IL10</f>
        <v>200.48597019699542</v>
      </c>
      <c r="HU5" s="10">
        <f ca="1">+Tarifas!IM10</f>
        <v>200.48597019699542</v>
      </c>
      <c r="HV5" s="10">
        <f ca="1">+Tarifas!IN10</f>
        <v>200.48597019699542</v>
      </c>
      <c r="HW5" s="10">
        <f ca="1">+Tarifas!IO10</f>
        <v>200.48597019699542</v>
      </c>
      <c r="HX5" s="10">
        <f ca="1">+Tarifas!IP10</f>
        <v>200.48597019699542</v>
      </c>
      <c r="HY5" s="10">
        <f ca="1">+Tarifas!IQ10</f>
        <v>200.48597019699542</v>
      </c>
      <c r="HZ5" s="10">
        <f ca="1">+Tarifas!IR10</f>
        <v>200.48597019699542</v>
      </c>
      <c r="IA5" s="10">
        <f ca="1">+Tarifas!IS10</f>
        <v>200.48597019699542</v>
      </c>
      <c r="IB5" s="10">
        <f ca="1">+Tarifas!IT10</f>
        <v>206.50054930290528</v>
      </c>
      <c r="IC5" s="10">
        <f ca="1">+Tarifas!IU10</f>
        <v>206.50054930290528</v>
      </c>
      <c r="ID5" s="10">
        <f ca="1">+Tarifas!IV10</f>
        <v>206.50054930290528</v>
      </c>
      <c r="IE5" s="10">
        <f ca="1">+Tarifas!IW10</f>
        <v>206.50054930290528</v>
      </c>
      <c r="IF5" s="10">
        <f ca="1">+Tarifas!IX10</f>
        <v>206.50054930290528</v>
      </c>
      <c r="IG5" s="10">
        <f ca="1">+Tarifas!IY10</f>
        <v>206.50054930290528</v>
      </c>
      <c r="IH5" s="10">
        <f ca="1">+Tarifas!IZ10</f>
        <v>206.50054930290528</v>
      </c>
      <c r="II5" s="10">
        <f ca="1">+Tarifas!JA10</f>
        <v>206.50054930290528</v>
      </c>
      <c r="IJ5" s="10">
        <f ca="1">+Tarifas!JB10</f>
        <v>206.50054930290528</v>
      </c>
      <c r="IK5" s="10">
        <f ca="1">+Tarifas!JC10</f>
        <v>206.50054930290528</v>
      </c>
      <c r="IL5" s="10">
        <f ca="1">+Tarifas!JD10</f>
        <v>206.50054930290528</v>
      </c>
      <c r="IM5" s="10">
        <f ca="1">+Tarifas!JE10</f>
        <v>206.50054930290528</v>
      </c>
      <c r="IN5" s="10"/>
      <c r="IO5" s="10"/>
    </row>
    <row r="6" spans="1:249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9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si="4"/>
        <v>0</v>
      </c>
      <c r="J8" s="33">
        <f ca="1">+I4*I5</f>
        <v>233483.89964738552</v>
      </c>
      <c r="K8" s="33">
        <f t="shared" ca="1" si="4"/>
        <v>278021.6345918703</v>
      </c>
      <c r="L8" s="33">
        <f t="shared" ca="1" si="4"/>
        <v>252552.48776191767</v>
      </c>
      <c r="M8" s="33">
        <f t="shared" ca="1" si="4"/>
        <v>244867.4362589386</v>
      </c>
      <c r="N8" s="33">
        <f t="shared" ca="1" si="4"/>
        <v>246135.54614909223</v>
      </c>
      <c r="O8" s="33">
        <f t="shared" ca="1" si="4"/>
        <v>261918.16683016066</v>
      </c>
      <c r="P8" s="33">
        <f t="shared" ca="1" si="4"/>
        <v>258074.98628871058</v>
      </c>
      <c r="Q8" s="33">
        <f t="shared" ca="1" si="4"/>
        <v>241516.47068493298</v>
      </c>
      <c r="R8" s="33">
        <f ca="1">+Q4*Q5</f>
        <v>217744.71900205518</v>
      </c>
      <c r="S8" s="33">
        <f t="shared" ca="1" si="4"/>
        <v>208097.43366792329</v>
      </c>
      <c r="T8" s="33">
        <f t="shared" ca="1" si="4"/>
        <v>219977.06364712282</v>
      </c>
      <c r="U8" s="33">
        <f t="shared" ca="1" si="4"/>
        <v>260327.03479212502</v>
      </c>
      <c r="V8" s="33">
        <f t="shared" ca="1" si="4"/>
        <v>239997.6239497932</v>
      </c>
      <c r="W8" s="33">
        <f t="shared" ca="1" si="4"/>
        <v>285777.87080589251</v>
      </c>
      <c r="X8" s="33">
        <f t="shared" ca="1" si="4"/>
        <v>259598.18675723489</v>
      </c>
      <c r="Y8" s="33">
        <f t="shared" ca="1" si="4"/>
        <v>251698.73800110121</v>
      </c>
      <c r="Z8" s="33">
        <f t="shared" ca="1" si="4"/>
        <v>253002.2255692108</v>
      </c>
      <c r="AA8" s="33">
        <f t="shared" ca="1" si="4"/>
        <v>269225.149157851</v>
      </c>
      <c r="AB8" s="33">
        <f t="shared" ca="1" si="4"/>
        <v>265545.43911267107</v>
      </c>
      <c r="AC8" s="33">
        <f t="shared" ca="1" si="4"/>
        <v>248507.60696825653</v>
      </c>
      <c r="AD8" s="33">
        <f t="shared" ca="1" si="4"/>
        <v>224047.73842429265</v>
      </c>
      <c r="AE8" s="33">
        <f t="shared" ca="1" si="4"/>
        <v>214121.19475906738</v>
      </c>
      <c r="AF8" s="33">
        <f t="shared" ca="1" si="4"/>
        <v>226344.70237089586</v>
      </c>
      <c r="AG8" s="33">
        <f t="shared" ca="1" si="4"/>
        <v>267862.67728186434</v>
      </c>
      <c r="AH8" s="33">
        <f t="shared" ca="1" si="4"/>
        <v>246944.79443447484</v>
      </c>
      <c r="AI8" s="33">
        <f t="shared" ca="1" si="4"/>
        <v>294050.23432584631</v>
      </c>
      <c r="AJ8" s="33">
        <f t="shared" ca="1" si="4"/>
        <v>267112.73140661861</v>
      </c>
      <c r="AK8" s="33">
        <f t="shared" ca="1" si="4"/>
        <v>258984.61864814741</v>
      </c>
      <c r="AL8" s="33">
        <f t="shared" ca="1" si="4"/>
        <v>260325.83804964466</v>
      </c>
      <c r="AM8" s="33">
        <f t="shared" ca="1" si="4"/>
        <v>277018.36385382112</v>
      </c>
      <c r="AN8" s="33">
        <f t="shared" ca="1" si="4"/>
        <v>273231.85161840945</v>
      </c>
      <c r="AO8" s="33">
        <f t="shared" ca="1" si="4"/>
        <v>255700.84660496312</v>
      </c>
      <c r="AP8" s="33">
        <f t="shared" ca="1" si="4"/>
        <v>230532.96876476245</v>
      </c>
      <c r="AQ8" s="33">
        <f t="shared" ca="1" si="4"/>
        <v>220319.09382537901</v>
      </c>
      <c r="AR8" s="33">
        <f t="shared" ca="1" si="4"/>
        <v>232896.4200608129</v>
      </c>
      <c r="AS8" s="33">
        <f t="shared" ca="1" si="4"/>
        <v>275616.16398967517</v>
      </c>
      <c r="AT8" s="33">
        <f t="shared" ca="1" si="4"/>
        <v>263167.54004692117</v>
      </c>
      <c r="AU8" s="33">
        <f t="shared" ca="1" si="4"/>
        <v>302561.739573272</v>
      </c>
      <c r="AV8" s="33">
        <f t="shared" ca="1" si="4"/>
        <v>274844.51036688389</v>
      </c>
      <c r="AW8" s="33">
        <f t="shared" ca="1" si="4"/>
        <v>266481.12326981546</v>
      </c>
      <c r="AX8" s="33">
        <f t="shared" ca="1" si="4"/>
        <v>267861.16527589236</v>
      </c>
      <c r="AY8" s="33">
        <f t="shared" ca="1" si="4"/>
        <v>285036.86879730748</v>
      </c>
      <c r="AZ8" s="33">
        <f t="shared" ca="1" si="4"/>
        <v>281140.45797929069</v>
      </c>
      <c r="BA8" s="33">
        <f t="shared" ca="1" si="4"/>
        <v>263102.02377360064</v>
      </c>
      <c r="BB8" s="33">
        <f t="shared" ca="1" si="4"/>
        <v>237205.66996107853</v>
      </c>
      <c r="BC8" s="33">
        <f t="shared" ca="1" si="4"/>
        <v>226696.15776038609</v>
      </c>
      <c r="BD8" s="33">
        <f t="shared" ca="1" si="4"/>
        <v>239637.53057999117</v>
      </c>
      <c r="BE8" s="33">
        <f t="shared" ca="1" si="4"/>
        <v>283593.78349040088</v>
      </c>
      <c r="BF8" s="33">
        <f t="shared" ca="1" si="4"/>
        <v>261447.42999503168</v>
      </c>
      <c r="BG8" s="33">
        <f t="shared" ca="1" si="4"/>
        <v>311319.28992465005</v>
      </c>
      <c r="BH8" s="33">
        <f t="shared" ca="1" si="4"/>
        <v>282799.7946064992</v>
      </c>
      <c r="BI8" s="33">
        <f t="shared" ca="1" si="4"/>
        <v>274194.33201200014</v>
      </c>
      <c r="BJ8" s="33">
        <f t="shared" ca="1" si="4"/>
        <v>275614.31888147019</v>
      </c>
      <c r="BK8" s="33">
        <f t="shared" ca="1" si="4"/>
        <v>293287.16750993434</v>
      </c>
      <c r="BL8" s="33">
        <f t="shared" ca="1" si="4"/>
        <v>288089.67340216337</v>
      </c>
      <c r="BM8" s="33">
        <f t="shared" ca="1" si="4"/>
        <v>269605.36610482499</v>
      </c>
      <c r="BN8" s="33">
        <f t="shared" ca="1" si="4"/>
        <v>243068.90754678319</v>
      </c>
      <c r="BO8" s="33">
        <f t="shared" ca="1" si="4"/>
        <v>232299.62176246333</v>
      </c>
      <c r="BP8" s="33">
        <f t="shared" ca="1" si="4"/>
        <v>245560.87877176324</v>
      </c>
      <c r="BQ8" s="33">
        <f t="shared" ref="BQ8:EB8" ca="1" si="5">+BP4*BP5</f>
        <v>290603.64008744562</v>
      </c>
      <c r="BR8" s="33">
        <f t="shared" ca="1" si="5"/>
        <v>267909.87416208844</v>
      </c>
      <c r="BS8" s="33">
        <f t="shared" ca="1" si="5"/>
        <v>319014.46416791581</v>
      </c>
      <c r="BT8" s="33">
        <f t="shared" ca="1" si="5"/>
        <v>289790.02542702906</v>
      </c>
      <c r="BU8" s="33">
        <f t="shared" ca="1" si="5"/>
        <v>280971.85344942502</v>
      </c>
      <c r="BV8" s="33">
        <f t="shared" ca="1" si="5"/>
        <v>282426.93948151468</v>
      </c>
      <c r="BW8" s="33">
        <f t="shared" ca="1" si="5"/>
        <v>300536.62467607739</v>
      </c>
      <c r="BX8" s="33">
        <f t="shared" ca="1" si="5"/>
        <v>295202.81533822708</v>
      </c>
      <c r="BY8" s="33">
        <f t="shared" ca="1" si="5"/>
        <v>276262.11715452664</v>
      </c>
      <c r="BZ8" s="33">
        <f t="shared" ca="1" si="5"/>
        <v>249070.45428466509</v>
      </c>
      <c r="CA8" s="33">
        <f t="shared" ca="1" si="5"/>
        <v>238035.26706268088</v>
      </c>
      <c r="CB8" s="33">
        <f t="shared" ca="1" si="5"/>
        <v>251623.95407751971</v>
      </c>
      <c r="CC8" s="33">
        <f t="shared" ca="1" si="5"/>
        <v>297778.85367517179</v>
      </c>
      <c r="CD8" s="33">
        <f t="shared" ca="1" si="5"/>
        <v>274524.76229217305</v>
      </c>
      <c r="CE8" s="33">
        <f t="shared" ca="1" si="5"/>
        <v>326891.16150484525</v>
      </c>
      <c r="CF8" s="33">
        <f t="shared" ca="1" si="5"/>
        <v>296945.15028164483</v>
      </c>
      <c r="CG8" s="33">
        <f t="shared" ca="1" si="5"/>
        <v>287909.2512742845</v>
      </c>
      <c r="CH8" s="33">
        <f t="shared" ca="1" si="5"/>
        <v>289400.26443056861</v>
      </c>
      <c r="CI8" s="33">
        <f t="shared" ca="1" si="5"/>
        <v>307957.09082143009</v>
      </c>
      <c r="CJ8" s="33">
        <f t="shared" ca="1" si="5"/>
        <v>302483.46508439281</v>
      </c>
      <c r="CK8" s="33">
        <f t="shared" ca="1" si="5"/>
        <v>283075.62843771605</v>
      </c>
      <c r="CL8" s="33">
        <f t="shared" ca="1" si="5"/>
        <v>255213.33181002786</v>
      </c>
      <c r="CM8" s="33">
        <f t="shared" ca="1" si="5"/>
        <v>243905.98142132521</v>
      </c>
      <c r="CN8" s="33">
        <f t="shared" ca="1" si="5"/>
        <v>257829.8091107269</v>
      </c>
      <c r="CO8" s="33">
        <f t="shared" ca="1" si="5"/>
        <v>305123.03680208279</v>
      </c>
      <c r="CP8" s="33">
        <f t="shared" ca="1" si="5"/>
        <v>291341.68999557802</v>
      </c>
      <c r="CQ8" s="33">
        <f t="shared" ca="1" si="5"/>
        <v>334953.34766423941</v>
      </c>
      <c r="CR8" s="33">
        <f t="shared" ca="1" si="5"/>
        <v>304268.77160465339</v>
      </c>
      <c r="CS8" s="33">
        <f t="shared" ca="1" si="5"/>
        <v>295010.01830053108</v>
      </c>
      <c r="CT8" s="33">
        <f t="shared" ca="1" si="5"/>
        <v>296537.8046310324</v>
      </c>
      <c r="CU8" s="33">
        <f t="shared" ca="1" si="5"/>
        <v>315552.30197329546</v>
      </c>
      <c r="CV8" s="33">
        <f t="shared" ca="1" si="5"/>
        <v>309935.27128152386</v>
      </c>
      <c r="CW8" s="33">
        <f t="shared" ca="1" si="5"/>
        <v>290049.31449245766</v>
      </c>
      <c r="CX8" s="33">
        <f t="shared" ca="1" si="5"/>
        <v>261500.61857805619</v>
      </c>
      <c r="CY8" s="33">
        <f t="shared" ca="1" si="5"/>
        <v>249914.70690113187</v>
      </c>
      <c r="CZ8" s="33">
        <f t="shared" ca="1" si="5"/>
        <v>264181.55388725683</v>
      </c>
      <c r="DA8" s="33">
        <f t="shared" ca="1" si="5"/>
        <v>312639.86994830082</v>
      </c>
      <c r="DB8" s="33">
        <f t="shared" ca="1" si="5"/>
        <v>288225.25482026621</v>
      </c>
      <c r="DC8" s="33">
        <f t="shared" ca="1" si="5"/>
        <v>343205.06294784287</v>
      </c>
      <c r="DD8" s="33">
        <f t="shared" ca="1" si="5"/>
        <v>311764.55957178882</v>
      </c>
      <c r="DE8" s="33">
        <f t="shared" ca="1" si="5"/>
        <v>302277.71302220569</v>
      </c>
      <c r="DF8" s="33">
        <f t="shared" ca="1" si="5"/>
        <v>303843.13700553653</v>
      </c>
      <c r="DG8" s="33">
        <f t="shared" ca="1" si="5"/>
        <v>323326.06441253342</v>
      </c>
      <c r="DH8" s="33">
        <f t="shared" ca="1" si="5"/>
        <v>317561.95073190698</v>
      </c>
      <c r="DI8" s="33">
        <f t="shared" ca="1" si="5"/>
        <v>297186.65364488994</v>
      </c>
      <c r="DJ8" s="33">
        <f t="shared" ca="1" si="5"/>
        <v>267935.45055353717</v>
      </c>
      <c r="DK8" s="33">
        <f t="shared" ca="1" si="5"/>
        <v>256064.4405264477</v>
      </c>
      <c r="DL8" s="33">
        <f t="shared" ca="1" si="5"/>
        <v>270682.35652217886</v>
      </c>
      <c r="DM8" s="33">
        <f t="shared" ca="1" si="5"/>
        <v>320333.10235016997</v>
      </c>
      <c r="DN8" s="33">
        <f t="shared" ca="1" si="5"/>
        <v>295317.70873469161</v>
      </c>
      <c r="DO8" s="33">
        <f t="shared" ca="1" si="5"/>
        <v>351650.42313556466</v>
      </c>
      <c r="DP8" s="33">
        <f t="shared" ca="1" si="5"/>
        <v>319436.25292250834</v>
      </c>
      <c r="DQ8" s="33">
        <f t="shared" ca="1" si="5"/>
        <v>309715.96041071025</v>
      </c>
      <c r="DR8" s="33">
        <f t="shared" ca="1" si="5"/>
        <v>311319.90529834293</v>
      </c>
      <c r="DS8" s="33">
        <f t="shared" ca="1" si="5"/>
        <v>331282.25552634965</v>
      </c>
      <c r="DT8" s="33">
        <f t="shared" ca="1" si="5"/>
        <v>323645.76915645512</v>
      </c>
      <c r="DU8" s="33">
        <f t="shared" ca="1" si="5"/>
        <v>312976.12841503351</v>
      </c>
      <c r="DV8" s="33">
        <f t="shared" ca="1" si="5"/>
        <v>273068.52971151017</v>
      </c>
      <c r="DW8" s="33">
        <f t="shared" ca="1" si="5"/>
        <v>269669.09932803182</v>
      </c>
      <c r="DX8" s="33">
        <f t="shared" ca="1" si="5"/>
        <v>275868.06061555113</v>
      </c>
      <c r="DY8" s="33">
        <f t="shared" ca="1" si="5"/>
        <v>326470.01020572061</v>
      </c>
      <c r="DZ8" s="33">
        <f t="shared" ca="1" si="5"/>
        <v>300975.37431255623</v>
      </c>
      <c r="EA8" s="33">
        <f t="shared" ca="1" si="5"/>
        <v>358387.30492616171</v>
      </c>
      <c r="EB8" s="33">
        <f t="shared" ca="1" si="5"/>
        <v>325555.97903112893</v>
      </c>
      <c r="EC8" s="33">
        <f t="shared" ref="EC8:GN8" ca="1" si="6">+EB4*EB5</f>
        <v>315649.46617857856</v>
      </c>
      <c r="ED8" s="33">
        <f t="shared" ca="1" si="6"/>
        <v>317284.13927353226</v>
      </c>
      <c r="EE8" s="33">
        <f t="shared" ca="1" si="6"/>
        <v>337628.92610590713</v>
      </c>
      <c r="EF8" s="33">
        <f t="shared" ca="1" si="6"/>
        <v>329808.81093081733</v>
      </c>
      <c r="EG8" s="33">
        <f t="shared" ca="1" si="6"/>
        <v>318935.99298804323</v>
      </c>
      <c r="EH8" s="33">
        <f t="shared" ca="1" si="6"/>
        <v>278268.45171346341</v>
      </c>
      <c r="EI8" s="33">
        <f t="shared" ca="1" si="6"/>
        <v>274804.28749608685</v>
      </c>
      <c r="EJ8" s="33">
        <f t="shared" ca="1" si="6"/>
        <v>281121.29283365578</v>
      </c>
      <c r="EK8" s="33">
        <f t="shared" ca="1" si="6"/>
        <v>332686.8327404891</v>
      </c>
      <c r="EL8" s="33">
        <f t="shared" ca="1" si="6"/>
        <v>317660.52509748976</v>
      </c>
      <c r="EM8" s="33">
        <f t="shared" ca="1" si="6"/>
        <v>365211.91424337274</v>
      </c>
      <c r="EN8" s="33">
        <f t="shared" ca="1" si="6"/>
        <v>331755.39607863658</v>
      </c>
      <c r="EO8" s="33">
        <f t="shared" ca="1" si="6"/>
        <v>321660.23792814935</v>
      </c>
      <c r="EP8" s="33">
        <f t="shared" ca="1" si="6"/>
        <v>323326.03937246435</v>
      </c>
      <c r="EQ8" s="33">
        <f t="shared" ca="1" si="6"/>
        <v>344058.2428902642</v>
      </c>
      <c r="ER8" s="33">
        <f t="shared" ca="1" si="6"/>
        <v>336050.35401940055</v>
      </c>
      <c r="ES8" s="33">
        <f t="shared" ca="1" si="6"/>
        <v>324971.77091985993</v>
      </c>
      <c r="ET8" s="33">
        <f t="shared" ca="1" si="6"/>
        <v>283534.60735879344</v>
      </c>
      <c r="EU8" s="33">
        <f t="shared" ca="1" si="6"/>
        <v>280004.88476483</v>
      </c>
      <c r="EV8" s="33">
        <f t="shared" ca="1" si="6"/>
        <v>286441.43773029267</v>
      </c>
      <c r="EW8" s="33">
        <f t="shared" ca="1" si="6"/>
        <v>338982.84161815856</v>
      </c>
      <c r="EX8" s="33">
        <f t="shared" ca="1" si="6"/>
        <v>312511.05599950592</v>
      </c>
      <c r="EY8" s="33">
        <f t="shared" ca="1" si="6"/>
        <v>372123.45154518279</v>
      </c>
      <c r="EZ8" s="33">
        <f t="shared" ca="1" si="6"/>
        <v>338033.77776786668</v>
      </c>
      <c r="FA8" s="33">
        <f t="shared" ca="1" si="6"/>
        <v>327747.57146313367</v>
      </c>
      <c r="FB8" s="33">
        <f t="shared" ca="1" si="6"/>
        <v>329444.89775198628</v>
      </c>
      <c r="FC8" s="33">
        <f t="shared" ca="1" si="6"/>
        <v>350569.45264818752</v>
      </c>
      <c r="FD8" s="33">
        <f t="shared" ca="1" si="6"/>
        <v>342369.56176346104</v>
      </c>
      <c r="FE8" s="33">
        <f t="shared" ca="1" si="6"/>
        <v>331082.65313389641</v>
      </c>
      <c r="FF8" s="33">
        <f t="shared" ca="1" si="6"/>
        <v>288866.29073630116</v>
      </c>
      <c r="FG8" s="33">
        <f t="shared" ca="1" si="6"/>
        <v>285270.19401095127</v>
      </c>
      <c r="FH8" s="33">
        <f t="shared" ca="1" si="6"/>
        <v>291827.78215717751</v>
      </c>
      <c r="FI8" s="33">
        <f t="shared" ca="1" si="6"/>
        <v>345357.19287902175</v>
      </c>
      <c r="FJ8" s="33">
        <f t="shared" ca="1" si="6"/>
        <v>318387.62259601842</v>
      </c>
      <c r="FK8" s="33">
        <f t="shared" ca="1" si="6"/>
        <v>379120.99036228238</v>
      </c>
      <c r="FL8" s="33">
        <f t="shared" ca="1" si="6"/>
        <v>344390.28250197991</v>
      </c>
      <c r="FM8" s="33">
        <f t="shared" ca="1" si="6"/>
        <v>333910.65079608181</v>
      </c>
      <c r="FN8" s="33">
        <f t="shared" ca="1" si="6"/>
        <v>335639.89419884427</v>
      </c>
      <c r="FO8" s="33">
        <f t="shared" ca="1" si="6"/>
        <v>357161.68257298495</v>
      </c>
      <c r="FP8" s="33">
        <f t="shared" ca="1" si="6"/>
        <v>348765.47665354767</v>
      </c>
      <c r="FQ8" s="33">
        <f t="shared" ca="1" si="6"/>
        <v>337267.71368694719</v>
      </c>
      <c r="FR8" s="33">
        <f t="shared" ca="1" si="6"/>
        <v>294262.69396983646</v>
      </c>
      <c r="FS8" s="33">
        <f t="shared" ca="1" si="6"/>
        <v>290599.41741555143</v>
      </c>
      <c r="FT8" s="33">
        <f t="shared" ca="1" si="6"/>
        <v>297279.50995571824</v>
      </c>
      <c r="FU8" s="33">
        <f t="shared" ca="1" si="6"/>
        <v>351808.92065808037</v>
      </c>
      <c r="FV8" s="33">
        <f t="shared" ca="1" si="6"/>
        <v>324335.52323792205</v>
      </c>
      <c r="FW8" s="33">
        <f t="shared" ca="1" si="6"/>
        <v>386203.47040201735</v>
      </c>
      <c r="FX8" s="33">
        <f t="shared" ca="1" si="6"/>
        <v>350823.94712014875</v>
      </c>
      <c r="FY8" s="33">
        <f t="shared" ca="1" si="6"/>
        <v>340148.54207468987</v>
      </c>
      <c r="FZ8" s="33">
        <f t="shared" ca="1" si="6"/>
        <v>341910.090024537</v>
      </c>
      <c r="GA8" s="33">
        <f t="shared" ca="1" si="6"/>
        <v>363833.93378588685</v>
      </c>
      <c r="GB8" s="33">
        <f t="shared" ca="1" si="6"/>
        <v>355237.01383145241</v>
      </c>
      <c r="GC8" s="33">
        <f t="shared" ca="1" si="6"/>
        <v>343525.90348536056</v>
      </c>
      <c r="GD8" s="33">
        <f t="shared" ca="1" si="6"/>
        <v>299722.90173572121</v>
      </c>
      <c r="GE8" s="33">
        <f t="shared" ca="1" si="6"/>
        <v>295991.6510498178</v>
      </c>
      <c r="GF8" s="33">
        <f t="shared" ca="1" si="6"/>
        <v>302795.6964182299</v>
      </c>
      <c r="GG8" s="33">
        <f t="shared" ca="1" si="6"/>
        <v>358336.93063029146</v>
      </c>
      <c r="GH8" s="33">
        <f t="shared" ca="1" si="6"/>
        <v>342152.09723864641</v>
      </c>
      <c r="GI8" s="33">
        <f t="shared" ca="1" si="6"/>
        <v>393369.69035281031</v>
      </c>
      <c r="GJ8" s="33">
        <f t="shared" ca="1" si="6"/>
        <v>357333.68036115589</v>
      </c>
      <c r="GK8" s="33">
        <f t="shared" ca="1" si="6"/>
        <v>346460.18724429799</v>
      </c>
      <c r="GL8" s="33">
        <f t="shared" ca="1" si="6"/>
        <v>348254.42169499217</v>
      </c>
      <c r="GM8" s="33">
        <f t="shared" ca="1" si="6"/>
        <v>370585.07455724716</v>
      </c>
      <c r="GN8" s="33">
        <f t="shared" ca="1" si="6"/>
        <v>361782.9543110432</v>
      </c>
      <c r="GO8" s="33">
        <f t="shared" ref="GO8:IH8" ca="1" si="7">+GN4*GN5</f>
        <v>349856.04372936039</v>
      </c>
      <c r="GP8" s="33">
        <f t="shared" ca="1" si="7"/>
        <v>305245.88554298616</v>
      </c>
      <c r="GQ8" s="33">
        <f t="shared" ca="1" si="7"/>
        <v>301445.87922646606</v>
      </c>
      <c r="GR8" s="33">
        <f t="shared" ca="1" si="7"/>
        <v>308375.30250953214</v>
      </c>
      <c r="GS8" s="33">
        <f t="shared" ca="1" si="7"/>
        <v>364939.99317224283</v>
      </c>
      <c r="GT8" s="33">
        <f t="shared" ca="1" si="7"/>
        <v>336441.16645637562</v>
      </c>
      <c r="GU8" s="33">
        <f t="shared" ca="1" si="7"/>
        <v>400618.30037728901</v>
      </c>
      <c r="GV8" s="33">
        <f t="shared" ca="1" si="7"/>
        <v>363918.25604421535</v>
      </c>
      <c r="GW8" s="33">
        <f t="shared" ca="1" si="7"/>
        <v>352844.39743621531</v>
      </c>
      <c r="GX8" s="33">
        <f t="shared" ca="1" si="7"/>
        <v>354671.69418465276</v>
      </c>
      <c r="GY8" s="33">
        <f t="shared" ca="1" si="7"/>
        <v>377413.8332344818</v>
      </c>
      <c r="GZ8" s="33">
        <f t="shared" ca="1" si="7"/>
        <v>368401.93790696113</v>
      </c>
      <c r="HA8" s="33">
        <f t="shared" ca="1" si="7"/>
        <v>356256.81907486351</v>
      </c>
      <c r="HB8" s="33">
        <f t="shared" ca="1" si="7"/>
        <v>310830.49776712491</v>
      </c>
      <c r="HC8" s="33">
        <f t="shared" ca="1" si="7"/>
        <v>306960.96860776853</v>
      </c>
      <c r="HD8" s="33">
        <f t="shared" ca="1" si="7"/>
        <v>314017.16883953603</v>
      </c>
      <c r="HE8" s="33">
        <f t="shared" ca="1" si="7"/>
        <v>371616.73622914409</v>
      </c>
      <c r="HF8" s="33">
        <f t="shared" ca="1" si="7"/>
        <v>342596.51052449801</v>
      </c>
      <c r="HG8" s="33">
        <f t="shared" ca="1" si="7"/>
        <v>407947.79428191896</v>
      </c>
      <c r="HH8" s="33">
        <f t="shared" ca="1" si="7"/>
        <v>370576.30595593335</v>
      </c>
      <c r="HI8" s="33">
        <f t="shared" ca="1" si="7"/>
        <v>359299.84607112792</v>
      </c>
      <c r="HJ8" s="33">
        <f t="shared" ca="1" si="7"/>
        <v>361160.57404416741</v>
      </c>
      <c r="HK8" s="33">
        <f t="shared" ca="1" si="7"/>
        <v>384318.790865249</v>
      </c>
      <c r="HL8" s="33">
        <f t="shared" ca="1" si="7"/>
        <v>375092.45585975412</v>
      </c>
      <c r="HM8" s="33">
        <f t="shared" ca="1" si="7"/>
        <v>362726.77050174034</v>
      </c>
      <c r="HN8" s="33">
        <f t="shared" ca="1" si="7"/>
        <v>316475.46542772325</v>
      </c>
      <c r="HO8" s="33">
        <f t="shared" ca="1" si="7"/>
        <v>312535.66206064518</v>
      </c>
      <c r="HP8" s="33">
        <f t="shared" ca="1" si="7"/>
        <v>319720.00937708159</v>
      </c>
      <c r="HQ8" s="33">
        <f t="shared" ca="1" si="7"/>
        <v>378365.63787560444</v>
      </c>
      <c r="HR8" s="33">
        <f t="shared" ca="1" si="7"/>
        <v>348818.37818689691</v>
      </c>
      <c r="HS8" s="33">
        <f t="shared" ca="1" si="7"/>
        <v>415356.50135048712</v>
      </c>
      <c r="HT8" s="33">
        <f t="shared" ca="1" si="7"/>
        <v>377306.31243191479</v>
      </c>
      <c r="HU8" s="33">
        <f t="shared" ca="1" si="7"/>
        <v>365825.06166644266</v>
      </c>
      <c r="HV8" s="33">
        <f t="shared" ca="1" si="7"/>
        <v>367719.5821704868</v>
      </c>
      <c r="HW8" s="33">
        <f t="shared" ca="1" si="7"/>
        <v>391298.37350395124</v>
      </c>
      <c r="HX8" s="33">
        <f t="shared" ca="1" si="7"/>
        <v>381852.84314559866</v>
      </c>
      <c r="HY8" s="33">
        <f t="shared" ca="1" si="7"/>
        <v>369264.28787706239</v>
      </c>
      <c r="HZ8" s="33">
        <f t="shared" ca="1" si="7"/>
        <v>322179.38369996712</v>
      </c>
      <c r="IA8" s="33">
        <f t="shared" ca="1" si="7"/>
        <v>318168.57224894752</v>
      </c>
      <c r="IB8" s="33">
        <f t="shared" ca="1" si="7"/>
        <v>325482.40489492437</v>
      </c>
      <c r="IC8" s="33">
        <f t="shared" ca="1" si="7"/>
        <v>385185.01855824614</v>
      </c>
      <c r="ID8" s="33">
        <f t="shared" ca="1" si="7"/>
        <v>367787.55037276662</v>
      </c>
      <c r="IE8" s="33">
        <f t="shared" ca="1" si="7"/>
        <v>422842.57782831567</v>
      </c>
      <c r="IF8" s="33">
        <f t="shared" ca="1" si="7"/>
        <v>384106.60062109458</v>
      </c>
      <c r="IG8" s="33">
        <f t="shared" ca="1" si="7"/>
        <v>372418.42033601226</v>
      </c>
      <c r="IH8" s="33">
        <f t="shared" ca="1" si="7"/>
        <v>374347.08626774553</v>
      </c>
      <c r="II8" s="33">
        <f t="shared" ref="II8" ca="1" si="8">+IH4*IH5</f>
        <v>398350.84418919694</v>
      </c>
      <c r="IJ8" s="33">
        <f t="shared" ref="IJ8" ca="1" si="9">+II4*II5</f>
        <v>389683.46596586535</v>
      </c>
      <c r="IK8" s="33">
        <f t="shared" ref="IK8" ca="1" si="10">+IJ4*IJ5</f>
        <v>377713.12285083957</v>
      </c>
      <c r="IL8" s="33">
        <f t="shared" ref="IL8" ca="1" si="11">+IK4*IK5</f>
        <v>330315.52666160621</v>
      </c>
      <c r="IM8" s="33">
        <f t="shared" ref="IM8" ca="1" si="12">+IL4*IL5</f>
        <v>326958.52888780634</v>
      </c>
      <c r="IN8" s="33"/>
      <c r="IO8" s="33"/>
    </row>
    <row r="9" spans="1:249" x14ac:dyDescent="0.3">
      <c r="A9" t="s">
        <v>813</v>
      </c>
      <c r="B9" s="30" t="e">
        <f>+#REF!</f>
        <v>#REF!</v>
      </c>
      <c r="C9" s="30">
        <f>+Producción!E42</f>
        <v>0</v>
      </c>
      <c r="D9" s="30">
        <f>+Producción!F42</f>
        <v>0</v>
      </c>
      <c r="E9" s="30">
        <f>+Producción!G42</f>
        <v>0</v>
      </c>
      <c r="F9" s="30">
        <f>+Producción!H42</f>
        <v>0</v>
      </c>
      <c r="G9" s="30">
        <f>+Producción!I42</f>
        <v>0</v>
      </c>
      <c r="H9" s="30">
        <f>+Producción!J42</f>
        <v>0</v>
      </c>
      <c r="I9" s="30" t="e">
        <f ca="1">+Producción!K42+SUM(Producción!K24:K26)</f>
        <v>#VALUE!</v>
      </c>
      <c r="J9" s="30" t="e">
        <f ca="1">+Producción!L42+SUM(Producción!L24:L26)</f>
        <v>#VALUE!</v>
      </c>
      <c r="K9" s="30" t="e">
        <f ca="1">+Producción!M42+SUM(Producción!M24:M26)</f>
        <v>#VALUE!</v>
      </c>
      <c r="L9" s="30" t="e">
        <f ca="1">+Producción!N42+SUM(Producción!N24:N26)</f>
        <v>#VALUE!</v>
      </c>
      <c r="M9" s="30" t="e">
        <f ca="1">+Producción!O42+SUM(Producción!O24:O26)</f>
        <v>#VALUE!</v>
      </c>
      <c r="N9" s="30" t="e">
        <f ca="1">+Producción!P42+SUM(Producción!P24:P26)</f>
        <v>#VALUE!</v>
      </c>
      <c r="O9" s="30" t="e">
        <f ca="1">+Producción!Q42+SUM(Producción!Q24:Q26)</f>
        <v>#VALUE!</v>
      </c>
      <c r="P9" s="30" t="e">
        <f ca="1">+Producción!R42+SUM(Producción!R24:R26)</f>
        <v>#VALUE!</v>
      </c>
      <c r="Q9" s="30" t="e">
        <f ca="1">+Producción!S42+SUM(Producción!S24:S26)</f>
        <v>#VALUE!</v>
      </c>
      <c r="R9" s="30" t="e">
        <f ca="1">+Producción!T42+SUM(Producción!T24:T26)</f>
        <v>#VALUE!</v>
      </c>
      <c r="S9" s="30" t="e">
        <f ca="1">+Producción!U42+SUM(Producción!U24:U26)</f>
        <v>#VALUE!</v>
      </c>
      <c r="T9" s="30" t="e">
        <f ca="1">+Producción!V42+SUM(Producción!V24:V26)</f>
        <v>#VALUE!</v>
      </c>
      <c r="U9" s="30" t="e">
        <f ca="1">+Producción!W42+SUM(Producción!W24:W26)</f>
        <v>#VALUE!</v>
      </c>
      <c r="V9" s="30" t="e">
        <f ca="1">+Producción!X42+SUM(Producción!X24:X26)</f>
        <v>#VALUE!</v>
      </c>
      <c r="W9" s="30" t="e">
        <f ca="1">+Producción!Y42+SUM(Producción!Y24:Y26)</f>
        <v>#VALUE!</v>
      </c>
      <c r="X9" s="30" t="e">
        <f ca="1">+Producción!Z42+SUM(Producción!Z24:Z26)</f>
        <v>#VALUE!</v>
      </c>
      <c r="Y9" s="30" t="e">
        <f ca="1">+Producción!AA42+SUM(Producción!AA24:AA26)</f>
        <v>#VALUE!</v>
      </c>
      <c r="Z9" s="30" t="e">
        <f ca="1">+Producción!AB42+SUM(Producción!AB24:AB26)</f>
        <v>#VALUE!</v>
      </c>
      <c r="AA9" s="30" t="e">
        <f ca="1">+Producción!AC42+SUM(Producción!AC24:AC26)</f>
        <v>#VALUE!</v>
      </c>
      <c r="AB9" s="30" t="e">
        <f ca="1">+Producción!AD42+SUM(Producción!AD24:AD26)</f>
        <v>#VALUE!</v>
      </c>
      <c r="AC9" s="30" t="e">
        <f ca="1">+Producción!AE42+SUM(Producción!AE24:AE26)</f>
        <v>#VALUE!</v>
      </c>
      <c r="AD9" s="30" t="e">
        <f ca="1">+Producción!AF42+SUM(Producción!AF24:AF26)</f>
        <v>#VALUE!</v>
      </c>
      <c r="AE9" s="30" t="e">
        <f ca="1">+Producción!AG42+SUM(Producción!AG24:AG26)</f>
        <v>#VALUE!</v>
      </c>
      <c r="AF9" s="30" t="e">
        <f ca="1">+Producción!AH42+SUM(Producción!AH24:AH26)</f>
        <v>#VALUE!</v>
      </c>
      <c r="AG9" s="30" t="e">
        <f ca="1">+Producción!AI42+SUM(Producción!AI24:AI26)</f>
        <v>#VALUE!</v>
      </c>
      <c r="AH9" s="30" t="e">
        <f ca="1">+Producción!AJ42+SUM(Producción!AJ24:AJ26)</f>
        <v>#VALUE!</v>
      </c>
      <c r="AI9" s="30" t="e">
        <f ca="1">+Producción!AK42+SUM(Producción!AK24:AK26)</f>
        <v>#VALUE!</v>
      </c>
      <c r="AJ9" s="30" t="e">
        <f ca="1">+Producción!AL42+SUM(Producción!AL24:AL26)</f>
        <v>#VALUE!</v>
      </c>
      <c r="AK9" s="30" t="e">
        <f ca="1">+Producción!AM42+SUM(Producción!AM24:AM26)</f>
        <v>#VALUE!</v>
      </c>
      <c r="AL9" s="30" t="e">
        <f ca="1">+Producción!AN42+SUM(Producción!AN24:AN26)</f>
        <v>#VALUE!</v>
      </c>
      <c r="AM9" s="30" t="e">
        <f ca="1">+Producción!AO42+SUM(Producción!AO24:AO26)</f>
        <v>#VALUE!</v>
      </c>
      <c r="AN9" s="30" t="e">
        <f ca="1">+Producción!AP42+SUM(Producción!AP24:AP26)</f>
        <v>#VALUE!</v>
      </c>
      <c r="AO9" s="30" t="e">
        <f ca="1">+Producción!AQ42+SUM(Producción!AQ24:AQ26)</f>
        <v>#VALUE!</v>
      </c>
      <c r="AP9" s="30" t="e">
        <f ca="1">+Producción!AR42+SUM(Producción!AR24:AR26)</f>
        <v>#VALUE!</v>
      </c>
      <c r="AQ9" s="30" t="e">
        <f ca="1">+Producción!AS42+SUM(Producción!AS24:AS26)</f>
        <v>#VALUE!</v>
      </c>
      <c r="AR9" s="30" t="e">
        <f ca="1">+Producción!AT42+SUM(Producción!AT24:AT26)</f>
        <v>#VALUE!</v>
      </c>
      <c r="AS9" s="30" t="e">
        <f ca="1">+Producción!AU42+SUM(Producción!AU24:AU26)</f>
        <v>#VALUE!</v>
      </c>
      <c r="AT9" s="30" t="e">
        <f ca="1">+Producción!AV42+SUM(Producción!AV24:AV26)</f>
        <v>#VALUE!</v>
      </c>
      <c r="AU9" s="30" t="e">
        <f ca="1">+Producción!AW42+SUM(Producción!AW24:AW26)</f>
        <v>#VALUE!</v>
      </c>
      <c r="AV9" s="30" t="e">
        <f ca="1">+Producción!AX42+SUM(Producción!AX24:AX26)</f>
        <v>#VALUE!</v>
      </c>
      <c r="AW9" s="30" t="e">
        <f ca="1">+Producción!AY42+SUM(Producción!AY24:AY26)</f>
        <v>#VALUE!</v>
      </c>
      <c r="AX9" s="30" t="e">
        <f ca="1">+Producción!AZ42+SUM(Producción!AZ24:AZ26)</f>
        <v>#VALUE!</v>
      </c>
      <c r="AY9" s="30" t="e">
        <f ca="1">+Producción!BA42+SUM(Producción!BA24:BA26)</f>
        <v>#VALUE!</v>
      </c>
      <c r="AZ9" s="30" t="e">
        <f ca="1">+Producción!BB42+SUM(Producción!BB24:BB26)</f>
        <v>#VALUE!</v>
      </c>
      <c r="BA9" s="30" t="e">
        <f ca="1">+Producción!BC42+SUM(Producción!BC24:BC26)</f>
        <v>#VALUE!</v>
      </c>
      <c r="BB9" s="30" t="e">
        <f ca="1">+Producción!BD42+SUM(Producción!BD24:BD26)</f>
        <v>#VALUE!</v>
      </c>
      <c r="BC9" s="30" t="e">
        <f ca="1">+Producción!BE42+SUM(Producción!BE24:BE26)</f>
        <v>#VALUE!</v>
      </c>
      <c r="BD9" s="30" t="e">
        <f ca="1">+Producción!BF42+SUM(Producción!BF24:BF26)</f>
        <v>#VALUE!</v>
      </c>
      <c r="BE9" s="30" t="e">
        <f ca="1">+Producción!BG42+SUM(Producción!BG24:BG26)</f>
        <v>#VALUE!</v>
      </c>
      <c r="BF9" s="30" t="e">
        <f ca="1">+Producción!BH42+SUM(Producción!BH24:BH26)</f>
        <v>#VALUE!</v>
      </c>
      <c r="BG9" s="30" t="e">
        <f ca="1">+Producción!BI42+SUM(Producción!BI24:BI26)</f>
        <v>#VALUE!</v>
      </c>
      <c r="BH9" s="30" t="e">
        <f ca="1">+Producción!BJ42+SUM(Producción!BJ24:BJ26)</f>
        <v>#VALUE!</v>
      </c>
      <c r="BI9" s="30" t="e">
        <f ca="1">+Producción!BK42+SUM(Producción!BK24:BK26)</f>
        <v>#VALUE!</v>
      </c>
      <c r="BJ9" s="30" t="e">
        <f ca="1">+Producción!BL42+SUM(Producción!BL24:BL26)</f>
        <v>#VALUE!</v>
      </c>
      <c r="BK9" s="30" t="e">
        <f ca="1">+Producción!BM42+SUM(Producción!BM24:BM26)</f>
        <v>#VALUE!</v>
      </c>
      <c r="BL9" s="30" t="e">
        <f ca="1">+Producción!BN42+SUM(Producción!BN24:BN26)</f>
        <v>#VALUE!</v>
      </c>
      <c r="BM9" s="30" t="e">
        <f ca="1">+Producción!BO42+SUM(Producción!BO24:BO26)</f>
        <v>#VALUE!</v>
      </c>
      <c r="BN9" s="30" t="e">
        <f ca="1">+Producción!BP42+SUM(Producción!BP24:BP26)</f>
        <v>#VALUE!</v>
      </c>
      <c r="BO9" s="30" t="e">
        <f ca="1">+Producción!BQ42+SUM(Producción!BQ24:BQ26)</f>
        <v>#VALUE!</v>
      </c>
      <c r="BP9" s="30" t="e">
        <f ca="1">+Producción!BR42+SUM(Producción!BR24:BR26)</f>
        <v>#VALUE!</v>
      </c>
      <c r="BQ9" s="30" t="e">
        <f ca="1">+Producción!BS42+SUM(Producción!BS24:BS26)</f>
        <v>#VALUE!</v>
      </c>
      <c r="BR9" s="30" t="e">
        <f ca="1">+Producción!BT42+SUM(Producción!BT24:BT26)</f>
        <v>#VALUE!</v>
      </c>
      <c r="BS9" s="30" t="e">
        <f ca="1">+Producción!BU42+SUM(Producción!BU24:BU26)</f>
        <v>#VALUE!</v>
      </c>
      <c r="BT9" s="30" t="e">
        <f ca="1">+Producción!BV42+SUM(Producción!BV24:BV26)</f>
        <v>#VALUE!</v>
      </c>
      <c r="BU9" s="30" t="e">
        <f ca="1">+Producción!BW42+SUM(Producción!BW24:BW26)</f>
        <v>#VALUE!</v>
      </c>
      <c r="BV9" s="30" t="e">
        <f ca="1">+Producción!BX42+SUM(Producción!BX24:BX26)</f>
        <v>#VALUE!</v>
      </c>
      <c r="BW9" s="30" t="e">
        <f ca="1">+Producción!BY42+SUM(Producción!BY24:BY26)</f>
        <v>#VALUE!</v>
      </c>
      <c r="BX9" s="30" t="e">
        <f ca="1">+Producción!BZ42+SUM(Producción!BZ24:BZ26)</f>
        <v>#VALUE!</v>
      </c>
      <c r="BY9" s="30" t="e">
        <f ca="1">+Producción!CA42+SUM(Producción!CA24:CA26)</f>
        <v>#VALUE!</v>
      </c>
      <c r="BZ9" s="30" t="e">
        <f ca="1">+Producción!CB42+SUM(Producción!CB24:CB26)</f>
        <v>#VALUE!</v>
      </c>
      <c r="CA9" s="30" t="e">
        <f ca="1">+Producción!CC42+SUM(Producción!CC24:CC26)</f>
        <v>#VALUE!</v>
      </c>
      <c r="CB9" s="30" t="e">
        <f ca="1">+Producción!CD42+SUM(Producción!CD24:CD26)</f>
        <v>#VALUE!</v>
      </c>
      <c r="CC9" s="30" t="e">
        <f ca="1">+Producción!CE42+SUM(Producción!CE24:CE26)</f>
        <v>#VALUE!</v>
      </c>
      <c r="CD9" s="30" t="e">
        <f ca="1">+Producción!CF42+SUM(Producción!CF24:CF26)</f>
        <v>#VALUE!</v>
      </c>
      <c r="CE9" s="30" t="e">
        <f ca="1">+Producción!CG42+SUM(Producción!CG24:CG26)</f>
        <v>#VALUE!</v>
      </c>
      <c r="CF9" s="30" t="e">
        <f ca="1">+Producción!CH42+SUM(Producción!CH24:CH26)</f>
        <v>#VALUE!</v>
      </c>
      <c r="CG9" s="30" t="e">
        <f ca="1">+Producción!CI42+SUM(Producción!CI24:CI26)</f>
        <v>#VALUE!</v>
      </c>
      <c r="CH9" s="30" t="e">
        <f ca="1">+Producción!CJ42+SUM(Producción!CJ24:CJ26)</f>
        <v>#VALUE!</v>
      </c>
      <c r="CI9" s="30" t="e">
        <f ca="1">+Producción!CK42+SUM(Producción!CK24:CK26)</f>
        <v>#VALUE!</v>
      </c>
      <c r="CJ9" s="30" t="e">
        <f ca="1">+Producción!CL42+SUM(Producción!CL24:CL26)</f>
        <v>#VALUE!</v>
      </c>
      <c r="CK9" s="30" t="e">
        <f ca="1">+Producción!CM42+SUM(Producción!CM24:CM26)</f>
        <v>#VALUE!</v>
      </c>
      <c r="CL9" s="30" t="e">
        <f ca="1">+Producción!CN42+SUM(Producción!CN24:CN26)</f>
        <v>#VALUE!</v>
      </c>
      <c r="CM9" s="30" t="e">
        <f ca="1">+Producción!CO42+SUM(Producción!CO24:CO26)</f>
        <v>#VALUE!</v>
      </c>
      <c r="CN9" s="30" t="e">
        <f ca="1">+Producción!CP42+SUM(Producción!CP24:CP26)</f>
        <v>#VALUE!</v>
      </c>
      <c r="CO9" s="30" t="e">
        <f ca="1">+Producción!CQ42+SUM(Producción!CQ24:CQ26)</f>
        <v>#VALUE!</v>
      </c>
      <c r="CP9" s="30" t="e">
        <f ca="1">+Producción!CR42+SUM(Producción!CR24:CR26)</f>
        <v>#VALUE!</v>
      </c>
      <c r="CQ9" s="30" t="e">
        <f ca="1">+Producción!CS42+SUM(Producción!CS24:CS26)</f>
        <v>#VALUE!</v>
      </c>
      <c r="CR9" s="30" t="e">
        <f ca="1">+Producción!CT42+SUM(Producción!CT24:CT26)</f>
        <v>#VALUE!</v>
      </c>
      <c r="CS9" s="30" t="e">
        <f ca="1">+Producción!CU42+SUM(Producción!CU24:CU26)</f>
        <v>#VALUE!</v>
      </c>
      <c r="CT9" s="30" t="e">
        <f ca="1">+Producción!CV42+SUM(Producción!CV24:CV26)</f>
        <v>#VALUE!</v>
      </c>
      <c r="CU9" s="30" t="e">
        <f ca="1">+Producción!CW42+SUM(Producción!CW24:CW26)</f>
        <v>#VALUE!</v>
      </c>
      <c r="CV9" s="30" t="e">
        <f ca="1">+Producción!CX42+SUM(Producción!CX24:CX26)</f>
        <v>#VALUE!</v>
      </c>
      <c r="CW9" s="30" t="e">
        <f ca="1">+Producción!CY42+SUM(Producción!CY24:CY26)</f>
        <v>#VALUE!</v>
      </c>
      <c r="CX9" s="30" t="e">
        <f ca="1">+Producción!CZ42+SUM(Producción!CZ24:CZ26)</f>
        <v>#VALUE!</v>
      </c>
      <c r="CY9" s="30" t="e">
        <f ca="1">+Producción!DA42+SUM(Producción!DA24:DA26)</f>
        <v>#VALUE!</v>
      </c>
      <c r="CZ9" s="30" t="e">
        <f ca="1">+Producción!DB42+SUM(Producción!DB24:DB26)</f>
        <v>#VALUE!</v>
      </c>
      <c r="DA9" s="30" t="e">
        <f ca="1">+Producción!DC42+SUM(Producción!DC24:DC26)</f>
        <v>#VALUE!</v>
      </c>
      <c r="DB9" s="30" t="e">
        <f ca="1">+Producción!DD42+SUM(Producción!DD24:DD26)</f>
        <v>#VALUE!</v>
      </c>
      <c r="DC9" s="30" t="e">
        <f ca="1">+Producción!DE42+SUM(Producción!DE24:DE26)</f>
        <v>#VALUE!</v>
      </c>
      <c r="DD9" s="30" t="e">
        <f ca="1">+Producción!DF42+SUM(Producción!DF24:DF26)</f>
        <v>#VALUE!</v>
      </c>
      <c r="DE9" s="30" t="e">
        <f ca="1">+Producción!DG42+SUM(Producción!DG24:DG26)</f>
        <v>#VALUE!</v>
      </c>
      <c r="DF9" s="30" t="e">
        <f ca="1">+Producción!DH42+SUM(Producción!DH24:DH26)</f>
        <v>#VALUE!</v>
      </c>
      <c r="DG9" s="30" t="e">
        <f ca="1">+Producción!DI42+SUM(Producción!DI24:DI26)</f>
        <v>#VALUE!</v>
      </c>
      <c r="DH9" s="30" t="e">
        <f ca="1">+Producción!DJ42+SUM(Producción!DJ24:DJ26)</f>
        <v>#VALUE!</v>
      </c>
      <c r="DI9" s="30" t="e">
        <f ca="1">+Producción!DK42+SUM(Producción!DK24:DK26)</f>
        <v>#VALUE!</v>
      </c>
      <c r="DJ9" s="30" t="e">
        <f ca="1">+Producción!DL42+SUM(Producción!DL24:DL26)</f>
        <v>#VALUE!</v>
      </c>
      <c r="DK9" s="30" t="e">
        <f ca="1">+Producción!DM42+SUM(Producción!DM24:DM26)</f>
        <v>#VALUE!</v>
      </c>
      <c r="DL9" s="30" t="e">
        <f ca="1">+Producción!DN42+SUM(Producción!DN24:DN26)</f>
        <v>#VALUE!</v>
      </c>
      <c r="DM9" s="30" t="e">
        <f ca="1">+Producción!DO42+SUM(Producción!DO24:DO26)</f>
        <v>#VALUE!</v>
      </c>
      <c r="DN9" s="30" t="e">
        <f ca="1">+Producción!DP42+SUM(Producción!DP24:DP26)</f>
        <v>#VALUE!</v>
      </c>
      <c r="DO9" s="30" t="e">
        <f ca="1">+Producción!DQ42+SUM(Producción!DQ24:DQ26)</f>
        <v>#VALUE!</v>
      </c>
      <c r="DP9" s="30" t="e">
        <f ca="1">+Producción!DR42+SUM(Producción!DR24:DR26)</f>
        <v>#VALUE!</v>
      </c>
      <c r="DQ9" s="30" t="e">
        <f ca="1">+Producción!DS42+SUM(Producción!DS24:DS26)</f>
        <v>#VALUE!</v>
      </c>
      <c r="DR9" s="30" t="e">
        <f ca="1">+Producción!DT42+SUM(Producción!DT24:DT26)</f>
        <v>#VALUE!</v>
      </c>
      <c r="DS9" s="30" t="e">
        <f ca="1">+Producción!DU42+SUM(Producción!DU24:DU26)</f>
        <v>#VALUE!</v>
      </c>
      <c r="DT9" s="30" t="e">
        <f ca="1">+Producción!DV42+SUM(Producción!DV24:DV26)</f>
        <v>#VALUE!</v>
      </c>
      <c r="DU9" s="30" t="e">
        <f ca="1">+Producción!DW42+SUM(Producción!DW24:DW26)</f>
        <v>#VALUE!</v>
      </c>
      <c r="DV9" s="30" t="e">
        <f ca="1">+Producción!DX42+SUM(Producción!DX24:DX26)</f>
        <v>#VALUE!</v>
      </c>
      <c r="DW9" s="30" t="e">
        <f ca="1">+Producción!DY42+SUM(Producción!DY24:DY26)</f>
        <v>#VALUE!</v>
      </c>
      <c r="DX9" s="30" t="e">
        <f ca="1">+Producción!DZ42+SUM(Producción!DZ24:DZ26)</f>
        <v>#VALUE!</v>
      </c>
      <c r="DY9" s="30">
        <f>+Producción!EA42+SUM(Producción!EA24:EA26)</f>
        <v>104224.89088454162</v>
      </c>
      <c r="DZ9" s="30">
        <f>+Producción!EB42+SUM(Producción!EB24:EB26)</f>
        <v>104224.89088454162</v>
      </c>
      <c r="EA9" s="30">
        <f>+Producción!EC42+SUM(Producción!EC24:EC26)</f>
        <v>310224.89088454162</v>
      </c>
      <c r="EB9" s="30">
        <f>+Producción!ED42+SUM(Producción!ED24:ED26)</f>
        <v>104224.89088454162</v>
      </c>
      <c r="EC9" s="30">
        <f>+Producción!EE42+SUM(Producción!EE24:EE26)</f>
        <v>104224.89088454162</v>
      </c>
      <c r="ED9" s="30">
        <f>+Producción!EF42+SUM(Producción!EF24:EF26)</f>
        <v>310224.89088454162</v>
      </c>
      <c r="EE9" s="30">
        <f>+Producción!EG42+SUM(Producción!EG24:EG26)</f>
        <v>104224.89088454162</v>
      </c>
      <c r="EF9" s="30">
        <f>+Producción!EH42+SUM(Producción!EH24:EH26)</f>
        <v>104224.89088454162</v>
      </c>
      <c r="EG9" s="30">
        <f>+Producción!EI42+SUM(Producción!EI24:EI26)</f>
        <v>310224.89088454162</v>
      </c>
      <c r="EH9" s="30">
        <f>+Producción!EJ42+SUM(Producción!EJ24:EJ26)</f>
        <v>104224.89088454162</v>
      </c>
      <c r="EI9" s="30">
        <f>+Producción!EK42+SUM(Producción!EK24:EK26)</f>
        <v>104224.89088454162</v>
      </c>
      <c r="EJ9" s="30">
        <f>+Producción!EL42+SUM(Producción!EL24:EL26)</f>
        <v>313351.63761107781</v>
      </c>
      <c r="EK9" s="30">
        <f>+Producción!EM42+SUM(Producción!EM24:EM26)</f>
        <v>107351.63761107787</v>
      </c>
      <c r="EL9" s="30">
        <f>+Producción!EN42+SUM(Producción!EN24:EN26)</f>
        <v>107351.63761107787</v>
      </c>
      <c r="EM9" s="30">
        <f>+Producción!EO42+SUM(Producción!EO24:EO26)</f>
        <v>313351.63761107781</v>
      </c>
      <c r="EN9" s="30">
        <f>+Producción!EP42+SUM(Producción!EP24:EP26)</f>
        <v>107351.63761107787</v>
      </c>
      <c r="EO9" s="30">
        <f>+Producción!EQ42+SUM(Producción!EQ24:EQ26)</f>
        <v>107351.63761107787</v>
      </c>
      <c r="EP9" s="30">
        <f>+Producción!ER42+SUM(Producción!ER24:ER26)</f>
        <v>313351.63761107781</v>
      </c>
      <c r="EQ9" s="30">
        <f>+Producción!ES42+SUM(Producción!ES24:ES26)</f>
        <v>107351.63761107787</v>
      </c>
      <c r="ER9" s="30">
        <f>+Producción!ET42+SUM(Producción!ET24:ET26)</f>
        <v>107351.63761107787</v>
      </c>
      <c r="ES9" s="30">
        <f>+Producción!EU42+SUM(Producción!EU24:EU26)</f>
        <v>313351.63761107781</v>
      </c>
      <c r="ET9" s="30">
        <f>+Producción!EV42+SUM(Producción!EV24:EV26)</f>
        <v>107351.63761107787</v>
      </c>
      <c r="EU9" s="30">
        <f>+Producción!EW42+SUM(Producción!EW24:EW26)</f>
        <v>107351.63761107787</v>
      </c>
      <c r="EV9" s="30">
        <f>+Producción!EX42+SUM(Producción!EX24:EX26)</f>
        <v>316572.18673941022</v>
      </c>
      <c r="EW9" s="30">
        <f>+Producción!EY42+SUM(Producción!EY24:EY26)</f>
        <v>110572.18673941019</v>
      </c>
      <c r="EX9" s="30">
        <f>+Producción!EZ42+SUM(Producción!EZ24:EZ26)</f>
        <v>110572.18673941019</v>
      </c>
      <c r="EY9" s="30">
        <f>+Producción!FA42+SUM(Producción!FA24:FA26)</f>
        <v>316572.18673941022</v>
      </c>
      <c r="EZ9" s="30">
        <f>+Producción!FB42+SUM(Producción!FB24:FB26)</f>
        <v>110572.18673941019</v>
      </c>
      <c r="FA9" s="30">
        <f>+Producción!FC42+SUM(Producción!FC24:FC26)</f>
        <v>110572.18673941019</v>
      </c>
      <c r="FB9" s="30">
        <f>+Producción!FD42+SUM(Producción!FD24:FD26)</f>
        <v>316572.18673941022</v>
      </c>
      <c r="FC9" s="30">
        <f>+Producción!FE42+SUM(Producción!FE24:FE26)</f>
        <v>110572.18673941019</v>
      </c>
      <c r="FD9" s="30">
        <f>+Producción!FF42+SUM(Producción!FF24:FF26)</f>
        <v>110572.18673941019</v>
      </c>
      <c r="FE9" s="30">
        <f>+Producción!FG42+SUM(Producción!FG24:FG26)</f>
        <v>316572.18673941022</v>
      </c>
      <c r="FF9" s="30">
        <f>+Producción!FH42+SUM(Producción!FH24:FH26)</f>
        <v>110572.18673941019</v>
      </c>
      <c r="FG9" s="30">
        <f>+Producción!FI42+SUM(Producción!FI24:FI26)</f>
        <v>110572.18673941019</v>
      </c>
      <c r="FH9" s="30">
        <f>+Producción!FJ42+SUM(Producción!FJ24:FJ26)</f>
        <v>319889.35234159254</v>
      </c>
      <c r="FI9" s="30">
        <f>+Producción!FK42+SUM(Producción!FK24:FK26)</f>
        <v>113889.35234159252</v>
      </c>
      <c r="FJ9" s="30">
        <f>+Producción!FL42+SUM(Producción!FL24:FL26)</f>
        <v>113889.35234159252</v>
      </c>
      <c r="FK9" s="30">
        <f>+Producción!FM42+SUM(Producción!FM24:FM26)</f>
        <v>319889.35234159254</v>
      </c>
      <c r="FL9" s="30">
        <f>+Producción!FN42+SUM(Producción!FN24:FN26)</f>
        <v>113889.35234159252</v>
      </c>
      <c r="FM9" s="30">
        <f>+Producción!FO42+SUM(Producción!FO24:FO26)</f>
        <v>113889.35234159252</v>
      </c>
      <c r="FN9" s="30">
        <f>+Producción!FP42+SUM(Producción!FP24:FP26)</f>
        <v>319889.35234159254</v>
      </c>
      <c r="FO9" s="30">
        <f>+Producción!FQ42+SUM(Producción!FQ24:FQ26)</f>
        <v>113889.35234159252</v>
      </c>
      <c r="FP9" s="30">
        <f>+Producción!FR42+SUM(Producción!FR24:FR26)</f>
        <v>113889.35234159252</v>
      </c>
      <c r="FQ9" s="30">
        <f>+Producción!FS42+SUM(Producción!FS24:FS26)</f>
        <v>319889.35234159254</v>
      </c>
      <c r="FR9" s="30">
        <f>+Producción!FT42+SUM(Producción!FT24:FT26)</f>
        <v>113889.35234159252</v>
      </c>
      <c r="FS9" s="30">
        <f>+Producción!FU42+SUM(Producción!FU24:FU26)</f>
        <v>113889.35234159252</v>
      </c>
      <c r="FT9" s="30">
        <f>+Producción!FV42+SUM(Producción!FV24:FV26)</f>
        <v>323306.03291184024</v>
      </c>
      <c r="FU9" s="30">
        <f>+Producción!FW42+SUM(Producción!FW24:FW26)</f>
        <v>117306.03291184029</v>
      </c>
      <c r="FV9" s="30">
        <f>+Producción!FX42+SUM(Producción!FX24:FX26)</f>
        <v>117306.03291184029</v>
      </c>
      <c r="FW9" s="30">
        <f>+Producción!FY42+SUM(Producción!FY24:FY26)</f>
        <v>323306.03291184024</v>
      </c>
      <c r="FX9" s="30">
        <f>+Producción!FZ42+SUM(Producción!FZ24:FZ26)</f>
        <v>117306.03291184029</v>
      </c>
      <c r="FY9" s="30">
        <f>+Producción!GA42+SUM(Producción!GA24:GA26)</f>
        <v>117306.03291184029</v>
      </c>
      <c r="FZ9" s="30">
        <f>+Producción!GB42+SUM(Producción!GB24:GB26)</f>
        <v>323306.03291184024</v>
      </c>
      <c r="GA9" s="30">
        <f>+Producción!GC42+SUM(Producción!GC24:GC26)</f>
        <v>117306.03291184029</v>
      </c>
      <c r="GB9" s="30">
        <f>+Producción!GD42+SUM(Producción!GD24:GD26)</f>
        <v>117306.03291184029</v>
      </c>
      <c r="GC9" s="30">
        <f>+Producción!GE42+SUM(Producción!GE24:GE26)</f>
        <v>323306.03291184024</v>
      </c>
      <c r="GD9" s="30">
        <f>+Producción!GF42+SUM(Producción!GF24:GF26)</f>
        <v>117306.03291184029</v>
      </c>
      <c r="GE9" s="30">
        <f>+Producción!GG42+SUM(Producción!GG24:GG26)</f>
        <v>117306.03291184029</v>
      </c>
      <c r="GF9" s="30">
        <f>+Producción!GH42+SUM(Producción!GH24:GH26)</f>
        <v>326825.21389919549</v>
      </c>
      <c r="GG9" s="30">
        <f>+Producción!GI42+SUM(Producción!GI24:GI26)</f>
        <v>120825.2138991955</v>
      </c>
      <c r="GH9" s="30">
        <f>+Producción!GJ42+SUM(Producción!GJ24:GJ26)</f>
        <v>120825.2138991955</v>
      </c>
      <c r="GI9" s="30">
        <f>+Producción!GK42+SUM(Producción!GK24:GK26)</f>
        <v>326825.21389919549</v>
      </c>
      <c r="GJ9" s="30">
        <f>+Producción!GL42+SUM(Producción!GL24:GL26)</f>
        <v>120825.2138991955</v>
      </c>
      <c r="GK9" s="30">
        <f>+Producción!GM42+SUM(Producción!GM24:GM26)</f>
        <v>120825.2138991955</v>
      </c>
      <c r="GL9" s="30">
        <f>+Producción!GN42+SUM(Producción!GN24:GN26)</f>
        <v>326825.21389919549</v>
      </c>
      <c r="GM9" s="30">
        <f>+Producción!GO42+SUM(Producción!GO24:GO26)</f>
        <v>120825.2138991955</v>
      </c>
      <c r="GN9" s="30">
        <f>+Producción!GP42+SUM(Producción!GP24:GP26)</f>
        <v>120825.2138991955</v>
      </c>
      <c r="GO9" s="30">
        <f>+Producción!GQ42+SUM(Producción!GQ24:GQ26)</f>
        <v>326825.21389919549</v>
      </c>
      <c r="GP9" s="30">
        <f>+Producción!GR42+SUM(Producción!GR24:GR26)</f>
        <v>120825.2138991955</v>
      </c>
      <c r="GQ9" s="30">
        <f>+Producción!GS42+SUM(Producción!GS24:GS26)</f>
        <v>120825.2138991955</v>
      </c>
      <c r="GR9" s="30">
        <f>+Producción!GT42+SUM(Producción!GT24:GT26)</f>
        <v>330449.97031617136</v>
      </c>
      <c r="GS9" s="30">
        <f>+Producción!GU42+SUM(Producción!GU24:GU26)</f>
        <v>124449.97031617137</v>
      </c>
      <c r="GT9" s="30">
        <f>+Producción!GV42+SUM(Producción!GV24:GV26)</f>
        <v>124449.97031617137</v>
      </c>
      <c r="GU9" s="30">
        <f>+Producción!GW42+SUM(Producción!GW24:GW26)</f>
        <v>330449.97031617136</v>
      </c>
      <c r="GV9" s="30">
        <f>+Producción!GX42+SUM(Producción!GX24:GX26)</f>
        <v>124449.97031617137</v>
      </c>
      <c r="GW9" s="30">
        <f>+Producción!GY42+SUM(Producción!GY24:GY26)</f>
        <v>124449.97031617137</v>
      </c>
      <c r="GX9" s="30">
        <f>+Producción!GZ42+SUM(Producción!GZ24:GZ26)</f>
        <v>330449.97031617136</v>
      </c>
      <c r="GY9" s="30">
        <f>+Producción!HA42+SUM(Producción!HA24:HA26)</f>
        <v>124449.97031617137</v>
      </c>
      <c r="GZ9" s="30">
        <f>+Producción!HB42+SUM(Producción!HB24:HB26)</f>
        <v>124449.97031617137</v>
      </c>
      <c r="HA9" s="30">
        <f>+Producción!HC42+SUM(Producción!HC24:HC26)</f>
        <v>330449.97031617136</v>
      </c>
      <c r="HB9" s="30">
        <f>+Producción!HD42+SUM(Producción!HD24:HD26)</f>
        <v>124449.97031617137</v>
      </c>
      <c r="HC9" s="30">
        <f>+Producción!HE42+SUM(Producción!HE24:HE26)</f>
        <v>124449.97031617137</v>
      </c>
      <c r="HD9" s="30">
        <f>+Producción!HF42+SUM(Producción!HF24:HF26)</f>
        <v>334183.46942565654</v>
      </c>
      <c r="HE9" s="30">
        <f>+Producción!HG42+SUM(Producción!HG24:HG26)</f>
        <v>128183.46942565651</v>
      </c>
      <c r="HF9" s="30">
        <f>+Producción!HH42+SUM(Producción!HH24:HH26)</f>
        <v>128183.46942565651</v>
      </c>
      <c r="HG9" s="30">
        <f>+Producción!HI42+SUM(Producción!HI24:HI26)</f>
        <v>334183.46942565654</v>
      </c>
      <c r="HH9" s="30">
        <f>+Producción!HJ42+SUM(Producción!HJ24:HJ26)</f>
        <v>128183.46942565651</v>
      </c>
      <c r="HI9" s="30">
        <f>+Producción!HK42+SUM(Producción!HK24:HK26)</f>
        <v>128183.46942565651</v>
      </c>
      <c r="HJ9" s="30">
        <f>+Producción!HL42+SUM(Producción!HL24:HL26)</f>
        <v>334183.46942565654</v>
      </c>
      <c r="HK9" s="30">
        <f>+Producción!HM42+SUM(Producción!HM24:HM26)</f>
        <v>128183.46942565651</v>
      </c>
      <c r="HL9" s="30">
        <f>+Producción!HN42+SUM(Producción!HN24:HN26)</f>
        <v>128183.46942565651</v>
      </c>
      <c r="HM9" s="30">
        <f>+Producción!HO42+SUM(Producción!HO24:HO26)</f>
        <v>334183.46942565654</v>
      </c>
      <c r="HN9" s="30">
        <f>+Producción!HP42+SUM(Producción!HP24:HP26)</f>
        <v>128183.46942565651</v>
      </c>
      <c r="HO9" s="30">
        <f>+Producción!HQ42+SUM(Producción!HQ24:HQ26)</f>
        <v>128183.46942565651</v>
      </c>
      <c r="HP9" s="30">
        <f>+Producción!HR42+SUM(Producción!HR24:HR26)</f>
        <v>338028.97350842622</v>
      </c>
      <c r="HQ9" s="30">
        <f>+Producción!HS42+SUM(Producción!HS24:HS26)</f>
        <v>132028.97350842622</v>
      </c>
      <c r="HR9" s="30">
        <f>+Producción!HT42+SUM(Producción!HT24:HT26)</f>
        <v>132028.97350842622</v>
      </c>
      <c r="HS9" s="30">
        <f>+Producción!HU42+SUM(Producción!HU24:HU26)</f>
        <v>338028.97350842622</v>
      </c>
      <c r="HT9" s="30">
        <f>+Producción!HV42+SUM(Producción!HV24:HV26)</f>
        <v>132028.97350842622</v>
      </c>
      <c r="HU9" s="30">
        <f>+Producción!HW42+SUM(Producción!HW24:HW26)</f>
        <v>132028.97350842622</v>
      </c>
      <c r="HV9" s="30">
        <f>+Producción!HX42+SUM(Producción!HX24:HX26)</f>
        <v>338028.97350842622</v>
      </c>
      <c r="HW9" s="30">
        <f>+Producción!HY42+SUM(Producción!HY24:HY26)</f>
        <v>132028.97350842622</v>
      </c>
      <c r="HX9" s="30">
        <f>+Producción!HZ42+SUM(Producción!HZ24:HZ26)</f>
        <v>132028.97350842622</v>
      </c>
      <c r="HY9" s="30">
        <f>+Producción!IA42+SUM(Producción!IA24:IA26)</f>
        <v>338028.97350842622</v>
      </c>
      <c r="HZ9" s="30">
        <f>+Producción!IB42+SUM(Producción!IB24:IB26)</f>
        <v>132028.97350842622</v>
      </c>
      <c r="IA9" s="30">
        <f>+Producción!IC42+SUM(Producción!IC24:IC26)</f>
        <v>132028.97350842622</v>
      </c>
      <c r="IB9" s="30">
        <f>+Producción!ID42+SUM(Producción!ID24:ID26)</f>
        <v>341989.84271367895</v>
      </c>
      <c r="IC9" s="30">
        <f>+Producción!IE42+SUM(Producción!IE24:IE26)</f>
        <v>135989.84271367898</v>
      </c>
      <c r="ID9" s="30">
        <f>+Producción!IF42+SUM(Producción!IF24:IF26)</f>
        <v>135989.84271367898</v>
      </c>
      <c r="IE9" s="30">
        <f>+Producción!IG42+SUM(Producción!IG24:IG26)</f>
        <v>341989.84271367895</v>
      </c>
      <c r="IF9" s="30">
        <f>+Producción!IH42+SUM(Producción!IH24:IH26)</f>
        <v>135989.84271367898</v>
      </c>
      <c r="IG9" s="30">
        <f>+Producción!II42+SUM(Producción!II24:II26)</f>
        <v>135989.84271367898</v>
      </c>
      <c r="IH9" s="30">
        <f>+Producción!IJ42+SUM(Producción!IJ24:IJ26)</f>
        <v>341989.84271367895</v>
      </c>
      <c r="II9" s="30">
        <f>+Producción!IK42+SUM(Producción!IK24:IK26)</f>
        <v>137266.6675096089</v>
      </c>
      <c r="IJ9" s="30">
        <f>+Producción!IL42+SUM(Producción!IL24:IL26)</f>
        <v>138581.79704941675</v>
      </c>
      <c r="IK9" s="30">
        <f>+Producción!IM42+SUM(Producción!IM24:IM26)</f>
        <v>344581.79704941675</v>
      </c>
      <c r="IL9" s="30">
        <f>+Producción!IN42+SUM(Producción!IN24:IN26)</f>
        <v>138581.79704941675</v>
      </c>
      <c r="IM9" s="30">
        <f>+Producción!IO42+SUM(Producción!IO24:IO26)</f>
        <v>138581.79704941675</v>
      </c>
      <c r="IN9" s="30"/>
      <c r="IO9" s="30"/>
    </row>
    <row r="10" spans="1:249" x14ac:dyDescent="0.3">
      <c r="A10" t="s">
        <v>943</v>
      </c>
      <c r="C10" s="33"/>
      <c r="D10" s="33"/>
      <c r="E10" s="33"/>
      <c r="F10" s="33"/>
      <c r="G10" s="33"/>
      <c r="H10" s="33"/>
      <c r="I10" s="33"/>
      <c r="J10" s="33" t="e">
        <f ca="1">+'Prestamo 10 años'!L3+'Prestamo 10 años'!L4+'Prestamo 10 años'!L6</f>
        <v>#VALUE!</v>
      </c>
      <c r="K10" s="33" t="e">
        <f ca="1">+'Prestamo 10 años'!M3+'Prestamo 10 años'!M4+'Prestamo 10 años'!M6</f>
        <v>#VALUE!</v>
      </c>
      <c r="L10" s="33" t="e">
        <f ca="1">+'Prestamo 10 años'!N3+'Prestamo 10 años'!N4+'Prestamo 10 años'!N6</f>
        <v>#VALUE!</v>
      </c>
      <c r="M10" s="33" t="e">
        <f ca="1">+'Prestamo 10 años'!O3+'Prestamo 10 años'!O4+'Prestamo 10 años'!O6</f>
        <v>#VALUE!</v>
      </c>
      <c r="N10" s="33" t="e">
        <f ca="1">+'Prestamo 10 años'!P3+'Prestamo 10 años'!P4+'Prestamo 10 años'!P6</f>
        <v>#VALUE!</v>
      </c>
      <c r="O10" s="33" t="e">
        <f ca="1">+'Prestamo 10 años'!Q3+'Prestamo 10 años'!Q4+'Prestamo 10 años'!Q6</f>
        <v>#VALUE!</v>
      </c>
      <c r="P10" s="33" t="e">
        <f ca="1">+'Prestamo 10 años'!R3+'Prestamo 10 años'!R4+'Prestamo 10 años'!R6</f>
        <v>#VALUE!</v>
      </c>
      <c r="Q10" s="33" t="e">
        <f ca="1">+'Prestamo 10 años'!S3+'Prestamo 10 años'!S4+'Prestamo 10 años'!S6</f>
        <v>#VALUE!</v>
      </c>
      <c r="R10" s="33" t="e">
        <f ca="1">+'Prestamo 10 años'!T3+'Prestamo 10 años'!T4+'Prestamo 10 años'!T6</f>
        <v>#VALUE!</v>
      </c>
      <c r="S10" s="33" t="e">
        <f ca="1">+'Prestamo 10 años'!U3+'Prestamo 10 años'!U4+'Prestamo 10 años'!U6</f>
        <v>#VALUE!</v>
      </c>
      <c r="T10" s="33" t="e">
        <f ca="1">+'Prestamo 10 años'!V3+'Prestamo 10 años'!V4+'Prestamo 10 años'!V6</f>
        <v>#VALUE!</v>
      </c>
      <c r="U10" s="33" t="e">
        <f ca="1">+'Prestamo 10 años'!W3+'Prestamo 10 años'!W4+'Prestamo 10 años'!W6</f>
        <v>#VALUE!</v>
      </c>
      <c r="V10" s="33" t="e">
        <f ca="1">+'Prestamo 10 años'!X3+'Prestamo 10 años'!X4+'Prestamo 10 años'!X6</f>
        <v>#VALUE!</v>
      </c>
      <c r="W10" s="33" t="e">
        <f ca="1">+'Prestamo 10 años'!Y3+'Prestamo 10 años'!Y4+'Prestamo 10 años'!Y6</f>
        <v>#VALUE!</v>
      </c>
      <c r="X10" s="33" t="e">
        <f ca="1">+'Prestamo 10 años'!Z3+'Prestamo 10 años'!Z4+'Prestamo 10 años'!Z6</f>
        <v>#VALUE!</v>
      </c>
      <c r="Y10" s="33" t="e">
        <f ca="1">+'Prestamo 10 años'!AA3+'Prestamo 10 años'!AA4+'Prestamo 10 años'!AA6</f>
        <v>#VALUE!</v>
      </c>
      <c r="Z10" s="33" t="e">
        <f ca="1">+'Prestamo 10 años'!AB3+'Prestamo 10 años'!AB4+'Prestamo 10 años'!AB6</f>
        <v>#VALUE!</v>
      </c>
      <c r="AA10" s="33" t="e">
        <f ca="1">+'Prestamo 10 años'!AC3+'Prestamo 10 años'!AC4+'Prestamo 10 años'!AC6</f>
        <v>#VALUE!</v>
      </c>
      <c r="AB10" s="33" t="e">
        <f ca="1">+'Prestamo 10 años'!AD3+'Prestamo 10 años'!AD4+'Prestamo 10 años'!AD6</f>
        <v>#VALUE!</v>
      </c>
      <c r="AC10" s="33" t="e">
        <f ca="1">+'Prestamo 10 años'!AE3+'Prestamo 10 años'!AE4+'Prestamo 10 años'!AE6</f>
        <v>#VALUE!</v>
      </c>
      <c r="AD10" s="33" t="e">
        <f ca="1">+'Prestamo 10 años'!AF3+'Prestamo 10 años'!AF4+'Prestamo 10 años'!AF6</f>
        <v>#VALUE!</v>
      </c>
      <c r="AE10" s="33" t="e">
        <f ca="1">+'Prestamo 10 años'!AG3+'Prestamo 10 años'!AG4+'Prestamo 10 años'!AG6</f>
        <v>#VALUE!</v>
      </c>
      <c r="AF10" s="33" t="e">
        <f ca="1">+'Prestamo 10 años'!AH3+'Prestamo 10 años'!AH4+'Prestamo 10 años'!AH6</f>
        <v>#VALUE!</v>
      </c>
      <c r="AG10" s="33" t="e">
        <f ca="1">+'Prestamo 10 años'!AI3+'Prestamo 10 años'!AI4+'Prestamo 10 años'!AI6</f>
        <v>#VALUE!</v>
      </c>
      <c r="AH10" s="33" t="e">
        <f ca="1">+'Prestamo 10 años'!AJ3+'Prestamo 10 años'!AJ4+'Prestamo 10 años'!AJ6</f>
        <v>#VALUE!</v>
      </c>
      <c r="AI10" s="33" t="e">
        <f ca="1">+'Prestamo 10 años'!AK3+'Prestamo 10 años'!AK4+'Prestamo 10 años'!AK6</f>
        <v>#VALUE!</v>
      </c>
      <c r="AJ10" s="33" t="e">
        <f ca="1">+'Prestamo 10 años'!AL3+'Prestamo 10 años'!AL4+'Prestamo 10 años'!AL6</f>
        <v>#VALUE!</v>
      </c>
      <c r="AK10" s="33" t="e">
        <f ca="1">+'Prestamo 10 años'!AM3+'Prestamo 10 años'!AM4+'Prestamo 10 años'!AM6</f>
        <v>#VALUE!</v>
      </c>
      <c r="AL10" s="33" t="e">
        <f ca="1">+'Prestamo 10 años'!AN3+'Prestamo 10 años'!AN4+'Prestamo 10 años'!AN6</f>
        <v>#VALUE!</v>
      </c>
      <c r="AM10" s="33" t="e">
        <f ca="1">+'Prestamo 10 años'!AO3+'Prestamo 10 años'!AO4+'Prestamo 10 años'!AO6</f>
        <v>#VALUE!</v>
      </c>
      <c r="AN10" s="33" t="e">
        <f ca="1">+'Prestamo 10 años'!AP3+'Prestamo 10 años'!AP4+'Prestamo 10 años'!AP6</f>
        <v>#VALUE!</v>
      </c>
      <c r="AO10" s="33" t="e">
        <f ca="1">+'Prestamo 10 años'!AQ3+'Prestamo 10 años'!AQ4+'Prestamo 10 años'!AQ6</f>
        <v>#VALUE!</v>
      </c>
      <c r="AP10" s="33" t="e">
        <f ca="1">+'Prestamo 10 años'!AR3+'Prestamo 10 años'!AR4+'Prestamo 10 años'!AR6</f>
        <v>#VALUE!</v>
      </c>
      <c r="AQ10" s="33" t="e">
        <f ca="1">+'Prestamo 10 años'!AS3+'Prestamo 10 años'!AS4+'Prestamo 10 años'!AS6</f>
        <v>#VALUE!</v>
      </c>
      <c r="AR10" s="33" t="e">
        <f ca="1">+'Prestamo 10 años'!AT3+'Prestamo 10 años'!AT4+'Prestamo 10 años'!AT6</f>
        <v>#VALUE!</v>
      </c>
      <c r="AS10" s="33" t="e">
        <f ca="1">+'Prestamo 10 años'!AU3+'Prestamo 10 años'!AU4+'Prestamo 10 años'!AU6</f>
        <v>#VALUE!</v>
      </c>
      <c r="AT10" s="33" t="e">
        <f ca="1">+'Prestamo 10 años'!AV3+'Prestamo 10 años'!AV4+'Prestamo 10 años'!AV6</f>
        <v>#VALUE!</v>
      </c>
      <c r="AU10" s="33" t="e">
        <f ca="1">+'Prestamo 10 años'!AW3+'Prestamo 10 años'!AW4+'Prestamo 10 años'!AW6</f>
        <v>#VALUE!</v>
      </c>
      <c r="AV10" s="33" t="e">
        <f ca="1">+'Prestamo 10 años'!AX3+'Prestamo 10 años'!AX4+'Prestamo 10 años'!AX6</f>
        <v>#VALUE!</v>
      </c>
      <c r="AW10" s="33" t="e">
        <f ca="1">+'Prestamo 10 años'!AY3+'Prestamo 10 años'!AY4+'Prestamo 10 años'!AY6</f>
        <v>#VALUE!</v>
      </c>
      <c r="AX10" s="33" t="e">
        <f ca="1">+'Prestamo 10 años'!AZ3+'Prestamo 10 años'!AZ4+'Prestamo 10 años'!AZ6</f>
        <v>#VALUE!</v>
      </c>
      <c r="AY10" s="33" t="e">
        <f ca="1">+'Prestamo 10 años'!BA3+'Prestamo 10 años'!BA4+'Prestamo 10 años'!BA6</f>
        <v>#VALUE!</v>
      </c>
      <c r="AZ10" s="33" t="e">
        <f ca="1">+'Prestamo 10 años'!BB3+'Prestamo 10 años'!BB4+'Prestamo 10 años'!BB6</f>
        <v>#VALUE!</v>
      </c>
      <c r="BA10" s="33" t="e">
        <f ca="1">+'Prestamo 10 años'!BC3+'Prestamo 10 años'!BC4+'Prestamo 10 años'!BC6</f>
        <v>#VALUE!</v>
      </c>
      <c r="BB10" s="33" t="e">
        <f ca="1">+'Prestamo 10 años'!BD3+'Prestamo 10 años'!BD4+'Prestamo 10 años'!BD6</f>
        <v>#VALUE!</v>
      </c>
      <c r="BC10" s="33" t="e">
        <f ca="1">+'Prestamo 10 años'!BE3+'Prestamo 10 años'!BE4+'Prestamo 10 años'!BE6</f>
        <v>#VALUE!</v>
      </c>
      <c r="BD10" s="33" t="e">
        <f ca="1">+'Prestamo 10 años'!BF3+'Prestamo 10 años'!BF4+'Prestamo 10 años'!BF6</f>
        <v>#VALUE!</v>
      </c>
      <c r="BE10" s="33" t="e">
        <f ca="1">+'Prestamo 10 años'!BG3+'Prestamo 10 años'!BG4+'Prestamo 10 años'!BG6</f>
        <v>#VALUE!</v>
      </c>
      <c r="BF10" s="33" t="e">
        <f ca="1">+'Prestamo 10 años'!BH3+'Prestamo 10 años'!BH4+'Prestamo 10 años'!BH6</f>
        <v>#VALUE!</v>
      </c>
      <c r="BG10" s="33" t="e">
        <f ca="1">+'Prestamo 10 años'!BI3+'Prestamo 10 años'!BI4+'Prestamo 10 años'!BI6</f>
        <v>#VALUE!</v>
      </c>
      <c r="BH10" s="33" t="e">
        <f ca="1">+'Prestamo 10 años'!BJ3+'Prestamo 10 años'!BJ4+'Prestamo 10 años'!BJ6</f>
        <v>#VALUE!</v>
      </c>
      <c r="BI10" s="33" t="e">
        <f ca="1">+'Prestamo 10 años'!BK3+'Prestamo 10 años'!BK4+'Prestamo 10 años'!BK6</f>
        <v>#VALUE!</v>
      </c>
      <c r="BJ10" s="33" t="e">
        <f ca="1">+'Prestamo 10 años'!BL3+'Prestamo 10 años'!BL4+'Prestamo 10 años'!BL6</f>
        <v>#VALUE!</v>
      </c>
      <c r="BK10" s="33" t="e">
        <f ca="1">+'Prestamo 10 años'!BM3+'Prestamo 10 años'!BM4+'Prestamo 10 años'!BM6</f>
        <v>#VALUE!</v>
      </c>
      <c r="BL10" s="33" t="e">
        <f ca="1">+'Prestamo 10 años'!BN3+'Prestamo 10 años'!BN4+'Prestamo 10 años'!BN6</f>
        <v>#VALUE!</v>
      </c>
      <c r="BM10" s="33" t="e">
        <f ca="1">+'Prestamo 10 años'!BO3+'Prestamo 10 años'!BO4+'Prestamo 10 años'!BO6</f>
        <v>#VALUE!</v>
      </c>
      <c r="BN10" s="33" t="e">
        <f ca="1">+'Prestamo 10 años'!BP3+'Prestamo 10 años'!BP4+'Prestamo 10 años'!BP6</f>
        <v>#VALUE!</v>
      </c>
      <c r="BO10" s="33" t="e">
        <f ca="1">+'Prestamo 10 años'!BQ3+'Prestamo 10 años'!BQ4+'Prestamo 10 años'!BQ6</f>
        <v>#VALUE!</v>
      </c>
      <c r="BP10" s="33" t="e">
        <f ca="1">+'Prestamo 10 años'!BR3+'Prestamo 10 años'!BR4+'Prestamo 10 años'!BR6</f>
        <v>#VALUE!</v>
      </c>
      <c r="BQ10" s="33" t="e">
        <f ca="1">+'Prestamo 10 años'!BS3+'Prestamo 10 años'!BS4+'Prestamo 10 años'!BS6</f>
        <v>#VALUE!</v>
      </c>
      <c r="BR10" s="33" t="e">
        <f ca="1">+'Prestamo 10 años'!BT3+'Prestamo 10 años'!BT4+'Prestamo 10 años'!BT6</f>
        <v>#VALUE!</v>
      </c>
      <c r="BS10" s="33" t="e">
        <f ca="1">+'Prestamo 10 años'!BU3+'Prestamo 10 años'!BU4+'Prestamo 10 años'!BU6</f>
        <v>#VALUE!</v>
      </c>
      <c r="BT10" s="33" t="e">
        <f ca="1">+'Prestamo 10 años'!BV3+'Prestamo 10 años'!BV4+'Prestamo 10 años'!BV6</f>
        <v>#VALUE!</v>
      </c>
      <c r="BU10" s="33" t="e">
        <f ca="1">+'Prestamo 10 años'!BW3+'Prestamo 10 años'!BW4+'Prestamo 10 años'!BW6</f>
        <v>#VALUE!</v>
      </c>
      <c r="BV10" s="33" t="e">
        <f ca="1">+'Prestamo 10 años'!BX3+'Prestamo 10 años'!BX4+'Prestamo 10 años'!BX6</f>
        <v>#VALUE!</v>
      </c>
      <c r="BW10" s="33" t="e">
        <f ca="1">+'Prestamo 10 años'!BY3+'Prestamo 10 años'!BY4+'Prestamo 10 años'!BY6</f>
        <v>#VALUE!</v>
      </c>
      <c r="BX10" s="33" t="e">
        <f ca="1">+'Prestamo 10 años'!BZ3+'Prestamo 10 años'!BZ4+'Prestamo 10 años'!BZ6</f>
        <v>#VALUE!</v>
      </c>
      <c r="BY10" s="33" t="e">
        <f ca="1">+'Prestamo 10 años'!CA3+'Prestamo 10 años'!CA4+'Prestamo 10 años'!CA6</f>
        <v>#VALUE!</v>
      </c>
      <c r="BZ10" s="33" t="e">
        <f ca="1">+'Prestamo 10 años'!CB3+'Prestamo 10 años'!CB4+'Prestamo 10 años'!CB6</f>
        <v>#VALUE!</v>
      </c>
      <c r="CA10" s="33" t="e">
        <f ca="1">+'Prestamo 10 años'!CC3+'Prestamo 10 años'!CC4+'Prestamo 10 años'!CC6</f>
        <v>#VALUE!</v>
      </c>
      <c r="CB10" s="33" t="e">
        <f ca="1">+'Prestamo 10 años'!CD3+'Prestamo 10 años'!CD4+'Prestamo 10 años'!CD6</f>
        <v>#VALUE!</v>
      </c>
      <c r="CC10" s="33" t="e">
        <f ca="1">+'Prestamo 10 años'!CE3+'Prestamo 10 años'!CE4+'Prestamo 10 años'!CE6</f>
        <v>#VALUE!</v>
      </c>
      <c r="CD10" s="33" t="e">
        <f ca="1">+'Prestamo 10 años'!CF3+'Prestamo 10 años'!CF4+'Prestamo 10 años'!CF6</f>
        <v>#VALUE!</v>
      </c>
      <c r="CE10" s="33" t="e">
        <f ca="1">+'Prestamo 10 años'!CG3+'Prestamo 10 años'!CG4+'Prestamo 10 años'!CG6</f>
        <v>#VALUE!</v>
      </c>
      <c r="CF10" s="33" t="e">
        <f ca="1">+'Prestamo 10 años'!CH3+'Prestamo 10 años'!CH4+'Prestamo 10 años'!CH6</f>
        <v>#VALUE!</v>
      </c>
      <c r="CG10" s="33" t="e">
        <f ca="1">+'Prestamo 10 años'!CI3+'Prestamo 10 años'!CI4+'Prestamo 10 años'!CI6</f>
        <v>#VALUE!</v>
      </c>
      <c r="CH10" s="33" t="e">
        <f ca="1">+'Prestamo 10 años'!CJ3+'Prestamo 10 años'!CJ4+'Prestamo 10 años'!CJ6</f>
        <v>#VALUE!</v>
      </c>
      <c r="CI10" s="33" t="e">
        <f ca="1">+'Prestamo 10 años'!CK3+'Prestamo 10 años'!CK4+'Prestamo 10 años'!CK6</f>
        <v>#VALUE!</v>
      </c>
      <c r="CJ10" s="33" t="e">
        <f ca="1">+'Prestamo 10 años'!CL3+'Prestamo 10 años'!CL4+'Prestamo 10 años'!CL6</f>
        <v>#VALUE!</v>
      </c>
      <c r="CK10" s="33" t="e">
        <f ca="1">+'Prestamo 10 años'!CM3+'Prestamo 10 años'!CM4+'Prestamo 10 años'!CM6</f>
        <v>#VALUE!</v>
      </c>
      <c r="CL10" s="33" t="e">
        <f ca="1">+'Prestamo 10 años'!CN3+'Prestamo 10 años'!CN4+'Prestamo 10 años'!CN6</f>
        <v>#VALUE!</v>
      </c>
      <c r="CM10" s="33" t="e">
        <f ca="1">+'Prestamo 10 años'!CO3+'Prestamo 10 años'!CO4+'Prestamo 10 años'!CO6</f>
        <v>#VALUE!</v>
      </c>
      <c r="CN10" s="33" t="e">
        <f ca="1">+'Prestamo 10 años'!CP3+'Prestamo 10 años'!CP4+'Prestamo 10 años'!CP6</f>
        <v>#VALUE!</v>
      </c>
      <c r="CO10" s="33" t="e">
        <f ca="1">+'Prestamo 10 años'!CQ3+'Prestamo 10 años'!CQ4+'Prestamo 10 años'!CQ6</f>
        <v>#VALUE!</v>
      </c>
      <c r="CP10" s="33" t="e">
        <f ca="1">+'Prestamo 10 años'!CR3+'Prestamo 10 años'!CR4+'Prestamo 10 años'!CR6</f>
        <v>#VALUE!</v>
      </c>
      <c r="CQ10" s="33" t="e">
        <f ca="1">+'Prestamo 10 años'!CS3+'Prestamo 10 años'!CS4+'Prestamo 10 años'!CS6</f>
        <v>#VALUE!</v>
      </c>
      <c r="CR10" s="33" t="e">
        <f ca="1">+'Prestamo 10 años'!CT3+'Prestamo 10 años'!CT4+'Prestamo 10 años'!CT6</f>
        <v>#VALUE!</v>
      </c>
      <c r="CS10" s="33" t="e">
        <f ca="1">+'Prestamo 10 años'!CU3+'Prestamo 10 años'!CU4+'Prestamo 10 años'!CU6</f>
        <v>#VALUE!</v>
      </c>
      <c r="CT10" s="33" t="e">
        <f ca="1">+'Prestamo 10 años'!CV3+'Prestamo 10 años'!CV4+'Prestamo 10 años'!CV6</f>
        <v>#VALUE!</v>
      </c>
      <c r="CU10" s="33" t="e">
        <f ca="1">+'Prestamo 10 años'!CW3+'Prestamo 10 años'!CW4+'Prestamo 10 años'!CW6</f>
        <v>#VALUE!</v>
      </c>
      <c r="CV10" s="33" t="e">
        <f ca="1">+'Prestamo 10 años'!CX3+'Prestamo 10 años'!CX4+'Prestamo 10 años'!CX6</f>
        <v>#VALUE!</v>
      </c>
      <c r="CW10" s="33" t="e">
        <f ca="1">+'Prestamo 10 años'!CY3+'Prestamo 10 años'!CY4+'Prestamo 10 años'!CY6</f>
        <v>#VALUE!</v>
      </c>
      <c r="CX10" s="33" t="e">
        <f ca="1">+'Prestamo 10 años'!CZ3+'Prestamo 10 años'!CZ4+'Prestamo 10 años'!CZ6</f>
        <v>#VALUE!</v>
      </c>
      <c r="CY10" s="33" t="e">
        <f ca="1">+'Prestamo 10 años'!DA3+'Prestamo 10 años'!DA4+'Prestamo 10 años'!DA6</f>
        <v>#VALUE!</v>
      </c>
      <c r="CZ10" s="33" t="e">
        <f ca="1">+'Prestamo 10 años'!DB3+'Prestamo 10 años'!DB4+'Prestamo 10 años'!DB6</f>
        <v>#VALUE!</v>
      </c>
      <c r="DA10" s="33" t="e">
        <f ca="1">+'Prestamo 10 años'!DC3+'Prestamo 10 años'!DC4+'Prestamo 10 años'!DC6</f>
        <v>#VALUE!</v>
      </c>
      <c r="DB10" s="33" t="e">
        <f ca="1">+'Prestamo 10 años'!DD3+'Prestamo 10 años'!DD4+'Prestamo 10 años'!DD6</f>
        <v>#VALUE!</v>
      </c>
      <c r="DC10" s="33" t="e">
        <f ca="1">+'Prestamo 10 años'!DE3+'Prestamo 10 años'!DE4+'Prestamo 10 años'!DE6</f>
        <v>#VALUE!</v>
      </c>
      <c r="DD10" s="33" t="e">
        <f ca="1">+'Prestamo 10 años'!DF3+'Prestamo 10 años'!DF4+'Prestamo 10 años'!DF6</f>
        <v>#VALUE!</v>
      </c>
      <c r="DE10" s="33" t="e">
        <f ca="1">+'Prestamo 10 años'!DG3+'Prestamo 10 años'!DG4+'Prestamo 10 años'!DG6</f>
        <v>#VALUE!</v>
      </c>
      <c r="DF10" s="33" t="e">
        <f ca="1">+'Prestamo 10 años'!DH3+'Prestamo 10 años'!DH4+'Prestamo 10 años'!DH6</f>
        <v>#VALUE!</v>
      </c>
      <c r="DG10" s="33" t="e">
        <f ca="1">+'Prestamo 10 años'!DI3+'Prestamo 10 años'!DI4+'Prestamo 10 años'!DI6</f>
        <v>#VALUE!</v>
      </c>
      <c r="DH10" s="33" t="e">
        <f ca="1">+'Prestamo 10 años'!DJ3+'Prestamo 10 años'!DJ4+'Prestamo 10 años'!DJ6</f>
        <v>#VALUE!</v>
      </c>
      <c r="DI10" s="33" t="e">
        <f ca="1">+'Prestamo 10 años'!DK3+'Prestamo 10 años'!DK4+'Prestamo 10 años'!DK6</f>
        <v>#VALUE!</v>
      </c>
      <c r="DJ10" s="33" t="e">
        <f ca="1">+'Prestamo 10 años'!DL3+'Prestamo 10 años'!DL4+'Prestamo 10 años'!DL6</f>
        <v>#VALUE!</v>
      </c>
      <c r="DK10" s="33" t="e">
        <f ca="1">+'Prestamo 10 años'!DM3+'Prestamo 10 años'!DM4+'Prestamo 10 años'!DM6</f>
        <v>#VALUE!</v>
      </c>
      <c r="DL10" s="33" t="e">
        <f ca="1">+'Prestamo 10 años'!DN3+'Prestamo 10 años'!DN4+'Prestamo 10 años'!DN6</f>
        <v>#VALUE!</v>
      </c>
      <c r="DM10" s="33" t="e">
        <f ca="1">+'Prestamo 10 años'!DO3+'Prestamo 10 años'!DO4+'Prestamo 10 años'!DO6</f>
        <v>#VALUE!</v>
      </c>
      <c r="DN10" s="33" t="e">
        <f ca="1">+'Prestamo 10 años'!DP3+'Prestamo 10 años'!DP4+'Prestamo 10 años'!DP6</f>
        <v>#VALUE!</v>
      </c>
      <c r="DO10" s="33" t="e">
        <f ca="1">+'Prestamo 10 años'!DQ3+'Prestamo 10 años'!DQ4+'Prestamo 10 años'!DQ6</f>
        <v>#VALUE!</v>
      </c>
      <c r="DP10" s="33" t="e">
        <f ca="1">+'Prestamo 10 años'!DR3+'Prestamo 10 años'!DR4+'Prestamo 10 años'!DR6</f>
        <v>#VALUE!</v>
      </c>
      <c r="DQ10" s="33" t="e">
        <f ca="1">+'Prestamo 10 años'!DS3+'Prestamo 10 años'!DS4+'Prestamo 10 años'!DS6</f>
        <v>#VALUE!</v>
      </c>
      <c r="DR10" s="33" t="e">
        <f ca="1">+'Prestamo 10 años'!DT3+'Prestamo 10 años'!DT4+'Prestamo 10 años'!DT6</f>
        <v>#VALUE!</v>
      </c>
      <c r="DS10" s="33" t="e">
        <f ca="1">+'Prestamo 10 años'!DU3+'Prestamo 10 años'!DU4+'Prestamo 10 años'!DU6</f>
        <v>#VALUE!</v>
      </c>
      <c r="DT10" s="33" t="e">
        <f ca="1">+'Prestamo 10 años'!DV3+'Prestamo 10 años'!DV4+'Prestamo 10 años'!DV6</f>
        <v>#VALUE!</v>
      </c>
      <c r="DU10" s="33" t="e">
        <f ca="1">+'Prestamo 10 años'!DW3+'Prestamo 10 años'!DW4+'Prestamo 10 años'!DW6</f>
        <v>#VALUE!</v>
      </c>
      <c r="DV10" s="33" t="e">
        <f ca="1">+'Prestamo 10 años'!DX3+'Prestamo 10 años'!DX4+'Prestamo 10 años'!DX6</f>
        <v>#VALUE!</v>
      </c>
      <c r="DW10" s="33" t="e">
        <f ca="1">+'Prestamo 10 años'!DY3+'Prestamo 10 años'!DY4+'Prestamo 10 años'!DY6</f>
        <v>#VALUE!</v>
      </c>
      <c r="DX10" s="33" t="e">
        <f ca="1">+'Prestamo 10 años'!DZ3+'Prestamo 10 años'!DZ4+'Prestamo 10 años'!DZ6</f>
        <v>#VALUE!</v>
      </c>
      <c r="DY10" s="33" t="e">
        <f ca="1">+'Prestamo 10 años'!EA3+'Prestamo 10 años'!EA4+'Prestamo 10 años'!EA6</f>
        <v>#VALUE!</v>
      </c>
      <c r="DZ10" s="33">
        <f>+'Prestamo 10 años'!EB3+'Prestamo 10 años'!EB4+'Prestamo 10 años'!EB6</f>
        <v>0</v>
      </c>
      <c r="EA10" s="33">
        <f>+'Prestamo 10 años'!EC3+'Prestamo 10 años'!EC4+'Prestamo 10 años'!EC6</f>
        <v>0</v>
      </c>
      <c r="EB10" s="33">
        <f>+'Prestamo 10 años'!ED3+'Prestamo 10 años'!ED4+'Prestamo 10 años'!ED6</f>
        <v>0</v>
      </c>
      <c r="EC10" s="33">
        <f>+'Prestamo 10 años'!EE3+'Prestamo 10 años'!EE4+'Prestamo 10 años'!EE6</f>
        <v>0</v>
      </c>
      <c r="ED10" s="33">
        <f>+'Prestamo 10 años'!EF3+'Prestamo 10 años'!EF4+'Prestamo 10 años'!EF6</f>
        <v>0</v>
      </c>
      <c r="EE10" s="33">
        <f>+'Prestamo 10 años'!EG3+'Prestamo 10 años'!EG4+'Prestamo 10 años'!EG6</f>
        <v>0</v>
      </c>
      <c r="EF10" s="33">
        <f>+'Prestamo 10 años'!EH3+'Prestamo 10 años'!EH4+'Prestamo 10 años'!EH6</f>
        <v>0</v>
      </c>
      <c r="EG10" s="33">
        <f>+'Prestamo 10 años'!EI3+'Prestamo 10 años'!EI4+'Prestamo 10 años'!EI6</f>
        <v>0</v>
      </c>
      <c r="EH10" s="33">
        <f>+'Prestamo 10 años'!EJ3+'Prestamo 10 años'!EJ4+'Prestamo 10 años'!EJ6</f>
        <v>0</v>
      </c>
      <c r="EI10" s="33">
        <f>+'Prestamo 10 años'!EK3+'Prestamo 10 años'!EK4+'Prestamo 10 años'!EK6</f>
        <v>0</v>
      </c>
      <c r="EJ10" s="33">
        <f>+'Prestamo 10 años'!EL3+'Prestamo 10 años'!EL4+'Prestamo 10 años'!EL6</f>
        <v>0</v>
      </c>
      <c r="EK10" s="33">
        <f>+'Prestamo 10 años'!EM3+'Prestamo 10 años'!EM4+'Prestamo 10 años'!EM6</f>
        <v>0</v>
      </c>
      <c r="EL10" s="33">
        <f>+'Prestamo 10 años'!EN3+'Prestamo 10 años'!EN4+'Prestamo 10 años'!EN6</f>
        <v>0</v>
      </c>
      <c r="EM10" s="33">
        <f>+'Prestamo 10 años'!EO3+'Prestamo 10 años'!EO4+'Prestamo 10 años'!EO6</f>
        <v>0</v>
      </c>
      <c r="EN10" s="33">
        <f>+'Prestamo 10 años'!EP3+'Prestamo 10 años'!EP4+'Prestamo 10 años'!EP6</f>
        <v>0</v>
      </c>
      <c r="EO10" s="33">
        <f>+'Prestamo 10 años'!EQ3+'Prestamo 10 años'!EQ4+'Prestamo 10 años'!EQ6</f>
        <v>0</v>
      </c>
      <c r="EP10" s="33">
        <f>+'Prestamo 10 años'!ER3+'Prestamo 10 años'!ER4+'Prestamo 10 años'!ER6</f>
        <v>0</v>
      </c>
      <c r="EQ10" s="33">
        <f>+'Prestamo 10 años'!ES3+'Prestamo 10 años'!ES4+'Prestamo 10 años'!ES6</f>
        <v>0</v>
      </c>
      <c r="ER10" s="33">
        <f>+'Prestamo 10 años'!ET3+'Prestamo 10 años'!ET4+'Prestamo 10 años'!ET6</f>
        <v>0</v>
      </c>
      <c r="ES10" s="33">
        <f>+'Prestamo 10 años'!EU3+'Prestamo 10 años'!EU4+'Prestamo 10 años'!EU6</f>
        <v>0</v>
      </c>
      <c r="ET10" s="33">
        <f>+'Prestamo 10 años'!EV3+'Prestamo 10 años'!EV4+'Prestamo 10 años'!EV6</f>
        <v>0</v>
      </c>
      <c r="EU10" s="33">
        <f>+'Prestamo 10 años'!EW3+'Prestamo 10 años'!EW4+'Prestamo 10 años'!EW6</f>
        <v>0</v>
      </c>
      <c r="EV10" s="33">
        <f>+'Prestamo 10 años'!EX3+'Prestamo 10 años'!EX4+'Prestamo 10 años'!EX6</f>
        <v>0</v>
      </c>
      <c r="EW10" s="33">
        <f>+'Prestamo 10 años'!EY3+'Prestamo 10 años'!EY4+'Prestamo 10 años'!EY6</f>
        <v>0</v>
      </c>
      <c r="EX10" s="33">
        <f>+'Prestamo 10 años'!EZ3+'Prestamo 10 años'!EZ4+'Prestamo 10 años'!EZ6</f>
        <v>0</v>
      </c>
      <c r="EY10" s="33">
        <f>+'Prestamo 10 años'!FA3+'Prestamo 10 años'!FA4+'Prestamo 10 años'!FA6</f>
        <v>0</v>
      </c>
      <c r="EZ10" s="33">
        <f>+'Prestamo 10 años'!FB3+'Prestamo 10 años'!FB4+'Prestamo 10 años'!FB6</f>
        <v>0</v>
      </c>
      <c r="FA10" s="33">
        <f>+'Prestamo 10 años'!FC3+'Prestamo 10 años'!FC4+'Prestamo 10 años'!FC6</f>
        <v>0</v>
      </c>
      <c r="FB10" s="33">
        <f>+'Prestamo 10 años'!FD3+'Prestamo 10 años'!FD4+'Prestamo 10 años'!FD6</f>
        <v>0</v>
      </c>
      <c r="FC10" s="33">
        <f>+'Prestamo 10 años'!FE3+'Prestamo 10 años'!FE4+'Prestamo 10 años'!FE6</f>
        <v>0</v>
      </c>
      <c r="FD10" s="33">
        <f>+'Prestamo 10 años'!FF3+'Prestamo 10 años'!FF4+'Prestamo 10 años'!FF6</f>
        <v>0</v>
      </c>
      <c r="FE10" s="33">
        <f>+'Prestamo 10 años'!FG3+'Prestamo 10 años'!FG4+'Prestamo 10 años'!FG6</f>
        <v>0</v>
      </c>
      <c r="FF10" s="33">
        <f>+'Prestamo 10 años'!FH3+'Prestamo 10 años'!FH4+'Prestamo 10 años'!FH6</f>
        <v>0</v>
      </c>
      <c r="FG10" s="33">
        <f>+'Prestamo 10 años'!FI3+'Prestamo 10 años'!FI4+'Prestamo 10 años'!FI6</f>
        <v>0</v>
      </c>
      <c r="FH10" s="33">
        <f>+'Prestamo 10 años'!FJ3+'Prestamo 10 años'!FJ4+'Prestamo 10 años'!FJ6</f>
        <v>0</v>
      </c>
      <c r="FI10" s="33">
        <f>+'Prestamo 10 años'!FK3+'Prestamo 10 años'!FK4+'Prestamo 10 años'!FK6</f>
        <v>0</v>
      </c>
      <c r="FJ10" s="33">
        <f>+'Prestamo 10 años'!FL3+'Prestamo 10 años'!FL4+'Prestamo 10 años'!FL6</f>
        <v>0</v>
      </c>
      <c r="FK10" s="33">
        <f>+'Prestamo 10 años'!FM3+'Prestamo 10 años'!FM4+'Prestamo 10 años'!FM6</f>
        <v>0</v>
      </c>
      <c r="FL10" s="33">
        <f>+'Prestamo 10 años'!FN3+'Prestamo 10 años'!FN4+'Prestamo 10 años'!FN6</f>
        <v>0</v>
      </c>
      <c r="FM10" s="33">
        <f>+'Prestamo 10 años'!FO3+'Prestamo 10 años'!FO4+'Prestamo 10 años'!FO6</f>
        <v>0</v>
      </c>
      <c r="FN10" s="33">
        <f>+'Prestamo 10 años'!FP3+'Prestamo 10 años'!FP4+'Prestamo 10 años'!FP6</f>
        <v>0</v>
      </c>
      <c r="FO10" s="33">
        <f>+'Prestamo 10 años'!FQ3+'Prestamo 10 años'!FQ4+'Prestamo 10 años'!FQ6</f>
        <v>0</v>
      </c>
      <c r="FP10" s="33">
        <f>+'Prestamo 10 años'!FR3+'Prestamo 10 años'!FR4+'Prestamo 10 años'!FR6</f>
        <v>0</v>
      </c>
      <c r="FQ10" s="33">
        <f>+'Prestamo 10 años'!FS3+'Prestamo 10 años'!FS4+'Prestamo 10 años'!FS6</f>
        <v>0</v>
      </c>
      <c r="FR10" s="33">
        <f>+'Prestamo 10 años'!FT3+'Prestamo 10 años'!FT4+'Prestamo 10 años'!FT6</f>
        <v>0</v>
      </c>
      <c r="FS10" s="33">
        <f>+'Prestamo 10 años'!FU3+'Prestamo 10 años'!FU4+'Prestamo 10 años'!FU6</f>
        <v>0</v>
      </c>
      <c r="FT10" s="33">
        <f>+'Prestamo 10 años'!FV3+'Prestamo 10 años'!FV4+'Prestamo 10 años'!FV6</f>
        <v>0</v>
      </c>
      <c r="FU10" s="33">
        <f>+'Prestamo 10 años'!FW3+'Prestamo 10 años'!FW4+'Prestamo 10 años'!FW6</f>
        <v>0</v>
      </c>
      <c r="FV10" s="33">
        <f>+'Prestamo 10 años'!FX3+'Prestamo 10 años'!FX4+'Prestamo 10 años'!FX6</f>
        <v>0</v>
      </c>
      <c r="FW10" s="33">
        <f>+'Prestamo 10 años'!FY3+'Prestamo 10 años'!FY4+'Prestamo 10 años'!FY6</f>
        <v>0</v>
      </c>
      <c r="FX10" s="33">
        <f>+'Prestamo 10 años'!FZ3+'Prestamo 10 años'!FZ4+'Prestamo 10 años'!FZ6</f>
        <v>0</v>
      </c>
      <c r="FY10" s="33">
        <f>+'Prestamo 10 años'!GA3+'Prestamo 10 años'!GA4+'Prestamo 10 años'!GA6</f>
        <v>0</v>
      </c>
      <c r="FZ10" s="33">
        <f>+'Prestamo 10 años'!GB3+'Prestamo 10 años'!GB4+'Prestamo 10 años'!GB6</f>
        <v>0</v>
      </c>
      <c r="GA10" s="33">
        <f>+'Prestamo 10 años'!GC3+'Prestamo 10 años'!GC4+'Prestamo 10 años'!GC6</f>
        <v>0</v>
      </c>
      <c r="GB10" s="33">
        <f>+'Prestamo 10 años'!GD3+'Prestamo 10 años'!GD4+'Prestamo 10 años'!GD6</f>
        <v>0</v>
      </c>
      <c r="GC10" s="33">
        <f>+'Prestamo 10 años'!GE3+'Prestamo 10 años'!GE4+'Prestamo 10 años'!GE6</f>
        <v>0</v>
      </c>
      <c r="GD10" s="33">
        <f>+'Prestamo 10 años'!GF3+'Prestamo 10 años'!GF4+'Prestamo 10 años'!GF6</f>
        <v>0</v>
      </c>
      <c r="GE10" s="33">
        <f>+'Prestamo 10 años'!GG3+'Prestamo 10 años'!GG4+'Prestamo 10 años'!GG6</f>
        <v>0</v>
      </c>
      <c r="GF10" s="33">
        <f>+'Prestamo 10 años'!GH3+'Prestamo 10 años'!GH4+'Prestamo 10 años'!GH6</f>
        <v>0</v>
      </c>
      <c r="GG10" s="33">
        <f>+'Prestamo 10 años'!GI3+'Prestamo 10 años'!GI4+'Prestamo 10 años'!GI6</f>
        <v>0</v>
      </c>
      <c r="GH10" s="33">
        <f>+'Prestamo 10 años'!GJ3+'Prestamo 10 años'!GJ4+'Prestamo 10 años'!GJ6</f>
        <v>0</v>
      </c>
      <c r="GI10" s="33">
        <f>+'Prestamo 10 años'!GK3+'Prestamo 10 años'!GK4+'Prestamo 10 años'!GK6</f>
        <v>0</v>
      </c>
      <c r="GJ10" s="33">
        <f>+'Prestamo 10 años'!GL3+'Prestamo 10 años'!GL4+'Prestamo 10 años'!GL6</f>
        <v>0</v>
      </c>
      <c r="GK10" s="33">
        <f>+'Prestamo 10 años'!GM3+'Prestamo 10 años'!GM4+'Prestamo 10 años'!GM6</f>
        <v>0</v>
      </c>
      <c r="GL10" s="33">
        <f>+'Prestamo 10 años'!GN3+'Prestamo 10 años'!GN4+'Prestamo 10 años'!GN6</f>
        <v>0</v>
      </c>
      <c r="GM10" s="33">
        <f>+'Prestamo 10 años'!GO3+'Prestamo 10 años'!GO4+'Prestamo 10 años'!GO6</f>
        <v>0</v>
      </c>
      <c r="GN10" s="33">
        <f>+'Prestamo 10 años'!GP3+'Prestamo 10 años'!GP4+'Prestamo 10 años'!GP6</f>
        <v>0</v>
      </c>
      <c r="GO10" s="33">
        <f>+'Prestamo 10 años'!GQ3+'Prestamo 10 años'!GQ4+'Prestamo 10 años'!GQ6</f>
        <v>0</v>
      </c>
      <c r="GP10" s="33">
        <f>+'Prestamo 10 años'!GR3+'Prestamo 10 años'!GR4+'Prestamo 10 años'!GR6</f>
        <v>0</v>
      </c>
      <c r="GQ10" s="33">
        <f>+'Prestamo 10 años'!GS3+'Prestamo 10 años'!GS4+'Prestamo 10 años'!GS6</f>
        <v>0</v>
      </c>
      <c r="GR10" s="33">
        <f>+'Prestamo 10 años'!GT3+'Prestamo 10 años'!GT4+'Prestamo 10 años'!GT6</f>
        <v>0</v>
      </c>
      <c r="GS10" s="33">
        <f>+'Prestamo 10 años'!GU3+'Prestamo 10 años'!GU4+'Prestamo 10 años'!GU6</f>
        <v>0</v>
      </c>
      <c r="GT10" s="33">
        <f>+'Prestamo 10 años'!GV3+'Prestamo 10 años'!GV4+'Prestamo 10 años'!GV6</f>
        <v>0</v>
      </c>
      <c r="GU10" s="33">
        <f>+'Prestamo 10 años'!GW3+'Prestamo 10 años'!GW4+'Prestamo 10 años'!GW6</f>
        <v>0</v>
      </c>
      <c r="GV10" s="33">
        <f>+'Prestamo 10 años'!GX3+'Prestamo 10 años'!GX4+'Prestamo 10 años'!GX6</f>
        <v>0</v>
      </c>
      <c r="GW10" s="33">
        <f>+'Prestamo 10 años'!GY3+'Prestamo 10 años'!GY4+'Prestamo 10 años'!GY6</f>
        <v>0</v>
      </c>
      <c r="GX10" s="33">
        <f>+'Prestamo 10 años'!GZ3+'Prestamo 10 años'!GZ4+'Prestamo 10 años'!GZ6</f>
        <v>0</v>
      </c>
      <c r="GY10" s="33">
        <f>+'Prestamo 10 años'!HA3+'Prestamo 10 años'!HA4+'Prestamo 10 años'!HA6</f>
        <v>0</v>
      </c>
      <c r="GZ10" s="33">
        <f>+'Prestamo 10 años'!HB3+'Prestamo 10 años'!HB4+'Prestamo 10 años'!HB6</f>
        <v>0</v>
      </c>
      <c r="HA10" s="33">
        <f>+'Prestamo 10 años'!HC3+'Prestamo 10 años'!HC4+'Prestamo 10 años'!HC6</f>
        <v>0</v>
      </c>
      <c r="HB10" s="33">
        <f>+'Prestamo 10 años'!HD3+'Prestamo 10 años'!HD4+'Prestamo 10 años'!HD6</f>
        <v>0</v>
      </c>
      <c r="HC10" s="33">
        <f>+'Prestamo 10 años'!HE3+'Prestamo 10 años'!HE4+'Prestamo 10 años'!HE6</f>
        <v>0</v>
      </c>
      <c r="HD10" s="33">
        <f>+'Prestamo 10 años'!HF3+'Prestamo 10 años'!HF4+'Prestamo 10 años'!HF6</f>
        <v>0</v>
      </c>
      <c r="HE10" s="33">
        <f>+'Prestamo 10 años'!HG3+'Prestamo 10 años'!HG4+'Prestamo 10 años'!HG6</f>
        <v>0</v>
      </c>
      <c r="HF10" s="33">
        <f>+'Prestamo 10 años'!HH3+'Prestamo 10 años'!HH4+'Prestamo 10 años'!HH6</f>
        <v>0</v>
      </c>
      <c r="HG10" s="33">
        <f>+'Prestamo 10 años'!HI3+'Prestamo 10 años'!HI4+'Prestamo 10 años'!HI6</f>
        <v>0</v>
      </c>
      <c r="HH10" s="33">
        <f>+'Prestamo 10 años'!HJ3+'Prestamo 10 años'!HJ4+'Prestamo 10 años'!HJ6</f>
        <v>0</v>
      </c>
      <c r="HI10" s="33">
        <f>+'Prestamo 10 años'!HK3+'Prestamo 10 años'!HK4+'Prestamo 10 años'!HK6</f>
        <v>0</v>
      </c>
      <c r="HJ10" s="33">
        <f>+'Prestamo 10 años'!HL3+'Prestamo 10 años'!HL4+'Prestamo 10 años'!HL6</f>
        <v>0</v>
      </c>
      <c r="HK10" s="33">
        <f>+'Prestamo 10 años'!HM3+'Prestamo 10 años'!HM4+'Prestamo 10 años'!HM6</f>
        <v>0</v>
      </c>
      <c r="HL10" s="33">
        <f>+'Prestamo 10 años'!HN3+'Prestamo 10 años'!HN4+'Prestamo 10 años'!HN6</f>
        <v>0</v>
      </c>
      <c r="HM10" s="33">
        <f>+'Prestamo 10 años'!HO3+'Prestamo 10 años'!HO4+'Prestamo 10 años'!HO6</f>
        <v>0</v>
      </c>
      <c r="HN10" s="33">
        <f>+'Prestamo 10 años'!HP3+'Prestamo 10 años'!HP4+'Prestamo 10 años'!HP6</f>
        <v>0</v>
      </c>
      <c r="HO10" s="33">
        <f>+'Prestamo 10 años'!HQ3+'Prestamo 10 años'!HQ4+'Prestamo 10 años'!HQ6</f>
        <v>0</v>
      </c>
      <c r="HP10" s="33">
        <f>+'Prestamo 10 años'!HR3+'Prestamo 10 años'!HR4+'Prestamo 10 años'!HR6</f>
        <v>0</v>
      </c>
      <c r="HQ10" s="33">
        <f>+'Prestamo 10 años'!HS3+'Prestamo 10 años'!HS4+'Prestamo 10 años'!HS6</f>
        <v>0</v>
      </c>
      <c r="HR10" s="33">
        <f>+'Prestamo 10 años'!HT3+'Prestamo 10 años'!HT4+'Prestamo 10 años'!HT6</f>
        <v>0</v>
      </c>
      <c r="HS10" s="33">
        <f>+'Prestamo 10 años'!HU3+'Prestamo 10 años'!HU4+'Prestamo 10 años'!HU6</f>
        <v>0</v>
      </c>
      <c r="HT10" s="33">
        <f>+'Prestamo 10 años'!HV3+'Prestamo 10 años'!HV4+'Prestamo 10 años'!HV6</f>
        <v>0</v>
      </c>
      <c r="HU10" s="33">
        <f>+'Prestamo 10 años'!HW3+'Prestamo 10 años'!HW4+'Prestamo 10 años'!HW6</f>
        <v>0</v>
      </c>
      <c r="HV10" s="33">
        <f>+'Prestamo 10 años'!HX3+'Prestamo 10 años'!HX4+'Prestamo 10 años'!HX6</f>
        <v>0</v>
      </c>
      <c r="HW10" s="33">
        <f>+'Prestamo 10 años'!HY3+'Prestamo 10 años'!HY4+'Prestamo 10 años'!HY6</f>
        <v>0</v>
      </c>
      <c r="HX10" s="33">
        <f>+'Prestamo 10 años'!HZ3+'Prestamo 10 años'!HZ4+'Prestamo 10 años'!HZ6</f>
        <v>0</v>
      </c>
      <c r="HY10" s="33">
        <f>+'Prestamo 10 años'!IA3+'Prestamo 10 años'!IA4+'Prestamo 10 años'!IA6</f>
        <v>0</v>
      </c>
      <c r="HZ10" s="33">
        <f>+'Prestamo 10 años'!IB3+'Prestamo 10 años'!IB4+'Prestamo 10 años'!IB6</f>
        <v>0</v>
      </c>
      <c r="IA10" s="33">
        <f>+'Prestamo 10 años'!IC3+'Prestamo 10 años'!IC4+'Prestamo 10 años'!IC6</f>
        <v>0</v>
      </c>
      <c r="IB10" s="33">
        <f>+'Prestamo 10 años'!ID3+'Prestamo 10 años'!ID4+'Prestamo 10 años'!ID6</f>
        <v>0</v>
      </c>
      <c r="IC10" s="33">
        <f>+'Prestamo 10 años'!IE3+'Prestamo 10 años'!IE4+'Prestamo 10 años'!IE6</f>
        <v>0</v>
      </c>
      <c r="ID10" s="33">
        <f>+'Prestamo 10 años'!IF3+'Prestamo 10 años'!IF4+'Prestamo 10 años'!IF6</f>
        <v>0</v>
      </c>
      <c r="IE10" s="33">
        <f>+'Prestamo 10 años'!IG3+'Prestamo 10 años'!IG4+'Prestamo 10 años'!IG6</f>
        <v>0</v>
      </c>
      <c r="IF10" s="33">
        <f>+'Prestamo 10 años'!IH3+'Prestamo 10 años'!IH4+'Prestamo 10 años'!IH6</f>
        <v>0</v>
      </c>
      <c r="IG10" s="33">
        <f>+'Prestamo 10 años'!II3+'Prestamo 10 años'!II4+'Prestamo 10 años'!II6</f>
        <v>0</v>
      </c>
      <c r="IH10" s="33">
        <f>+'Prestamo 10 años'!IJ3+'Prestamo 10 años'!IJ4+'Prestamo 10 años'!IJ6</f>
        <v>0</v>
      </c>
      <c r="II10" s="33">
        <f>+'Prestamo 10 años'!IK3+'Prestamo 10 años'!IK4+'Prestamo 10 años'!IK6</f>
        <v>0</v>
      </c>
      <c r="IJ10" s="33">
        <f>+'Prestamo 10 años'!IL3+'Prestamo 10 años'!IL4+'Prestamo 10 años'!IL6</f>
        <v>0</v>
      </c>
      <c r="IK10" s="33">
        <f>+'Prestamo 10 años'!IM3+'Prestamo 10 años'!IM4+'Prestamo 10 años'!IM6</f>
        <v>0</v>
      </c>
      <c r="IL10" s="33">
        <f>+'Prestamo 10 años'!IN3+'Prestamo 10 años'!IN4+'Prestamo 10 años'!IN6</f>
        <v>0</v>
      </c>
      <c r="IM10" s="33">
        <f>+'Prestamo 10 años'!IO3+'Prestamo 10 años'!IO4+'Prestamo 10 años'!IO6</f>
        <v>0</v>
      </c>
      <c r="IN10" s="33"/>
      <c r="IO10" s="33"/>
    </row>
    <row r="12" spans="1:249" x14ac:dyDescent="0.3">
      <c r="A12" t="s">
        <v>922</v>
      </c>
      <c r="B12" s="33" t="e">
        <f>+B8-B9</f>
        <v>#REF!</v>
      </c>
      <c r="C12" s="33">
        <f>+C8-C9</f>
        <v>0</v>
      </c>
      <c r="D12" s="33">
        <f t="shared" ref="D12:BO12" si="13">+D8-D9</f>
        <v>0</v>
      </c>
      <c r="E12" s="33">
        <f t="shared" si="13"/>
        <v>0</v>
      </c>
      <c r="F12" s="33">
        <f>+F8-F9</f>
        <v>0</v>
      </c>
      <c r="G12" s="33">
        <f t="shared" si="13"/>
        <v>0</v>
      </c>
      <c r="H12" s="33">
        <f t="shared" si="13"/>
        <v>0</v>
      </c>
      <c r="I12" s="33" t="e">
        <f ca="1">+I8-I9</f>
        <v>#VALUE!</v>
      </c>
      <c r="J12" s="33" t="e">
        <f t="shared" ca="1" si="13"/>
        <v>#VALUE!</v>
      </c>
      <c r="K12" s="33" t="e">
        <f t="shared" ca="1" si="13"/>
        <v>#VALUE!</v>
      </c>
      <c r="L12" s="33" t="e">
        <f t="shared" ca="1" si="13"/>
        <v>#VALUE!</v>
      </c>
      <c r="M12" s="33" t="e">
        <f t="shared" ca="1" si="13"/>
        <v>#VALUE!</v>
      </c>
      <c r="N12" s="33" t="e">
        <f t="shared" ca="1" si="13"/>
        <v>#VALUE!</v>
      </c>
      <c r="O12" s="33" t="e">
        <f t="shared" ca="1" si="13"/>
        <v>#VALUE!</v>
      </c>
      <c r="P12" s="33" t="e">
        <f t="shared" ca="1" si="13"/>
        <v>#VALUE!</v>
      </c>
      <c r="Q12" s="33" t="e">
        <f t="shared" ca="1" si="13"/>
        <v>#VALUE!</v>
      </c>
      <c r="R12" s="33" t="e">
        <f t="shared" ca="1" si="13"/>
        <v>#VALUE!</v>
      </c>
      <c r="S12" s="33" t="e">
        <f t="shared" ca="1" si="13"/>
        <v>#VALUE!</v>
      </c>
      <c r="T12" s="33" t="e">
        <f t="shared" ca="1" si="13"/>
        <v>#VALUE!</v>
      </c>
      <c r="U12" s="33" t="e">
        <f t="shared" ca="1" si="13"/>
        <v>#VALUE!</v>
      </c>
      <c r="V12" s="33" t="e">
        <f t="shared" ca="1" si="13"/>
        <v>#VALUE!</v>
      </c>
      <c r="W12" s="33" t="e">
        <f t="shared" ca="1" si="13"/>
        <v>#VALUE!</v>
      </c>
      <c r="X12" s="33" t="e">
        <f t="shared" ca="1" si="13"/>
        <v>#VALUE!</v>
      </c>
      <c r="Y12" s="33" t="e">
        <f t="shared" ca="1" si="13"/>
        <v>#VALUE!</v>
      </c>
      <c r="Z12" s="33" t="e">
        <f t="shared" ca="1" si="13"/>
        <v>#VALUE!</v>
      </c>
      <c r="AA12" s="33" t="e">
        <f t="shared" ca="1" si="13"/>
        <v>#VALUE!</v>
      </c>
      <c r="AB12" s="33" t="e">
        <f t="shared" ca="1" si="13"/>
        <v>#VALUE!</v>
      </c>
      <c r="AC12" s="33" t="e">
        <f t="shared" ca="1" si="13"/>
        <v>#VALUE!</v>
      </c>
      <c r="AD12" s="33" t="e">
        <f t="shared" ca="1" si="13"/>
        <v>#VALUE!</v>
      </c>
      <c r="AE12" s="33" t="e">
        <f t="shared" ca="1" si="13"/>
        <v>#VALUE!</v>
      </c>
      <c r="AF12" s="33" t="e">
        <f t="shared" ca="1" si="13"/>
        <v>#VALUE!</v>
      </c>
      <c r="AG12" s="33" t="e">
        <f t="shared" ca="1" si="13"/>
        <v>#VALUE!</v>
      </c>
      <c r="AH12" s="33" t="e">
        <f t="shared" ca="1" si="13"/>
        <v>#VALUE!</v>
      </c>
      <c r="AI12" s="33" t="e">
        <f t="shared" ca="1" si="13"/>
        <v>#VALUE!</v>
      </c>
      <c r="AJ12" s="33" t="e">
        <f t="shared" ca="1" si="13"/>
        <v>#VALUE!</v>
      </c>
      <c r="AK12" s="33" t="e">
        <f t="shared" ca="1" si="13"/>
        <v>#VALUE!</v>
      </c>
      <c r="AL12" s="33" t="e">
        <f t="shared" ca="1" si="13"/>
        <v>#VALUE!</v>
      </c>
      <c r="AM12" s="33" t="e">
        <f t="shared" ca="1" si="13"/>
        <v>#VALUE!</v>
      </c>
      <c r="AN12" s="33" t="e">
        <f t="shared" ca="1" si="13"/>
        <v>#VALUE!</v>
      </c>
      <c r="AO12" s="33" t="e">
        <f t="shared" ca="1" si="13"/>
        <v>#VALUE!</v>
      </c>
      <c r="AP12" s="33" t="e">
        <f t="shared" ca="1" si="13"/>
        <v>#VALUE!</v>
      </c>
      <c r="AQ12" s="33" t="e">
        <f t="shared" ca="1" si="13"/>
        <v>#VALUE!</v>
      </c>
      <c r="AR12" s="33" t="e">
        <f t="shared" ca="1" si="13"/>
        <v>#VALUE!</v>
      </c>
      <c r="AS12" s="33" t="e">
        <f t="shared" ca="1" si="13"/>
        <v>#VALUE!</v>
      </c>
      <c r="AT12" s="33" t="e">
        <f t="shared" ca="1" si="13"/>
        <v>#VALUE!</v>
      </c>
      <c r="AU12" s="33" t="e">
        <f t="shared" ca="1" si="13"/>
        <v>#VALUE!</v>
      </c>
      <c r="AV12" s="33" t="e">
        <f t="shared" ca="1" si="13"/>
        <v>#VALUE!</v>
      </c>
      <c r="AW12" s="33" t="e">
        <f t="shared" ca="1" si="13"/>
        <v>#VALUE!</v>
      </c>
      <c r="AX12" s="33" t="e">
        <f t="shared" ca="1" si="13"/>
        <v>#VALUE!</v>
      </c>
      <c r="AY12" s="33" t="e">
        <f t="shared" ca="1" si="13"/>
        <v>#VALUE!</v>
      </c>
      <c r="AZ12" s="33" t="e">
        <f t="shared" ca="1" si="13"/>
        <v>#VALUE!</v>
      </c>
      <c r="BA12" s="33" t="e">
        <f t="shared" ca="1" si="13"/>
        <v>#VALUE!</v>
      </c>
      <c r="BB12" s="33" t="e">
        <f t="shared" ca="1" si="13"/>
        <v>#VALUE!</v>
      </c>
      <c r="BC12" s="33" t="e">
        <f t="shared" ca="1" si="13"/>
        <v>#VALUE!</v>
      </c>
      <c r="BD12" s="33" t="e">
        <f t="shared" ca="1" si="13"/>
        <v>#VALUE!</v>
      </c>
      <c r="BE12" s="33" t="e">
        <f t="shared" ca="1" si="13"/>
        <v>#VALUE!</v>
      </c>
      <c r="BF12" s="33" t="e">
        <f t="shared" ca="1" si="13"/>
        <v>#VALUE!</v>
      </c>
      <c r="BG12" s="33" t="e">
        <f t="shared" ca="1" si="13"/>
        <v>#VALUE!</v>
      </c>
      <c r="BH12" s="33" t="e">
        <f t="shared" ca="1" si="13"/>
        <v>#VALUE!</v>
      </c>
      <c r="BI12" s="33" t="e">
        <f t="shared" ca="1" si="13"/>
        <v>#VALUE!</v>
      </c>
      <c r="BJ12" s="33" t="e">
        <f t="shared" ca="1" si="13"/>
        <v>#VALUE!</v>
      </c>
      <c r="BK12" s="33" t="e">
        <f t="shared" ca="1" si="13"/>
        <v>#VALUE!</v>
      </c>
      <c r="BL12" s="33" t="e">
        <f t="shared" ca="1" si="13"/>
        <v>#VALUE!</v>
      </c>
      <c r="BM12" s="33" t="e">
        <f t="shared" ca="1" si="13"/>
        <v>#VALUE!</v>
      </c>
      <c r="BN12" s="33" t="e">
        <f t="shared" ca="1" si="13"/>
        <v>#VALUE!</v>
      </c>
      <c r="BO12" s="33" t="e">
        <f t="shared" ca="1" si="13"/>
        <v>#VALUE!</v>
      </c>
      <c r="BP12" s="33" t="e">
        <f t="shared" ref="BP12:DR12" ca="1" si="14">+BP8-BP9</f>
        <v>#VALUE!</v>
      </c>
      <c r="BQ12" s="33" t="e">
        <f t="shared" ca="1" si="14"/>
        <v>#VALUE!</v>
      </c>
      <c r="BR12" s="33" t="e">
        <f t="shared" ca="1" si="14"/>
        <v>#VALUE!</v>
      </c>
      <c r="BS12" s="33" t="e">
        <f t="shared" ca="1" si="14"/>
        <v>#VALUE!</v>
      </c>
      <c r="BT12" s="33" t="e">
        <f t="shared" ca="1" si="14"/>
        <v>#VALUE!</v>
      </c>
      <c r="BU12" s="33" t="e">
        <f t="shared" ca="1" si="14"/>
        <v>#VALUE!</v>
      </c>
      <c r="BV12" s="33" t="e">
        <f t="shared" ca="1" si="14"/>
        <v>#VALUE!</v>
      </c>
      <c r="BW12" s="33" t="e">
        <f t="shared" ca="1" si="14"/>
        <v>#VALUE!</v>
      </c>
      <c r="BX12" s="33" t="e">
        <f t="shared" ca="1" si="14"/>
        <v>#VALUE!</v>
      </c>
      <c r="BY12" s="33" t="e">
        <f t="shared" ca="1" si="14"/>
        <v>#VALUE!</v>
      </c>
      <c r="BZ12" s="33" t="e">
        <f t="shared" ca="1" si="14"/>
        <v>#VALUE!</v>
      </c>
      <c r="CA12" s="33" t="e">
        <f t="shared" ca="1" si="14"/>
        <v>#VALUE!</v>
      </c>
      <c r="CB12" s="33" t="e">
        <f t="shared" ca="1" si="14"/>
        <v>#VALUE!</v>
      </c>
      <c r="CC12" s="33" t="e">
        <f t="shared" ca="1" si="14"/>
        <v>#VALUE!</v>
      </c>
      <c r="CD12" s="33" t="e">
        <f t="shared" ca="1" si="14"/>
        <v>#VALUE!</v>
      </c>
      <c r="CE12" s="33" t="e">
        <f t="shared" ca="1" si="14"/>
        <v>#VALUE!</v>
      </c>
      <c r="CF12" s="33" t="e">
        <f t="shared" ca="1" si="14"/>
        <v>#VALUE!</v>
      </c>
      <c r="CG12" s="33" t="e">
        <f t="shared" ca="1" si="14"/>
        <v>#VALUE!</v>
      </c>
      <c r="CH12" s="33" t="e">
        <f t="shared" ca="1" si="14"/>
        <v>#VALUE!</v>
      </c>
      <c r="CI12" s="33" t="e">
        <f t="shared" ca="1" si="14"/>
        <v>#VALUE!</v>
      </c>
      <c r="CJ12" s="33" t="e">
        <f t="shared" ca="1" si="14"/>
        <v>#VALUE!</v>
      </c>
      <c r="CK12" s="33" t="e">
        <f t="shared" ca="1" si="14"/>
        <v>#VALUE!</v>
      </c>
      <c r="CL12" s="33" t="e">
        <f t="shared" ca="1" si="14"/>
        <v>#VALUE!</v>
      </c>
      <c r="CM12" s="33" t="e">
        <f t="shared" ca="1" si="14"/>
        <v>#VALUE!</v>
      </c>
      <c r="CN12" s="33" t="e">
        <f t="shared" ca="1" si="14"/>
        <v>#VALUE!</v>
      </c>
      <c r="CO12" s="33" t="e">
        <f t="shared" ca="1" si="14"/>
        <v>#VALUE!</v>
      </c>
      <c r="CP12" s="33" t="e">
        <f t="shared" ca="1" si="14"/>
        <v>#VALUE!</v>
      </c>
      <c r="CQ12" s="33" t="e">
        <f t="shared" ca="1" si="14"/>
        <v>#VALUE!</v>
      </c>
      <c r="CR12" s="33" t="e">
        <f t="shared" ca="1" si="14"/>
        <v>#VALUE!</v>
      </c>
      <c r="CS12" s="33" t="e">
        <f t="shared" ca="1" si="14"/>
        <v>#VALUE!</v>
      </c>
      <c r="CT12" s="33" t="e">
        <f t="shared" ca="1" si="14"/>
        <v>#VALUE!</v>
      </c>
      <c r="CU12" s="33" t="e">
        <f t="shared" ca="1" si="14"/>
        <v>#VALUE!</v>
      </c>
      <c r="CV12" s="33" t="e">
        <f t="shared" ca="1" si="14"/>
        <v>#VALUE!</v>
      </c>
      <c r="CW12" s="33" t="e">
        <f t="shared" ca="1" si="14"/>
        <v>#VALUE!</v>
      </c>
      <c r="CX12" s="33" t="e">
        <f t="shared" ca="1" si="14"/>
        <v>#VALUE!</v>
      </c>
      <c r="CY12" s="33" t="e">
        <f t="shared" ca="1" si="14"/>
        <v>#VALUE!</v>
      </c>
      <c r="CZ12" s="33" t="e">
        <f t="shared" ca="1" si="14"/>
        <v>#VALUE!</v>
      </c>
      <c r="DA12" s="33" t="e">
        <f t="shared" ca="1" si="14"/>
        <v>#VALUE!</v>
      </c>
      <c r="DB12" s="33" t="e">
        <f t="shared" ca="1" si="14"/>
        <v>#VALUE!</v>
      </c>
      <c r="DC12" s="33" t="e">
        <f t="shared" ca="1" si="14"/>
        <v>#VALUE!</v>
      </c>
      <c r="DD12" s="33" t="e">
        <f t="shared" ca="1" si="14"/>
        <v>#VALUE!</v>
      </c>
      <c r="DE12" s="33" t="e">
        <f t="shared" ca="1" si="14"/>
        <v>#VALUE!</v>
      </c>
      <c r="DF12" s="33" t="e">
        <f t="shared" ca="1" si="14"/>
        <v>#VALUE!</v>
      </c>
      <c r="DG12" s="33" t="e">
        <f t="shared" ca="1" si="14"/>
        <v>#VALUE!</v>
      </c>
      <c r="DH12" s="33" t="e">
        <f t="shared" ca="1" si="14"/>
        <v>#VALUE!</v>
      </c>
      <c r="DI12" s="33" t="e">
        <f t="shared" ca="1" si="14"/>
        <v>#VALUE!</v>
      </c>
      <c r="DJ12" s="33" t="e">
        <f t="shared" ca="1" si="14"/>
        <v>#VALUE!</v>
      </c>
      <c r="DK12" s="33" t="e">
        <f t="shared" ca="1" si="14"/>
        <v>#VALUE!</v>
      </c>
      <c r="DL12" s="33" t="e">
        <f t="shared" ca="1" si="14"/>
        <v>#VALUE!</v>
      </c>
      <c r="DM12" s="33" t="e">
        <f t="shared" ca="1" si="14"/>
        <v>#VALUE!</v>
      </c>
      <c r="DN12" s="33" t="e">
        <f t="shared" ca="1" si="14"/>
        <v>#VALUE!</v>
      </c>
      <c r="DO12" s="33" t="e">
        <f t="shared" ca="1" si="14"/>
        <v>#VALUE!</v>
      </c>
      <c r="DP12" s="33" t="e">
        <f t="shared" ca="1" si="14"/>
        <v>#VALUE!</v>
      </c>
      <c r="DQ12" s="33" t="e">
        <f t="shared" ca="1" si="14"/>
        <v>#VALUE!</v>
      </c>
      <c r="DR12" s="33" t="e">
        <f t="shared" ca="1" si="14"/>
        <v>#VALUE!</v>
      </c>
      <c r="DS12" s="33" t="e">
        <f ca="1">+DS8-DS9</f>
        <v>#VALUE!</v>
      </c>
      <c r="DT12" s="33" t="e">
        <f t="shared" ref="DT12:DU12" ca="1" si="15">+DT8-DT9</f>
        <v>#VALUE!</v>
      </c>
      <c r="DU12" s="33" t="e">
        <f t="shared" ca="1" si="15"/>
        <v>#VALUE!</v>
      </c>
      <c r="DV12" s="33" t="e">
        <f ca="1">+DV8-DV9</f>
        <v>#VALUE!</v>
      </c>
      <c r="DW12" s="33" t="e">
        <f t="shared" ref="DW12:DX12" ca="1" si="16">+DW8-DW9</f>
        <v>#VALUE!</v>
      </c>
      <c r="DX12" s="33" t="e">
        <f t="shared" ca="1" si="16"/>
        <v>#VALUE!</v>
      </c>
      <c r="DY12" s="33">
        <f ca="1">+DY8-DY9</f>
        <v>222245.11932117899</v>
      </c>
      <c r="DZ12" s="33">
        <f t="shared" ref="DZ12:GK12" ca="1" si="17">+DZ8-DZ9</f>
        <v>196750.48342801462</v>
      </c>
      <c r="EA12" s="33">
        <f t="shared" ca="1" si="17"/>
        <v>48162.414041620097</v>
      </c>
      <c r="EB12" s="33">
        <f t="shared" ca="1" si="17"/>
        <v>221331.08814658731</v>
      </c>
      <c r="EC12" s="33">
        <f t="shared" ca="1" si="17"/>
        <v>211424.57529403694</v>
      </c>
      <c r="ED12" s="33">
        <f t="shared" ca="1" si="17"/>
        <v>7059.2483889906434</v>
      </c>
      <c r="EE12" s="33">
        <f t="shared" ca="1" si="17"/>
        <v>233404.03522136551</v>
      </c>
      <c r="EF12" s="33">
        <f t="shared" ca="1" si="17"/>
        <v>225583.92004627571</v>
      </c>
      <c r="EG12" s="33">
        <f t="shared" ca="1" si="17"/>
        <v>8711.1021035016165</v>
      </c>
      <c r="EH12" s="33">
        <f t="shared" ca="1" si="17"/>
        <v>174043.56082892179</v>
      </c>
      <c r="EI12" s="33">
        <f t="shared" ca="1" si="17"/>
        <v>170579.39661154523</v>
      </c>
      <c r="EJ12" s="33">
        <f t="shared" ca="1" si="17"/>
        <v>-32230.344777422026</v>
      </c>
      <c r="EK12" s="33">
        <f t="shared" ca="1" si="17"/>
        <v>225335.19512941124</v>
      </c>
      <c r="EL12" s="33">
        <f t="shared" ca="1" si="17"/>
        <v>210308.8874864119</v>
      </c>
      <c r="EM12" s="33">
        <f t="shared" ca="1" si="17"/>
        <v>51860.276632294932</v>
      </c>
      <c r="EN12" s="33">
        <f t="shared" ca="1" si="17"/>
        <v>224403.75846755871</v>
      </c>
      <c r="EO12" s="33">
        <f t="shared" ca="1" si="17"/>
        <v>214308.60031707148</v>
      </c>
      <c r="EP12" s="33">
        <f t="shared" ca="1" si="17"/>
        <v>9974.4017613865435</v>
      </c>
      <c r="EQ12" s="33">
        <f t="shared" ca="1" si="17"/>
        <v>236706.60527918633</v>
      </c>
      <c r="ER12" s="33">
        <f t="shared" ca="1" si="17"/>
        <v>228698.71640832268</v>
      </c>
      <c r="ES12" s="33">
        <f t="shared" ca="1" si="17"/>
        <v>11620.133308782126</v>
      </c>
      <c r="ET12" s="33">
        <f t="shared" ca="1" si="17"/>
        <v>176182.96974771557</v>
      </c>
      <c r="EU12" s="33">
        <f t="shared" ca="1" si="17"/>
        <v>172653.24715375213</v>
      </c>
      <c r="EV12" s="33">
        <f t="shared" ca="1" si="17"/>
        <v>-30130.749009117542</v>
      </c>
      <c r="EW12" s="33">
        <f t="shared" ca="1" si="17"/>
        <v>228410.65487874838</v>
      </c>
      <c r="EX12" s="33">
        <f t="shared" ca="1" si="17"/>
        <v>201938.86926009573</v>
      </c>
      <c r="EY12" s="33">
        <f t="shared" ca="1" si="17"/>
        <v>55551.264805772575</v>
      </c>
      <c r="EZ12" s="33">
        <f t="shared" ca="1" si="17"/>
        <v>227461.59102845649</v>
      </c>
      <c r="FA12" s="33">
        <f t="shared" ca="1" si="17"/>
        <v>217175.38472372349</v>
      </c>
      <c r="FB12" s="33">
        <f t="shared" ca="1" si="17"/>
        <v>12872.711012576066</v>
      </c>
      <c r="FC12" s="33">
        <f t="shared" ca="1" si="17"/>
        <v>239997.26590877734</v>
      </c>
      <c r="FD12" s="33">
        <f t="shared" ca="1" si="17"/>
        <v>231797.37502405085</v>
      </c>
      <c r="FE12" s="33">
        <f t="shared" ca="1" si="17"/>
        <v>14510.466394486197</v>
      </c>
      <c r="FF12" s="33">
        <f t="shared" ca="1" si="17"/>
        <v>178294.10399689098</v>
      </c>
      <c r="FG12" s="33">
        <f t="shared" ca="1" si="17"/>
        <v>174698.00727154108</v>
      </c>
      <c r="FH12" s="33">
        <f t="shared" ca="1" si="17"/>
        <v>-28061.570184415032</v>
      </c>
      <c r="FI12" s="33">
        <f t="shared" ca="1" si="17"/>
        <v>231467.84053742923</v>
      </c>
      <c r="FJ12" s="33">
        <f t="shared" ca="1" si="17"/>
        <v>204498.27025442591</v>
      </c>
      <c r="FK12" s="33">
        <f t="shared" ca="1" si="17"/>
        <v>59231.638020689832</v>
      </c>
      <c r="FL12" s="33">
        <f t="shared" ca="1" si="17"/>
        <v>230500.93016038739</v>
      </c>
      <c r="FM12" s="33">
        <f t="shared" ca="1" si="17"/>
        <v>220021.2984544893</v>
      </c>
      <c r="FN12" s="33">
        <f t="shared" ca="1" si="17"/>
        <v>15750.541857251723</v>
      </c>
      <c r="FO12" s="33">
        <f t="shared" ca="1" si="17"/>
        <v>243272.33023139244</v>
      </c>
      <c r="FP12" s="33">
        <f t="shared" ca="1" si="17"/>
        <v>234876.12431195515</v>
      </c>
      <c r="FQ12" s="33">
        <f t="shared" ca="1" si="17"/>
        <v>17378.361345354642</v>
      </c>
      <c r="FR12" s="33">
        <f t="shared" ca="1" si="17"/>
        <v>180373.34162824394</v>
      </c>
      <c r="FS12" s="33">
        <f t="shared" ca="1" si="17"/>
        <v>176710.06507395892</v>
      </c>
      <c r="FT12" s="33">
        <f t="shared" ca="1" si="17"/>
        <v>-26026.522956122004</v>
      </c>
      <c r="FU12" s="33">
        <f t="shared" ca="1" si="17"/>
        <v>234502.88774624007</v>
      </c>
      <c r="FV12" s="33">
        <f t="shared" ca="1" si="17"/>
        <v>207029.49032608175</v>
      </c>
      <c r="FW12" s="33">
        <f t="shared" ca="1" si="17"/>
        <v>62897.437490177108</v>
      </c>
      <c r="FX12" s="33">
        <f t="shared" ca="1" si="17"/>
        <v>233517.91420830844</v>
      </c>
      <c r="FY12" s="33">
        <f t="shared" ca="1" si="17"/>
        <v>222842.50916284957</v>
      </c>
      <c r="FZ12" s="33">
        <f t="shared" ca="1" si="17"/>
        <v>18604.057112696755</v>
      </c>
      <c r="GA12" s="33">
        <f t="shared" ca="1" si="17"/>
        <v>246527.90087404655</v>
      </c>
      <c r="GB12" s="33">
        <f t="shared" ca="1" si="17"/>
        <v>237930.98091961211</v>
      </c>
      <c r="GC12" s="33">
        <f t="shared" ca="1" si="17"/>
        <v>20219.870573520311</v>
      </c>
      <c r="GD12" s="33">
        <f t="shared" ca="1" si="17"/>
        <v>182416.86882388091</v>
      </c>
      <c r="GE12" s="33">
        <f t="shared" ca="1" si="17"/>
        <v>178685.61813797749</v>
      </c>
      <c r="GF12" s="33">
        <f t="shared" ca="1" si="17"/>
        <v>-24029.517480965587</v>
      </c>
      <c r="GG12" s="33">
        <f t="shared" ca="1" si="17"/>
        <v>237511.71673109598</v>
      </c>
      <c r="GH12" s="33">
        <f t="shared" ca="1" si="17"/>
        <v>221326.88333945093</v>
      </c>
      <c r="GI12" s="33">
        <f t="shared" ca="1" si="17"/>
        <v>66544.476453614829</v>
      </c>
      <c r="GJ12" s="33">
        <f t="shared" ca="1" si="17"/>
        <v>236508.4664619604</v>
      </c>
      <c r="GK12" s="33">
        <f t="shared" ca="1" si="17"/>
        <v>225634.97334510251</v>
      </c>
      <c r="GL12" s="33">
        <f t="shared" ref="GL12:IH12" ca="1" si="18">+GL8-GL9</f>
        <v>21429.207795796683</v>
      </c>
      <c r="GM12" s="33">
        <f t="shared" ca="1" si="18"/>
        <v>249759.86065805168</v>
      </c>
      <c r="GN12" s="33">
        <f t="shared" ca="1" si="18"/>
        <v>240957.74041184771</v>
      </c>
      <c r="GO12" s="33">
        <f t="shared" ca="1" si="18"/>
        <v>23030.829830164905</v>
      </c>
      <c r="GP12" s="33">
        <f t="shared" ca="1" si="18"/>
        <v>184420.67164379067</v>
      </c>
      <c r="GQ12" s="33">
        <f t="shared" ca="1" si="18"/>
        <v>180620.66532727057</v>
      </c>
      <c r="GR12" s="33">
        <f t="shared" ca="1" si="18"/>
        <v>-22074.66780663922</v>
      </c>
      <c r="GS12" s="33">
        <f t="shared" ca="1" si="18"/>
        <v>240490.02285607147</v>
      </c>
      <c r="GT12" s="33">
        <f t="shared" ca="1" si="18"/>
        <v>211991.19614020427</v>
      </c>
      <c r="GU12" s="33">
        <f t="shared" ca="1" si="18"/>
        <v>70168.330061117653</v>
      </c>
      <c r="GV12" s="33">
        <f t="shared" ca="1" si="18"/>
        <v>239468.28572804399</v>
      </c>
      <c r="GW12" s="33">
        <f t="shared" ca="1" si="18"/>
        <v>228394.42712004395</v>
      </c>
      <c r="GX12" s="33">
        <f t="shared" ca="1" si="18"/>
        <v>24221.723868481407</v>
      </c>
      <c r="GY12" s="33">
        <f t="shared" ca="1" si="18"/>
        <v>252963.86291831045</v>
      </c>
      <c r="GZ12" s="33">
        <f t="shared" ca="1" si="18"/>
        <v>243951.96759078978</v>
      </c>
      <c r="HA12" s="33">
        <f t="shared" ca="1" si="18"/>
        <v>25806.848758692155</v>
      </c>
      <c r="HB12" s="33">
        <f t="shared" ca="1" si="18"/>
        <v>186380.52745095355</v>
      </c>
      <c r="HC12" s="33">
        <f t="shared" ca="1" si="18"/>
        <v>182510.99829159718</v>
      </c>
      <c r="HD12" s="33">
        <f t="shared" ca="1" si="18"/>
        <v>-20166.300586120517</v>
      </c>
      <c r="HE12" s="33">
        <f t="shared" ca="1" si="18"/>
        <v>243433.26680348758</v>
      </c>
      <c r="HF12" s="33">
        <f t="shared" ca="1" si="18"/>
        <v>214413.0410988415</v>
      </c>
      <c r="HG12" s="33">
        <f t="shared" ca="1" si="18"/>
        <v>73764.324856262421</v>
      </c>
      <c r="HH12" s="33">
        <f t="shared" ca="1" si="18"/>
        <v>242392.83653027684</v>
      </c>
      <c r="HI12" s="33">
        <f t="shared" ca="1" si="18"/>
        <v>231116.37664547141</v>
      </c>
      <c r="HJ12" s="33">
        <f t="shared" ca="1" si="18"/>
        <v>26977.104618510872</v>
      </c>
      <c r="HK12" s="33">
        <f t="shared" ca="1" si="18"/>
        <v>256135.32143959249</v>
      </c>
      <c r="HL12" s="33">
        <f t="shared" ca="1" si="18"/>
        <v>246908.98643409761</v>
      </c>
      <c r="HM12" s="33">
        <f t="shared" ca="1" si="18"/>
        <v>28543.301076083793</v>
      </c>
      <c r="HN12" s="33">
        <f t="shared" ca="1" si="18"/>
        <v>188291.99600206673</v>
      </c>
      <c r="HO12" s="33">
        <f t="shared" ca="1" si="18"/>
        <v>184352.19263498866</v>
      </c>
      <c r="HP12" s="33">
        <f t="shared" ca="1" si="18"/>
        <v>-18308.964131344634</v>
      </c>
      <c r="HQ12" s="33">
        <f t="shared" ca="1" si="18"/>
        <v>246336.66436717822</v>
      </c>
      <c r="HR12" s="33">
        <f t="shared" ca="1" si="18"/>
        <v>216789.40467847069</v>
      </c>
      <c r="HS12" s="33">
        <f t="shared" ca="1" si="18"/>
        <v>77327.527842060896</v>
      </c>
      <c r="HT12" s="33">
        <f t="shared" ca="1" si="18"/>
        <v>245277.33892348857</v>
      </c>
      <c r="HU12" s="33">
        <f t="shared" ca="1" si="18"/>
        <v>233796.08815801644</v>
      </c>
      <c r="HV12" s="33">
        <f t="shared" ca="1" si="18"/>
        <v>29690.608662060578</v>
      </c>
      <c r="HW12" s="33">
        <f t="shared" ca="1" si="18"/>
        <v>259269.39999552502</v>
      </c>
      <c r="HX12" s="33">
        <f t="shared" ca="1" si="18"/>
        <v>249823.86963717244</v>
      </c>
      <c r="HY12" s="33">
        <f t="shared" ca="1" si="18"/>
        <v>31235.314368636173</v>
      </c>
      <c r="HZ12" s="33">
        <f t="shared" ca="1" si="18"/>
        <v>190150.4101915409</v>
      </c>
      <c r="IA12" s="33">
        <f t="shared" ca="1" si="18"/>
        <v>186139.59874052129</v>
      </c>
      <c r="IB12" s="33">
        <f t="shared" ca="1" si="18"/>
        <v>-16507.437818754581</v>
      </c>
      <c r="IC12" s="33">
        <f t="shared" ca="1" si="18"/>
        <v>249195.17584456716</v>
      </c>
      <c r="ID12" s="33">
        <f t="shared" ca="1" si="18"/>
        <v>231797.70765908764</v>
      </c>
      <c r="IE12" s="33">
        <f t="shared" ca="1" si="18"/>
        <v>80852.735114636715</v>
      </c>
      <c r="IF12" s="33">
        <f t="shared" ca="1" si="18"/>
        <v>248116.75790741559</v>
      </c>
      <c r="IG12" s="33">
        <f t="shared" ca="1" si="18"/>
        <v>236428.57762233328</v>
      </c>
      <c r="IH12" s="33">
        <f t="shared" ca="1" si="18"/>
        <v>32357.243554066576</v>
      </c>
      <c r="II12" s="33">
        <f t="shared" ref="II12:IM12" ca="1" si="19">+II8-II9</f>
        <v>261084.17667958804</v>
      </c>
      <c r="IJ12" s="33">
        <f t="shared" ca="1" si="19"/>
        <v>251101.6689164486</v>
      </c>
      <c r="IK12" s="33">
        <f t="shared" ca="1" si="19"/>
        <v>33131.325801422819</v>
      </c>
      <c r="IL12" s="33">
        <f t="shared" ca="1" si="19"/>
        <v>191733.72961218946</v>
      </c>
      <c r="IM12" s="33">
        <f t="shared" ca="1" si="19"/>
        <v>188376.73183838959</v>
      </c>
      <c r="IN12" s="33"/>
      <c r="IO12" s="33"/>
    </row>
    <row r="13" spans="1:249" x14ac:dyDescent="0.3">
      <c r="A13" t="s">
        <v>923</v>
      </c>
      <c r="B13" s="33" t="e">
        <f>+B12</f>
        <v>#REF!</v>
      </c>
      <c r="C13" s="33" t="e">
        <f>+B13+C12</f>
        <v>#REF!</v>
      </c>
      <c r="D13" s="33" t="e">
        <f>+C13+D12</f>
        <v>#REF!</v>
      </c>
      <c r="E13" s="33" t="e">
        <f>+D13+E12</f>
        <v>#REF!</v>
      </c>
      <c r="F13" s="33" t="e">
        <f>+E13+F12</f>
        <v>#REF!</v>
      </c>
      <c r="G13" s="33" t="e">
        <f t="shared" ref="G13:BR13" si="20">+F13+G12</f>
        <v>#REF!</v>
      </c>
      <c r="H13" s="33" t="e">
        <f t="shared" si="20"/>
        <v>#REF!</v>
      </c>
      <c r="I13" s="33" t="e">
        <f t="shared" ca="1" si="20"/>
        <v>#REF!</v>
      </c>
      <c r="J13" s="33" t="e">
        <f t="shared" ca="1" si="20"/>
        <v>#REF!</v>
      </c>
      <c r="K13" s="33" t="e">
        <f t="shared" ca="1" si="20"/>
        <v>#REF!</v>
      </c>
      <c r="L13" s="33" t="e">
        <f t="shared" ca="1" si="20"/>
        <v>#REF!</v>
      </c>
      <c r="M13" s="33" t="e">
        <f t="shared" ca="1" si="20"/>
        <v>#REF!</v>
      </c>
      <c r="N13" s="33" t="e">
        <f t="shared" ca="1" si="20"/>
        <v>#REF!</v>
      </c>
      <c r="O13" s="33" t="e">
        <f t="shared" ca="1" si="20"/>
        <v>#REF!</v>
      </c>
      <c r="P13" s="33" t="e">
        <f t="shared" ca="1" si="20"/>
        <v>#REF!</v>
      </c>
      <c r="Q13" s="33" t="e">
        <f t="shared" ca="1" si="20"/>
        <v>#REF!</v>
      </c>
      <c r="R13" s="33" t="e">
        <f t="shared" ca="1" si="20"/>
        <v>#REF!</v>
      </c>
      <c r="S13" s="33" t="e">
        <f t="shared" ca="1" si="20"/>
        <v>#REF!</v>
      </c>
      <c r="T13" s="33" t="e">
        <f t="shared" ca="1" si="20"/>
        <v>#REF!</v>
      </c>
      <c r="U13" s="33" t="e">
        <f t="shared" ca="1" si="20"/>
        <v>#REF!</v>
      </c>
      <c r="V13" s="33" t="e">
        <f t="shared" ca="1" si="20"/>
        <v>#REF!</v>
      </c>
      <c r="W13" s="33" t="e">
        <f t="shared" ca="1" si="20"/>
        <v>#REF!</v>
      </c>
      <c r="X13" s="33" t="e">
        <f t="shared" ca="1" si="20"/>
        <v>#REF!</v>
      </c>
      <c r="Y13" s="33" t="e">
        <f t="shared" ca="1" si="20"/>
        <v>#REF!</v>
      </c>
      <c r="Z13" s="33" t="e">
        <f t="shared" ca="1" si="20"/>
        <v>#REF!</v>
      </c>
      <c r="AA13" s="33" t="e">
        <f t="shared" ca="1" si="20"/>
        <v>#REF!</v>
      </c>
      <c r="AB13" s="33" t="e">
        <f t="shared" ca="1" si="20"/>
        <v>#REF!</v>
      </c>
      <c r="AC13" s="33" t="e">
        <f t="shared" ca="1" si="20"/>
        <v>#REF!</v>
      </c>
      <c r="AD13" s="33" t="e">
        <f t="shared" ca="1" si="20"/>
        <v>#REF!</v>
      </c>
      <c r="AE13" s="33" t="e">
        <f t="shared" ca="1" si="20"/>
        <v>#REF!</v>
      </c>
      <c r="AF13" s="33" t="e">
        <f t="shared" ca="1" si="20"/>
        <v>#REF!</v>
      </c>
      <c r="AG13" s="33" t="e">
        <f t="shared" ca="1" si="20"/>
        <v>#REF!</v>
      </c>
      <c r="AH13" s="33" t="e">
        <f t="shared" ca="1" si="20"/>
        <v>#REF!</v>
      </c>
      <c r="AI13" s="33" t="e">
        <f t="shared" ca="1" si="20"/>
        <v>#REF!</v>
      </c>
      <c r="AJ13" s="33" t="e">
        <f t="shared" ca="1" si="20"/>
        <v>#REF!</v>
      </c>
      <c r="AK13" s="33" t="e">
        <f t="shared" ca="1" si="20"/>
        <v>#REF!</v>
      </c>
      <c r="AL13" s="33" t="e">
        <f t="shared" ca="1" si="20"/>
        <v>#REF!</v>
      </c>
      <c r="AM13" s="33" t="e">
        <f t="shared" ca="1" si="20"/>
        <v>#REF!</v>
      </c>
      <c r="AN13" s="33" t="e">
        <f t="shared" ca="1" si="20"/>
        <v>#REF!</v>
      </c>
      <c r="AO13" s="33" t="e">
        <f t="shared" ca="1" si="20"/>
        <v>#REF!</v>
      </c>
      <c r="AP13" s="33" t="e">
        <f t="shared" ca="1" si="20"/>
        <v>#REF!</v>
      </c>
      <c r="AQ13" s="33" t="e">
        <f t="shared" ca="1" si="20"/>
        <v>#REF!</v>
      </c>
      <c r="AR13" s="33" t="e">
        <f t="shared" ca="1" si="20"/>
        <v>#REF!</v>
      </c>
      <c r="AS13" s="33" t="e">
        <f t="shared" ca="1" si="20"/>
        <v>#REF!</v>
      </c>
      <c r="AT13" s="33" t="e">
        <f t="shared" ca="1" si="20"/>
        <v>#REF!</v>
      </c>
      <c r="AU13" s="33" t="e">
        <f t="shared" ca="1" si="20"/>
        <v>#REF!</v>
      </c>
      <c r="AV13" s="33" t="e">
        <f t="shared" ca="1" si="20"/>
        <v>#REF!</v>
      </c>
      <c r="AW13" s="33" t="e">
        <f t="shared" ca="1" si="20"/>
        <v>#REF!</v>
      </c>
      <c r="AX13" s="33" t="e">
        <f t="shared" ca="1" si="20"/>
        <v>#REF!</v>
      </c>
      <c r="AY13" s="33" t="e">
        <f t="shared" ca="1" si="20"/>
        <v>#REF!</v>
      </c>
      <c r="AZ13" s="33" t="e">
        <f t="shared" ca="1" si="20"/>
        <v>#REF!</v>
      </c>
      <c r="BA13" s="33" t="e">
        <f t="shared" ca="1" si="20"/>
        <v>#REF!</v>
      </c>
      <c r="BB13" s="33" t="e">
        <f t="shared" ca="1" si="20"/>
        <v>#REF!</v>
      </c>
      <c r="BC13" s="33" t="e">
        <f t="shared" ca="1" si="20"/>
        <v>#REF!</v>
      </c>
      <c r="BD13" s="33" t="e">
        <f t="shared" ca="1" si="20"/>
        <v>#REF!</v>
      </c>
      <c r="BE13" s="33" t="e">
        <f t="shared" ca="1" si="20"/>
        <v>#REF!</v>
      </c>
      <c r="BF13" s="33" t="e">
        <f t="shared" ca="1" si="20"/>
        <v>#REF!</v>
      </c>
      <c r="BG13" s="33" t="e">
        <f t="shared" ca="1" si="20"/>
        <v>#REF!</v>
      </c>
      <c r="BH13" s="33" t="e">
        <f t="shared" ca="1" si="20"/>
        <v>#REF!</v>
      </c>
      <c r="BI13" s="33" t="e">
        <f t="shared" ca="1" si="20"/>
        <v>#REF!</v>
      </c>
      <c r="BJ13" s="33" t="e">
        <f t="shared" ca="1" si="20"/>
        <v>#REF!</v>
      </c>
      <c r="BK13" s="33" t="e">
        <f t="shared" ca="1" si="20"/>
        <v>#REF!</v>
      </c>
      <c r="BL13" s="33" t="e">
        <f t="shared" ca="1" si="20"/>
        <v>#REF!</v>
      </c>
      <c r="BM13" s="33" t="e">
        <f t="shared" ca="1" si="20"/>
        <v>#REF!</v>
      </c>
      <c r="BN13" s="33" t="e">
        <f t="shared" ca="1" si="20"/>
        <v>#REF!</v>
      </c>
      <c r="BO13" s="33" t="e">
        <f t="shared" ca="1" si="20"/>
        <v>#REF!</v>
      </c>
      <c r="BP13" s="33" t="e">
        <f t="shared" ca="1" si="20"/>
        <v>#REF!</v>
      </c>
      <c r="BQ13" s="33" t="e">
        <f t="shared" ca="1" si="20"/>
        <v>#REF!</v>
      </c>
      <c r="BR13" s="33" t="e">
        <f t="shared" ca="1" si="20"/>
        <v>#REF!</v>
      </c>
      <c r="BS13" s="33" t="e">
        <f t="shared" ref="BS13:DR13" ca="1" si="21">+BR13+BS12</f>
        <v>#REF!</v>
      </c>
      <c r="BT13" s="33" t="e">
        <f t="shared" ca="1" si="21"/>
        <v>#REF!</v>
      </c>
      <c r="BU13" s="33" t="e">
        <f t="shared" ca="1" si="21"/>
        <v>#REF!</v>
      </c>
      <c r="BV13" s="33" t="e">
        <f t="shared" ca="1" si="21"/>
        <v>#REF!</v>
      </c>
      <c r="BW13" s="33" t="e">
        <f t="shared" ca="1" si="21"/>
        <v>#REF!</v>
      </c>
      <c r="BX13" s="33" t="e">
        <f t="shared" ca="1" si="21"/>
        <v>#REF!</v>
      </c>
      <c r="BY13" s="33" t="e">
        <f t="shared" ca="1" si="21"/>
        <v>#REF!</v>
      </c>
      <c r="BZ13" s="33" t="e">
        <f t="shared" ca="1" si="21"/>
        <v>#REF!</v>
      </c>
      <c r="CA13" s="33" t="e">
        <f t="shared" ca="1" si="21"/>
        <v>#REF!</v>
      </c>
      <c r="CB13" s="33" t="e">
        <f t="shared" ca="1" si="21"/>
        <v>#REF!</v>
      </c>
      <c r="CC13" s="33" t="e">
        <f t="shared" ca="1" si="21"/>
        <v>#REF!</v>
      </c>
      <c r="CD13" s="33" t="e">
        <f t="shared" ca="1" si="21"/>
        <v>#REF!</v>
      </c>
      <c r="CE13" s="33" t="e">
        <f t="shared" ca="1" si="21"/>
        <v>#REF!</v>
      </c>
      <c r="CF13" s="33" t="e">
        <f t="shared" ca="1" si="21"/>
        <v>#REF!</v>
      </c>
      <c r="CG13" s="33" t="e">
        <f t="shared" ca="1" si="21"/>
        <v>#REF!</v>
      </c>
      <c r="CH13" s="33" t="e">
        <f t="shared" ca="1" si="21"/>
        <v>#REF!</v>
      </c>
      <c r="CI13" s="33" t="e">
        <f t="shared" ca="1" si="21"/>
        <v>#REF!</v>
      </c>
      <c r="CJ13" s="33" t="e">
        <f t="shared" ca="1" si="21"/>
        <v>#REF!</v>
      </c>
      <c r="CK13" s="33" t="e">
        <f t="shared" ca="1" si="21"/>
        <v>#REF!</v>
      </c>
      <c r="CL13" s="33" t="e">
        <f t="shared" ca="1" si="21"/>
        <v>#REF!</v>
      </c>
      <c r="CM13" s="33" t="e">
        <f t="shared" ca="1" si="21"/>
        <v>#REF!</v>
      </c>
      <c r="CN13" s="33" t="e">
        <f t="shared" ca="1" si="21"/>
        <v>#REF!</v>
      </c>
      <c r="CO13" s="33" t="e">
        <f t="shared" ca="1" si="21"/>
        <v>#REF!</v>
      </c>
      <c r="CP13" s="33" t="e">
        <f t="shared" ca="1" si="21"/>
        <v>#REF!</v>
      </c>
      <c r="CQ13" s="33" t="e">
        <f t="shared" ca="1" si="21"/>
        <v>#REF!</v>
      </c>
      <c r="CR13" s="33" t="e">
        <f t="shared" ca="1" si="21"/>
        <v>#REF!</v>
      </c>
      <c r="CS13" s="33" t="e">
        <f t="shared" ca="1" si="21"/>
        <v>#REF!</v>
      </c>
      <c r="CT13" s="33" t="e">
        <f t="shared" ca="1" si="21"/>
        <v>#REF!</v>
      </c>
      <c r="CU13" s="33" t="e">
        <f t="shared" ca="1" si="21"/>
        <v>#REF!</v>
      </c>
      <c r="CV13" s="33" t="e">
        <f t="shared" ca="1" si="21"/>
        <v>#REF!</v>
      </c>
      <c r="CW13" s="33" t="e">
        <f t="shared" ca="1" si="21"/>
        <v>#REF!</v>
      </c>
      <c r="CX13" s="33" t="e">
        <f t="shared" ca="1" si="21"/>
        <v>#REF!</v>
      </c>
      <c r="CY13" s="33" t="e">
        <f t="shared" ca="1" si="21"/>
        <v>#REF!</v>
      </c>
      <c r="CZ13" s="33" t="e">
        <f t="shared" ca="1" si="21"/>
        <v>#REF!</v>
      </c>
      <c r="DA13" s="33" t="e">
        <f t="shared" ca="1" si="21"/>
        <v>#REF!</v>
      </c>
      <c r="DB13" s="33" t="e">
        <f t="shared" ca="1" si="21"/>
        <v>#REF!</v>
      </c>
      <c r="DC13" s="33" t="e">
        <f t="shared" ca="1" si="21"/>
        <v>#REF!</v>
      </c>
      <c r="DD13" s="33" t="e">
        <f t="shared" ca="1" si="21"/>
        <v>#REF!</v>
      </c>
      <c r="DE13" s="33" t="e">
        <f t="shared" ca="1" si="21"/>
        <v>#REF!</v>
      </c>
      <c r="DF13" s="33" t="e">
        <f t="shared" ca="1" si="21"/>
        <v>#REF!</v>
      </c>
      <c r="DG13" s="33" t="e">
        <f t="shared" ca="1" si="21"/>
        <v>#REF!</v>
      </c>
      <c r="DH13" s="33" t="e">
        <f t="shared" ca="1" si="21"/>
        <v>#REF!</v>
      </c>
      <c r="DI13" s="33" t="e">
        <f t="shared" ca="1" si="21"/>
        <v>#REF!</v>
      </c>
      <c r="DJ13" s="33" t="e">
        <f t="shared" ca="1" si="21"/>
        <v>#REF!</v>
      </c>
      <c r="DK13" s="33" t="e">
        <f t="shared" ca="1" si="21"/>
        <v>#REF!</v>
      </c>
      <c r="DL13" s="33" t="e">
        <f t="shared" ca="1" si="21"/>
        <v>#REF!</v>
      </c>
      <c r="DM13" s="33" t="e">
        <f t="shared" ca="1" si="21"/>
        <v>#REF!</v>
      </c>
      <c r="DN13" s="33" t="e">
        <f t="shared" ca="1" si="21"/>
        <v>#REF!</v>
      </c>
      <c r="DO13" s="33" t="e">
        <f t="shared" ca="1" si="21"/>
        <v>#REF!</v>
      </c>
      <c r="DP13" s="33" t="e">
        <f t="shared" ca="1" si="21"/>
        <v>#REF!</v>
      </c>
      <c r="DQ13" s="33" t="e">
        <f t="shared" ca="1" si="21"/>
        <v>#REF!</v>
      </c>
      <c r="DR13" s="33" t="e">
        <f t="shared" ca="1" si="21"/>
        <v>#REF!</v>
      </c>
      <c r="DS13" s="33" t="e">
        <f ca="1">+DR13+DS12</f>
        <v>#REF!</v>
      </c>
      <c r="DT13" s="33" t="e">
        <f ca="1">+DS13+DT12</f>
        <v>#REF!</v>
      </c>
      <c r="DU13" s="33" t="e">
        <f ca="1">+DT13+DU12</f>
        <v>#REF!</v>
      </c>
      <c r="DV13" s="33" t="e">
        <f ca="1">+DU13+DV12</f>
        <v>#REF!</v>
      </c>
      <c r="DW13" s="33" t="e">
        <f t="shared" ref="DW13:GH13" ca="1" si="22">+DV13+DW12</f>
        <v>#REF!</v>
      </c>
      <c r="DX13" s="33" t="e">
        <f t="shared" ca="1" si="22"/>
        <v>#REF!</v>
      </c>
      <c r="DY13" s="33" t="e">
        <f t="shared" ca="1" si="22"/>
        <v>#REF!</v>
      </c>
      <c r="DZ13" s="33" t="e">
        <f t="shared" ca="1" si="22"/>
        <v>#REF!</v>
      </c>
      <c r="EA13" s="33" t="e">
        <f t="shared" ca="1" si="22"/>
        <v>#REF!</v>
      </c>
      <c r="EB13" s="33" t="e">
        <f t="shared" ca="1" si="22"/>
        <v>#REF!</v>
      </c>
      <c r="EC13" s="33" t="e">
        <f t="shared" ca="1" si="22"/>
        <v>#REF!</v>
      </c>
      <c r="ED13" s="33" t="e">
        <f t="shared" ca="1" si="22"/>
        <v>#REF!</v>
      </c>
      <c r="EE13" s="33" t="e">
        <f t="shared" ca="1" si="22"/>
        <v>#REF!</v>
      </c>
      <c r="EF13" s="33" t="e">
        <f t="shared" ca="1" si="22"/>
        <v>#REF!</v>
      </c>
      <c r="EG13" s="33" t="e">
        <f t="shared" ca="1" si="22"/>
        <v>#REF!</v>
      </c>
      <c r="EH13" s="33" t="e">
        <f t="shared" ca="1" si="22"/>
        <v>#REF!</v>
      </c>
      <c r="EI13" s="33" t="e">
        <f t="shared" ca="1" si="22"/>
        <v>#REF!</v>
      </c>
      <c r="EJ13" s="33" t="e">
        <f t="shared" ca="1" si="22"/>
        <v>#REF!</v>
      </c>
      <c r="EK13" s="33" t="e">
        <f t="shared" ca="1" si="22"/>
        <v>#REF!</v>
      </c>
      <c r="EL13" s="33" t="e">
        <f t="shared" ca="1" si="22"/>
        <v>#REF!</v>
      </c>
      <c r="EM13" s="33" t="e">
        <f t="shared" ca="1" si="22"/>
        <v>#REF!</v>
      </c>
      <c r="EN13" s="33" t="e">
        <f t="shared" ca="1" si="22"/>
        <v>#REF!</v>
      </c>
      <c r="EO13" s="33" t="e">
        <f t="shared" ca="1" si="22"/>
        <v>#REF!</v>
      </c>
      <c r="EP13" s="33" t="e">
        <f t="shared" ca="1" si="22"/>
        <v>#REF!</v>
      </c>
      <c r="EQ13" s="33" t="e">
        <f t="shared" ca="1" si="22"/>
        <v>#REF!</v>
      </c>
      <c r="ER13" s="33" t="e">
        <f t="shared" ca="1" si="22"/>
        <v>#REF!</v>
      </c>
      <c r="ES13" s="33" t="e">
        <f t="shared" ca="1" si="22"/>
        <v>#REF!</v>
      </c>
      <c r="ET13" s="33" t="e">
        <f t="shared" ca="1" si="22"/>
        <v>#REF!</v>
      </c>
      <c r="EU13" s="33" t="e">
        <f t="shared" ca="1" si="22"/>
        <v>#REF!</v>
      </c>
      <c r="EV13" s="33" t="e">
        <f t="shared" ca="1" si="22"/>
        <v>#REF!</v>
      </c>
      <c r="EW13" s="33" t="e">
        <f t="shared" ca="1" si="22"/>
        <v>#REF!</v>
      </c>
      <c r="EX13" s="33" t="e">
        <f t="shared" ca="1" si="22"/>
        <v>#REF!</v>
      </c>
      <c r="EY13" s="33" t="e">
        <f t="shared" ca="1" si="22"/>
        <v>#REF!</v>
      </c>
      <c r="EZ13" s="33" t="e">
        <f t="shared" ca="1" si="22"/>
        <v>#REF!</v>
      </c>
      <c r="FA13" s="33" t="e">
        <f t="shared" ca="1" si="22"/>
        <v>#REF!</v>
      </c>
      <c r="FB13" s="33" t="e">
        <f t="shared" ca="1" si="22"/>
        <v>#REF!</v>
      </c>
      <c r="FC13" s="33" t="e">
        <f t="shared" ca="1" si="22"/>
        <v>#REF!</v>
      </c>
      <c r="FD13" s="33" t="e">
        <f t="shared" ca="1" si="22"/>
        <v>#REF!</v>
      </c>
      <c r="FE13" s="33" t="e">
        <f t="shared" ca="1" si="22"/>
        <v>#REF!</v>
      </c>
      <c r="FF13" s="33" t="e">
        <f t="shared" ca="1" si="22"/>
        <v>#REF!</v>
      </c>
      <c r="FG13" s="33" t="e">
        <f t="shared" ca="1" si="22"/>
        <v>#REF!</v>
      </c>
      <c r="FH13" s="33" t="e">
        <f t="shared" ca="1" si="22"/>
        <v>#REF!</v>
      </c>
      <c r="FI13" s="33" t="e">
        <f t="shared" ca="1" si="22"/>
        <v>#REF!</v>
      </c>
      <c r="FJ13" s="33" t="e">
        <f t="shared" ca="1" si="22"/>
        <v>#REF!</v>
      </c>
      <c r="FK13" s="33" t="e">
        <f t="shared" ca="1" si="22"/>
        <v>#REF!</v>
      </c>
      <c r="FL13" s="33" t="e">
        <f t="shared" ca="1" si="22"/>
        <v>#REF!</v>
      </c>
      <c r="FM13" s="33" t="e">
        <f t="shared" ca="1" si="22"/>
        <v>#REF!</v>
      </c>
      <c r="FN13" s="33" t="e">
        <f t="shared" ca="1" si="22"/>
        <v>#REF!</v>
      </c>
      <c r="FO13" s="33" t="e">
        <f t="shared" ca="1" si="22"/>
        <v>#REF!</v>
      </c>
      <c r="FP13" s="33" t="e">
        <f t="shared" ca="1" si="22"/>
        <v>#REF!</v>
      </c>
      <c r="FQ13" s="33" t="e">
        <f t="shared" ca="1" si="22"/>
        <v>#REF!</v>
      </c>
      <c r="FR13" s="33" t="e">
        <f t="shared" ca="1" si="22"/>
        <v>#REF!</v>
      </c>
      <c r="FS13" s="33" t="e">
        <f t="shared" ca="1" si="22"/>
        <v>#REF!</v>
      </c>
      <c r="FT13" s="33" t="e">
        <f t="shared" ca="1" si="22"/>
        <v>#REF!</v>
      </c>
      <c r="FU13" s="33" t="e">
        <f t="shared" ca="1" si="22"/>
        <v>#REF!</v>
      </c>
      <c r="FV13" s="33" t="e">
        <f t="shared" ca="1" si="22"/>
        <v>#REF!</v>
      </c>
      <c r="FW13" s="33" t="e">
        <f t="shared" ca="1" si="22"/>
        <v>#REF!</v>
      </c>
      <c r="FX13" s="33" t="e">
        <f t="shared" ca="1" si="22"/>
        <v>#REF!</v>
      </c>
      <c r="FY13" s="33" t="e">
        <f t="shared" ca="1" si="22"/>
        <v>#REF!</v>
      </c>
      <c r="FZ13" s="33" t="e">
        <f t="shared" ca="1" si="22"/>
        <v>#REF!</v>
      </c>
      <c r="GA13" s="33" t="e">
        <f t="shared" ca="1" si="22"/>
        <v>#REF!</v>
      </c>
      <c r="GB13" s="33" t="e">
        <f t="shared" ca="1" si="22"/>
        <v>#REF!</v>
      </c>
      <c r="GC13" s="33" t="e">
        <f t="shared" ca="1" si="22"/>
        <v>#REF!</v>
      </c>
      <c r="GD13" s="33" t="e">
        <f t="shared" ca="1" si="22"/>
        <v>#REF!</v>
      </c>
      <c r="GE13" s="33" t="e">
        <f t="shared" ca="1" si="22"/>
        <v>#REF!</v>
      </c>
      <c r="GF13" s="33" t="e">
        <f t="shared" ca="1" si="22"/>
        <v>#REF!</v>
      </c>
      <c r="GG13" s="33" t="e">
        <f t="shared" ca="1" si="22"/>
        <v>#REF!</v>
      </c>
      <c r="GH13" s="33" t="e">
        <f t="shared" ca="1" si="22"/>
        <v>#REF!</v>
      </c>
      <c r="GI13" s="33" t="e">
        <f t="shared" ref="GI13:IH13" ca="1" si="23">+GH13+GI12</f>
        <v>#REF!</v>
      </c>
      <c r="GJ13" s="33" t="e">
        <f t="shared" ca="1" si="23"/>
        <v>#REF!</v>
      </c>
      <c r="GK13" s="33" t="e">
        <f t="shared" ca="1" si="23"/>
        <v>#REF!</v>
      </c>
      <c r="GL13" s="33" t="e">
        <f t="shared" ca="1" si="23"/>
        <v>#REF!</v>
      </c>
      <c r="GM13" s="33" t="e">
        <f t="shared" ca="1" si="23"/>
        <v>#REF!</v>
      </c>
      <c r="GN13" s="33" t="e">
        <f t="shared" ca="1" si="23"/>
        <v>#REF!</v>
      </c>
      <c r="GO13" s="33" t="e">
        <f t="shared" ca="1" si="23"/>
        <v>#REF!</v>
      </c>
      <c r="GP13" s="33" t="e">
        <f t="shared" ca="1" si="23"/>
        <v>#REF!</v>
      </c>
      <c r="GQ13" s="33" t="e">
        <f t="shared" ca="1" si="23"/>
        <v>#REF!</v>
      </c>
      <c r="GR13" s="33" t="e">
        <f t="shared" ca="1" si="23"/>
        <v>#REF!</v>
      </c>
      <c r="GS13" s="33" t="e">
        <f t="shared" ca="1" si="23"/>
        <v>#REF!</v>
      </c>
      <c r="GT13" s="33" t="e">
        <f t="shared" ca="1" si="23"/>
        <v>#REF!</v>
      </c>
      <c r="GU13" s="33" t="e">
        <f t="shared" ca="1" si="23"/>
        <v>#REF!</v>
      </c>
      <c r="GV13" s="33" t="e">
        <f t="shared" ca="1" si="23"/>
        <v>#REF!</v>
      </c>
      <c r="GW13" s="33" t="e">
        <f t="shared" ca="1" si="23"/>
        <v>#REF!</v>
      </c>
      <c r="GX13" s="33" t="e">
        <f t="shared" ca="1" si="23"/>
        <v>#REF!</v>
      </c>
      <c r="GY13" s="33" t="e">
        <f t="shared" ca="1" si="23"/>
        <v>#REF!</v>
      </c>
      <c r="GZ13" s="33" t="e">
        <f t="shared" ca="1" si="23"/>
        <v>#REF!</v>
      </c>
      <c r="HA13" s="33" t="e">
        <f t="shared" ca="1" si="23"/>
        <v>#REF!</v>
      </c>
      <c r="HB13" s="33" t="e">
        <f t="shared" ca="1" si="23"/>
        <v>#REF!</v>
      </c>
      <c r="HC13" s="33" t="e">
        <f t="shared" ca="1" si="23"/>
        <v>#REF!</v>
      </c>
      <c r="HD13" s="33" t="e">
        <f t="shared" ca="1" si="23"/>
        <v>#REF!</v>
      </c>
      <c r="HE13" s="33" t="e">
        <f t="shared" ca="1" si="23"/>
        <v>#REF!</v>
      </c>
      <c r="HF13" s="33" t="e">
        <f t="shared" ca="1" si="23"/>
        <v>#REF!</v>
      </c>
      <c r="HG13" s="33" t="e">
        <f t="shared" ca="1" si="23"/>
        <v>#REF!</v>
      </c>
      <c r="HH13" s="33" t="e">
        <f t="shared" ca="1" si="23"/>
        <v>#REF!</v>
      </c>
      <c r="HI13" s="33" t="e">
        <f t="shared" ca="1" si="23"/>
        <v>#REF!</v>
      </c>
      <c r="HJ13" s="33" t="e">
        <f t="shared" ca="1" si="23"/>
        <v>#REF!</v>
      </c>
      <c r="HK13" s="33" t="e">
        <f t="shared" ca="1" si="23"/>
        <v>#REF!</v>
      </c>
      <c r="HL13" s="33" t="e">
        <f t="shared" ca="1" si="23"/>
        <v>#REF!</v>
      </c>
      <c r="HM13" s="33" t="e">
        <f t="shared" ca="1" si="23"/>
        <v>#REF!</v>
      </c>
      <c r="HN13" s="33" t="e">
        <f t="shared" ca="1" si="23"/>
        <v>#REF!</v>
      </c>
      <c r="HO13" s="33" t="e">
        <f t="shared" ca="1" si="23"/>
        <v>#REF!</v>
      </c>
      <c r="HP13" s="33" t="e">
        <f t="shared" ca="1" si="23"/>
        <v>#REF!</v>
      </c>
      <c r="HQ13" s="33" t="e">
        <f t="shared" ca="1" si="23"/>
        <v>#REF!</v>
      </c>
      <c r="HR13" s="33" t="e">
        <f t="shared" ca="1" si="23"/>
        <v>#REF!</v>
      </c>
      <c r="HS13" s="33" t="e">
        <f t="shared" ca="1" si="23"/>
        <v>#REF!</v>
      </c>
      <c r="HT13" s="33" t="e">
        <f t="shared" ca="1" si="23"/>
        <v>#REF!</v>
      </c>
      <c r="HU13" s="33" t="e">
        <f t="shared" ca="1" si="23"/>
        <v>#REF!</v>
      </c>
      <c r="HV13" s="33" t="e">
        <f t="shared" ca="1" si="23"/>
        <v>#REF!</v>
      </c>
      <c r="HW13" s="33" t="e">
        <f t="shared" ca="1" si="23"/>
        <v>#REF!</v>
      </c>
      <c r="HX13" s="33" t="e">
        <f t="shared" ca="1" si="23"/>
        <v>#REF!</v>
      </c>
      <c r="HY13" s="33" t="e">
        <f t="shared" ca="1" si="23"/>
        <v>#REF!</v>
      </c>
      <c r="HZ13" s="33" t="e">
        <f t="shared" ca="1" si="23"/>
        <v>#REF!</v>
      </c>
      <c r="IA13" s="33" t="e">
        <f t="shared" ca="1" si="23"/>
        <v>#REF!</v>
      </c>
      <c r="IB13" s="33" t="e">
        <f t="shared" ca="1" si="23"/>
        <v>#REF!</v>
      </c>
      <c r="IC13" s="33" t="e">
        <f t="shared" ca="1" si="23"/>
        <v>#REF!</v>
      </c>
      <c r="ID13" s="33" t="e">
        <f t="shared" ca="1" si="23"/>
        <v>#REF!</v>
      </c>
      <c r="IE13" s="33" t="e">
        <f t="shared" ca="1" si="23"/>
        <v>#REF!</v>
      </c>
      <c r="IF13" s="33" t="e">
        <f t="shared" ca="1" si="23"/>
        <v>#REF!</v>
      </c>
      <c r="IG13" s="33" t="e">
        <f t="shared" ca="1" si="23"/>
        <v>#REF!</v>
      </c>
      <c r="IH13" s="33" t="e">
        <f t="shared" ca="1" si="23"/>
        <v>#REF!</v>
      </c>
      <c r="II13" s="33" t="e">
        <f t="shared" ref="II13" ca="1" si="24">+IH13+II12</f>
        <v>#REF!</v>
      </c>
      <c r="IJ13" s="33" t="e">
        <f t="shared" ref="IJ13" ca="1" si="25">+II13+IJ12</f>
        <v>#REF!</v>
      </c>
      <c r="IK13" s="33" t="e">
        <f t="shared" ref="IK13" ca="1" si="26">+IJ13+IK12</f>
        <v>#REF!</v>
      </c>
      <c r="IL13" s="33" t="e">
        <f t="shared" ref="IL13" ca="1" si="27">+IK13+IL12</f>
        <v>#REF!</v>
      </c>
      <c r="IM13" s="33" t="e">
        <f t="shared" ref="IM13" ca="1" si="28">+IL13+IM12</f>
        <v>#REF!</v>
      </c>
      <c r="IN13" s="33"/>
      <c r="IO13" s="33"/>
    </row>
    <row r="15" spans="1:249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9" x14ac:dyDescent="0.3">
      <c r="B16" t="s">
        <v>947</v>
      </c>
      <c r="C16" s="30">
        <f>+SUMIFS(8:8,2:2,C15)</f>
        <v>0</v>
      </c>
      <c r="D16" s="30">
        <f ca="1">+SUMIFS(8:8,2:2,D15)</f>
        <v>2442412.7808829867</v>
      </c>
      <c r="E16" s="30">
        <f t="shared" ref="E16:M16" ca="1" si="29">+SUMIFS(8:8,2:2,E15)</f>
        <v>2991825.8719446193</v>
      </c>
      <c r="F16" s="30">
        <f t="shared" ca="1" si="29"/>
        <v>3078428.7211848274</v>
      </c>
      <c r="G16" s="30">
        <f t="shared" ca="1" si="29"/>
        <v>3176609.8408549363</v>
      </c>
      <c r="H16" s="30">
        <f t="shared" ca="1" si="29"/>
        <v>3254957.2158162124</v>
      </c>
      <c r="I16" s="30">
        <f t="shared" ca="1" si="29"/>
        <v>3335384.9540633587</v>
      </c>
      <c r="J16" s="30">
        <f t="shared" ca="1" si="29"/>
        <v>3417708.8951110998</v>
      </c>
      <c r="K16" s="30">
        <f t="shared" ca="1" si="29"/>
        <v>3512016.6913353093</v>
      </c>
      <c r="L16" s="30">
        <f t="shared" ca="1" si="29"/>
        <v>3588211.7110725134</v>
      </c>
      <c r="M16" s="30">
        <f t="shared" ca="1" si="29"/>
        <v>3689097.4915115465</v>
      </c>
      <c r="N16" s="30">
        <f ca="1">+SUMIFS(8:8,2:2,N15)</f>
        <v>3759636.8037775471</v>
      </c>
      <c r="O16" s="30">
        <f t="shared" ref="O16:W16" ca="1" si="30">+SUMIFS(8:8,2:2,O15)</f>
        <v>3842042.0982474061</v>
      </c>
      <c r="P16" s="30">
        <f t="shared" ca="1" si="30"/>
        <v>3903443.186168924</v>
      </c>
      <c r="Q16" s="30">
        <f t="shared" ca="1" si="30"/>
        <v>3976691.399790274</v>
      </c>
      <c r="R16" s="30">
        <f t="shared" ca="1" si="30"/>
        <v>4050821.4073613528</v>
      </c>
      <c r="S16" s="30">
        <f t="shared" ca="1" si="30"/>
        <v>4137618.5413075266</v>
      </c>
      <c r="T16" s="30">
        <f t="shared" ca="1" si="30"/>
        <v>4201673.166771723</v>
      </c>
      <c r="U16" s="30">
        <f t="shared" ca="1" si="30"/>
        <v>4278364.0806614384</v>
      </c>
      <c r="V16" s="30">
        <f t="shared" ca="1" si="30"/>
        <v>4355874.9435344413</v>
      </c>
      <c r="W16" s="30">
        <f t="shared" ca="1" si="30"/>
        <v>4455191.147434419</v>
      </c>
    </row>
    <row r="17" spans="1:242" x14ac:dyDescent="0.3">
      <c r="B17" t="s">
        <v>948</v>
      </c>
      <c r="C17" s="30" t="e">
        <f>+SUMIFS(9:9,2:2,C15)</f>
        <v>#REF!</v>
      </c>
      <c r="D17" s="30" t="e">
        <f ca="1">+SUMIFS(9:9,2:2,D15)</f>
        <v>#VALUE!</v>
      </c>
      <c r="E17" s="30" t="e">
        <f t="shared" ref="E17:V17" ca="1" si="31">+SUMIFS(9:9,2:2,E15)</f>
        <v>#VALUE!</v>
      </c>
      <c r="F17" s="30" t="e">
        <f t="shared" ca="1" si="31"/>
        <v>#VALUE!</v>
      </c>
      <c r="G17" s="30" t="e">
        <f ca="1">+SUMIFS(9:9,2:2,G15)</f>
        <v>#VALUE!</v>
      </c>
      <c r="H17" s="30" t="e">
        <f t="shared" ca="1" si="31"/>
        <v>#VALUE!</v>
      </c>
      <c r="I17" s="30" t="e">
        <f t="shared" ca="1" si="31"/>
        <v>#VALUE!</v>
      </c>
      <c r="J17" s="30" t="e">
        <f t="shared" ca="1" si="31"/>
        <v>#VALUE!</v>
      </c>
      <c r="K17" s="30" t="e">
        <f t="shared" ca="1" si="31"/>
        <v>#VALUE!</v>
      </c>
      <c r="L17" s="30" t="e">
        <f t="shared" ca="1" si="31"/>
        <v>#VALUE!</v>
      </c>
      <c r="M17" s="30" t="e">
        <f t="shared" ca="1" si="31"/>
        <v>#VALUE!</v>
      </c>
      <c r="N17" s="30" t="e">
        <f t="shared" ca="1" si="31"/>
        <v>#VALUE!</v>
      </c>
      <c r="O17" s="30">
        <f t="shared" si="31"/>
        <v>2112219.6513329344</v>
      </c>
      <c r="P17" s="30">
        <f t="shared" si="31"/>
        <v>2150866.2408729228</v>
      </c>
      <c r="Q17" s="30">
        <f t="shared" si="31"/>
        <v>2190672.2280991105</v>
      </c>
      <c r="R17" s="30">
        <f t="shared" si="31"/>
        <v>2231672.3949420839</v>
      </c>
      <c r="S17" s="30">
        <f t="shared" si="31"/>
        <v>2273902.5667903461</v>
      </c>
      <c r="T17" s="30">
        <f t="shared" si="31"/>
        <v>2317399.6437940565</v>
      </c>
      <c r="U17" s="30">
        <f t="shared" si="31"/>
        <v>2362201.6331078783</v>
      </c>
      <c r="V17" s="30">
        <f t="shared" si="31"/>
        <v>2408347.6821011147</v>
      </c>
      <c r="W17" s="30">
        <f>+SUMIFS(9:9,2:2,W15)</f>
        <v>2467522.7547030286</v>
      </c>
    </row>
    <row r="18" spans="1:242" x14ac:dyDescent="0.3">
      <c r="B18" t="s">
        <v>924</v>
      </c>
      <c r="C18" s="33" t="e">
        <f>+C16-C17</f>
        <v>#REF!</v>
      </c>
      <c r="D18" s="33" t="e">
        <f t="shared" ref="D18:W18" ca="1" si="32">+D16-D17</f>
        <v>#VALUE!</v>
      </c>
      <c r="E18" s="33" t="e">
        <f t="shared" ca="1" si="32"/>
        <v>#VALUE!</v>
      </c>
      <c r="F18" s="33" t="e">
        <f t="shared" ca="1" si="32"/>
        <v>#VALUE!</v>
      </c>
      <c r="G18" s="33" t="e">
        <f t="shared" ca="1" si="32"/>
        <v>#VALUE!</v>
      </c>
      <c r="H18" s="33" t="e">
        <f t="shared" ca="1" si="32"/>
        <v>#VALUE!</v>
      </c>
      <c r="I18" s="33" t="e">
        <f t="shared" ca="1" si="32"/>
        <v>#VALUE!</v>
      </c>
      <c r="J18" s="33" t="e">
        <f t="shared" ca="1" si="32"/>
        <v>#VALUE!</v>
      </c>
      <c r="K18" s="33" t="e">
        <f t="shared" ca="1" si="32"/>
        <v>#VALUE!</v>
      </c>
      <c r="L18" s="33" t="e">
        <f t="shared" ca="1" si="32"/>
        <v>#VALUE!</v>
      </c>
      <c r="M18" s="33" t="e">
        <f t="shared" ca="1" si="32"/>
        <v>#VALUE!</v>
      </c>
      <c r="N18" s="33" t="e">
        <f t="shared" ca="1" si="32"/>
        <v>#VALUE!</v>
      </c>
      <c r="O18" s="33">
        <f t="shared" ca="1" si="32"/>
        <v>1729822.4469144717</v>
      </c>
      <c r="P18" s="33">
        <f t="shared" ca="1" si="32"/>
        <v>1752576.9452960012</v>
      </c>
      <c r="Q18" s="33">
        <f t="shared" ca="1" si="32"/>
        <v>1786019.1716911634</v>
      </c>
      <c r="R18" s="33">
        <f t="shared" ca="1" si="32"/>
        <v>1819149.012419269</v>
      </c>
      <c r="S18" s="33">
        <f t="shared" ca="1" si="32"/>
        <v>1863715.9745171806</v>
      </c>
      <c r="T18" s="33">
        <f t="shared" ca="1" si="32"/>
        <v>1884273.5229776665</v>
      </c>
      <c r="U18" s="33">
        <f t="shared" ca="1" si="32"/>
        <v>1916162.4475535601</v>
      </c>
      <c r="V18" s="33">
        <f t="shared" ca="1" si="32"/>
        <v>1947527.2614333266</v>
      </c>
      <c r="W18" s="33">
        <f t="shared" ca="1" si="32"/>
        <v>1987668.3927313904</v>
      </c>
    </row>
    <row r="19" spans="1:242" x14ac:dyDescent="0.3">
      <c r="B19" t="s">
        <v>925</v>
      </c>
      <c r="C19" s="33" t="e">
        <f>+C18</f>
        <v>#REF!</v>
      </c>
      <c r="D19" s="33" t="e">
        <f ca="1">+D18+C19</f>
        <v>#VALUE!</v>
      </c>
      <c r="E19" s="33" t="e">
        <f t="shared" ref="E19:W19" ca="1" si="33">+E18+D19</f>
        <v>#VALUE!</v>
      </c>
      <c r="F19" s="33" t="e">
        <f t="shared" ca="1" si="33"/>
        <v>#VALUE!</v>
      </c>
      <c r="G19" s="33" t="e">
        <f t="shared" ca="1" si="33"/>
        <v>#VALUE!</v>
      </c>
      <c r="H19" s="33" t="e">
        <f t="shared" ca="1" si="33"/>
        <v>#VALUE!</v>
      </c>
      <c r="I19" s="33" t="e">
        <f t="shared" ca="1" si="33"/>
        <v>#VALUE!</v>
      </c>
      <c r="J19" s="33" t="e">
        <f t="shared" ca="1" si="33"/>
        <v>#VALUE!</v>
      </c>
      <c r="K19" s="33" t="e">
        <f t="shared" ca="1" si="33"/>
        <v>#VALUE!</v>
      </c>
      <c r="L19" s="33" t="e">
        <f t="shared" ca="1" si="33"/>
        <v>#VALUE!</v>
      </c>
      <c r="M19" s="33" t="e">
        <f t="shared" ca="1" si="33"/>
        <v>#VALUE!</v>
      </c>
      <c r="N19" s="33" t="e">
        <f t="shared" ca="1" si="33"/>
        <v>#VALUE!</v>
      </c>
      <c r="O19" s="33" t="e">
        <f t="shared" ca="1" si="33"/>
        <v>#VALUE!</v>
      </c>
      <c r="P19" s="33" t="e">
        <f t="shared" ca="1" si="33"/>
        <v>#VALUE!</v>
      </c>
      <c r="Q19" s="33" t="e">
        <f t="shared" ca="1" si="33"/>
        <v>#VALUE!</v>
      </c>
      <c r="R19" s="33" t="e">
        <f t="shared" ca="1" si="33"/>
        <v>#VALUE!</v>
      </c>
      <c r="S19" s="33" t="e">
        <f t="shared" ca="1" si="33"/>
        <v>#VALUE!</v>
      </c>
      <c r="T19" s="33" t="e">
        <f t="shared" ca="1" si="33"/>
        <v>#VALUE!</v>
      </c>
      <c r="U19" s="33" t="e">
        <f t="shared" ca="1" si="33"/>
        <v>#VALUE!</v>
      </c>
      <c r="V19" s="33" t="e">
        <f t="shared" ca="1" si="33"/>
        <v>#VALUE!</v>
      </c>
      <c r="W19" s="33" t="e">
        <f t="shared" ca="1" si="33"/>
        <v>#VALUE!</v>
      </c>
    </row>
    <row r="20" spans="1:242" x14ac:dyDescent="0.3">
      <c r="P20">
        <v>2025</v>
      </c>
      <c r="Q20">
        <v>2026</v>
      </c>
    </row>
    <row r="21" spans="1:242" x14ac:dyDescent="0.3">
      <c r="B21" s="6" t="s">
        <v>788</v>
      </c>
      <c r="C21" s="6" t="s">
        <v>793</v>
      </c>
      <c r="D21" s="6" t="s">
        <v>803</v>
      </c>
      <c r="E21" s="6"/>
      <c r="O21" t="s">
        <v>950</v>
      </c>
      <c r="P21" s="41">
        <f ca="1">+AVERAGE(H8:S8)/1000000</f>
        <v>0.20353439840691556</v>
      </c>
      <c r="Q21" s="41">
        <f ca="1">+AVERAGE(I8:T8)/1000000</f>
        <v>0.2218658203775091</v>
      </c>
    </row>
    <row r="22" spans="1:242" x14ac:dyDescent="0.3">
      <c r="A22" t="s">
        <v>932</v>
      </c>
      <c r="B22" s="35" t="e">
        <f ca="1">+NPV(12%,D18,E18:H18)</f>
        <v>#VALUE!</v>
      </c>
      <c r="C22" s="35" t="e">
        <f>+NPV(12%,C18,D18:M18)</f>
        <v>#REF!</v>
      </c>
      <c r="D22" s="35" t="e">
        <f>+NPV(12%,C18,D18:W18)</f>
        <v>#REF!</v>
      </c>
      <c r="E22" s="35"/>
      <c r="O22" t="s">
        <v>951</v>
      </c>
      <c r="P22" s="41" t="e">
        <f ca="1">+AVERAGE(H9:S9)/1000000</f>
        <v>#VALUE!</v>
      </c>
      <c r="Q22" s="41" t="e">
        <f ca="1">+AVERAGE(I9:T9)/1000000</f>
        <v>#VALUE!</v>
      </c>
    </row>
    <row r="23" spans="1:242" x14ac:dyDescent="0.3">
      <c r="A23" t="s">
        <v>933</v>
      </c>
      <c r="B23" s="84" t="e">
        <f ca="1">+IRR(D18:H18)</f>
        <v>#VALUE!</v>
      </c>
      <c r="C23" s="84" t="e">
        <f ca="1">+IRR(D18:M18)</f>
        <v>#VALUE!</v>
      </c>
      <c r="D23" s="84" t="e">
        <f ca="1">+IRR(D18:W18)</f>
        <v>#VALUE!</v>
      </c>
      <c r="E23" s="9"/>
      <c r="O23" t="s">
        <v>952</v>
      </c>
      <c r="P23" s="41" t="e">
        <f ca="1">+P21-P22</f>
        <v>#VALUE!</v>
      </c>
      <c r="Q23" s="41" t="e">
        <f ca="1">+Q21-Q22</f>
        <v>#VALUE!</v>
      </c>
    </row>
    <row r="24" spans="1:242" x14ac:dyDescent="0.3">
      <c r="A24" t="s">
        <v>953</v>
      </c>
      <c r="B24" s="33">
        <f ca="1">+SUM(D16:H16)</f>
        <v>14944234.430683581</v>
      </c>
      <c r="C24" s="33">
        <f ca="1">+SUM(D16:M16)</f>
        <v>32486654.173777405</v>
      </c>
      <c r="D24" s="33">
        <f ca="1">+SUM(D16:W16)</f>
        <v>73448010.948832452</v>
      </c>
      <c r="E24" s="9"/>
    </row>
    <row r="25" spans="1:242" x14ac:dyDescent="0.3">
      <c r="A25" t="s">
        <v>954</v>
      </c>
      <c r="B25" s="33" t="e">
        <f ca="1">+SUM(D17:H17)</f>
        <v>#VALUE!</v>
      </c>
      <c r="C25" s="33" t="e">
        <f ca="1">+SUM(D17:M17)</f>
        <v>#VALUE!</v>
      </c>
      <c r="D25" s="33" t="e">
        <f ca="1">+SUM(D17:W17)</f>
        <v>#VALUE!</v>
      </c>
      <c r="E25" s="38"/>
    </row>
    <row r="26" spans="1:242" x14ac:dyDescent="0.3">
      <c r="A26" t="s">
        <v>971</v>
      </c>
      <c r="B26" s="33" t="e">
        <f ca="1">+B24-B25</f>
        <v>#VALUE!</v>
      </c>
      <c r="C26" s="33" t="e">
        <f ca="1">+C24-C25</f>
        <v>#VALUE!</v>
      </c>
      <c r="D26" s="33" t="e">
        <f ca="1">+D24-D25</f>
        <v>#VALUE!</v>
      </c>
    </row>
    <row r="27" spans="1:242" x14ac:dyDescent="0.3">
      <c r="A27" t="s">
        <v>956</v>
      </c>
      <c r="B27" s="85">
        <f ca="1">COUNTIFS(13:13,"&lt;0")/12</f>
        <v>0</v>
      </c>
      <c r="C27" s="85">
        <f ca="1">COUNTIFS(13:13,"&lt;0")/12</f>
        <v>0</v>
      </c>
      <c r="D27" s="85">
        <f ca="1">COUNTIFS(13:13,"&lt;0")/12</f>
        <v>0</v>
      </c>
    </row>
    <row r="28" spans="1:242" x14ac:dyDescent="0.3">
      <c r="A28" t="s">
        <v>818</v>
      </c>
      <c r="B28" s="30" t="e">
        <f>+#REF!</f>
        <v>#REF!</v>
      </c>
      <c r="C28" s="35" t="e">
        <f>+#REF!</f>
        <v>#REF!</v>
      </c>
      <c r="D28" s="35" t="e">
        <f>+C28</f>
        <v>#REF!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971</v>
      </c>
      <c r="B29" s="86" t="e">
        <f ca="1">+B26/B28</f>
        <v>#VALUE!</v>
      </c>
      <c r="C29" s="86" t="e">
        <f ca="1">+C26/C28</f>
        <v>#VALUE!</v>
      </c>
      <c r="D29" s="86" t="e">
        <f ca="1">+D26/D28</f>
        <v>#VALUE!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87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A31" t="s">
        <v>958</v>
      </c>
      <c r="B31" s="35">
        <f ca="1">+Producción!O39</f>
        <v>377.88197656784848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3" spans="1:242" x14ac:dyDescent="0.3">
      <c r="C33" s="6" t="s">
        <v>906</v>
      </c>
      <c r="D33" s="6" t="s">
        <v>959</v>
      </c>
      <c r="E33" s="6" t="s">
        <v>960</v>
      </c>
      <c r="F33" s="9">
        <v>0.25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961</v>
      </c>
      <c r="C34" s="31">
        <f>+SUM(C4:BO4)</f>
        <v>133254.46424674997</v>
      </c>
      <c r="E34" s="31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783</v>
      </c>
      <c r="C35" s="31">
        <f>+C5</f>
        <v>0</v>
      </c>
      <c r="E35" s="33" t="e">
        <f>+(E37-E36)/C34</f>
        <v>#REF!</v>
      </c>
    </row>
    <row r="36" spans="1:242" x14ac:dyDescent="0.3">
      <c r="A36" t="s">
        <v>962</v>
      </c>
      <c r="C36" s="31">
        <v>0</v>
      </c>
      <c r="E36" s="31">
        <f>+C36</f>
        <v>0</v>
      </c>
    </row>
    <row r="37" spans="1:242" x14ac:dyDescent="0.3">
      <c r="A37" t="s">
        <v>963</v>
      </c>
      <c r="C37" s="31">
        <f>+(C34*C35)+C36</f>
        <v>0</v>
      </c>
      <c r="D37" s="30" t="e">
        <f>+#REF!</f>
        <v>#REF!</v>
      </c>
      <c r="E37" s="33" t="e">
        <f>+E38+E43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813</v>
      </c>
      <c r="C38" s="31" t="e">
        <f>+SUM(C39:C42)</f>
        <v>#REF!</v>
      </c>
      <c r="D38" s="30" t="e">
        <f>+SUM('Simulacion prestamo'!C12:F12)+SUM('Simulacion prestamo'!C15:F15)</f>
        <v>#REF!</v>
      </c>
      <c r="E38" s="31" t="e">
        <f>+C38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964</v>
      </c>
      <c r="C39" s="30" t="e">
        <f>+'Simulacion prestamo'!C16*'Simulacion prestamo'!B6</f>
        <v>#REF!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643</v>
      </c>
      <c r="C40" s="30">
        <f>(4*300000*5)+300000</f>
        <v>6300000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965</v>
      </c>
      <c r="C41" s="30" t="e">
        <f>+#REF!*17</f>
        <v>#REF!</v>
      </c>
    </row>
    <row r="42" spans="1:242" x14ac:dyDescent="0.3">
      <c r="A42" t="s">
        <v>644</v>
      </c>
      <c r="C42" s="30" t="e">
        <f>+#REF!*65</f>
        <v>#REF!</v>
      </c>
    </row>
    <row r="43" spans="1:242" x14ac:dyDescent="0.3">
      <c r="A43" t="s">
        <v>284</v>
      </c>
      <c r="C43" s="30" t="e">
        <f>+C37-C38</f>
        <v>#REF!</v>
      </c>
      <c r="D43" s="30" t="e">
        <f>+D37-D44-D38</f>
        <v>#REF!</v>
      </c>
      <c r="E43" s="30" t="e">
        <f>+E38*F33</f>
        <v>#REF!</v>
      </c>
      <c r="F43" s="38"/>
    </row>
    <row r="44" spans="1:242" x14ac:dyDescent="0.3">
      <c r="A44" t="s">
        <v>966</v>
      </c>
      <c r="C44" s="30" t="e">
        <f>+C28</f>
        <v>#REF!</v>
      </c>
      <c r="D44" s="33" t="e">
        <f>+C44</f>
        <v>#REF!</v>
      </c>
    </row>
    <row r="45" spans="1:242" x14ac:dyDescent="0.3">
      <c r="C45" s="38" t="e">
        <f>+C43/C38</f>
        <v>#REF!</v>
      </c>
      <c r="D45" s="38" t="e">
        <f>+D43/(D44+D38)</f>
        <v>#REF!</v>
      </c>
      <c r="G45" s="30"/>
      <c r="H45" s="30"/>
      <c r="I45" s="30"/>
      <c r="J45" s="30"/>
      <c r="K45" s="30"/>
      <c r="L45" s="30"/>
      <c r="M45" s="30"/>
    </row>
    <row r="48" spans="1:242" x14ac:dyDescent="0.3">
      <c r="B48" t="s">
        <v>967</v>
      </c>
      <c r="C48">
        <v>2024</v>
      </c>
      <c r="D48">
        <v>2025</v>
      </c>
      <c r="E48">
        <v>2026</v>
      </c>
      <c r="F48">
        <v>2027</v>
      </c>
      <c r="G48">
        <v>2028</v>
      </c>
      <c r="H48">
        <v>2029</v>
      </c>
      <c r="I48">
        <v>2030</v>
      </c>
      <c r="J48">
        <v>2031</v>
      </c>
      <c r="K48">
        <v>2032</v>
      </c>
      <c r="L48">
        <v>2033</v>
      </c>
      <c r="M48">
        <v>2034</v>
      </c>
      <c r="N48">
        <v>2035</v>
      </c>
      <c r="O48">
        <v>2036</v>
      </c>
      <c r="P48">
        <v>2037</v>
      </c>
      <c r="Q48">
        <v>2038</v>
      </c>
      <c r="R48">
        <v>2039</v>
      </c>
      <c r="S48">
        <v>2040</v>
      </c>
      <c r="T48">
        <v>2041</v>
      </c>
      <c r="U48">
        <v>2042</v>
      </c>
      <c r="V48">
        <v>2043</v>
      </c>
      <c r="W48">
        <v>2044</v>
      </c>
    </row>
    <row r="49" spans="2:23" x14ac:dyDescent="0.3">
      <c r="B49" t="s">
        <v>947</v>
      </c>
      <c r="C49" s="12">
        <f>+C16/1000000</f>
        <v>0</v>
      </c>
      <c r="D49" s="12">
        <f t="shared" ref="D49:W50" ca="1" si="34">+D16/1000000</f>
        <v>2.4424127808829867</v>
      </c>
      <c r="E49" s="12">
        <f t="shared" ca="1" si="34"/>
        <v>2.9918258719446191</v>
      </c>
      <c r="F49" s="12">
        <f t="shared" ca="1" si="34"/>
        <v>3.0784287211848276</v>
      </c>
      <c r="G49" s="12">
        <f t="shared" ca="1" si="34"/>
        <v>3.1766098408549364</v>
      </c>
      <c r="H49" s="12">
        <f t="shared" ca="1" si="34"/>
        <v>3.2549572158162126</v>
      </c>
      <c r="I49" s="12">
        <f t="shared" ca="1" si="34"/>
        <v>3.3353849540633589</v>
      </c>
      <c r="J49" s="12">
        <f t="shared" ca="1" si="34"/>
        <v>3.4177088951110997</v>
      </c>
      <c r="K49" s="12">
        <f t="shared" ca="1" si="34"/>
        <v>3.5120166913353095</v>
      </c>
      <c r="L49" s="12">
        <f t="shared" ca="1" si="34"/>
        <v>3.5882117110725136</v>
      </c>
      <c r="M49" s="12">
        <f t="shared" ca="1" si="34"/>
        <v>3.6890974915115464</v>
      </c>
      <c r="N49" s="12">
        <f t="shared" ca="1" si="34"/>
        <v>3.7596368037775472</v>
      </c>
      <c r="O49" s="12">
        <f t="shared" ca="1" si="34"/>
        <v>3.8420420982474059</v>
      </c>
      <c r="P49" s="12">
        <f t="shared" ca="1" si="34"/>
        <v>3.9034431861689241</v>
      </c>
      <c r="Q49" s="12">
        <f t="shared" ca="1" si="34"/>
        <v>3.976691399790274</v>
      </c>
      <c r="R49" s="12">
        <f t="shared" ca="1" si="34"/>
        <v>4.0508214073613527</v>
      </c>
      <c r="S49" s="12">
        <f t="shared" ca="1" si="34"/>
        <v>4.1376185413075266</v>
      </c>
      <c r="T49" s="12">
        <f t="shared" ca="1" si="34"/>
        <v>4.2016731667717231</v>
      </c>
      <c r="U49" s="12">
        <f t="shared" ca="1" si="34"/>
        <v>4.2783640806614383</v>
      </c>
      <c r="V49" s="12">
        <f t="shared" ca="1" si="34"/>
        <v>4.3558749435344417</v>
      </c>
      <c r="W49" s="12">
        <f t="shared" ca="1" si="34"/>
        <v>4.4551911474344195</v>
      </c>
    </row>
    <row r="50" spans="2:23" x14ac:dyDescent="0.3">
      <c r="B50" t="s">
        <v>948</v>
      </c>
      <c r="C50" s="12" t="e">
        <f>+C17/1000000</f>
        <v>#REF!</v>
      </c>
      <c r="D50" s="12" t="e">
        <f t="shared" ca="1" si="34"/>
        <v>#VALUE!</v>
      </c>
      <c r="E50" s="12" t="e">
        <f t="shared" ca="1" si="34"/>
        <v>#VALUE!</v>
      </c>
      <c r="F50" s="12" t="e">
        <f t="shared" ca="1" si="34"/>
        <v>#VALUE!</v>
      </c>
      <c r="G50" s="12" t="e">
        <f t="shared" ca="1" si="34"/>
        <v>#VALUE!</v>
      </c>
      <c r="H50" s="12" t="e">
        <f t="shared" ca="1" si="34"/>
        <v>#VALUE!</v>
      </c>
      <c r="I50" s="12" t="e">
        <f t="shared" ca="1" si="34"/>
        <v>#VALUE!</v>
      </c>
      <c r="J50" s="12" t="e">
        <f t="shared" ca="1" si="34"/>
        <v>#VALUE!</v>
      </c>
      <c r="K50" s="12" t="e">
        <f t="shared" ca="1" si="34"/>
        <v>#VALUE!</v>
      </c>
      <c r="L50" s="12" t="e">
        <f t="shared" ca="1" si="34"/>
        <v>#VALUE!</v>
      </c>
      <c r="M50" s="12" t="e">
        <f t="shared" ca="1" si="34"/>
        <v>#VALUE!</v>
      </c>
      <c r="N50" s="12" t="e">
        <f t="shared" ca="1" si="34"/>
        <v>#VALUE!</v>
      </c>
      <c r="O50" s="12">
        <f t="shared" si="34"/>
        <v>2.1122196513329343</v>
      </c>
      <c r="P50" s="12">
        <f t="shared" si="34"/>
        <v>2.1508662408729227</v>
      </c>
      <c r="Q50" s="12">
        <f t="shared" si="34"/>
        <v>2.1906722280991104</v>
      </c>
      <c r="R50" s="12">
        <f t="shared" si="34"/>
        <v>2.231672394942084</v>
      </c>
      <c r="S50" s="12">
        <f t="shared" si="34"/>
        <v>2.2739025667903459</v>
      </c>
      <c r="T50" s="12">
        <f t="shared" si="34"/>
        <v>2.3173996437940563</v>
      </c>
      <c r="U50" s="12">
        <f t="shared" si="34"/>
        <v>2.3622016331078783</v>
      </c>
      <c r="V50" s="12">
        <f t="shared" si="34"/>
        <v>2.4083476821011147</v>
      </c>
      <c r="W50" s="12">
        <f t="shared" si="34"/>
        <v>2.4675227547030287</v>
      </c>
    </row>
    <row r="51" spans="2:23" x14ac:dyDescent="0.3">
      <c r="B51" t="s">
        <v>952</v>
      </c>
      <c r="C51" s="12" t="e">
        <f>+C49-C50</f>
        <v>#REF!</v>
      </c>
      <c r="D51" s="12" t="e">
        <f t="shared" ref="D51:W51" ca="1" si="35">+D49-D50</f>
        <v>#VALUE!</v>
      </c>
      <c r="E51" s="12" t="e">
        <f t="shared" ca="1" si="35"/>
        <v>#VALUE!</v>
      </c>
      <c r="F51" s="12" t="e">
        <f t="shared" ca="1" si="35"/>
        <v>#VALUE!</v>
      </c>
      <c r="G51" s="12" t="e">
        <f t="shared" ca="1" si="35"/>
        <v>#VALUE!</v>
      </c>
      <c r="H51" s="12" t="e">
        <f t="shared" ca="1" si="35"/>
        <v>#VALUE!</v>
      </c>
      <c r="I51" s="12" t="e">
        <f t="shared" ca="1" si="35"/>
        <v>#VALUE!</v>
      </c>
      <c r="J51" s="12" t="e">
        <f t="shared" ca="1" si="35"/>
        <v>#VALUE!</v>
      </c>
      <c r="K51" s="12" t="e">
        <f t="shared" ca="1" si="35"/>
        <v>#VALUE!</v>
      </c>
      <c r="L51" s="12" t="e">
        <f t="shared" ca="1" si="35"/>
        <v>#VALUE!</v>
      </c>
      <c r="M51" s="12" t="e">
        <f t="shared" ca="1" si="35"/>
        <v>#VALUE!</v>
      </c>
      <c r="N51" s="12" t="e">
        <f t="shared" ca="1" si="35"/>
        <v>#VALUE!</v>
      </c>
      <c r="O51" s="12">
        <f t="shared" ca="1" si="35"/>
        <v>1.7298224469144716</v>
      </c>
      <c r="P51" s="12">
        <f t="shared" ca="1" si="35"/>
        <v>1.7525769452960014</v>
      </c>
      <c r="Q51" s="12">
        <f t="shared" ca="1" si="35"/>
        <v>1.7860191716911635</v>
      </c>
      <c r="R51" s="12">
        <f t="shared" ca="1" si="35"/>
        <v>1.8191490124192686</v>
      </c>
      <c r="S51" s="12">
        <f t="shared" ca="1" si="35"/>
        <v>1.8637159745171807</v>
      </c>
      <c r="T51" s="12">
        <f t="shared" ca="1" si="35"/>
        <v>1.8842735229776668</v>
      </c>
      <c r="U51" s="12">
        <f t="shared" ca="1" si="35"/>
        <v>1.9161624475535599</v>
      </c>
      <c r="V51" s="12">
        <f t="shared" ca="1" si="35"/>
        <v>1.947527261433327</v>
      </c>
      <c r="W51" s="12">
        <f t="shared" ca="1" si="35"/>
        <v>1.9876683927313907</v>
      </c>
    </row>
    <row r="53" spans="2:23" x14ac:dyDescent="0.3">
      <c r="D53" t="s">
        <v>114</v>
      </c>
      <c r="E53" t="s">
        <v>115</v>
      </c>
      <c r="F53" t="s">
        <v>116</v>
      </c>
      <c r="G53" t="s">
        <v>117</v>
      </c>
      <c r="H53" t="s">
        <v>118</v>
      </c>
      <c r="I53" t="s">
        <v>119</v>
      </c>
      <c r="J53" t="s">
        <v>120</v>
      </c>
      <c r="K53" t="s">
        <v>121</v>
      </c>
      <c r="L53" t="s">
        <v>122</v>
      </c>
      <c r="M53" t="s">
        <v>123</v>
      </c>
      <c r="N53" t="s">
        <v>124</v>
      </c>
      <c r="O53" t="s">
        <v>125</v>
      </c>
      <c r="P53" t="s">
        <v>114</v>
      </c>
      <c r="Q53" t="s">
        <v>115</v>
      </c>
    </row>
    <row r="54" spans="2:23" x14ac:dyDescent="0.3">
      <c r="C54" t="s">
        <v>947</v>
      </c>
      <c r="D54" s="3">
        <f t="shared" ref="D54:O55" si="36">+H8/1000000</f>
        <v>0</v>
      </c>
      <c r="E54" s="3">
        <f t="shared" si="36"/>
        <v>0</v>
      </c>
      <c r="F54" s="3">
        <f t="shared" ca="1" si="36"/>
        <v>0.23348389964738553</v>
      </c>
      <c r="G54" s="3">
        <f t="shared" ca="1" si="36"/>
        <v>0.27802163459187029</v>
      </c>
      <c r="H54" s="3">
        <f t="shared" ca="1" si="36"/>
        <v>0.25255248776191769</v>
      </c>
      <c r="I54" s="3">
        <f t="shared" ca="1" si="36"/>
        <v>0.24486743625893859</v>
      </c>
      <c r="J54" s="3">
        <f t="shared" ca="1" si="36"/>
        <v>0.24613554614909222</v>
      </c>
      <c r="K54" s="3">
        <f t="shared" ca="1" si="36"/>
        <v>0.26191816683016067</v>
      </c>
      <c r="L54" s="3">
        <f t="shared" ca="1" si="36"/>
        <v>0.25807498628871056</v>
      </c>
      <c r="M54" s="3">
        <f t="shared" ca="1" si="36"/>
        <v>0.24151647068493298</v>
      </c>
      <c r="N54" s="3">
        <f t="shared" ca="1" si="36"/>
        <v>0.21774471900205519</v>
      </c>
      <c r="O54" s="3">
        <f t="shared" ca="1" si="36"/>
        <v>0.2080974336679233</v>
      </c>
      <c r="P54" s="3">
        <f t="shared" ref="P54:P55" ca="1" si="37">+T8/1000000</f>
        <v>0.21997706364712283</v>
      </c>
      <c r="Q54" s="3">
        <f t="shared" ref="Q54:Q55" ca="1" si="38">+U8/1000000</f>
        <v>0.26032703479212504</v>
      </c>
    </row>
    <row r="55" spans="2:23" x14ac:dyDescent="0.3">
      <c r="C55" t="s">
        <v>948</v>
      </c>
      <c r="D55" s="3">
        <f t="shared" si="36"/>
        <v>0</v>
      </c>
      <c r="E55" s="3" t="e">
        <f t="shared" ca="1" si="36"/>
        <v>#VALUE!</v>
      </c>
      <c r="F55" s="3" t="e">
        <f t="shared" ca="1" si="36"/>
        <v>#VALUE!</v>
      </c>
      <c r="G55" s="3" t="e">
        <f t="shared" ca="1" si="36"/>
        <v>#VALUE!</v>
      </c>
      <c r="H55" s="3" t="e">
        <f t="shared" ca="1" si="36"/>
        <v>#VALUE!</v>
      </c>
      <c r="I55" s="3" t="e">
        <f t="shared" ca="1" si="36"/>
        <v>#VALUE!</v>
      </c>
      <c r="J55" s="3" t="e">
        <f t="shared" ca="1" si="36"/>
        <v>#VALUE!</v>
      </c>
      <c r="K55" s="3" t="e">
        <f t="shared" ca="1" si="36"/>
        <v>#VALUE!</v>
      </c>
      <c r="L55" s="3" t="e">
        <f t="shared" ca="1" si="36"/>
        <v>#VALUE!</v>
      </c>
      <c r="M55" s="3" t="e">
        <f t="shared" ca="1" si="36"/>
        <v>#VALUE!</v>
      </c>
      <c r="N55" s="3" t="e">
        <f t="shared" ca="1" si="36"/>
        <v>#VALUE!</v>
      </c>
      <c r="O55" s="3" t="e">
        <f t="shared" ca="1" si="36"/>
        <v>#VALUE!</v>
      </c>
      <c r="P55" s="3" t="e">
        <f t="shared" ca="1" si="37"/>
        <v>#VALUE!</v>
      </c>
      <c r="Q55" s="3" t="e">
        <f t="shared" ca="1" si="38"/>
        <v>#VALUE!</v>
      </c>
    </row>
    <row r="56" spans="2:23" x14ac:dyDescent="0.3">
      <c r="C56" t="s">
        <v>952</v>
      </c>
      <c r="D56" s="3">
        <f>+D54-D55</f>
        <v>0</v>
      </c>
      <c r="E56" s="3" t="e">
        <f t="shared" ref="E56:O56" ca="1" si="39">+E54-E55</f>
        <v>#VALUE!</v>
      </c>
      <c r="F56" s="3" t="e">
        <f t="shared" ca="1" si="39"/>
        <v>#VALUE!</v>
      </c>
      <c r="G56" s="3" t="e">
        <f t="shared" ca="1" si="39"/>
        <v>#VALUE!</v>
      </c>
      <c r="H56" s="3" t="e">
        <f t="shared" ca="1" si="39"/>
        <v>#VALUE!</v>
      </c>
      <c r="I56" s="3" t="e">
        <f t="shared" ca="1" si="39"/>
        <v>#VALUE!</v>
      </c>
      <c r="J56" s="3" t="e">
        <f t="shared" ca="1" si="39"/>
        <v>#VALUE!</v>
      </c>
      <c r="K56" s="3" t="e">
        <f t="shared" ca="1" si="39"/>
        <v>#VALUE!</v>
      </c>
      <c r="L56" s="3" t="e">
        <f t="shared" ca="1" si="39"/>
        <v>#VALUE!</v>
      </c>
      <c r="M56" s="3" t="e">
        <f t="shared" ca="1" si="39"/>
        <v>#VALUE!</v>
      </c>
      <c r="N56" s="3" t="e">
        <f t="shared" ca="1" si="39"/>
        <v>#VALUE!</v>
      </c>
      <c r="O56" s="3" t="e">
        <f t="shared" ca="1" si="39"/>
        <v>#VALUE!</v>
      </c>
      <c r="P56" s="3" t="e">
        <f t="shared" ref="P56:Q56" ca="1" si="40">+P54-P55</f>
        <v>#VALUE!</v>
      </c>
      <c r="Q56" s="3" t="e">
        <f t="shared" ca="1" si="40"/>
        <v>#VALUE!</v>
      </c>
    </row>
    <row r="1048551" spans="16384:16384" x14ac:dyDescent="0.3">
      <c r="XFD1048551" t="e" cm="1">
        <f t="array" ref="XFD1048551">solver_pre</f>
        <v>#NAME?</v>
      </c>
    </row>
    <row r="1048552" spans="16384:16384" x14ac:dyDescent="0.3">
      <c r="XFD1048552" t="e" cm="1">
        <f t="array" ref="XFD1048552">solver_scl</f>
        <v>#NAME?</v>
      </c>
    </row>
    <row r="1048553" spans="16384:16384" x14ac:dyDescent="0.3">
      <c r="XFD1048553" t="e" cm="1">
        <f t="array" ref="XFD1048553">solver_rlx</f>
        <v>#NAME?</v>
      </c>
    </row>
    <row r="1048554" spans="16384:16384" x14ac:dyDescent="0.3">
      <c r="XFD1048554" t="e" cm="1">
        <f t="array" ref="XFD1048554">solver_tol</f>
        <v>#NAME?</v>
      </c>
    </row>
    <row r="1048555" spans="16384:16384" x14ac:dyDescent="0.3">
      <c r="XFD1048555" t="e" cm="1">
        <f t="array" ref="XFD1048555">solver_cvg</f>
        <v>#NAME?</v>
      </c>
    </row>
    <row r="1048556" spans="16384:16384" x14ac:dyDescent="0.3">
      <c r="XFD1048556" t="e" cm="1">
        <f t="array" ref="XFD1048556">AREAS(solver_adj1)</f>
        <v>#NAME?</v>
      </c>
    </row>
    <row r="1048557" spans="16384:16384" x14ac:dyDescent="0.3">
      <c r="XFD1048557" t="e" cm="1">
        <f t="array" ref="XFD1048557">solver_ssz</f>
        <v>#NAME?</v>
      </c>
    </row>
    <row r="1048558" spans="16384:16384" x14ac:dyDescent="0.3">
      <c r="XFD1048558" t="e" cm="1">
        <f t="array" ref="XFD1048558">solver_rsd</f>
        <v>#NAME?</v>
      </c>
    </row>
    <row r="1048559" spans="16384:16384" x14ac:dyDescent="0.3">
      <c r="XFD1048559" t="e" cm="1">
        <f t="array" ref="XFD1048559">solver_mrt</f>
        <v>#NAME?</v>
      </c>
    </row>
    <row r="1048560" spans="16384:16384" x14ac:dyDescent="0.3">
      <c r="XFD1048560" t="e" cm="1">
        <f t="array" ref="XFD1048560">solver_mni</f>
        <v>#NAME?</v>
      </c>
    </row>
    <row r="1048561" spans="16384:16384" x14ac:dyDescent="0.3">
      <c r="XFD1048561" t="e" cm="1">
        <f t="array" ref="XFD1048561">solver_rbv</f>
        <v>#NAME?</v>
      </c>
    </row>
    <row r="1048562" spans="16384:16384" x14ac:dyDescent="0.3">
      <c r="XFD1048562" t="e" cm="1">
        <f t="array" ref="XFD1048562">solver_neg</f>
        <v>#NAME?</v>
      </c>
    </row>
    <row r="1048563" spans="16384:16384" x14ac:dyDescent="0.3">
      <c r="XFD1048563" t="e" cm="1">
        <f t="array" ref="XFD1048563">solver_ntr</f>
        <v>#NAME?</v>
      </c>
    </row>
    <row r="1048564" spans="16384:16384" x14ac:dyDescent="0.3">
      <c r="XFD1048564" t="e" cm="1">
        <f t="array" ref="XFD1048564">solver_acc</f>
        <v>#NAME?</v>
      </c>
    </row>
    <row r="1048565" spans="16384:16384" x14ac:dyDescent="0.3">
      <c r="XFD1048565" t="e" cm="1">
        <f t="array" ref="XFD1048565">solver_res</f>
        <v>#NAME?</v>
      </c>
    </row>
    <row r="1048566" spans="16384:16384" x14ac:dyDescent="0.3">
      <c r="XFD1048566" t="e" cm="1">
        <f t="array" ref="XFD1048566">solver_ars</f>
        <v>#NAME?</v>
      </c>
    </row>
    <row r="1048567" spans="16384:16384" x14ac:dyDescent="0.3">
      <c r="XFD1048567" t="e" cm="1">
        <f t="array" ref="XFD1048567">solver_sta</f>
        <v>#NAME?</v>
      </c>
    </row>
    <row r="1048568" spans="16384:16384" x14ac:dyDescent="0.3">
      <c r="XFD1048568" t="e" cm="1">
        <f t="array" ref="XFD1048568">solver_met</f>
        <v>#NAME?</v>
      </c>
    </row>
    <row r="1048569" spans="16384:16384" x14ac:dyDescent="0.3">
      <c r="XFD1048569" t="e" cm="1">
        <f t="array" ref="XFD1048569">solver_soc</f>
        <v>#NAME?</v>
      </c>
    </row>
    <row r="1048570" spans="16384:16384" x14ac:dyDescent="0.3">
      <c r="XFD1048570" t="e" cm="1">
        <f t="array" ref="XFD1048570">solver_lpt</f>
        <v>#NAME?</v>
      </c>
    </row>
    <row r="1048571" spans="16384:16384" x14ac:dyDescent="0.3">
      <c r="XFD1048571" t="e" cm="1">
        <f t="array" ref="XFD1048571">solver_lpp</f>
        <v>#NAME?</v>
      </c>
    </row>
    <row r="1048572" spans="16384:16384" x14ac:dyDescent="0.3">
      <c r="XFD1048572" t="e" cm="1">
        <f t="array" ref="XFD1048572">solver_gap</f>
        <v>#NAME?</v>
      </c>
    </row>
    <row r="1048573" spans="16384:16384" x14ac:dyDescent="0.3">
      <c r="XFD1048573" t="e" cm="1">
        <f t="array" ref="XFD1048573">solver_ips</f>
        <v>#NAME?</v>
      </c>
    </row>
    <row r="1048574" spans="16384:16384" x14ac:dyDescent="0.3">
      <c r="XFD1048574" t="e" cm="1">
        <f t="array" ref="XFD1048574">solver_fea</f>
        <v>#NAME?</v>
      </c>
    </row>
    <row r="1048575" spans="16384:16384" x14ac:dyDescent="0.3">
      <c r="XFD1048575" t="e" cm="1">
        <f t="array" ref="XFD1048575">solver_ipi</f>
        <v>#NAME?</v>
      </c>
    </row>
    <row r="1048576" spans="16384:16384" x14ac:dyDescent="0.3">
      <c r="XFD1048576" t="e" cm="1">
        <f t="array" ref="XFD1048576">solver_ipd</f>
        <v>#NAME?</v>
      </c>
    </row>
  </sheetData>
  <phoneticPr fontId="3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8A6D-18B6-4651-B6C1-03E2B73C876E}">
  <dimension ref="A1:XFD1048576"/>
  <sheetViews>
    <sheetView topLeftCell="W10" zoomScale="80" zoomScaleNormal="80" workbookViewId="0">
      <selection activeCell="AK32" sqref="AK32"/>
    </sheetView>
  </sheetViews>
  <sheetFormatPr baseColWidth="10" defaultColWidth="11.44140625" defaultRowHeight="14.4" x14ac:dyDescent="0.3"/>
  <cols>
    <col min="1" max="1" width="22.44140625" bestFit="1" customWidth="1"/>
    <col min="2" max="2" width="15.5546875" customWidth="1"/>
    <col min="3" max="5" width="15.44140625" bestFit="1" customWidth="1"/>
    <col min="6" max="14" width="13.5546875" bestFit="1" customWidth="1"/>
    <col min="15" max="15" width="16.44140625" bestFit="1" customWidth="1"/>
    <col min="16" max="23" width="15.44140625" bestFit="1" customWidth="1"/>
    <col min="24" max="32" width="11.5546875" bestFit="1" customWidth="1"/>
    <col min="33" max="71" width="12.5546875" bestFit="1" customWidth="1"/>
    <col min="72" max="172" width="13.5546875" bestFit="1" customWidth="1"/>
    <col min="173" max="247" width="15.44140625" bestFit="1" customWidth="1"/>
    <col min="16384" max="16384" width="11.44140625" bestFit="1" customWidth="1"/>
  </cols>
  <sheetData>
    <row r="1" spans="1:247" x14ac:dyDescent="0.3">
      <c r="A1" s="6" t="s">
        <v>906</v>
      </c>
      <c r="B1" s="9"/>
    </row>
    <row r="2" spans="1:247" x14ac:dyDescent="0.3">
      <c r="B2">
        <f>+YEAR(B3)</f>
        <v>2024</v>
      </c>
      <c r="C2">
        <f>+YEAR(C3)</f>
        <v>2024</v>
      </c>
      <c r="D2">
        <f t="shared" ref="D2:BO2" si="0">+YEAR(D3)</f>
        <v>2024</v>
      </c>
      <c r="E2">
        <f t="shared" si="0"/>
        <v>2024</v>
      </c>
      <c r="F2">
        <f t="shared" si="0"/>
        <v>2024</v>
      </c>
      <c r="G2">
        <f t="shared" si="0"/>
        <v>2024</v>
      </c>
      <c r="H2">
        <f t="shared" si="0"/>
        <v>2025</v>
      </c>
      <c r="I2">
        <f t="shared" si="0"/>
        <v>2025</v>
      </c>
      <c r="J2">
        <f t="shared" si="0"/>
        <v>2025</v>
      </c>
      <c r="K2">
        <f t="shared" si="0"/>
        <v>2025</v>
      </c>
      <c r="L2">
        <f t="shared" si="0"/>
        <v>2025</v>
      </c>
      <c r="M2">
        <f t="shared" si="0"/>
        <v>2025</v>
      </c>
      <c r="N2">
        <f t="shared" si="0"/>
        <v>2025</v>
      </c>
      <c r="O2">
        <f t="shared" si="0"/>
        <v>2025</v>
      </c>
      <c r="P2">
        <f t="shared" si="0"/>
        <v>2025</v>
      </c>
      <c r="Q2">
        <f t="shared" si="0"/>
        <v>2025</v>
      </c>
      <c r="R2">
        <f t="shared" si="0"/>
        <v>2025</v>
      </c>
      <c r="S2">
        <f t="shared" si="0"/>
        <v>2025</v>
      </c>
      <c r="T2">
        <f t="shared" si="0"/>
        <v>2026</v>
      </c>
      <c r="U2">
        <f t="shared" si="0"/>
        <v>2026</v>
      </c>
      <c r="V2">
        <f t="shared" si="0"/>
        <v>2026</v>
      </c>
      <c r="W2">
        <f t="shared" si="0"/>
        <v>2026</v>
      </c>
      <c r="X2">
        <f t="shared" si="0"/>
        <v>2026</v>
      </c>
      <c r="Y2">
        <f t="shared" si="0"/>
        <v>2026</v>
      </c>
      <c r="Z2">
        <f t="shared" si="0"/>
        <v>2026</v>
      </c>
      <c r="AA2">
        <f t="shared" si="0"/>
        <v>2026</v>
      </c>
      <c r="AB2">
        <f t="shared" si="0"/>
        <v>2026</v>
      </c>
      <c r="AC2">
        <f t="shared" si="0"/>
        <v>2026</v>
      </c>
      <c r="AD2">
        <f t="shared" si="0"/>
        <v>2026</v>
      </c>
      <c r="AE2">
        <f t="shared" si="0"/>
        <v>2026</v>
      </c>
      <c r="AF2">
        <f t="shared" si="0"/>
        <v>2027</v>
      </c>
      <c r="AG2">
        <f t="shared" si="0"/>
        <v>2027</v>
      </c>
      <c r="AH2">
        <f t="shared" si="0"/>
        <v>2027</v>
      </c>
      <c r="AI2">
        <f t="shared" si="0"/>
        <v>2027</v>
      </c>
      <c r="AJ2">
        <f t="shared" si="0"/>
        <v>2027</v>
      </c>
      <c r="AK2">
        <f t="shared" si="0"/>
        <v>2027</v>
      </c>
      <c r="AL2">
        <f t="shared" si="0"/>
        <v>2027</v>
      </c>
      <c r="AM2">
        <f t="shared" si="0"/>
        <v>2027</v>
      </c>
      <c r="AN2">
        <f t="shared" si="0"/>
        <v>2027</v>
      </c>
      <c r="AO2">
        <f t="shared" si="0"/>
        <v>2027</v>
      </c>
      <c r="AP2">
        <f t="shared" si="0"/>
        <v>2027</v>
      </c>
      <c r="AQ2">
        <f t="shared" si="0"/>
        <v>2027</v>
      </c>
      <c r="AR2">
        <f t="shared" si="0"/>
        <v>2028</v>
      </c>
      <c r="AS2">
        <f t="shared" si="0"/>
        <v>2028</v>
      </c>
      <c r="AT2">
        <f t="shared" si="0"/>
        <v>2028</v>
      </c>
      <c r="AU2">
        <f t="shared" si="0"/>
        <v>2028</v>
      </c>
      <c r="AV2">
        <f t="shared" si="0"/>
        <v>2028</v>
      </c>
      <c r="AW2">
        <f t="shared" si="0"/>
        <v>2028</v>
      </c>
      <c r="AX2">
        <f t="shared" si="0"/>
        <v>2028</v>
      </c>
      <c r="AY2">
        <f t="shared" si="0"/>
        <v>2028</v>
      </c>
      <c r="AZ2">
        <f t="shared" si="0"/>
        <v>2028</v>
      </c>
      <c r="BA2">
        <f t="shared" si="0"/>
        <v>2028</v>
      </c>
      <c r="BB2">
        <f t="shared" si="0"/>
        <v>2028</v>
      </c>
      <c r="BC2">
        <f t="shared" si="0"/>
        <v>2028</v>
      </c>
      <c r="BD2">
        <f t="shared" si="0"/>
        <v>2029</v>
      </c>
      <c r="BE2">
        <f t="shared" si="0"/>
        <v>2029</v>
      </c>
      <c r="BF2">
        <f t="shared" si="0"/>
        <v>2029</v>
      </c>
      <c r="BG2">
        <f t="shared" si="0"/>
        <v>2029</v>
      </c>
      <c r="BH2">
        <f t="shared" si="0"/>
        <v>2029</v>
      </c>
      <c r="BI2">
        <f t="shared" si="0"/>
        <v>2029</v>
      </c>
      <c r="BJ2">
        <f t="shared" si="0"/>
        <v>2029</v>
      </c>
      <c r="BK2">
        <f t="shared" si="0"/>
        <v>2029</v>
      </c>
      <c r="BL2">
        <f t="shared" si="0"/>
        <v>2029</v>
      </c>
      <c r="BM2">
        <f t="shared" si="0"/>
        <v>2029</v>
      </c>
      <c r="BN2">
        <f t="shared" si="0"/>
        <v>2029</v>
      </c>
      <c r="BO2">
        <f t="shared" si="0"/>
        <v>2029</v>
      </c>
      <c r="BP2">
        <f t="shared" ref="BP2:EA2" si="1">+YEAR(BP3)</f>
        <v>2030</v>
      </c>
      <c r="BQ2">
        <f t="shared" si="1"/>
        <v>2030</v>
      </c>
      <c r="BR2">
        <f t="shared" si="1"/>
        <v>2030</v>
      </c>
      <c r="BS2">
        <f t="shared" si="1"/>
        <v>2030</v>
      </c>
      <c r="BT2">
        <f t="shared" si="1"/>
        <v>2030</v>
      </c>
      <c r="BU2">
        <f t="shared" si="1"/>
        <v>2030</v>
      </c>
      <c r="BV2">
        <f t="shared" si="1"/>
        <v>2030</v>
      </c>
      <c r="BW2">
        <f t="shared" si="1"/>
        <v>2030</v>
      </c>
      <c r="BX2">
        <f t="shared" si="1"/>
        <v>2030</v>
      </c>
      <c r="BY2">
        <f t="shared" si="1"/>
        <v>2030</v>
      </c>
      <c r="BZ2">
        <f t="shared" si="1"/>
        <v>2030</v>
      </c>
      <c r="CA2">
        <f t="shared" si="1"/>
        <v>2030</v>
      </c>
      <c r="CB2">
        <f t="shared" si="1"/>
        <v>2031</v>
      </c>
      <c r="CC2">
        <f t="shared" si="1"/>
        <v>2031</v>
      </c>
      <c r="CD2">
        <f t="shared" si="1"/>
        <v>2031</v>
      </c>
      <c r="CE2">
        <f t="shared" si="1"/>
        <v>2031</v>
      </c>
      <c r="CF2">
        <f t="shared" si="1"/>
        <v>2031</v>
      </c>
      <c r="CG2">
        <f t="shared" si="1"/>
        <v>2031</v>
      </c>
      <c r="CH2">
        <f t="shared" si="1"/>
        <v>2031</v>
      </c>
      <c r="CI2">
        <f t="shared" si="1"/>
        <v>2031</v>
      </c>
      <c r="CJ2">
        <f t="shared" si="1"/>
        <v>2031</v>
      </c>
      <c r="CK2">
        <f t="shared" si="1"/>
        <v>2031</v>
      </c>
      <c r="CL2">
        <f t="shared" si="1"/>
        <v>2031</v>
      </c>
      <c r="CM2">
        <f t="shared" si="1"/>
        <v>2031</v>
      </c>
      <c r="CN2">
        <f t="shared" si="1"/>
        <v>2032</v>
      </c>
      <c r="CO2">
        <f t="shared" si="1"/>
        <v>2032</v>
      </c>
      <c r="CP2">
        <f t="shared" si="1"/>
        <v>2032</v>
      </c>
      <c r="CQ2">
        <f t="shared" si="1"/>
        <v>2032</v>
      </c>
      <c r="CR2">
        <f t="shared" si="1"/>
        <v>2032</v>
      </c>
      <c r="CS2">
        <f t="shared" si="1"/>
        <v>2032</v>
      </c>
      <c r="CT2">
        <f t="shared" si="1"/>
        <v>2032</v>
      </c>
      <c r="CU2">
        <f t="shared" si="1"/>
        <v>2032</v>
      </c>
      <c r="CV2">
        <f t="shared" si="1"/>
        <v>2032</v>
      </c>
      <c r="CW2">
        <f t="shared" si="1"/>
        <v>2032</v>
      </c>
      <c r="CX2">
        <f t="shared" si="1"/>
        <v>2032</v>
      </c>
      <c r="CY2">
        <f t="shared" si="1"/>
        <v>2032</v>
      </c>
      <c r="CZ2">
        <f t="shared" si="1"/>
        <v>2033</v>
      </c>
      <c r="DA2">
        <f t="shared" si="1"/>
        <v>2033</v>
      </c>
      <c r="DB2">
        <f t="shared" si="1"/>
        <v>2033</v>
      </c>
      <c r="DC2">
        <f t="shared" si="1"/>
        <v>2033</v>
      </c>
      <c r="DD2">
        <f t="shared" si="1"/>
        <v>2033</v>
      </c>
      <c r="DE2">
        <f t="shared" si="1"/>
        <v>2033</v>
      </c>
      <c r="DF2">
        <f t="shared" si="1"/>
        <v>2033</v>
      </c>
      <c r="DG2">
        <f t="shared" si="1"/>
        <v>2033</v>
      </c>
      <c r="DH2">
        <f t="shared" si="1"/>
        <v>2033</v>
      </c>
      <c r="DI2">
        <f t="shared" si="1"/>
        <v>2033</v>
      </c>
      <c r="DJ2">
        <f t="shared" si="1"/>
        <v>2033</v>
      </c>
      <c r="DK2">
        <f t="shared" si="1"/>
        <v>2033</v>
      </c>
      <c r="DL2">
        <f t="shared" si="1"/>
        <v>2034</v>
      </c>
      <c r="DM2">
        <f t="shared" si="1"/>
        <v>2034</v>
      </c>
      <c r="DN2">
        <f t="shared" si="1"/>
        <v>2034</v>
      </c>
      <c r="DO2">
        <f t="shared" si="1"/>
        <v>2034</v>
      </c>
      <c r="DP2">
        <f t="shared" si="1"/>
        <v>2034</v>
      </c>
      <c r="DQ2">
        <f t="shared" si="1"/>
        <v>2034</v>
      </c>
      <c r="DR2">
        <f t="shared" si="1"/>
        <v>2034</v>
      </c>
      <c r="DS2">
        <f t="shared" si="1"/>
        <v>2034</v>
      </c>
      <c r="DT2">
        <f t="shared" si="1"/>
        <v>2034</v>
      </c>
      <c r="DU2">
        <f t="shared" si="1"/>
        <v>2034</v>
      </c>
      <c r="DV2">
        <f t="shared" si="1"/>
        <v>2034</v>
      </c>
      <c r="DW2">
        <f t="shared" si="1"/>
        <v>2034</v>
      </c>
      <c r="DX2">
        <f t="shared" si="1"/>
        <v>2035</v>
      </c>
      <c r="DY2">
        <f t="shared" si="1"/>
        <v>2035</v>
      </c>
      <c r="DZ2">
        <f t="shared" si="1"/>
        <v>2035</v>
      </c>
      <c r="EA2">
        <f t="shared" si="1"/>
        <v>2035</v>
      </c>
      <c r="EB2">
        <f t="shared" ref="EB2:GM2" si="2">+YEAR(EB3)</f>
        <v>2035</v>
      </c>
      <c r="EC2">
        <f t="shared" si="2"/>
        <v>2035</v>
      </c>
      <c r="ED2">
        <f t="shared" si="2"/>
        <v>2035</v>
      </c>
      <c r="EE2">
        <f t="shared" si="2"/>
        <v>2035</v>
      </c>
      <c r="EF2">
        <f t="shared" si="2"/>
        <v>2035</v>
      </c>
      <c r="EG2">
        <f t="shared" si="2"/>
        <v>2035</v>
      </c>
      <c r="EH2">
        <f t="shared" si="2"/>
        <v>2035</v>
      </c>
      <c r="EI2">
        <f t="shared" si="2"/>
        <v>2035</v>
      </c>
      <c r="EJ2">
        <f t="shared" si="2"/>
        <v>2036</v>
      </c>
      <c r="EK2">
        <f t="shared" si="2"/>
        <v>2036</v>
      </c>
      <c r="EL2">
        <f t="shared" si="2"/>
        <v>2036</v>
      </c>
      <c r="EM2">
        <f t="shared" si="2"/>
        <v>2036</v>
      </c>
      <c r="EN2">
        <f t="shared" si="2"/>
        <v>2036</v>
      </c>
      <c r="EO2">
        <f t="shared" si="2"/>
        <v>2036</v>
      </c>
      <c r="EP2">
        <f t="shared" si="2"/>
        <v>2036</v>
      </c>
      <c r="EQ2">
        <f t="shared" si="2"/>
        <v>2036</v>
      </c>
      <c r="ER2">
        <f t="shared" si="2"/>
        <v>2036</v>
      </c>
      <c r="ES2">
        <f t="shared" si="2"/>
        <v>2036</v>
      </c>
      <c r="ET2">
        <f t="shared" si="2"/>
        <v>2036</v>
      </c>
      <c r="EU2">
        <f t="shared" si="2"/>
        <v>2036</v>
      </c>
      <c r="EV2">
        <f t="shared" si="2"/>
        <v>2037</v>
      </c>
      <c r="EW2">
        <f t="shared" si="2"/>
        <v>2037</v>
      </c>
      <c r="EX2">
        <f t="shared" si="2"/>
        <v>2037</v>
      </c>
      <c r="EY2">
        <f t="shared" si="2"/>
        <v>2037</v>
      </c>
      <c r="EZ2">
        <f t="shared" si="2"/>
        <v>2037</v>
      </c>
      <c r="FA2">
        <f t="shared" si="2"/>
        <v>2037</v>
      </c>
      <c r="FB2">
        <f t="shared" si="2"/>
        <v>2037</v>
      </c>
      <c r="FC2">
        <f t="shared" si="2"/>
        <v>2037</v>
      </c>
      <c r="FD2">
        <f t="shared" si="2"/>
        <v>2037</v>
      </c>
      <c r="FE2">
        <f t="shared" si="2"/>
        <v>2037</v>
      </c>
      <c r="FF2">
        <f t="shared" si="2"/>
        <v>2037</v>
      </c>
      <c r="FG2">
        <f t="shared" si="2"/>
        <v>2037</v>
      </c>
      <c r="FH2">
        <f t="shared" si="2"/>
        <v>2038</v>
      </c>
      <c r="FI2">
        <f t="shared" si="2"/>
        <v>2038</v>
      </c>
      <c r="FJ2">
        <f t="shared" si="2"/>
        <v>2038</v>
      </c>
      <c r="FK2">
        <f t="shared" si="2"/>
        <v>2038</v>
      </c>
      <c r="FL2">
        <f t="shared" si="2"/>
        <v>2038</v>
      </c>
      <c r="FM2">
        <f t="shared" si="2"/>
        <v>2038</v>
      </c>
      <c r="FN2">
        <f t="shared" si="2"/>
        <v>2038</v>
      </c>
      <c r="FO2">
        <f t="shared" si="2"/>
        <v>2038</v>
      </c>
      <c r="FP2">
        <f t="shared" si="2"/>
        <v>2038</v>
      </c>
      <c r="FQ2">
        <f t="shared" si="2"/>
        <v>2038</v>
      </c>
      <c r="FR2">
        <f t="shared" si="2"/>
        <v>2038</v>
      </c>
      <c r="FS2">
        <f t="shared" si="2"/>
        <v>2038</v>
      </c>
      <c r="FT2">
        <f t="shared" si="2"/>
        <v>2039</v>
      </c>
      <c r="FU2">
        <f t="shared" si="2"/>
        <v>2039</v>
      </c>
      <c r="FV2">
        <f t="shared" si="2"/>
        <v>2039</v>
      </c>
      <c r="FW2">
        <f t="shared" si="2"/>
        <v>2039</v>
      </c>
      <c r="FX2">
        <f t="shared" si="2"/>
        <v>2039</v>
      </c>
      <c r="FY2">
        <f t="shared" si="2"/>
        <v>2039</v>
      </c>
      <c r="FZ2">
        <f t="shared" si="2"/>
        <v>2039</v>
      </c>
      <c r="GA2">
        <f t="shared" si="2"/>
        <v>2039</v>
      </c>
      <c r="GB2">
        <f t="shared" si="2"/>
        <v>2039</v>
      </c>
      <c r="GC2">
        <f t="shared" si="2"/>
        <v>2039</v>
      </c>
      <c r="GD2">
        <f t="shared" si="2"/>
        <v>2039</v>
      </c>
      <c r="GE2">
        <f t="shared" si="2"/>
        <v>2039</v>
      </c>
      <c r="GF2">
        <f t="shared" si="2"/>
        <v>2040</v>
      </c>
      <c r="GG2">
        <f t="shared" si="2"/>
        <v>2040</v>
      </c>
      <c r="GH2">
        <f t="shared" si="2"/>
        <v>2040</v>
      </c>
      <c r="GI2">
        <f t="shared" si="2"/>
        <v>2040</v>
      </c>
      <c r="GJ2">
        <f t="shared" si="2"/>
        <v>2040</v>
      </c>
      <c r="GK2">
        <f t="shared" si="2"/>
        <v>2040</v>
      </c>
      <c r="GL2">
        <f t="shared" si="2"/>
        <v>2040</v>
      </c>
      <c r="GM2">
        <f t="shared" si="2"/>
        <v>2040</v>
      </c>
      <c r="GN2">
        <f t="shared" ref="GN2:IM2" si="3">+YEAR(GN3)</f>
        <v>2040</v>
      </c>
      <c r="GO2">
        <f t="shared" si="3"/>
        <v>2040</v>
      </c>
      <c r="GP2">
        <f t="shared" si="3"/>
        <v>2040</v>
      </c>
      <c r="GQ2">
        <f t="shared" si="3"/>
        <v>2040</v>
      </c>
      <c r="GR2">
        <f t="shared" si="3"/>
        <v>2041</v>
      </c>
      <c r="GS2">
        <f t="shared" si="3"/>
        <v>2041</v>
      </c>
      <c r="GT2">
        <f t="shared" si="3"/>
        <v>2041</v>
      </c>
      <c r="GU2">
        <f t="shared" si="3"/>
        <v>2041</v>
      </c>
      <c r="GV2">
        <f t="shared" si="3"/>
        <v>2041</v>
      </c>
      <c r="GW2">
        <f t="shared" si="3"/>
        <v>2041</v>
      </c>
      <c r="GX2">
        <f t="shared" si="3"/>
        <v>2041</v>
      </c>
      <c r="GY2">
        <f t="shared" si="3"/>
        <v>2041</v>
      </c>
      <c r="GZ2">
        <f t="shared" si="3"/>
        <v>2041</v>
      </c>
      <c r="HA2">
        <f t="shared" si="3"/>
        <v>2041</v>
      </c>
      <c r="HB2">
        <f t="shared" si="3"/>
        <v>2041</v>
      </c>
      <c r="HC2">
        <f t="shared" si="3"/>
        <v>2041</v>
      </c>
      <c r="HD2">
        <f t="shared" si="3"/>
        <v>2042</v>
      </c>
      <c r="HE2">
        <f t="shared" si="3"/>
        <v>2042</v>
      </c>
      <c r="HF2">
        <f t="shared" si="3"/>
        <v>2042</v>
      </c>
      <c r="HG2">
        <f t="shared" si="3"/>
        <v>2042</v>
      </c>
      <c r="HH2">
        <f t="shared" si="3"/>
        <v>2042</v>
      </c>
      <c r="HI2">
        <f t="shared" si="3"/>
        <v>2042</v>
      </c>
      <c r="HJ2">
        <f t="shared" si="3"/>
        <v>2042</v>
      </c>
      <c r="HK2">
        <f t="shared" si="3"/>
        <v>2042</v>
      </c>
      <c r="HL2">
        <f t="shared" si="3"/>
        <v>2042</v>
      </c>
      <c r="HM2">
        <f t="shared" si="3"/>
        <v>2042</v>
      </c>
      <c r="HN2">
        <f t="shared" si="3"/>
        <v>2042</v>
      </c>
      <c r="HO2">
        <f t="shared" si="3"/>
        <v>2042</v>
      </c>
      <c r="HP2">
        <f t="shared" si="3"/>
        <v>2043</v>
      </c>
      <c r="HQ2">
        <f t="shared" si="3"/>
        <v>2043</v>
      </c>
      <c r="HR2">
        <f t="shared" si="3"/>
        <v>2043</v>
      </c>
      <c r="HS2">
        <f t="shared" si="3"/>
        <v>2043</v>
      </c>
      <c r="HT2">
        <f t="shared" si="3"/>
        <v>2043</v>
      </c>
      <c r="HU2">
        <f t="shared" si="3"/>
        <v>2043</v>
      </c>
      <c r="HV2">
        <f t="shared" si="3"/>
        <v>2043</v>
      </c>
      <c r="HW2">
        <f t="shared" si="3"/>
        <v>2043</v>
      </c>
      <c r="HX2">
        <f t="shared" si="3"/>
        <v>2043</v>
      </c>
      <c r="HY2">
        <f t="shared" si="3"/>
        <v>2043</v>
      </c>
      <c r="HZ2">
        <f t="shared" si="3"/>
        <v>2043</v>
      </c>
      <c r="IA2">
        <f t="shared" si="3"/>
        <v>2043</v>
      </c>
      <c r="IB2">
        <f t="shared" si="3"/>
        <v>2044</v>
      </c>
      <c r="IC2">
        <f t="shared" si="3"/>
        <v>2044</v>
      </c>
      <c r="ID2">
        <f t="shared" si="3"/>
        <v>2044</v>
      </c>
      <c r="IE2">
        <f t="shared" si="3"/>
        <v>2044</v>
      </c>
      <c r="IF2">
        <f t="shared" si="3"/>
        <v>2044</v>
      </c>
      <c r="IG2">
        <f t="shared" si="3"/>
        <v>2044</v>
      </c>
      <c r="IH2">
        <f t="shared" si="3"/>
        <v>2044</v>
      </c>
      <c r="II2">
        <f t="shared" si="3"/>
        <v>2044</v>
      </c>
      <c r="IJ2">
        <f t="shared" si="3"/>
        <v>2044</v>
      </c>
      <c r="IK2">
        <f t="shared" si="3"/>
        <v>2044</v>
      </c>
      <c r="IL2">
        <f t="shared" si="3"/>
        <v>2044</v>
      </c>
      <c r="IM2">
        <f t="shared" si="3"/>
        <v>2044</v>
      </c>
    </row>
    <row r="3" spans="1:247" x14ac:dyDescent="0.3">
      <c r="B3" s="14">
        <v>45474</v>
      </c>
      <c r="C3" s="14">
        <v>45505</v>
      </c>
      <c r="D3" s="14">
        <v>45536</v>
      </c>
      <c r="E3" s="14">
        <v>45566</v>
      </c>
      <c r="F3" s="14">
        <v>45597</v>
      </c>
      <c r="G3" s="14">
        <v>45627</v>
      </c>
      <c r="H3" s="14">
        <v>45658</v>
      </c>
      <c r="I3" s="14">
        <v>45689</v>
      </c>
      <c r="J3" s="14">
        <v>45717</v>
      </c>
      <c r="K3" s="14">
        <v>45748</v>
      </c>
      <c r="L3" s="14">
        <v>45778</v>
      </c>
      <c r="M3" s="14">
        <v>45809</v>
      </c>
      <c r="N3" s="14">
        <v>45839</v>
      </c>
      <c r="O3" s="14">
        <v>45870</v>
      </c>
      <c r="P3" s="14">
        <v>45901</v>
      </c>
      <c r="Q3" s="14">
        <v>45931</v>
      </c>
      <c r="R3" s="14">
        <v>45962</v>
      </c>
      <c r="S3" s="14">
        <v>45992</v>
      </c>
      <c r="T3" s="14">
        <v>46023</v>
      </c>
      <c r="U3" s="14">
        <v>46054</v>
      </c>
      <c r="V3" s="14">
        <v>46082</v>
      </c>
      <c r="W3" s="14">
        <v>46113</v>
      </c>
      <c r="X3" s="14">
        <v>46143</v>
      </c>
      <c r="Y3" s="14">
        <v>46174</v>
      </c>
      <c r="Z3" s="14">
        <v>46204</v>
      </c>
      <c r="AA3" s="14">
        <v>46235</v>
      </c>
      <c r="AB3" s="14">
        <v>46266</v>
      </c>
      <c r="AC3" s="14">
        <v>46296</v>
      </c>
      <c r="AD3" s="14">
        <v>46327</v>
      </c>
      <c r="AE3" s="14">
        <v>46357</v>
      </c>
      <c r="AF3" s="14">
        <v>46388</v>
      </c>
      <c r="AG3" s="14">
        <v>46419</v>
      </c>
      <c r="AH3" s="14">
        <v>46447</v>
      </c>
      <c r="AI3" s="14">
        <v>46478</v>
      </c>
      <c r="AJ3" s="14">
        <v>46508</v>
      </c>
      <c r="AK3" s="14">
        <v>46539</v>
      </c>
      <c r="AL3" s="14">
        <v>46569</v>
      </c>
      <c r="AM3" s="14">
        <v>46600</v>
      </c>
      <c r="AN3" s="14">
        <v>46631</v>
      </c>
      <c r="AO3" s="14">
        <v>46661</v>
      </c>
      <c r="AP3" s="14">
        <v>46692</v>
      </c>
      <c r="AQ3" s="14">
        <v>46722</v>
      </c>
      <c r="AR3" s="14">
        <v>46753</v>
      </c>
      <c r="AS3" s="14">
        <v>46784</v>
      </c>
      <c r="AT3" s="14">
        <v>46813</v>
      </c>
      <c r="AU3" s="14">
        <v>46844</v>
      </c>
      <c r="AV3" s="14">
        <v>46874</v>
      </c>
      <c r="AW3" s="14">
        <v>46905</v>
      </c>
      <c r="AX3" s="14">
        <v>46935</v>
      </c>
      <c r="AY3" s="14">
        <v>46966</v>
      </c>
      <c r="AZ3" s="14">
        <v>46997</v>
      </c>
      <c r="BA3" s="14">
        <v>47027</v>
      </c>
      <c r="BB3" s="14">
        <v>47058</v>
      </c>
      <c r="BC3" s="14">
        <v>47088</v>
      </c>
      <c r="BD3" s="14">
        <v>47119</v>
      </c>
      <c r="BE3" s="14">
        <v>47150</v>
      </c>
      <c r="BF3" s="14">
        <v>47178</v>
      </c>
      <c r="BG3" s="14">
        <v>47209</v>
      </c>
      <c r="BH3" s="14">
        <v>47239</v>
      </c>
      <c r="BI3" s="14">
        <v>47270</v>
      </c>
      <c r="BJ3" s="14">
        <v>47300</v>
      </c>
      <c r="BK3" s="14">
        <v>47331</v>
      </c>
      <c r="BL3" s="14">
        <v>47362</v>
      </c>
      <c r="BM3" s="14">
        <v>47392</v>
      </c>
      <c r="BN3" s="14">
        <v>47423</v>
      </c>
      <c r="BO3" s="14">
        <v>47453</v>
      </c>
      <c r="BP3" s="14">
        <v>47484</v>
      </c>
      <c r="BQ3" s="14">
        <v>47515</v>
      </c>
      <c r="BR3" s="14">
        <v>47543</v>
      </c>
      <c r="BS3" s="14">
        <v>47574</v>
      </c>
      <c r="BT3" s="14">
        <v>47604</v>
      </c>
      <c r="BU3" s="14">
        <v>47635</v>
      </c>
      <c r="BV3" s="14">
        <v>47665</v>
      </c>
      <c r="BW3" s="14">
        <v>47696</v>
      </c>
      <c r="BX3" s="14">
        <v>47727</v>
      </c>
      <c r="BY3" s="14">
        <v>47757</v>
      </c>
      <c r="BZ3" s="14">
        <v>47788</v>
      </c>
      <c r="CA3" s="14">
        <v>47818</v>
      </c>
      <c r="CB3" s="14">
        <v>47849</v>
      </c>
      <c r="CC3" s="14">
        <v>47880</v>
      </c>
      <c r="CD3" s="14">
        <v>47908</v>
      </c>
      <c r="CE3" s="14">
        <v>47939</v>
      </c>
      <c r="CF3" s="14">
        <v>47969</v>
      </c>
      <c r="CG3" s="14">
        <v>48000</v>
      </c>
      <c r="CH3" s="14">
        <v>48030</v>
      </c>
      <c r="CI3" s="14">
        <v>48061</v>
      </c>
      <c r="CJ3" s="14">
        <v>48092</v>
      </c>
      <c r="CK3" s="14">
        <v>48122</v>
      </c>
      <c r="CL3" s="14">
        <v>48153</v>
      </c>
      <c r="CM3" s="14">
        <v>48183</v>
      </c>
      <c r="CN3" s="14">
        <v>48214</v>
      </c>
      <c r="CO3" s="14">
        <v>48245</v>
      </c>
      <c r="CP3" s="14">
        <v>48274</v>
      </c>
      <c r="CQ3" s="14">
        <v>48305</v>
      </c>
      <c r="CR3" s="14">
        <v>48335</v>
      </c>
      <c r="CS3" s="14">
        <v>48366</v>
      </c>
      <c r="CT3" s="14">
        <v>48396</v>
      </c>
      <c r="CU3" s="14">
        <v>48427</v>
      </c>
      <c r="CV3" s="14">
        <v>48458</v>
      </c>
      <c r="CW3" s="14">
        <v>48488</v>
      </c>
      <c r="CX3" s="14">
        <v>48519</v>
      </c>
      <c r="CY3" s="14">
        <v>48549</v>
      </c>
      <c r="CZ3" s="14">
        <v>48580</v>
      </c>
      <c r="DA3" s="14">
        <v>48611</v>
      </c>
      <c r="DB3" s="14">
        <v>48639</v>
      </c>
      <c r="DC3" s="14">
        <v>48670</v>
      </c>
      <c r="DD3" s="14">
        <v>48700</v>
      </c>
      <c r="DE3" s="14">
        <v>48731</v>
      </c>
      <c r="DF3" s="14">
        <v>48761</v>
      </c>
      <c r="DG3" s="14">
        <v>48792</v>
      </c>
      <c r="DH3" s="14">
        <v>48823</v>
      </c>
      <c r="DI3" s="14">
        <v>48853</v>
      </c>
      <c r="DJ3" s="14">
        <v>48884</v>
      </c>
      <c r="DK3" s="14">
        <v>48914</v>
      </c>
      <c r="DL3" s="14">
        <v>48945</v>
      </c>
      <c r="DM3" s="14">
        <v>48976</v>
      </c>
      <c r="DN3" s="14">
        <v>49004</v>
      </c>
      <c r="DO3" s="14">
        <v>49035</v>
      </c>
      <c r="DP3" s="14">
        <v>49065</v>
      </c>
      <c r="DQ3" s="14">
        <v>49096</v>
      </c>
      <c r="DR3" s="14">
        <v>49126</v>
      </c>
      <c r="DS3" s="14">
        <v>49157</v>
      </c>
      <c r="DT3" s="14">
        <v>49188</v>
      </c>
      <c r="DU3" s="14">
        <v>49218</v>
      </c>
      <c r="DV3" s="14">
        <v>49249</v>
      </c>
      <c r="DW3" s="14">
        <v>49279</v>
      </c>
      <c r="DX3" s="14">
        <v>49310</v>
      </c>
      <c r="DY3" s="14">
        <v>49341</v>
      </c>
      <c r="DZ3" s="14">
        <v>49369</v>
      </c>
      <c r="EA3" s="14">
        <v>49400</v>
      </c>
      <c r="EB3" s="14">
        <v>49430</v>
      </c>
      <c r="EC3" s="14">
        <v>49461</v>
      </c>
      <c r="ED3" s="14">
        <v>49491</v>
      </c>
      <c r="EE3" s="14">
        <v>49522</v>
      </c>
      <c r="EF3" s="14">
        <v>49553</v>
      </c>
      <c r="EG3" s="14">
        <v>49583</v>
      </c>
      <c r="EH3" s="14">
        <v>49614</v>
      </c>
      <c r="EI3" s="14">
        <v>49644</v>
      </c>
      <c r="EJ3" s="14">
        <v>49675</v>
      </c>
      <c r="EK3" s="14">
        <v>49706</v>
      </c>
      <c r="EL3" s="14">
        <v>49735</v>
      </c>
      <c r="EM3" s="14">
        <v>49766</v>
      </c>
      <c r="EN3" s="14">
        <v>49796</v>
      </c>
      <c r="EO3" s="14">
        <v>49827</v>
      </c>
      <c r="EP3" s="14">
        <v>49857</v>
      </c>
      <c r="EQ3" s="14">
        <v>49888</v>
      </c>
      <c r="ER3" s="14">
        <v>49919</v>
      </c>
      <c r="ES3" s="14">
        <v>49949</v>
      </c>
      <c r="ET3" s="14">
        <v>49980</v>
      </c>
      <c r="EU3" s="14">
        <v>50010</v>
      </c>
      <c r="EV3" s="14">
        <v>50041</v>
      </c>
      <c r="EW3" s="14">
        <v>50072</v>
      </c>
      <c r="EX3" s="14">
        <v>50100</v>
      </c>
      <c r="EY3" s="14">
        <v>50131</v>
      </c>
      <c r="EZ3" s="14">
        <v>50161</v>
      </c>
      <c r="FA3" s="14">
        <v>50192</v>
      </c>
      <c r="FB3" s="14">
        <v>50222</v>
      </c>
      <c r="FC3" s="14">
        <v>50253</v>
      </c>
      <c r="FD3" s="14">
        <v>50284</v>
      </c>
      <c r="FE3" s="14">
        <v>50314</v>
      </c>
      <c r="FF3" s="14">
        <v>50345</v>
      </c>
      <c r="FG3" s="14">
        <v>50375</v>
      </c>
      <c r="FH3" s="14">
        <v>50406</v>
      </c>
      <c r="FI3" s="14">
        <v>50437</v>
      </c>
      <c r="FJ3" s="14">
        <v>50465</v>
      </c>
      <c r="FK3" s="14">
        <v>50496</v>
      </c>
      <c r="FL3" s="14">
        <v>50526</v>
      </c>
      <c r="FM3" s="14">
        <v>50557</v>
      </c>
      <c r="FN3" s="14">
        <v>50587</v>
      </c>
      <c r="FO3" s="14">
        <v>50618</v>
      </c>
      <c r="FP3" s="14">
        <v>50649</v>
      </c>
      <c r="FQ3" s="14">
        <v>50679</v>
      </c>
      <c r="FR3" s="14">
        <v>50710</v>
      </c>
      <c r="FS3" s="14">
        <v>50740</v>
      </c>
      <c r="FT3" s="14">
        <v>50771</v>
      </c>
      <c r="FU3" s="14">
        <v>50802</v>
      </c>
      <c r="FV3" s="14">
        <v>50830</v>
      </c>
      <c r="FW3" s="14">
        <v>50861</v>
      </c>
      <c r="FX3" s="14">
        <v>50891</v>
      </c>
      <c r="FY3" s="14">
        <v>50922</v>
      </c>
      <c r="FZ3" s="14">
        <v>50952</v>
      </c>
      <c r="GA3" s="14">
        <v>50983</v>
      </c>
      <c r="GB3" s="14">
        <v>51014</v>
      </c>
      <c r="GC3" s="14">
        <v>51044</v>
      </c>
      <c r="GD3" s="14">
        <v>51075</v>
      </c>
      <c r="GE3" s="14">
        <v>51105</v>
      </c>
      <c r="GF3" s="14">
        <v>51136</v>
      </c>
      <c r="GG3" s="14">
        <v>51167</v>
      </c>
      <c r="GH3" s="14">
        <v>51196</v>
      </c>
      <c r="GI3" s="14">
        <v>51227</v>
      </c>
      <c r="GJ3" s="14">
        <v>51257</v>
      </c>
      <c r="GK3" s="14">
        <v>51288</v>
      </c>
      <c r="GL3" s="14">
        <v>51318</v>
      </c>
      <c r="GM3" s="14">
        <v>51349</v>
      </c>
      <c r="GN3" s="14">
        <v>51380</v>
      </c>
      <c r="GO3" s="14">
        <v>51410</v>
      </c>
      <c r="GP3" s="14">
        <v>51441</v>
      </c>
      <c r="GQ3" s="14">
        <v>51471</v>
      </c>
      <c r="GR3" s="14">
        <v>51502</v>
      </c>
      <c r="GS3" s="14">
        <v>51533</v>
      </c>
      <c r="GT3" s="14">
        <v>51561</v>
      </c>
      <c r="GU3" s="14">
        <v>51592</v>
      </c>
      <c r="GV3" s="14">
        <v>51622</v>
      </c>
      <c r="GW3" s="14">
        <v>51653</v>
      </c>
      <c r="GX3" s="14">
        <v>51683</v>
      </c>
      <c r="GY3" s="14">
        <v>51714</v>
      </c>
      <c r="GZ3" s="14">
        <v>51745</v>
      </c>
      <c r="HA3" s="14">
        <v>51775</v>
      </c>
      <c r="HB3" s="14">
        <v>51806</v>
      </c>
      <c r="HC3" s="14">
        <v>51836</v>
      </c>
      <c r="HD3" s="14">
        <v>51867</v>
      </c>
      <c r="HE3" s="14">
        <v>51898</v>
      </c>
      <c r="HF3" s="14">
        <v>51926</v>
      </c>
      <c r="HG3" s="14">
        <v>51957</v>
      </c>
      <c r="HH3" s="14">
        <v>51987</v>
      </c>
      <c r="HI3" s="14">
        <v>52018</v>
      </c>
      <c r="HJ3" s="14">
        <v>52048</v>
      </c>
      <c r="HK3" s="14">
        <v>52079</v>
      </c>
      <c r="HL3" s="14">
        <v>52110</v>
      </c>
      <c r="HM3" s="14">
        <v>52140</v>
      </c>
      <c r="HN3" s="14">
        <v>52171</v>
      </c>
      <c r="HO3" s="14">
        <v>52201</v>
      </c>
      <c r="HP3" s="14">
        <v>52232</v>
      </c>
      <c r="HQ3" s="14">
        <v>52263</v>
      </c>
      <c r="HR3" s="14">
        <v>52291</v>
      </c>
      <c r="HS3" s="14">
        <v>52322</v>
      </c>
      <c r="HT3" s="14">
        <v>52352</v>
      </c>
      <c r="HU3" s="14">
        <v>52383</v>
      </c>
      <c r="HV3" s="14">
        <v>52413</v>
      </c>
      <c r="HW3" s="14">
        <v>52444</v>
      </c>
      <c r="HX3" s="14">
        <v>52475</v>
      </c>
      <c r="HY3" s="14">
        <v>52505</v>
      </c>
      <c r="HZ3" s="14">
        <v>52536</v>
      </c>
      <c r="IA3" s="14">
        <v>52566</v>
      </c>
      <c r="IB3" s="14">
        <v>52597</v>
      </c>
      <c r="IC3" s="14">
        <v>52628</v>
      </c>
      <c r="ID3" s="14">
        <v>52657</v>
      </c>
      <c r="IE3" s="14">
        <v>52688</v>
      </c>
      <c r="IF3" s="14">
        <v>52718</v>
      </c>
      <c r="IG3" s="14">
        <v>52749</v>
      </c>
      <c r="IH3" s="14">
        <v>52779</v>
      </c>
      <c r="II3" s="14">
        <v>52810</v>
      </c>
      <c r="IJ3" s="14">
        <v>52841</v>
      </c>
      <c r="IK3" s="14">
        <v>52871</v>
      </c>
      <c r="IL3" s="14">
        <v>52902</v>
      </c>
      <c r="IM3" s="14">
        <v>52932</v>
      </c>
    </row>
    <row r="4" spans="1:247" x14ac:dyDescent="0.3">
      <c r="A4" t="s">
        <v>946</v>
      </c>
      <c r="B4">
        <v>0</v>
      </c>
      <c r="C4" s="10">
        <f>+Producción!E8</f>
        <v>2195.9335397999998</v>
      </c>
      <c r="D4" s="10">
        <f>+Producción!F8</f>
        <v>2055.0388319999997</v>
      </c>
      <c r="E4" s="10">
        <f>+Producción!G8</f>
        <v>1852.7674396</v>
      </c>
      <c r="F4" s="10">
        <f>+Producción!H8</f>
        <v>1770.6796800000002</v>
      </c>
      <c r="G4" s="10">
        <f>+Producción!I8</f>
        <v>1871.7622308</v>
      </c>
      <c r="H4" s="10">
        <f>+Producción!J8</f>
        <v>2150.5786302000006</v>
      </c>
      <c r="I4" s="10">
        <f>+Producción!K8</f>
        <v>1982.6360400000001</v>
      </c>
      <c r="J4" s="10">
        <f>+Producción!L8</f>
        <v>2360.8296480999998</v>
      </c>
      <c r="K4" s="10">
        <f>+Producción!M8</f>
        <v>2144.5575689999996</v>
      </c>
      <c r="L4" s="10">
        <f>+Producción!N8</f>
        <v>2079.2997071</v>
      </c>
      <c r="M4" s="10">
        <f>+Producción!O8</f>
        <v>2090.0679030000001</v>
      </c>
      <c r="N4" s="10">
        <f>+Producción!P8</f>
        <v>2224.0865339000002</v>
      </c>
      <c r="O4" s="10">
        <f>+Producción!Q8</f>
        <v>2191.4520427799998</v>
      </c>
      <c r="P4" s="10">
        <f>+Producción!R8</f>
        <v>2050.8448751999999</v>
      </c>
      <c r="Q4" s="10">
        <f>+Producción!S8</f>
        <v>1848.9862815599997</v>
      </c>
      <c r="R4" s="10">
        <f>+Producción!T8</f>
        <v>1767.0660480000001</v>
      </c>
      <c r="S4" s="10">
        <f>+Producción!U8</f>
        <v>1867.9423078799998</v>
      </c>
      <c r="T4" s="10">
        <f>+Producción!V8</f>
        <v>2146.1896942200001</v>
      </c>
      <c r="U4" s="10">
        <f>+Producción!W8</f>
        <v>1978.5898440000001</v>
      </c>
      <c r="V4" s="10">
        <f>+Producción!X8</f>
        <v>2356.01162841</v>
      </c>
      <c r="W4" s="10">
        <f>+Producción!Y8</f>
        <v>2140.1809208999998</v>
      </c>
      <c r="X4" s="10">
        <f>+Producción!Z8</f>
        <v>2075.0562383099996</v>
      </c>
      <c r="Y4" s="10">
        <f>+Producción!AA8</f>
        <v>2085.8024583000001</v>
      </c>
      <c r="Z4" s="10">
        <f>+Producción!AB8</f>
        <v>2219.5475817899996</v>
      </c>
      <c r="AA4" s="10">
        <f>+Producción!AC8</f>
        <v>2189.2112942699996</v>
      </c>
      <c r="AB4" s="10">
        <f>+Producción!AD8</f>
        <v>2048.7478967999996</v>
      </c>
      <c r="AC4" s="10">
        <f>+Producción!AE8</f>
        <v>1847.09570254</v>
      </c>
      <c r="AD4" s="10">
        <f>+Producción!AF8</f>
        <v>1765.2592320000001</v>
      </c>
      <c r="AE4" s="10">
        <f>+Producción!AG8</f>
        <v>1866.0323464199996</v>
      </c>
      <c r="AF4" s="10">
        <f>+Producción!AH8</f>
        <v>2143.9952262300003</v>
      </c>
      <c r="AG4" s="10">
        <f>+Producción!AI8</f>
        <v>1976.5667460000002</v>
      </c>
      <c r="AH4" s="10">
        <f>+Producción!AJ8</f>
        <v>2353.6026185649998</v>
      </c>
      <c r="AI4" s="10">
        <f>+Producción!AK8</f>
        <v>2137.9925968499997</v>
      </c>
      <c r="AJ4" s="10">
        <f>+Producción!AL8</f>
        <v>2072.9345039149998</v>
      </c>
      <c r="AK4" s="10">
        <f>+Producción!AM8</f>
        <v>2083.6697359499999</v>
      </c>
      <c r="AL4" s="10">
        <f>+Producción!AN8</f>
        <v>2217.2781057349998</v>
      </c>
      <c r="AM4" s="10">
        <f>+Producción!AO8</f>
        <v>2186.9705457599998</v>
      </c>
      <c r="AN4" s="10">
        <f>+Producción!AP8</f>
        <v>2046.6509183999999</v>
      </c>
      <c r="AO4" s="10">
        <f>+Producción!AQ8</f>
        <v>1845.2051235200001</v>
      </c>
      <c r="AP4" s="10">
        <f>+Producción!AR8</f>
        <v>1763.4524160000003</v>
      </c>
      <c r="AQ4" s="10">
        <f>+Producción!AS8</f>
        <v>1864.1223849599999</v>
      </c>
      <c r="AR4" s="10">
        <f>+Producción!AT8</f>
        <v>2141.8007582400005</v>
      </c>
      <c r="AS4" s="10">
        <f>+Producción!AU8</f>
        <v>2045.0630639999997</v>
      </c>
      <c r="AT4" s="10">
        <f>+Producción!AV8</f>
        <v>2351.1936087199997</v>
      </c>
      <c r="AU4" s="10">
        <f>+Producción!AW8</f>
        <v>2135.8042727999996</v>
      </c>
      <c r="AV4" s="10">
        <f>+Producción!AX8</f>
        <v>2070.8127695200001</v>
      </c>
      <c r="AW4" s="10">
        <f>+Producción!AY8</f>
        <v>2081.5370136000001</v>
      </c>
      <c r="AX4" s="10">
        <f>+Producción!AZ8</f>
        <v>2215.0086296800005</v>
      </c>
      <c r="AY4" s="10">
        <f>+Producción!BA8</f>
        <v>2184.72979725</v>
      </c>
      <c r="AZ4" s="10">
        <f>+Producción!BB8</f>
        <v>2044.55394</v>
      </c>
      <c r="BA4" s="10">
        <f>+Producción!BC8</f>
        <v>1843.3145444999998</v>
      </c>
      <c r="BB4" s="10">
        <f>+Producción!BD8</f>
        <v>1761.6456000000001</v>
      </c>
      <c r="BC4" s="10">
        <f>+Producción!BE8</f>
        <v>1862.2124234999999</v>
      </c>
      <c r="BD4" s="10">
        <f>+Producción!BF8</f>
        <v>2139.6062902500003</v>
      </c>
      <c r="BE4" s="10">
        <f>+Producción!BG8</f>
        <v>1972.5205499999997</v>
      </c>
      <c r="BF4" s="10">
        <f>+Producción!BH8</f>
        <v>2348.7845988749996</v>
      </c>
      <c r="BG4" s="10">
        <f>+Producción!BI8</f>
        <v>2133.6159487499999</v>
      </c>
      <c r="BH4" s="10">
        <f>+Producción!BJ8</f>
        <v>2068.6910351249999</v>
      </c>
      <c r="BI4" s="10">
        <f>+Producción!BK8</f>
        <v>2079.4042912499999</v>
      </c>
      <c r="BJ4" s="10">
        <f>+Producción!BL8</f>
        <v>2212.7391536249997</v>
      </c>
      <c r="BK4" s="10">
        <f>+Producción!BM8</f>
        <v>2173.5260546999998</v>
      </c>
      <c r="BL4" s="10">
        <f>+Producción!BN8</f>
        <v>2034.0690479999998</v>
      </c>
      <c r="BM4" s="10">
        <f>+Producción!BO8</f>
        <v>1833.8616494</v>
      </c>
      <c r="BN4" s="10">
        <f>+Producción!BP8</f>
        <v>1752.6115199999999</v>
      </c>
      <c r="BO4" s="10">
        <f>+Producción!BQ8</f>
        <v>1852.6626161999998</v>
      </c>
      <c r="BP4" s="10">
        <f>+Producción!BR8</f>
        <v>2128.6339502999999</v>
      </c>
      <c r="BQ4" s="10">
        <f>+Producción!BS8</f>
        <v>1962.40506</v>
      </c>
      <c r="BR4" s="10">
        <f>+Producción!BT8</f>
        <v>2336.7395496499998</v>
      </c>
      <c r="BS4" s="10">
        <f>+Producción!BU8</f>
        <v>2122.6743284999998</v>
      </c>
      <c r="BT4" s="10">
        <f>+Producción!BV8</f>
        <v>2058.0823631500002</v>
      </c>
      <c r="BU4" s="10">
        <f>+Producción!BW8</f>
        <v>2068.7406794999997</v>
      </c>
      <c r="BV4" s="10">
        <f>+Producción!BX8</f>
        <v>2201.3917733499998</v>
      </c>
      <c r="BW4" s="10">
        <f>+Producción!BY8</f>
        <v>2162.3223121499996</v>
      </c>
      <c r="BX4" s="10">
        <f>+Producción!BZ8</f>
        <v>2023.5841559999999</v>
      </c>
      <c r="BY4" s="10">
        <f>+Producción!CA8</f>
        <v>1824.4087542999998</v>
      </c>
      <c r="BZ4" s="10">
        <f>+Producción!CB8</f>
        <v>1743.57744</v>
      </c>
      <c r="CA4" s="10">
        <f>+Producción!CC8</f>
        <v>1843.1128088999999</v>
      </c>
      <c r="CB4" s="10">
        <f>+Producción!CD8</f>
        <v>2117.66161035</v>
      </c>
      <c r="CC4" s="10">
        <f>+Producción!CE8</f>
        <v>1952.2895700000004</v>
      </c>
      <c r="CD4" s="10">
        <f>+Producción!CF8</f>
        <v>2324.6945004249997</v>
      </c>
      <c r="CE4" s="10">
        <f>+Producción!CG8</f>
        <v>2111.7327082499996</v>
      </c>
      <c r="CF4" s="10">
        <f>+Producción!CH8</f>
        <v>2047.4736911749999</v>
      </c>
      <c r="CG4" s="10">
        <f>+Producción!CI8</f>
        <v>2058.07706775</v>
      </c>
      <c r="CH4" s="10">
        <f>+Producción!CJ8</f>
        <v>2190.0443930750002</v>
      </c>
      <c r="CI4" s="10">
        <f>+Producción!CK8</f>
        <v>2151.1185696000002</v>
      </c>
      <c r="CJ4" s="10">
        <f>+Producción!CL8</f>
        <v>2013.0992640000002</v>
      </c>
      <c r="CK4" s="10">
        <f>+Producción!CM8</f>
        <v>1814.9558592000001</v>
      </c>
      <c r="CL4" s="10">
        <f>+Producción!CN8</f>
        <v>1734.5433599999999</v>
      </c>
      <c r="CM4" s="10">
        <f>+Producción!CO8</f>
        <v>1833.5630015999998</v>
      </c>
      <c r="CN4" s="10">
        <f>+Producción!CP8</f>
        <v>2106.6892704000002</v>
      </c>
      <c r="CO4" s="10">
        <f>+Producción!CQ8</f>
        <v>2011.5374399999998</v>
      </c>
      <c r="CP4" s="10">
        <f>+Producción!CR8</f>
        <v>2312.6494511999999</v>
      </c>
      <c r="CQ4" s="10">
        <f>+Producción!CS8</f>
        <v>2100.7910879999999</v>
      </c>
      <c r="CR4" s="10">
        <f>+Producción!CT8</f>
        <v>2036.8650191999998</v>
      </c>
      <c r="CS4" s="10">
        <f>+Producción!CU8</f>
        <v>2047.413456</v>
      </c>
      <c r="CT4" s="10">
        <f>+Producción!CV8</f>
        <v>2178.6970128000003</v>
      </c>
      <c r="CU4" s="10">
        <f>+Producción!CW8</f>
        <v>2139.9148270499995</v>
      </c>
      <c r="CV4" s="10">
        <f>+Producción!CX8</f>
        <v>2002.6143719999998</v>
      </c>
      <c r="CW4" s="10">
        <f>+Producción!CY8</f>
        <v>1805.5029641000003</v>
      </c>
      <c r="CX4" s="10">
        <f>+Producción!CZ8</f>
        <v>1725.5092800000002</v>
      </c>
      <c r="CY4" s="10">
        <f>+Producción!DA8</f>
        <v>1824.0131942999999</v>
      </c>
      <c r="CZ4" s="10">
        <f>+Producción!DB8</f>
        <v>2095.7169304500003</v>
      </c>
      <c r="DA4" s="10">
        <f>+Producción!DC8</f>
        <v>1932.0585900000001</v>
      </c>
      <c r="DB4" s="10">
        <f>+Producción!DD8</f>
        <v>2300.6044019750002</v>
      </c>
      <c r="DC4" s="10">
        <f>+Producción!DE8</f>
        <v>2089.8494677499998</v>
      </c>
      <c r="DD4" s="10">
        <f>+Producción!DF8</f>
        <v>2026.2563472249999</v>
      </c>
      <c r="DE4" s="10">
        <f>+Producción!DG8</f>
        <v>2036.74984425</v>
      </c>
      <c r="DF4" s="10">
        <f>+Producción!DH8</f>
        <v>2167.3496325250003</v>
      </c>
      <c r="DG4" s="10">
        <f>+Producción!DI8</f>
        <v>2128.7110844999997</v>
      </c>
      <c r="DH4" s="10">
        <f>+Producción!DJ8</f>
        <v>1992.1294800000001</v>
      </c>
      <c r="DI4" s="10">
        <f>+Producción!DK8</f>
        <v>1796.0500690000001</v>
      </c>
      <c r="DJ4" s="10">
        <f>+Producción!DL8</f>
        <v>1716.4752000000001</v>
      </c>
      <c r="DK4" s="10">
        <f>+Producción!DM8</f>
        <v>1814.4633869999998</v>
      </c>
      <c r="DL4" s="10">
        <f>+Producción!DN8</f>
        <v>2084.7445905</v>
      </c>
      <c r="DM4" s="10">
        <f>+Producción!DO8</f>
        <v>1921.9431</v>
      </c>
      <c r="DN4" s="10">
        <f>+Producción!DP8</f>
        <v>2288.55935275</v>
      </c>
      <c r="DO4" s="10">
        <f>+Producción!DQ8</f>
        <v>2078.9078475000001</v>
      </c>
      <c r="DP4" s="10">
        <f>+Producción!DR8</f>
        <v>2015.6476752499998</v>
      </c>
      <c r="DQ4" s="10">
        <f>+Producción!DS8</f>
        <v>2026.0862324999998</v>
      </c>
      <c r="DR4" s="10">
        <f>+Producción!DT8</f>
        <v>2156.0022522499999</v>
      </c>
      <c r="DS4" s="10">
        <f>+Producción!DU8</f>
        <v>2106.3035994000002</v>
      </c>
      <c r="DT4" s="10">
        <f>+Producción!DV8</f>
        <v>2036.8650192</v>
      </c>
      <c r="DU4" s="10">
        <f>+Producción!DW8</f>
        <v>1777.1442787999999</v>
      </c>
      <c r="DV4" s="10">
        <f>+Producción!DX8</f>
        <v>1755.020608</v>
      </c>
      <c r="DW4" s="10">
        <f>+Producción!DY8</f>
        <v>1795.3637723999998</v>
      </c>
      <c r="DX4" s="10">
        <f>+Producción!DZ8</f>
        <v>2062.7999106000002</v>
      </c>
      <c r="DY4" s="10">
        <f>+Producción!EA8</f>
        <v>1901.7121200000001</v>
      </c>
      <c r="DZ4" s="10">
        <f>+Producción!EB8</f>
        <v>2264.4692542999996</v>
      </c>
      <c r="EA4" s="10">
        <f>+Producción!EC8</f>
        <v>2057.0246069999998</v>
      </c>
      <c r="EB4" s="10">
        <f>+Producción!ED8</f>
        <v>1994.4303312999998</v>
      </c>
      <c r="EC4" s="10">
        <f>+Producción!EE8</f>
        <v>2004.7590090000001</v>
      </c>
      <c r="ED4" s="10">
        <f>+Producción!EF8</f>
        <v>2133.3074917000004</v>
      </c>
      <c r="EE4" s="10">
        <f>+Producción!EG8</f>
        <v>2083.8961142999997</v>
      </c>
      <c r="EF4" s="10">
        <f>+Producción!EH8</f>
        <v>2015.1962424000001</v>
      </c>
      <c r="EG4" s="10">
        <f>+Producción!EI8</f>
        <v>1758.2384886</v>
      </c>
      <c r="EH4" s="10">
        <f>+Producción!EJ8</f>
        <v>1736.3501759999999</v>
      </c>
      <c r="EI4" s="10">
        <f>+Producción!EK8</f>
        <v>1776.2641577999998</v>
      </c>
      <c r="EJ4" s="10">
        <f>+Producción!EL8</f>
        <v>2040.8552307000004</v>
      </c>
      <c r="EK4" s="10">
        <f>+Producción!EM8</f>
        <v>1948.6768950000001</v>
      </c>
      <c r="EL4" s="10">
        <f>+Producción!EN8</f>
        <v>2240.3791558500002</v>
      </c>
      <c r="EM4" s="10">
        <f>+Producción!EO8</f>
        <v>2035.1413664999998</v>
      </c>
      <c r="EN4" s="10">
        <f>+Producción!EP8</f>
        <v>1973.2129873499998</v>
      </c>
      <c r="EO4" s="10">
        <f>+Producción!EQ8</f>
        <v>1983.4317854999999</v>
      </c>
      <c r="EP4" s="10">
        <f>+Producción!ER8</f>
        <v>2110.6127311499999</v>
      </c>
      <c r="EQ4" s="10">
        <f>+Producción!ES8</f>
        <v>2061.4886291999997</v>
      </c>
      <c r="ER4" s="10">
        <f>+Producción!ET8</f>
        <v>1993.5274656000001</v>
      </c>
      <c r="ES4" s="10">
        <f>+Producción!EU8</f>
        <v>1739.3326984</v>
      </c>
      <c r="ET4" s="10">
        <f>+Producción!EV8</f>
        <v>1717.679744</v>
      </c>
      <c r="EU4" s="10">
        <f>+Producción!EW8</f>
        <v>1757.1645431999998</v>
      </c>
      <c r="EV4" s="10">
        <f>+Producción!EX8</f>
        <v>2018.9105508000002</v>
      </c>
      <c r="EW4" s="10">
        <f>+Producción!EY8</f>
        <v>1861.2501599999998</v>
      </c>
      <c r="EX4" s="10">
        <f>+Producción!EZ8</f>
        <v>2216.2890574000003</v>
      </c>
      <c r="EY4" s="10">
        <f>+Producción!FA8</f>
        <v>2013.2581259999997</v>
      </c>
      <c r="EZ4" s="10">
        <f>+Producción!FB8</f>
        <v>1951.9956433999998</v>
      </c>
      <c r="FA4" s="10">
        <f>+Producción!FC8</f>
        <v>1962.104562</v>
      </c>
      <c r="FB4" s="10">
        <f>+Producción!FD8</f>
        <v>2087.9179706</v>
      </c>
      <c r="FC4" s="10">
        <f>+Producción!FE8</f>
        <v>2039.0811440999998</v>
      </c>
      <c r="FD4" s="10">
        <f>+Producción!FF8</f>
        <v>1971.8586888000002</v>
      </c>
      <c r="FE4" s="10">
        <f>+Producción!FG8</f>
        <v>1720.4269082000001</v>
      </c>
      <c r="FF4" s="10">
        <f>+Producción!FH8</f>
        <v>1699.0093119999999</v>
      </c>
      <c r="FG4" s="10">
        <f>+Producción!FI8</f>
        <v>1738.0649285999998</v>
      </c>
      <c r="FH4" s="10">
        <f>+Producción!FJ8</f>
        <v>1996.9658709000003</v>
      </c>
      <c r="FI4" s="10">
        <f>+Producción!FK8</f>
        <v>1841.0191800000002</v>
      </c>
      <c r="FJ4" s="10">
        <f>+Producción!FL8</f>
        <v>2192.1989589499999</v>
      </c>
      <c r="FK4" s="10">
        <f>+Producción!FM8</f>
        <v>1991.3748855000001</v>
      </c>
      <c r="FL4" s="10">
        <f>+Producción!FN8</f>
        <v>1930.7782994500001</v>
      </c>
      <c r="FM4" s="10">
        <f>+Producción!FO8</f>
        <v>1940.7773385</v>
      </c>
      <c r="FN4" s="10">
        <f>+Producción!FP8</f>
        <v>2065.22321005</v>
      </c>
      <c r="FO4" s="10">
        <f>+Producción!FQ8</f>
        <v>2016.6736589999998</v>
      </c>
      <c r="FP4" s="10">
        <f>+Producción!FR8</f>
        <v>1950.1899119999998</v>
      </c>
      <c r="FQ4" s="10">
        <f>+Producción!FS8</f>
        <v>1701.5211179999999</v>
      </c>
      <c r="FR4" s="10">
        <f>+Producción!FT8</f>
        <v>1680.33888</v>
      </c>
      <c r="FS4" s="10">
        <f>+Producción!FU8</f>
        <v>1718.965314</v>
      </c>
      <c r="FT4" s="10">
        <f>+Producción!FV8</f>
        <v>1975.021191</v>
      </c>
      <c r="FU4" s="10">
        <f>+Producción!FW8</f>
        <v>1820.7882000000002</v>
      </c>
      <c r="FV4" s="10">
        <f>+Producción!FX8</f>
        <v>2168.1088605</v>
      </c>
      <c r="FW4" s="10">
        <f>+Producción!FY8</f>
        <v>1969.4916450000001</v>
      </c>
      <c r="FX4" s="10">
        <f>+Producción!FZ8</f>
        <v>1909.5609554999999</v>
      </c>
      <c r="FY4" s="10">
        <f>+Producción!GA8</f>
        <v>1919.4501150000001</v>
      </c>
      <c r="FZ4" s="10">
        <f>+Producción!GB8</f>
        <v>2042.5284494999999</v>
      </c>
      <c r="GA4" s="10">
        <f>+Producción!GC8</f>
        <v>1994.2661739</v>
      </c>
      <c r="GB4" s="10">
        <f>+Producción!GD8</f>
        <v>1928.5211351999999</v>
      </c>
      <c r="GC4" s="10">
        <f>+Producción!GE8</f>
        <v>1682.6153277999999</v>
      </c>
      <c r="GD4" s="10">
        <f>+Producción!GF8</f>
        <v>1661.6684479999999</v>
      </c>
      <c r="GE4" s="10">
        <f>+Producción!GG8</f>
        <v>1699.8656994</v>
      </c>
      <c r="GF4" s="10">
        <f>+Producción!GH8</f>
        <v>1953.0765111000003</v>
      </c>
      <c r="GG4" s="10">
        <f>+Producción!GI8</f>
        <v>1864.8628349999999</v>
      </c>
      <c r="GH4" s="10">
        <f>+Producción!GJ8</f>
        <v>2144.0187620500001</v>
      </c>
      <c r="GI4" s="10">
        <f>+Producción!GK8</f>
        <v>1947.6084044999998</v>
      </c>
      <c r="GJ4" s="10">
        <f>+Producción!GL8</f>
        <v>1888.3436115500001</v>
      </c>
      <c r="GK4" s="10">
        <f>+Producción!GM8</f>
        <v>1898.1228914999997</v>
      </c>
      <c r="GL4" s="10">
        <f>+Producción!GN8</f>
        <v>2019.8336889499999</v>
      </c>
      <c r="GM4" s="10">
        <f>+Producción!GO8</f>
        <v>1971.8586888</v>
      </c>
      <c r="GN4" s="10">
        <f>+Producción!GP8</f>
        <v>1906.8523583999997</v>
      </c>
      <c r="GO4" s="10">
        <f>+Producción!GQ8</f>
        <v>1663.7095376</v>
      </c>
      <c r="GP4" s="10">
        <f>+Producción!GR8</f>
        <v>1642.9980159999998</v>
      </c>
      <c r="GQ4" s="10">
        <f>+Producción!GS8</f>
        <v>1680.7660848</v>
      </c>
      <c r="GR4" s="10">
        <f>+Producción!GT8</f>
        <v>1931.1318312000001</v>
      </c>
      <c r="GS4" s="10">
        <f>+Producción!GU8</f>
        <v>1780.3262399999999</v>
      </c>
      <c r="GT4" s="10">
        <f>+Producción!GV8</f>
        <v>2119.9286635999997</v>
      </c>
      <c r="GU4" s="10">
        <f>+Producción!GW8</f>
        <v>1925.7251639999997</v>
      </c>
      <c r="GV4" s="10">
        <f>+Producción!GX8</f>
        <v>1867.1262675999997</v>
      </c>
      <c r="GW4" s="10">
        <f>+Producción!GY8</f>
        <v>1876.795668</v>
      </c>
      <c r="GX4" s="10">
        <f>+Producción!GZ8</f>
        <v>1997.1389283999999</v>
      </c>
      <c r="GY4" s="10">
        <f>+Producción!HA8</f>
        <v>1949.4512037</v>
      </c>
      <c r="GZ4" s="10">
        <f>+Producción!HB8</f>
        <v>1885.1835816</v>
      </c>
      <c r="HA4" s="10">
        <f>+Producción!HC8</f>
        <v>1644.8037474</v>
      </c>
      <c r="HB4" s="10">
        <f>+Producción!HD8</f>
        <v>1624.3275840000001</v>
      </c>
      <c r="HC4" s="10">
        <f>+Producción!HE8</f>
        <v>1661.6664701999998</v>
      </c>
      <c r="HD4" s="10">
        <f>+Producción!HF8</f>
        <v>1909.1871513000001</v>
      </c>
      <c r="HE4" s="10">
        <f>+Producción!HG8</f>
        <v>1760.0952600000003</v>
      </c>
      <c r="HF4" s="10">
        <f>+Producción!HH8</f>
        <v>2095.8385651499998</v>
      </c>
      <c r="HG4" s="10">
        <f>+Producción!HI8</f>
        <v>1903.8419234999997</v>
      </c>
      <c r="HH4" s="10">
        <f>+Producción!HJ8</f>
        <v>1845.9089236499997</v>
      </c>
      <c r="HI4" s="10">
        <f>+Producción!HK8</f>
        <v>1855.4684444999998</v>
      </c>
      <c r="HJ4" s="10">
        <f>+Producción!HL8</f>
        <v>1974.4441678499998</v>
      </c>
      <c r="HK4" s="10">
        <f>+Producción!HM8</f>
        <v>1927.0437185999997</v>
      </c>
      <c r="HL4" s="10">
        <f>+Producción!HN8</f>
        <v>1863.5148048000001</v>
      </c>
      <c r="HM4" s="10">
        <f>+Producción!HO8</f>
        <v>1625.8979572000001</v>
      </c>
      <c r="HN4" s="10">
        <f>+Producción!HP8</f>
        <v>1605.657152</v>
      </c>
      <c r="HO4" s="10">
        <f>+Producción!HQ8</f>
        <v>1642.5668555999998</v>
      </c>
      <c r="HP4" s="10">
        <f>+Producción!HR8</f>
        <v>1887.2424714000003</v>
      </c>
      <c r="HQ4" s="10">
        <f>+Producción!HS8</f>
        <v>1739.86428</v>
      </c>
      <c r="HR4" s="10">
        <f>+Producción!HT8</f>
        <v>2071.7484666999999</v>
      </c>
      <c r="HS4" s="10">
        <f>+Producción!HU8</f>
        <v>1881.9586830000001</v>
      </c>
      <c r="HT4" s="10">
        <f>+Producción!HV8</f>
        <v>1824.6915796999999</v>
      </c>
      <c r="HU4" s="10">
        <f>+Producción!HW8</f>
        <v>1834.1412210000001</v>
      </c>
      <c r="HV4" s="10">
        <f>+Producción!HX8</f>
        <v>1951.7494072999998</v>
      </c>
      <c r="HW4" s="10">
        <f>+Producción!HY8</f>
        <v>1904.6362335000001</v>
      </c>
      <c r="HX4" s="10">
        <f>+Producción!HZ8</f>
        <v>1841.8460279999999</v>
      </c>
      <c r="HY4" s="10">
        <f>+Producción!IA8</f>
        <v>1606.9921670000001</v>
      </c>
      <c r="HZ4" s="10">
        <f>+Producción!IB8</f>
        <v>1586.9867199999999</v>
      </c>
      <c r="IA4" s="10">
        <f>+Producción!IC8</f>
        <v>1623.4672409999998</v>
      </c>
      <c r="IB4" s="10">
        <f>+Producción!ID8</f>
        <v>1865.2977915000004</v>
      </c>
      <c r="IC4" s="10">
        <f>+Producción!IE8</f>
        <v>1781.0487750000002</v>
      </c>
      <c r="ID4" s="10">
        <f>+Producción!IF8</f>
        <v>2047.6583682499997</v>
      </c>
      <c r="IE4" s="10">
        <f>+Producción!IG8</f>
        <v>1860.0754424999998</v>
      </c>
      <c r="IF4" s="10">
        <f>+Producción!IH8</f>
        <v>1803.4742357499997</v>
      </c>
      <c r="IG4" s="10">
        <f>+Producción!II8</f>
        <v>1812.8139974999999</v>
      </c>
      <c r="IH4" s="10">
        <f>+Producción!IJ8</f>
        <v>1929.0546467500001</v>
      </c>
      <c r="II4" s="10">
        <f>+Producción!IK8</f>
        <v>1887.0819824999992</v>
      </c>
      <c r="IJ4" s="10">
        <f>+Producción!IL8</f>
        <v>1829.1143734285722</v>
      </c>
      <c r="IK4" s="10">
        <f>+Producción!IM8</f>
        <v>1599.5866731428541</v>
      </c>
      <c r="IL4" s="10">
        <f>+Producción!IN8</f>
        <v>1583.3300685714269</v>
      </c>
      <c r="IM4" s="10">
        <f>+Producción!IO8</f>
        <v>1623.4672409999998</v>
      </c>
    </row>
    <row r="5" spans="1:247" x14ac:dyDescent="0.3">
      <c r="A5" t="s">
        <v>907</v>
      </c>
      <c r="B5">
        <v>0</v>
      </c>
      <c r="C5" s="10">
        <f>+Tarifas!U9</f>
        <v>0</v>
      </c>
      <c r="D5" s="10">
        <f>+Tarifas!V9</f>
        <v>0</v>
      </c>
      <c r="E5" s="10">
        <f>+Tarifas!W9</f>
        <v>0</v>
      </c>
      <c r="F5" s="10">
        <f>+Tarifas!X9</f>
        <v>0</v>
      </c>
      <c r="G5" s="10">
        <f>+Tarifas!Y9</f>
        <v>0</v>
      </c>
      <c r="H5" s="10">
        <f>+Tarifas!Z9</f>
        <v>0</v>
      </c>
      <c r="I5" s="10">
        <f ca="1">+Tarifas!AA69</f>
        <v>98.972189850194397</v>
      </c>
      <c r="J5" s="10">
        <f ca="1">+Tarifas!AB69</f>
        <v>98.972189850194397</v>
      </c>
      <c r="K5" s="10">
        <f ca="1">+Tarifas!AC69</f>
        <v>98.972189850194397</v>
      </c>
      <c r="L5" s="10">
        <f ca="1">+Tarifas!AD69</f>
        <v>98.972189850194397</v>
      </c>
      <c r="M5" s="10">
        <f ca="1">+Tarifas!AE69</f>
        <v>98.972189850194397</v>
      </c>
      <c r="N5" s="10">
        <f ca="1">+Tarifas!AF69</f>
        <v>98.972189850194397</v>
      </c>
      <c r="O5" s="10">
        <f ca="1">+Tarifas!AG69</f>
        <v>98.972189850194397</v>
      </c>
      <c r="P5" s="10">
        <f ca="1">+Tarifas!AH69</f>
        <v>98.972189850194397</v>
      </c>
      <c r="Q5" s="10">
        <f ca="1">+Tarifas!AI69</f>
        <v>98.972189850194397</v>
      </c>
      <c r="R5" s="10">
        <f ca="1">+Tarifas!AJ69</f>
        <v>98.972189850194397</v>
      </c>
      <c r="S5" s="10">
        <f ca="1">+Tarifas!AK69</f>
        <v>98.972189850194397</v>
      </c>
      <c r="T5" s="10">
        <f ca="1">+Tarifas!AL69</f>
        <v>103.92079934270411</v>
      </c>
      <c r="U5" s="10">
        <f ca="1">+Tarifas!AM69</f>
        <v>103.92079934270411</v>
      </c>
      <c r="V5" s="10">
        <f ca="1">+Tarifas!AN69</f>
        <v>103.92079934270411</v>
      </c>
      <c r="W5" s="10">
        <f ca="1">+Tarifas!AO69</f>
        <v>103.92079934270411</v>
      </c>
      <c r="X5" s="10">
        <f ca="1">+Tarifas!AP69</f>
        <v>103.92079934270411</v>
      </c>
      <c r="Y5" s="10">
        <f ca="1">+Tarifas!AQ69</f>
        <v>103.92079934270411</v>
      </c>
      <c r="Z5" s="10">
        <f ca="1">+Tarifas!AR69</f>
        <v>103.92079934270411</v>
      </c>
      <c r="AA5" s="10">
        <f ca="1">+Tarifas!AS69</f>
        <v>103.92079934270411</v>
      </c>
      <c r="AB5" s="10">
        <f ca="1">+Tarifas!AT69</f>
        <v>103.92079934270411</v>
      </c>
      <c r="AC5" s="10">
        <f ca="1">+Tarifas!AU69</f>
        <v>103.92079934270411</v>
      </c>
      <c r="AD5" s="10">
        <f ca="1">+Tarifas!AV69</f>
        <v>103.92079934270411</v>
      </c>
      <c r="AE5" s="10">
        <f ca="1">+Tarifas!AW69</f>
        <v>103.92079934270411</v>
      </c>
      <c r="AF5" s="10">
        <f ca="1">+Tarifas!AX69</f>
        <v>109.11683930983932</v>
      </c>
      <c r="AG5" s="10">
        <f ca="1">+Tarifas!AY69</f>
        <v>109.11683930983932</v>
      </c>
      <c r="AH5" s="10">
        <f ca="1">+Tarifas!AZ69</f>
        <v>109.11683930983932</v>
      </c>
      <c r="AI5" s="10">
        <f ca="1">+Tarifas!BA69</f>
        <v>109.11683930983932</v>
      </c>
      <c r="AJ5" s="10">
        <f ca="1">+Tarifas!BB69</f>
        <v>109.11683930983932</v>
      </c>
      <c r="AK5" s="10">
        <f ca="1">+Tarifas!BC69</f>
        <v>109.11683930983932</v>
      </c>
      <c r="AL5" s="10">
        <f ca="1">+Tarifas!BD69</f>
        <v>109.11683930983932</v>
      </c>
      <c r="AM5" s="10">
        <f ca="1">+Tarifas!BE69</f>
        <v>109.11683930983932</v>
      </c>
      <c r="AN5" s="10">
        <f ca="1">+Tarifas!BF69</f>
        <v>109.11683930983932</v>
      </c>
      <c r="AO5" s="10">
        <f ca="1">+Tarifas!BG69</f>
        <v>109.11683930983932</v>
      </c>
      <c r="AP5" s="10">
        <f ca="1">+Tarifas!BH69</f>
        <v>109.11683930983932</v>
      </c>
      <c r="AQ5" s="10">
        <f ca="1">+Tarifas!BI69</f>
        <v>109.11683930983932</v>
      </c>
      <c r="AR5" s="10">
        <f ca="1">+Tarifas!BJ69</f>
        <v>112.39034448913451</v>
      </c>
      <c r="AS5" s="10">
        <f ca="1">+Tarifas!BK69</f>
        <v>112.39034448913451</v>
      </c>
      <c r="AT5" s="10">
        <f ca="1">+Tarifas!BL69</f>
        <v>112.39034448913451</v>
      </c>
      <c r="AU5" s="10">
        <f ca="1">+Tarifas!BM69</f>
        <v>112.39034448913451</v>
      </c>
      <c r="AV5" s="10">
        <f ca="1">+Tarifas!BN69</f>
        <v>112.39034448913451</v>
      </c>
      <c r="AW5" s="10">
        <f ca="1">+Tarifas!BO69</f>
        <v>112.39034448913451</v>
      </c>
      <c r="AX5" s="10">
        <f ca="1">+Tarifas!BP69</f>
        <v>112.39034448913451</v>
      </c>
      <c r="AY5" s="10">
        <f ca="1">+Tarifas!BQ69</f>
        <v>112.39034448913451</v>
      </c>
      <c r="AZ5" s="10">
        <f ca="1">+Tarifas!BR69</f>
        <v>112.39034448913451</v>
      </c>
      <c r="BA5" s="10">
        <f ca="1">+Tarifas!BS69</f>
        <v>112.39034448913451</v>
      </c>
      <c r="BB5" s="10">
        <f ca="1">+Tarifas!BT69</f>
        <v>112.39034448913451</v>
      </c>
      <c r="BC5" s="10">
        <f ca="1">+Tarifas!BU69</f>
        <v>112.39034448913451</v>
      </c>
      <c r="BD5" s="10">
        <f ca="1">+Tarifas!BV69</f>
        <v>118.00986171359123</v>
      </c>
      <c r="BE5" s="10">
        <f ca="1">+Tarifas!BW69</f>
        <v>118.00986171359123</v>
      </c>
      <c r="BF5" s="10">
        <f ca="1">+Tarifas!BX69</f>
        <v>118.00986171359123</v>
      </c>
      <c r="BG5" s="10">
        <f ca="1">+Tarifas!BY69</f>
        <v>118.00986171359123</v>
      </c>
      <c r="BH5" s="10">
        <f ca="1">+Tarifas!BZ69</f>
        <v>118.00986171359123</v>
      </c>
      <c r="BI5" s="10">
        <f ca="1">+Tarifas!CA69</f>
        <v>118.00986171359123</v>
      </c>
      <c r="BJ5" s="10">
        <f ca="1">+Tarifas!CB69</f>
        <v>118.00986171359123</v>
      </c>
      <c r="BK5" s="10">
        <f ca="1">+Tarifas!CC69</f>
        <v>118.00986171359123</v>
      </c>
      <c r="BL5" s="10">
        <f ca="1">+Tarifas!CD69</f>
        <v>118.00986171359123</v>
      </c>
      <c r="BM5" s="10">
        <f ca="1">+Tarifas!CE69</f>
        <v>118.00986171359123</v>
      </c>
      <c r="BN5" s="10">
        <f ca="1">+Tarifas!CF69</f>
        <v>118.00986171359123</v>
      </c>
      <c r="BO5" s="10">
        <f ca="1">+Tarifas!CG69</f>
        <v>118.00986171359123</v>
      </c>
      <c r="BP5" s="10">
        <f ca="1">+Tarifas!CH69</f>
        <v>121.55015756499897</v>
      </c>
      <c r="BQ5" s="10">
        <f ca="1">+Tarifas!CI69</f>
        <v>121.55015756499897</v>
      </c>
      <c r="BR5" s="10">
        <f ca="1">+Tarifas!CJ69</f>
        <v>121.55015756499897</v>
      </c>
      <c r="BS5" s="10">
        <f ca="1">+Tarifas!CK69</f>
        <v>121.55015756499897</v>
      </c>
      <c r="BT5" s="10">
        <f ca="1">+Tarifas!CL69</f>
        <v>121.55015756499897</v>
      </c>
      <c r="BU5" s="10">
        <f ca="1">+Tarifas!CM69</f>
        <v>121.55015756499897</v>
      </c>
      <c r="BV5" s="10">
        <f ca="1">+Tarifas!CN69</f>
        <v>121.55015756499897</v>
      </c>
      <c r="BW5" s="10">
        <f ca="1">+Tarifas!CO69</f>
        <v>121.55015756499897</v>
      </c>
      <c r="BX5" s="10">
        <f ca="1">+Tarifas!CP69</f>
        <v>121.55015756499897</v>
      </c>
      <c r="BY5" s="10">
        <f ca="1">+Tarifas!CQ69</f>
        <v>121.55015756499897</v>
      </c>
      <c r="BZ5" s="10">
        <f ca="1">+Tarifas!CR69</f>
        <v>121.55015756499897</v>
      </c>
      <c r="CA5" s="10">
        <f ca="1">+Tarifas!CS69</f>
        <v>121.55015756499897</v>
      </c>
      <c r="CB5" s="10">
        <f ca="1">+Tarifas!CT69</f>
        <v>127.62766544324893</v>
      </c>
      <c r="CC5" s="10">
        <f ca="1">+Tarifas!CU69</f>
        <v>127.62766544324893</v>
      </c>
      <c r="CD5" s="10">
        <f ca="1">+Tarifas!CV69</f>
        <v>127.62766544324893</v>
      </c>
      <c r="CE5" s="10">
        <f ca="1">+Tarifas!CW69</f>
        <v>127.62766544324893</v>
      </c>
      <c r="CF5" s="10">
        <f ca="1">+Tarifas!CX69</f>
        <v>127.62766544324893</v>
      </c>
      <c r="CG5" s="10">
        <f ca="1">+Tarifas!CY69</f>
        <v>127.62766544324893</v>
      </c>
      <c r="CH5" s="10">
        <f ca="1">+Tarifas!CZ69</f>
        <v>127.62766544324893</v>
      </c>
      <c r="CI5" s="10">
        <f ca="1">+Tarifas!DA69</f>
        <v>127.62766544324893</v>
      </c>
      <c r="CJ5" s="10">
        <f ca="1">+Tarifas!DB69</f>
        <v>127.62766544324893</v>
      </c>
      <c r="CK5" s="10">
        <f ca="1">+Tarifas!DC69</f>
        <v>127.62766544324893</v>
      </c>
      <c r="CL5" s="10">
        <f ca="1">+Tarifas!DD69</f>
        <v>127.62766544324893</v>
      </c>
      <c r="CM5" s="10">
        <f ca="1">+Tarifas!DE69</f>
        <v>127.62766544324893</v>
      </c>
      <c r="CN5" s="10">
        <f ca="1">+Tarifas!DF69</f>
        <v>134.00904871541138</v>
      </c>
      <c r="CO5" s="10">
        <f ca="1">+Tarifas!DG69</f>
        <v>134.00904871541138</v>
      </c>
      <c r="CP5" s="10">
        <f ca="1">+Tarifas!DH69</f>
        <v>134.00904871541138</v>
      </c>
      <c r="CQ5" s="10">
        <f ca="1">+Tarifas!DI69</f>
        <v>134.00904871541138</v>
      </c>
      <c r="CR5" s="10">
        <f ca="1">+Tarifas!DJ69</f>
        <v>134.00904871541138</v>
      </c>
      <c r="CS5" s="10">
        <f ca="1">+Tarifas!DK69</f>
        <v>134.00904871541138</v>
      </c>
      <c r="CT5" s="10">
        <f ca="1">+Tarifas!DL69</f>
        <v>134.00904871541138</v>
      </c>
      <c r="CU5" s="10">
        <f ca="1">+Tarifas!DM69</f>
        <v>134.00904871541138</v>
      </c>
      <c r="CV5" s="10">
        <f ca="1">+Tarifas!DN69</f>
        <v>134.00904871541138</v>
      </c>
      <c r="CW5" s="10">
        <f ca="1">+Tarifas!DO69</f>
        <v>134.00904871541138</v>
      </c>
      <c r="CX5" s="10">
        <f ca="1">+Tarifas!DP69</f>
        <v>134.00904871541138</v>
      </c>
      <c r="CY5" s="10">
        <f ca="1">+Tarifas!DQ69</f>
        <v>134.00904871541138</v>
      </c>
      <c r="CZ5" s="10">
        <f ca="1">+Tarifas!DR69</f>
        <v>140.70950115118197</v>
      </c>
      <c r="DA5" s="10">
        <f ca="1">+Tarifas!DS69</f>
        <v>140.70950115118197</v>
      </c>
      <c r="DB5" s="10">
        <f ca="1">+Tarifas!DT69</f>
        <v>140.70950115118197</v>
      </c>
      <c r="DC5" s="10">
        <f ca="1">+Tarifas!DU69</f>
        <v>140.70950115118197</v>
      </c>
      <c r="DD5" s="10">
        <f ca="1">+Tarifas!DV69</f>
        <v>140.70950115118197</v>
      </c>
      <c r="DE5" s="10">
        <f ca="1">+Tarifas!DW69</f>
        <v>140.70950115118197</v>
      </c>
      <c r="DF5" s="10">
        <f ca="1">+Tarifas!DX69</f>
        <v>140.70950115118197</v>
      </c>
      <c r="DG5" s="10">
        <f ca="1">+Tarifas!DY69</f>
        <v>140.70950115118197</v>
      </c>
      <c r="DH5" s="10">
        <f ca="1">+Tarifas!DZ69</f>
        <v>140.70950115118197</v>
      </c>
      <c r="DI5" s="10">
        <f ca="1">+Tarifas!EA69</f>
        <v>140.70950115118197</v>
      </c>
      <c r="DJ5" s="10">
        <f ca="1">+Tarifas!EB69</f>
        <v>140.70950115118197</v>
      </c>
      <c r="DK5" s="10">
        <f ca="1">+Tarifas!EC69</f>
        <v>140.70950115118197</v>
      </c>
      <c r="DL5" s="10">
        <f ca="1">+Tarifas!ED69</f>
        <v>147.74497620874106</v>
      </c>
      <c r="DM5" s="10">
        <f ca="1">+Tarifas!EE69</f>
        <v>147.74497620874106</v>
      </c>
      <c r="DN5" s="10">
        <f ca="1">+Tarifas!EF69</f>
        <v>147.74497620874106</v>
      </c>
      <c r="DO5" s="10">
        <f ca="1">+Tarifas!EG69</f>
        <v>147.74497620874106</v>
      </c>
      <c r="DP5" s="10">
        <f ca="1">+Tarifas!EH69</f>
        <v>147.74497620874106</v>
      </c>
      <c r="DQ5" s="10">
        <f ca="1">+Tarifas!EI69</f>
        <v>147.74497620874106</v>
      </c>
      <c r="DR5" s="10">
        <f ca="1">+Tarifas!EJ69</f>
        <v>147.74497620874106</v>
      </c>
      <c r="DS5" s="10">
        <f ca="1">+Tarifas!EK69</f>
        <v>147.74497620874106</v>
      </c>
      <c r="DT5" s="10">
        <f ca="1">+Tarifas!EL69</f>
        <v>147.74497620874106</v>
      </c>
      <c r="DU5" s="10">
        <f ca="1">+Tarifas!EM69</f>
        <v>147.74497620874106</v>
      </c>
      <c r="DV5" s="10">
        <f ca="1">+Tarifas!EN69</f>
        <v>147.74497620874106</v>
      </c>
      <c r="DW5" s="10">
        <f ca="1">+Tarifas!EO69</f>
        <v>147.74497620874106</v>
      </c>
      <c r="DX5" s="10">
        <f ca="1">+Tarifas!EP69</f>
        <v>155.13222501917812</v>
      </c>
      <c r="DY5" s="10">
        <f ca="1">+Tarifas!EQ69</f>
        <v>155.13222501917812</v>
      </c>
      <c r="DZ5" s="10">
        <f ca="1">+Tarifas!ER69</f>
        <v>155.13222501917812</v>
      </c>
      <c r="EA5" s="10">
        <f ca="1">+Tarifas!ES69</f>
        <v>155.13222501917812</v>
      </c>
      <c r="EB5" s="10">
        <f ca="1">+Tarifas!ET69</f>
        <v>155.13222501917812</v>
      </c>
      <c r="EC5" s="10">
        <f ca="1">+Tarifas!EU69</f>
        <v>155.13222501917812</v>
      </c>
      <c r="ED5" s="10">
        <f ca="1">+Tarifas!EV69</f>
        <v>155.13222501917812</v>
      </c>
      <c r="EE5" s="10">
        <f ca="1">+Tarifas!EW69</f>
        <v>155.13222501917812</v>
      </c>
      <c r="EF5" s="10">
        <f ca="1">+Tarifas!EX69</f>
        <v>155.13222501917812</v>
      </c>
      <c r="EG5" s="10">
        <f ca="1">+Tarifas!EY69</f>
        <v>155.13222501917812</v>
      </c>
      <c r="EH5" s="10">
        <f ca="1">+Tarifas!EZ69</f>
        <v>155.13222501917812</v>
      </c>
      <c r="EI5" s="10">
        <f ca="1">+Tarifas!FA69</f>
        <v>155.13222501917812</v>
      </c>
      <c r="EJ5" s="10">
        <f ca="1">+Tarifas!FB69</f>
        <v>162.88883627013703</v>
      </c>
      <c r="EK5" s="10">
        <f ca="1">+Tarifas!FC69</f>
        <v>162.88883627013703</v>
      </c>
      <c r="EL5" s="10">
        <f ca="1">+Tarifas!FD69</f>
        <v>162.88883627013703</v>
      </c>
      <c r="EM5" s="10">
        <f ca="1">+Tarifas!FE69</f>
        <v>162.88883627013703</v>
      </c>
      <c r="EN5" s="10">
        <f ca="1">+Tarifas!FF69</f>
        <v>162.88883627013703</v>
      </c>
      <c r="EO5" s="10">
        <f ca="1">+Tarifas!FG69</f>
        <v>162.88883627013703</v>
      </c>
      <c r="EP5" s="10">
        <f ca="1">+Tarifas!FH69</f>
        <v>162.88883627013703</v>
      </c>
      <c r="EQ5" s="10">
        <f ca="1">+Tarifas!FI69</f>
        <v>162.88883627013703</v>
      </c>
      <c r="ER5" s="10">
        <f ca="1">+Tarifas!FJ69</f>
        <v>162.88883627013703</v>
      </c>
      <c r="ES5" s="10">
        <f ca="1">+Tarifas!FK69</f>
        <v>162.88883627013703</v>
      </c>
      <c r="ET5" s="10">
        <f ca="1">+Tarifas!FL69</f>
        <v>162.88883627013703</v>
      </c>
      <c r="EU5" s="10">
        <f ca="1">+Tarifas!FM69</f>
        <v>162.88883627013703</v>
      </c>
      <c r="EV5" s="10">
        <f ca="1">+Tarifas!FN69</f>
        <v>171.03327808364389</v>
      </c>
      <c r="EW5" s="10">
        <f ca="1">+Tarifas!FO69</f>
        <v>171.03327808364389</v>
      </c>
      <c r="EX5" s="10">
        <f ca="1">+Tarifas!FP69</f>
        <v>171.03327808364389</v>
      </c>
      <c r="EY5" s="10">
        <f ca="1">+Tarifas!FQ69</f>
        <v>171.03327808364389</v>
      </c>
      <c r="EZ5" s="10">
        <f ca="1">+Tarifas!FR69</f>
        <v>171.03327808364389</v>
      </c>
      <c r="FA5" s="10">
        <f ca="1">+Tarifas!FS69</f>
        <v>171.03327808364389</v>
      </c>
      <c r="FB5" s="10">
        <f ca="1">+Tarifas!FT69</f>
        <v>171.03327808364389</v>
      </c>
      <c r="FC5" s="10">
        <f ca="1">+Tarifas!FU69</f>
        <v>171.03327808364389</v>
      </c>
      <c r="FD5" s="10">
        <f ca="1">+Tarifas!FV69</f>
        <v>171.03327808364389</v>
      </c>
      <c r="FE5" s="10">
        <f ca="1">+Tarifas!FW69</f>
        <v>171.03327808364389</v>
      </c>
      <c r="FF5" s="10">
        <f ca="1">+Tarifas!FX69</f>
        <v>171.03327808364389</v>
      </c>
      <c r="FG5" s="10">
        <f ca="1">+Tarifas!FY69</f>
        <v>171.03327808364389</v>
      </c>
      <c r="FH5" s="10">
        <f ca="1">+Tarifas!FZ69</f>
        <v>179.58494198782608</v>
      </c>
      <c r="FI5" s="10">
        <f ca="1">+Tarifas!GA69</f>
        <v>179.58494198782608</v>
      </c>
      <c r="FJ5" s="10">
        <f ca="1">+Tarifas!GB69</f>
        <v>179.58494198782608</v>
      </c>
      <c r="FK5" s="10">
        <f ca="1">+Tarifas!GC69</f>
        <v>179.58494198782608</v>
      </c>
      <c r="FL5" s="10">
        <f ca="1">+Tarifas!GD69</f>
        <v>179.58494198782608</v>
      </c>
      <c r="FM5" s="10">
        <f ca="1">+Tarifas!GE69</f>
        <v>179.58494198782608</v>
      </c>
      <c r="FN5" s="10">
        <f ca="1">+Tarifas!GF69</f>
        <v>179.58494198782608</v>
      </c>
      <c r="FO5" s="10">
        <f ca="1">+Tarifas!GG69</f>
        <v>179.58494198782608</v>
      </c>
      <c r="FP5" s="10">
        <f ca="1">+Tarifas!GH69</f>
        <v>179.58494198782608</v>
      </c>
      <c r="FQ5" s="10">
        <f ca="1">+Tarifas!GI69</f>
        <v>179.58494198782608</v>
      </c>
      <c r="FR5" s="10">
        <f ca="1">+Tarifas!GJ69</f>
        <v>179.58494198782608</v>
      </c>
      <c r="FS5" s="10">
        <f ca="1">+Tarifas!GK69</f>
        <v>179.58494198782608</v>
      </c>
      <c r="FT5" s="10">
        <f ca="1">+Tarifas!GL69</f>
        <v>188.56418908721739</v>
      </c>
      <c r="FU5" s="10">
        <f ca="1">+Tarifas!GM69</f>
        <v>188.56418908721739</v>
      </c>
      <c r="FV5" s="10">
        <f ca="1">+Tarifas!GN69</f>
        <v>188.56418908721739</v>
      </c>
      <c r="FW5" s="10">
        <f ca="1">+Tarifas!GO69</f>
        <v>188.56418908721739</v>
      </c>
      <c r="FX5" s="10">
        <f ca="1">+Tarifas!GP69</f>
        <v>188.56418908721739</v>
      </c>
      <c r="FY5" s="10">
        <f ca="1">+Tarifas!GQ69</f>
        <v>188.56418908721739</v>
      </c>
      <c r="FZ5" s="10">
        <f ca="1">+Tarifas!GR69</f>
        <v>188.56418908721739</v>
      </c>
      <c r="GA5" s="10">
        <f ca="1">+Tarifas!GS69</f>
        <v>188.56418908721739</v>
      </c>
      <c r="GB5" s="10">
        <f ca="1">+Tarifas!GT69</f>
        <v>188.56418908721739</v>
      </c>
      <c r="GC5" s="10">
        <f ca="1">+Tarifas!GU69</f>
        <v>188.56418908721739</v>
      </c>
      <c r="GD5" s="10">
        <f ca="1">+Tarifas!GV69</f>
        <v>188.56418908721739</v>
      </c>
      <c r="GE5" s="10">
        <f ca="1">+Tarifas!GW69</f>
        <v>188.56418908721739</v>
      </c>
      <c r="GF5" s="10">
        <f ca="1">+Tarifas!GX69</f>
        <v>197.99239854157827</v>
      </c>
      <c r="GG5" s="10">
        <f ca="1">+Tarifas!GY69</f>
        <v>197.99239854157827</v>
      </c>
      <c r="GH5" s="10">
        <f ca="1">+Tarifas!GZ69</f>
        <v>197.99239854157827</v>
      </c>
      <c r="GI5" s="10">
        <f ca="1">+Tarifas!HA69</f>
        <v>197.99239854157827</v>
      </c>
      <c r="GJ5" s="10">
        <f ca="1">+Tarifas!HB69</f>
        <v>197.99239854157827</v>
      </c>
      <c r="GK5" s="10">
        <f ca="1">+Tarifas!HC69</f>
        <v>197.99239854157827</v>
      </c>
      <c r="GL5" s="10">
        <f ca="1">+Tarifas!HD69</f>
        <v>197.99239854157827</v>
      </c>
      <c r="GM5" s="10">
        <f ca="1">+Tarifas!HE69</f>
        <v>197.99239854157827</v>
      </c>
      <c r="GN5" s="10">
        <f ca="1">+Tarifas!HF69</f>
        <v>197.99239854157827</v>
      </c>
      <c r="GO5" s="10">
        <f ca="1">+Tarifas!HG69</f>
        <v>197.99239854157827</v>
      </c>
      <c r="GP5" s="10">
        <f ca="1">+Tarifas!HH69</f>
        <v>197.99239854157827</v>
      </c>
      <c r="GQ5" s="10">
        <f ca="1">+Tarifas!HI69</f>
        <v>197.99239854157827</v>
      </c>
      <c r="GR5" s="10">
        <f ca="1">+Tarifas!HJ69</f>
        <v>207.8920184686572</v>
      </c>
      <c r="GS5" s="10">
        <f ca="1">+Tarifas!HK69</f>
        <v>207.8920184686572</v>
      </c>
      <c r="GT5" s="10">
        <f ca="1">+Tarifas!HL69</f>
        <v>207.8920184686572</v>
      </c>
      <c r="GU5" s="10">
        <f ca="1">+Tarifas!HM69</f>
        <v>207.8920184686572</v>
      </c>
      <c r="GV5" s="10">
        <f ca="1">+Tarifas!HN69</f>
        <v>207.8920184686572</v>
      </c>
      <c r="GW5" s="10">
        <f ca="1">+Tarifas!HO69</f>
        <v>207.8920184686572</v>
      </c>
      <c r="GX5" s="10">
        <f ca="1">+Tarifas!HP69</f>
        <v>207.8920184686572</v>
      </c>
      <c r="GY5" s="10">
        <f ca="1">+Tarifas!HQ69</f>
        <v>207.8920184686572</v>
      </c>
      <c r="GZ5" s="10">
        <f ca="1">+Tarifas!HR69</f>
        <v>207.8920184686572</v>
      </c>
      <c r="HA5" s="10">
        <f ca="1">+Tarifas!HS69</f>
        <v>207.8920184686572</v>
      </c>
      <c r="HB5" s="10">
        <f ca="1">+Tarifas!HT69</f>
        <v>207.8920184686572</v>
      </c>
      <c r="HC5" s="10">
        <f ca="1">+Tarifas!HU69</f>
        <v>207.8920184686572</v>
      </c>
      <c r="HD5" s="10">
        <f ca="1">+Tarifas!HV69</f>
        <v>218.28661939209007</v>
      </c>
      <c r="HE5" s="10">
        <f ca="1">+Tarifas!HW69</f>
        <v>218.28661939209007</v>
      </c>
      <c r="HF5" s="10">
        <f ca="1">+Tarifas!HX69</f>
        <v>218.28661939209007</v>
      </c>
      <c r="HG5" s="10">
        <f ca="1">+Tarifas!HY69</f>
        <v>218.28661939209007</v>
      </c>
      <c r="HH5" s="10">
        <f ca="1">+Tarifas!HZ69</f>
        <v>218.28661939209007</v>
      </c>
      <c r="HI5" s="10">
        <f ca="1">+Tarifas!IA69</f>
        <v>218.28661939209007</v>
      </c>
      <c r="HJ5" s="10">
        <f ca="1">+Tarifas!IB69</f>
        <v>218.28661939209007</v>
      </c>
      <c r="HK5" s="10">
        <f ca="1">+Tarifas!IC69</f>
        <v>218.28661939209007</v>
      </c>
      <c r="HL5" s="10">
        <f ca="1">+Tarifas!ID69</f>
        <v>218.28661939209007</v>
      </c>
      <c r="HM5" s="10">
        <f ca="1">+Tarifas!IE69</f>
        <v>218.28661939209007</v>
      </c>
      <c r="HN5" s="10">
        <f ca="1">+Tarifas!IF69</f>
        <v>218.28661939209007</v>
      </c>
      <c r="HO5" s="10">
        <f ca="1">+Tarifas!IG69</f>
        <v>218.28661939209007</v>
      </c>
      <c r="HP5" s="10">
        <f ca="1">+Tarifas!IH69</f>
        <v>229.20095036169459</v>
      </c>
      <c r="HQ5" s="10">
        <f ca="1">+Tarifas!II69</f>
        <v>229.20095036169459</v>
      </c>
      <c r="HR5" s="10">
        <f ca="1">+Tarifas!IJ69</f>
        <v>229.20095036169459</v>
      </c>
      <c r="HS5" s="10">
        <f ca="1">+Tarifas!IK69</f>
        <v>229.20095036169459</v>
      </c>
      <c r="HT5" s="10">
        <f ca="1">+Tarifas!IL69</f>
        <v>229.20095036169459</v>
      </c>
      <c r="HU5" s="10">
        <f ca="1">+Tarifas!IM69</f>
        <v>229.20095036169459</v>
      </c>
      <c r="HV5" s="10">
        <f ca="1">+Tarifas!IN69</f>
        <v>229.20095036169459</v>
      </c>
      <c r="HW5" s="10">
        <f ca="1">+Tarifas!IO69</f>
        <v>229.20095036169459</v>
      </c>
      <c r="HX5" s="10">
        <f ca="1">+Tarifas!IP69</f>
        <v>229.20095036169459</v>
      </c>
      <c r="HY5" s="10">
        <f ca="1">+Tarifas!IQ69</f>
        <v>229.20095036169459</v>
      </c>
      <c r="HZ5" s="10">
        <f ca="1">+Tarifas!IR69</f>
        <v>229.20095036169459</v>
      </c>
      <c r="IA5" s="10">
        <f ca="1">+Tarifas!IS69</f>
        <v>229.20095036169459</v>
      </c>
      <c r="IB5" s="10">
        <f ca="1">+Tarifas!IT69</f>
        <v>240.66099787977933</v>
      </c>
      <c r="IC5" s="10">
        <f ca="1">+Tarifas!IU69</f>
        <v>240.66099787977933</v>
      </c>
      <c r="ID5" s="10">
        <f ca="1">+Tarifas!IV69</f>
        <v>240.66099787977933</v>
      </c>
      <c r="IE5" s="10">
        <f ca="1">+Tarifas!IW69</f>
        <v>240.66099787977933</v>
      </c>
      <c r="IF5" s="10">
        <f ca="1">+Tarifas!IX69</f>
        <v>240.66099787977933</v>
      </c>
      <c r="IG5" s="10">
        <f ca="1">+Tarifas!IY69</f>
        <v>240.66099787977933</v>
      </c>
      <c r="IH5" s="10">
        <f ca="1">+Tarifas!IZ69</f>
        <v>240.66099787977933</v>
      </c>
      <c r="II5" s="10">
        <f ca="1">+Tarifas!JA69</f>
        <v>240.66099787977933</v>
      </c>
      <c r="IJ5" s="10">
        <f ca="1">+Tarifas!JB69</f>
        <v>240.66099787977933</v>
      </c>
      <c r="IK5" s="10">
        <f ca="1">+Tarifas!JC69</f>
        <v>240.66099787977933</v>
      </c>
      <c r="IL5" s="10">
        <f ca="1">+Tarifas!JD69</f>
        <v>240.66099787977933</v>
      </c>
      <c r="IM5" s="10">
        <f ca="1">+Tarifas!JE69</f>
        <v>240.66099787977933</v>
      </c>
    </row>
    <row r="6" spans="1:247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8" spans="1:247" x14ac:dyDescent="0.3">
      <c r="A8" t="s">
        <v>947</v>
      </c>
      <c r="B8" s="33">
        <f>+B4*B5</f>
        <v>0</v>
      </c>
      <c r="C8" s="33">
        <f>+B4*B5</f>
        <v>0</v>
      </c>
      <c r="D8" s="33">
        <f>+C4*C5</f>
        <v>0</v>
      </c>
      <c r="E8" s="33">
        <f t="shared" ref="E8:BP8" si="4">+D4*D5</f>
        <v>0</v>
      </c>
      <c r="F8" s="33">
        <f t="shared" si="4"/>
        <v>0</v>
      </c>
      <c r="G8" s="33">
        <f t="shared" si="4"/>
        <v>0</v>
      </c>
      <c r="H8" s="33">
        <f t="shared" si="4"/>
        <v>0</v>
      </c>
      <c r="I8" s="33">
        <f t="shared" si="4"/>
        <v>0</v>
      </c>
      <c r="J8" s="33">
        <f t="shared" ca="1" si="4"/>
        <v>196225.83055471763</v>
      </c>
      <c r="K8" s="33">
        <f t="shared" ca="1" si="4"/>
        <v>233656.48013572081</v>
      </c>
      <c r="L8" s="33">
        <f t="shared" ca="1" si="4"/>
        <v>212251.55886373934</v>
      </c>
      <c r="M8" s="33">
        <f t="shared" ca="1" si="4"/>
        <v>205792.8453665548</v>
      </c>
      <c r="N8" s="33">
        <f t="shared" ca="1" si="4"/>
        <v>206858.5972955137</v>
      </c>
      <c r="O8" s="33">
        <f t="shared" ca="1" si="4"/>
        <v>220122.71467641165</v>
      </c>
      <c r="P8" s="33">
        <f t="shared" ca="1" si="4"/>
        <v>216892.80762561847</v>
      </c>
      <c r="Q8" s="33">
        <f t="shared" ca="1" si="4"/>
        <v>202976.60834159263</v>
      </c>
      <c r="R8" s="33">
        <f ca="1">+Q4*Q5</f>
        <v>182998.22128896127</v>
      </c>
      <c r="S8" s="33">
        <f t="shared" ca="1" si="4"/>
        <v>174890.39638048873</v>
      </c>
      <c r="T8" s="33">
        <f t="shared" ca="1" si="4"/>
        <v>184874.34072470962</v>
      </c>
      <c r="U8" s="33">
        <f t="shared" ca="1" si="4"/>
        <v>223033.74856441614</v>
      </c>
      <c r="V8" s="33">
        <f t="shared" ca="1" si="4"/>
        <v>205616.63815983623</v>
      </c>
      <c r="W8" s="33">
        <f t="shared" ca="1" si="4"/>
        <v>244838.61168507318</v>
      </c>
      <c r="X8" s="33">
        <f t="shared" ca="1" si="4"/>
        <v>222409.3120379326</v>
      </c>
      <c r="Y8" s="33">
        <f t="shared" ca="1" si="4"/>
        <v>215641.50296623987</v>
      </c>
      <c r="Z8" s="33">
        <f t="shared" ca="1" si="4"/>
        <v>216758.25873751327</v>
      </c>
      <c r="AA8" s="33">
        <f t="shared" ca="1" si="4"/>
        <v>230657.15887878271</v>
      </c>
      <c r="AB8" s="33">
        <f t="shared" ca="1" si="4"/>
        <v>227504.5876306142</v>
      </c>
      <c r="AC8" s="33">
        <f t="shared" ca="1" si="4"/>
        <v>212907.51908713984</v>
      </c>
      <c r="AD8" s="33">
        <f t="shared" ca="1" si="4"/>
        <v>191951.66187043043</v>
      </c>
      <c r="AE8" s="33">
        <f t="shared" ca="1" si="4"/>
        <v>183447.15043652797</v>
      </c>
      <c r="AF8" s="33">
        <f t="shared" ca="1" si="4"/>
        <v>193919.5730393081</v>
      </c>
      <c r="AG8" s="33">
        <f t="shared" ca="1" si="4"/>
        <v>233945.98258160154</v>
      </c>
      <c r="AH8" s="33">
        <f t="shared" ca="1" si="4"/>
        <v>215676.71600845401</v>
      </c>
      <c r="AI8" s="33">
        <f t="shared" ca="1" si="4"/>
        <v>256817.67872917413</v>
      </c>
      <c r="AJ8" s="33">
        <f t="shared" ca="1" si="4"/>
        <v>233290.9946361075</v>
      </c>
      <c r="AK8" s="33">
        <f t="shared" ca="1" si="4"/>
        <v>226192.06116351453</v>
      </c>
      <c r="AL8" s="33">
        <f t="shared" ca="1" si="4"/>
        <v>227363.45575243147</v>
      </c>
      <c r="AM8" s="33">
        <f t="shared" ca="1" si="4"/>
        <v>241942.37876871089</v>
      </c>
      <c r="AN8" s="33">
        <f t="shared" ca="1" si="4"/>
        <v>238635.3136170455</v>
      </c>
      <c r="AO8" s="33">
        <f t="shared" ca="1" si="4"/>
        <v>223324.07938638786</v>
      </c>
      <c r="AP8" s="33">
        <f t="shared" ca="1" si="4"/>
        <v>201342.95095682406</v>
      </c>
      <c r="AQ8" s="33">
        <f t="shared" ca="1" si="4"/>
        <v>192422.35390721995</v>
      </c>
      <c r="AR8" s="33">
        <f t="shared" ca="1" si="4"/>
        <v>203407.14273355473</v>
      </c>
      <c r="AS8" s="33">
        <f t="shared" ca="1" si="4"/>
        <v>240717.72504568315</v>
      </c>
      <c r="AT8" s="33">
        <f t="shared" ca="1" si="4"/>
        <v>229845.34226496489</v>
      </c>
      <c r="AU8" s="33">
        <f t="shared" ca="1" si="4"/>
        <v>264251.45964469208</v>
      </c>
      <c r="AV8" s="33">
        <f t="shared" ca="1" si="4"/>
        <v>240043.77798135736</v>
      </c>
      <c r="AW8" s="33">
        <f t="shared" ca="1" si="4"/>
        <v>232739.3605388515</v>
      </c>
      <c r="AX8" s="33">
        <f t="shared" ca="1" si="4"/>
        <v>233944.66202538827</v>
      </c>
      <c r="AY8" s="33">
        <f t="shared" ca="1" si="4"/>
        <v>248945.58293614103</v>
      </c>
      <c r="AZ8" s="33">
        <f t="shared" ca="1" si="4"/>
        <v>245542.53452860448</v>
      </c>
      <c r="BA8" s="33">
        <f t="shared" ca="1" si="4"/>
        <v>229788.12164321725</v>
      </c>
      <c r="BB8" s="33">
        <f t="shared" ca="1" si="4"/>
        <v>207170.75665818702</v>
      </c>
      <c r="BC8" s="33">
        <f t="shared" ca="1" si="4"/>
        <v>197991.95585176806</v>
      </c>
      <c r="BD8" s="33">
        <f t="shared" ca="1" si="4"/>
        <v>209294.69578911102</v>
      </c>
      <c r="BE8" s="33">
        <f t="shared" ca="1" si="4"/>
        <v>252494.64243393249</v>
      </c>
      <c r="BF8" s="33">
        <f t="shared" ca="1" si="4"/>
        <v>232776.87733271689</v>
      </c>
      <c r="BG8" s="33">
        <f t="shared" ca="1" si="4"/>
        <v>277179.74570825155</v>
      </c>
      <c r="BH8" s="33">
        <f t="shared" ca="1" si="4"/>
        <v>251787.72306190027</v>
      </c>
      <c r="BI8" s="33">
        <f t="shared" ca="1" si="4"/>
        <v>244125.94298324714</v>
      </c>
      <c r="BJ8" s="33">
        <f t="shared" ca="1" si="4"/>
        <v>245390.21285706069</v>
      </c>
      <c r="BK8" s="33">
        <f t="shared" ca="1" si="4"/>
        <v>261125.04152753513</v>
      </c>
      <c r="BL8" s="33">
        <f t="shared" ca="1" si="4"/>
        <v>256497.50914603451</v>
      </c>
      <c r="BM8" s="33">
        <f t="shared" ca="1" si="4"/>
        <v>240040.20707037614</v>
      </c>
      <c r="BN8" s="33">
        <f t="shared" ca="1" si="4"/>
        <v>216413.75964755233</v>
      </c>
      <c r="BO8" s="33">
        <f t="shared" ca="1" si="4"/>
        <v>206825.44311284693</v>
      </c>
      <c r="BP8" s="33">
        <f t="shared" ca="1" si="4"/>
        <v>218632.45913970211</v>
      </c>
      <c r="BQ8" s="33">
        <f t="shared" ref="BQ8:EB8" ca="1" si="5">+BP4*BP5</f>
        <v>258735.79205717117</v>
      </c>
      <c r="BR8" s="33">
        <f t="shared" ca="1" si="5"/>
        <v>238530.64424935126</v>
      </c>
      <c r="BS8" s="33">
        <f t="shared" ca="1" si="5"/>
        <v>284031.06044832221</v>
      </c>
      <c r="BT8" s="33">
        <f t="shared" ca="1" si="5"/>
        <v>258011.39908835336</v>
      </c>
      <c r="BU8" s="33">
        <f t="shared" ca="1" si="5"/>
        <v>250160.23552262795</v>
      </c>
      <c r="BV8" s="33">
        <f t="shared" ca="1" si="5"/>
        <v>251455.755554348</v>
      </c>
      <c r="BW8" s="33">
        <f t="shared" ca="1" si="5"/>
        <v>267579.51691298495</v>
      </c>
      <c r="BX8" s="33">
        <f t="shared" ca="1" si="5"/>
        <v>262830.61774814531</v>
      </c>
      <c r="BY8" s="33">
        <f t="shared" ca="1" si="5"/>
        <v>245966.97300783545</v>
      </c>
      <c r="BZ8" s="33">
        <f t="shared" ca="1" si="5"/>
        <v>221757.17154812848</v>
      </c>
      <c r="CA8" s="33">
        <f t="shared" ca="1" si="5"/>
        <v>211932.11255877753</v>
      </c>
      <c r="CB8" s="33">
        <f t="shared" ca="1" si="5"/>
        <v>224030.65233186283</v>
      </c>
      <c r="CC8" s="33">
        <f t="shared" ca="1" si="5"/>
        <v>270272.20752776158</v>
      </c>
      <c r="CD8" s="33">
        <f t="shared" ca="1" si="5"/>
        <v>249166.16008830437</v>
      </c>
      <c r="CE8" s="33">
        <f t="shared" ca="1" si="5"/>
        <v>296695.33195800259</v>
      </c>
      <c r="CF8" s="33">
        <f t="shared" ca="1" si="5"/>
        <v>269515.51559409697</v>
      </c>
      <c r="CG8" s="33">
        <f t="shared" ca="1" si="5"/>
        <v>261314.28726113687</v>
      </c>
      <c r="CH8" s="33">
        <f t="shared" ca="1" si="5"/>
        <v>262667.57145921973</v>
      </c>
      <c r="CI8" s="33">
        <f t="shared" ca="1" si="5"/>
        <v>279510.2531052393</v>
      </c>
      <c r="CJ8" s="33">
        <f t="shared" ca="1" si="5"/>
        <v>274542.24112966901</v>
      </c>
      <c r="CK8" s="33">
        <f t="shared" ca="1" si="5"/>
        <v>256927.15936984267</v>
      </c>
      <c r="CL8" s="33">
        <f t="shared" ca="1" si="5"/>
        <v>231638.57919224203</v>
      </c>
      <c r="CM8" s="33">
        <f t="shared" ca="1" si="5"/>
        <v>221375.71964688887</v>
      </c>
      <c r="CN8" s="33">
        <f t="shared" ca="1" si="5"/>
        <v>234013.36533732407</v>
      </c>
      <c r="CO8" s="33">
        <f t="shared" ca="1" si="5"/>
        <v>282315.42506526806</v>
      </c>
      <c r="CP8" s="33">
        <f t="shared" ca="1" si="5"/>
        <v>269564.21878983389</v>
      </c>
      <c r="CQ8" s="33">
        <f t="shared" ca="1" si="5"/>
        <v>309915.95296753017</v>
      </c>
      <c r="CR8" s="33">
        <f t="shared" ca="1" si="5"/>
        <v>281525.01525269408</v>
      </c>
      <c r="CS8" s="33">
        <f t="shared" ca="1" si="5"/>
        <v>272958.34358469013</v>
      </c>
      <c r="CT8" s="33">
        <f t="shared" ca="1" si="5"/>
        <v>274371.92956569279</v>
      </c>
      <c r="CU8" s="33">
        <f t="shared" ca="1" si="5"/>
        <v>291965.11412443651</v>
      </c>
      <c r="CV8" s="33">
        <f t="shared" ca="1" si="5"/>
        <v>286767.95030497451</v>
      </c>
      <c r="CW8" s="33">
        <f t="shared" ca="1" si="5"/>
        <v>268368.44693553093</v>
      </c>
      <c r="CX8" s="33">
        <f t="shared" ca="1" si="5"/>
        <v>241953.73467189659</v>
      </c>
      <c r="CY8" s="33">
        <f t="shared" ca="1" si="5"/>
        <v>231233.85716241444</v>
      </c>
      <c r="CZ8" s="33">
        <f t="shared" ca="1" si="5"/>
        <v>244434.2730125018</v>
      </c>
      <c r="DA8" s="33">
        <f t="shared" ca="1" si="5"/>
        <v>294887.28383770585</v>
      </c>
      <c r="DB8" s="33">
        <f t="shared" ca="1" si="5"/>
        <v>271859.00039375603</v>
      </c>
      <c r="DC8" s="33">
        <f t="shared" ca="1" si="5"/>
        <v>323716.89774811559</v>
      </c>
      <c r="DD8" s="33">
        <f t="shared" ca="1" si="5"/>
        <v>294061.67608816561</v>
      </c>
      <c r="DE8" s="33">
        <f t="shared" ca="1" si="5"/>
        <v>285113.51982244587</v>
      </c>
      <c r="DF8" s="33">
        <f t="shared" ca="1" si="5"/>
        <v>286590.05455416505</v>
      </c>
      <c r="DG8" s="33">
        <f t="shared" ca="1" si="5"/>
        <v>304966.68561279034</v>
      </c>
      <c r="DH8" s="33">
        <f t="shared" ca="1" si="5"/>
        <v>299529.87479498651</v>
      </c>
      <c r="DI8" s="33">
        <f t="shared" ca="1" si="5"/>
        <v>280311.54535936355</v>
      </c>
      <c r="DJ8" s="33">
        <f t="shared" ca="1" si="5"/>
        <v>252721.30925153597</v>
      </c>
      <c r="DK8" s="33">
        <f t="shared" ca="1" si="5"/>
        <v>241524.3691303753</v>
      </c>
      <c r="DL8" s="33">
        <f t="shared" ca="1" si="5"/>
        <v>255312.238041854</v>
      </c>
      <c r="DM8" s="33">
        <f t="shared" ca="1" si="5"/>
        <v>308010.53992472414</v>
      </c>
      <c r="DN8" s="33">
        <f t="shared" ca="1" si="5"/>
        <v>283957.43758405402</v>
      </c>
      <c r="DO8" s="33">
        <f t="shared" ca="1" si="5"/>
        <v>338123.14712434058</v>
      </c>
      <c r="DP8" s="33">
        <f t="shared" ca="1" si="5"/>
        <v>307148.19046905264</v>
      </c>
      <c r="DQ8" s="33">
        <f t="shared" ca="1" si="5"/>
        <v>297801.81782501546</v>
      </c>
      <c r="DR8" s="33">
        <f t="shared" ca="1" si="5"/>
        <v>299344.06221757032</v>
      </c>
      <c r="DS8" s="33">
        <f t="shared" ca="1" si="5"/>
        <v>318538.50146466837</v>
      </c>
      <c r="DT8" s="33">
        <f t="shared" ca="1" si="5"/>
        <v>311195.77518173872</v>
      </c>
      <c r="DU8" s="33">
        <f t="shared" ca="1" si="5"/>
        <v>300936.57380212093</v>
      </c>
      <c r="DV8" s="33">
        <f t="shared" ca="1" si="5"/>
        <v>262564.13919080631</v>
      </c>
      <c r="DW8" s="33">
        <f t="shared" ca="1" si="5"/>
        <v>259295.47797481029</v>
      </c>
      <c r="DX8" s="33">
        <f t="shared" ca="1" si="5"/>
        <v>265255.97783927358</v>
      </c>
      <c r="DY8" s="33">
        <f t="shared" ca="1" si="5"/>
        <v>320006.73990073975</v>
      </c>
      <c r="DZ8" s="33">
        <f t="shared" ca="1" si="5"/>
        <v>295016.83252153831</v>
      </c>
      <c r="EA8" s="33">
        <f t="shared" ca="1" si="5"/>
        <v>351292.15390707803</v>
      </c>
      <c r="EB8" s="33">
        <f t="shared" ca="1" si="5"/>
        <v>319110.8042031104</v>
      </c>
      <c r="EC8" s="33">
        <f t="shared" ref="EC8:GN8" ca="1" si="6">+EB4*EB5</f>
        <v>309400.41494030552</v>
      </c>
      <c r="ED8" s="33">
        <f t="shared" ca="1" si="6"/>
        <v>311002.72569341253</v>
      </c>
      <c r="EE8" s="33">
        <f t="shared" ca="1" si="6"/>
        <v>330944.73783750291</v>
      </c>
      <c r="EF8" s="33">
        <f t="shared" ca="1" si="6"/>
        <v>323279.44092017849</v>
      </c>
      <c r="EG8" s="33">
        <f t="shared" ca="1" si="6"/>
        <v>312621.87693379901</v>
      </c>
      <c r="EH8" s="33">
        <f t="shared" ca="1" si="6"/>
        <v>272759.44885087485</v>
      </c>
      <c r="EI8" s="33">
        <f t="shared" ca="1" si="6"/>
        <v>269363.86621532153</v>
      </c>
      <c r="EJ8" s="33">
        <f t="shared" ca="1" si="6"/>
        <v>275555.81102133048</v>
      </c>
      <c r="EK8" s="33">
        <f t="shared" ca="1" si="6"/>
        <v>332432.53352454514</v>
      </c>
      <c r="EL8" s="33">
        <f t="shared" ca="1" si="6"/>
        <v>317417.71169305401</v>
      </c>
      <c r="EM8" s="33">
        <f t="shared" ca="1" si="6"/>
        <v>364932.75350027852</v>
      </c>
      <c r="EN8" s="33">
        <f t="shared" ca="1" si="6"/>
        <v>331501.80883440142</v>
      </c>
      <c r="EO8" s="33">
        <f t="shared" ca="1" si="6"/>
        <v>321414.36722256208</v>
      </c>
      <c r="EP8" s="33">
        <f t="shared" ca="1" si="6"/>
        <v>323078.89536129503</v>
      </c>
      <c r="EQ8" s="33">
        <f t="shared" ca="1" si="6"/>
        <v>343795.25159395911</v>
      </c>
      <c r="ER8" s="33">
        <f t="shared" ca="1" si="6"/>
        <v>335793.48379450798</v>
      </c>
      <c r="ES8" s="33">
        <f t="shared" ca="1" si="6"/>
        <v>324723.36894413969</v>
      </c>
      <c r="ET8" s="33">
        <f t="shared" ca="1" si="6"/>
        <v>283317.87912897323</v>
      </c>
      <c r="EU8" s="33">
        <f t="shared" ca="1" si="6"/>
        <v>279790.85458494688</v>
      </c>
      <c r="EV8" s="33">
        <f t="shared" ca="1" si="6"/>
        <v>286222.48757699493</v>
      </c>
      <c r="EW8" s="33">
        <f t="shared" ca="1" si="6"/>
        <v>345300.8896609791</v>
      </c>
      <c r="EX8" s="33">
        <f t="shared" ca="1" si="6"/>
        <v>318335.71619850665</v>
      </c>
      <c r="EY8" s="33">
        <f t="shared" ca="1" si="6"/>
        <v>379059.18266803125</v>
      </c>
      <c r="EZ8" s="33">
        <f t="shared" ca="1" si="6"/>
        <v>344334.13691831374</v>
      </c>
      <c r="FA8" s="33">
        <f t="shared" ca="1" si="6"/>
        <v>333856.21369569353</v>
      </c>
      <c r="FB8" s="33">
        <f t="shared" ca="1" si="6"/>
        <v>335585.17518173228</v>
      </c>
      <c r="FC8" s="33">
        <f t="shared" ca="1" si="6"/>
        <v>357103.45488146722</v>
      </c>
      <c r="FD8" s="33">
        <f t="shared" ca="1" si="6"/>
        <v>348750.73235397</v>
      </c>
      <c r="FE8" s="33">
        <f t="shared" ca="1" si="6"/>
        <v>337253.45546317985</v>
      </c>
      <c r="FF8" s="33">
        <f t="shared" ca="1" si="6"/>
        <v>294250.25381275429</v>
      </c>
      <c r="FG8" s="33">
        <f t="shared" ca="1" si="6"/>
        <v>290587.13212599646</v>
      </c>
      <c r="FH8" s="33">
        <f t="shared" ca="1" si="6"/>
        <v>297266.94226067245</v>
      </c>
      <c r="FI8" s="33">
        <f t="shared" ca="1" si="6"/>
        <v>358625.00007724512</v>
      </c>
      <c r="FJ8" s="33">
        <f t="shared" ca="1" si="6"/>
        <v>330619.32263877516</v>
      </c>
      <c r="FK8" s="33">
        <f t="shared" ca="1" si="6"/>
        <v>393685.92286880844</v>
      </c>
      <c r="FL8" s="33">
        <f t="shared" ca="1" si="6"/>
        <v>357620.94328853133</v>
      </c>
      <c r="FM8" s="33">
        <f t="shared" ca="1" si="6"/>
        <v>346738.70889808174</v>
      </c>
      <c r="FN8" s="33">
        <f t="shared" ca="1" si="6"/>
        <v>348534.38574581</v>
      </c>
      <c r="FO8" s="33">
        <f t="shared" ca="1" si="6"/>
        <v>370882.99036874122</v>
      </c>
      <c r="FP8" s="33">
        <f t="shared" ca="1" si="6"/>
        <v>362164.22205989191</v>
      </c>
      <c r="FQ8" s="33">
        <f t="shared" ca="1" si="6"/>
        <v>350224.74221176363</v>
      </c>
      <c r="FR8" s="33">
        <f t="shared" ca="1" si="6"/>
        <v>305567.57126709097</v>
      </c>
      <c r="FS8" s="33">
        <f t="shared" ca="1" si="6"/>
        <v>301763.56028468866</v>
      </c>
      <c r="FT8" s="33">
        <f t="shared" ca="1" si="6"/>
        <v>308700.28619377525</v>
      </c>
      <c r="FU8" s="33">
        <f t="shared" ca="1" si="6"/>
        <v>372418.26931098528</v>
      </c>
      <c r="FV8" s="33">
        <f t="shared" ca="1" si="6"/>
        <v>343335.4504325742</v>
      </c>
      <c r="FW8" s="33">
        <f t="shared" ca="1" si="6"/>
        <v>408827.6891329934</v>
      </c>
      <c r="FX8" s="33">
        <f t="shared" ca="1" si="6"/>
        <v>371375.59495347482</v>
      </c>
      <c r="FY8" s="33">
        <f t="shared" ca="1" si="6"/>
        <v>360074.81308646948</v>
      </c>
      <c r="FZ8" s="33">
        <f t="shared" ca="1" si="6"/>
        <v>361939.55442834116</v>
      </c>
      <c r="GA8" s="33">
        <f t="shared" ca="1" si="6"/>
        <v>385147.72076753894</v>
      </c>
      <c r="GB8" s="33">
        <f t="shared" ca="1" si="6"/>
        <v>376047.18390552117</v>
      </c>
      <c r="GC8" s="33">
        <f t="shared" ca="1" si="6"/>
        <v>363650.02399654791</v>
      </c>
      <c r="GD8" s="33">
        <f t="shared" ca="1" si="6"/>
        <v>317280.99483232945</v>
      </c>
      <c r="GE8" s="33">
        <f t="shared" ca="1" si="6"/>
        <v>313331.16342893505</v>
      </c>
      <c r="GF8" s="33">
        <f t="shared" ca="1" si="6"/>
        <v>320533.79716453666</v>
      </c>
      <c r="GG8" s="33">
        <f t="shared" ca="1" si="6"/>
        <v>386694.30296790646</v>
      </c>
      <c r="GH8" s="33">
        <f t="shared" ca="1" si="6"/>
        <v>369228.6656526975</v>
      </c>
      <c r="GI8" s="33">
        <f t="shared" ca="1" si="6"/>
        <v>424499.41721642489</v>
      </c>
      <c r="GJ8" s="33">
        <f t="shared" ca="1" si="6"/>
        <v>385611.65942669136</v>
      </c>
      <c r="GK8" s="33">
        <f t="shared" ca="1" si="6"/>
        <v>373877.6809214509</v>
      </c>
      <c r="GL8" s="33">
        <f t="shared" ca="1" si="6"/>
        <v>375813.90401476086</v>
      </c>
      <c r="GM8" s="33">
        <f t="shared" ca="1" si="6"/>
        <v>399911.71673029463</v>
      </c>
      <c r="GN8" s="33">
        <f t="shared" ca="1" si="6"/>
        <v>390413.03138056357</v>
      </c>
      <c r="GO8" s="33">
        <f t="shared" ref="GO8:IH8" ca="1" si="7">+GN4*GN5</f>
        <v>377542.27210428118</v>
      </c>
      <c r="GP8" s="33">
        <f t="shared" ca="1" si="7"/>
        <v>329401.84182592412</v>
      </c>
      <c r="GQ8" s="33">
        <f t="shared" ca="1" si="7"/>
        <v>325301.11798689433</v>
      </c>
      <c r="GR8" s="33">
        <f t="shared" ca="1" si="7"/>
        <v>332778.90851688973</v>
      </c>
      <c r="GS8" s="33">
        <f t="shared" ca="1" si="7"/>
        <v>401466.8943172422</v>
      </c>
      <c r="GT8" s="33">
        <f t="shared" ca="1" si="7"/>
        <v>370115.61556631501</v>
      </c>
      <c r="GU8" s="33">
        <f t="shared" ca="1" si="7"/>
        <v>440716.24888536689</v>
      </c>
      <c r="GV8" s="33">
        <f t="shared" ca="1" si="7"/>
        <v>400342.89135984587</v>
      </c>
      <c r="GW8" s="33">
        <f t="shared" ca="1" si="7"/>
        <v>388160.64850721409</v>
      </c>
      <c r="GX8" s="33">
        <f t="shared" ca="1" si="7"/>
        <v>390170.83967375179</v>
      </c>
      <c r="GY8" s="33">
        <f t="shared" ca="1" si="7"/>
        <v>415189.24298740702</v>
      </c>
      <c r="GZ8" s="33">
        <f t="shared" ca="1" si="7"/>
        <v>405275.34564334637</v>
      </c>
      <c r="HA8" s="33">
        <f t="shared" ca="1" si="7"/>
        <v>391914.61996279651</v>
      </c>
      <c r="HB8" s="33">
        <f t="shared" ca="1" si="7"/>
        <v>341941.57103179739</v>
      </c>
      <c r="HC8" s="33">
        <f t="shared" ca="1" si="7"/>
        <v>337684.74009207735</v>
      </c>
      <c r="HD8" s="33">
        <f t="shared" ca="1" si="7"/>
        <v>345447.19651156676</v>
      </c>
      <c r="HE8" s="33">
        <f t="shared" ca="1" si="7"/>
        <v>416750.0090440918</v>
      </c>
      <c r="HF8" s="33">
        <f t="shared" ca="1" si="7"/>
        <v>384205.24411344191</v>
      </c>
      <c r="HG8" s="33">
        <f t="shared" ca="1" si="7"/>
        <v>457493.5151781622</v>
      </c>
      <c r="HH8" s="33">
        <f t="shared" ca="1" si="7"/>
        <v>415583.21733774908</v>
      </c>
      <c r="HI8" s="33">
        <f t="shared" ca="1" si="7"/>
        <v>402937.21864925016</v>
      </c>
      <c r="HJ8" s="33">
        <f t="shared" ca="1" si="7"/>
        <v>405023.93413860485</v>
      </c>
      <c r="HK8" s="33">
        <f t="shared" ca="1" si="7"/>
        <v>430994.7425784049</v>
      </c>
      <c r="HL8" s="33">
        <f t="shared" ca="1" si="7"/>
        <v>420647.85875395604</v>
      </c>
      <c r="HM8" s="33">
        <f t="shared" ca="1" si="7"/>
        <v>406780.34692690265</v>
      </c>
      <c r="HN8" s="33">
        <f t="shared" ca="1" si="7"/>
        <v>354911.7685536932</v>
      </c>
      <c r="HO8" s="33">
        <f t="shared" ca="1" si="7"/>
        <v>350493.47161281132</v>
      </c>
      <c r="HP8" s="33">
        <f t="shared" ca="1" si="7"/>
        <v>358550.36603441933</v>
      </c>
      <c r="HQ8" s="33">
        <f t="shared" ca="1" si="7"/>
        <v>432557.76800783334</v>
      </c>
      <c r="HR8" s="33">
        <f t="shared" ca="1" si="7"/>
        <v>398778.54647636553</v>
      </c>
      <c r="HS8" s="33">
        <f t="shared" ca="1" si="7"/>
        <v>474846.71747802355</v>
      </c>
      <c r="HT8" s="33">
        <f t="shared" ca="1" si="7"/>
        <v>431346.71868504316</v>
      </c>
      <c r="HU8" s="33">
        <f t="shared" ca="1" si="7"/>
        <v>418221.04418422177</v>
      </c>
      <c r="HV8" s="33">
        <f t="shared" ca="1" si="7"/>
        <v>420386.91095075896</v>
      </c>
      <c r="HW8" s="33">
        <f t="shared" ca="1" si="7"/>
        <v>447342.81902103411</v>
      </c>
      <c r="HX8" s="33">
        <f t="shared" ca="1" si="7"/>
        <v>436544.43481151847</v>
      </c>
      <c r="HY8" s="33">
        <f t="shared" ca="1" si="7"/>
        <v>422152.86003751232</v>
      </c>
      <c r="HZ8" s="33">
        <f t="shared" ca="1" si="7"/>
        <v>368324.13190019905</v>
      </c>
      <c r="IA8" s="33">
        <f t="shared" ca="1" si="7"/>
        <v>363738.86443538847</v>
      </c>
      <c r="IB8" s="33">
        <f t="shared" ca="1" si="7"/>
        <v>372100.23451827822</v>
      </c>
      <c r="IC8" s="33">
        <f t="shared" ca="1" si="7"/>
        <v>448904.42784533865</v>
      </c>
      <c r="ID8" s="33">
        <f t="shared" ca="1" si="7"/>
        <v>428628.97546405863</v>
      </c>
      <c r="IE8" s="33">
        <f t="shared" ca="1" si="7"/>
        <v>492791.50621992559</v>
      </c>
      <c r="IF8" s="33">
        <f t="shared" ca="1" si="7"/>
        <v>447647.61212372204</v>
      </c>
      <c r="IG8" s="33">
        <f t="shared" ca="1" si="7"/>
        <v>434025.90922606731</v>
      </c>
      <c r="IH8" s="33">
        <f t="shared" ca="1" si="7"/>
        <v>436273.62560878176</v>
      </c>
      <c r="II8" s="33">
        <f t="shared" ref="II8" ca="1" si="8">+IH4*IH5</f>
        <v>464248.21625148022</v>
      </c>
      <c r="IJ8" s="33">
        <f t="shared" ref="IJ8" ca="1" si="9">+II4*II5</f>
        <v>454147.03298940207</v>
      </c>
      <c r="IK8" s="33">
        <f t="shared" ref="IK8" ca="1" si="10">+IJ4*IJ5</f>
        <v>440196.49034556752</v>
      </c>
      <c r="IL8" s="33">
        <f t="shared" ref="IL8" ca="1" si="11">+IK4*IK5</f>
        <v>384958.1249537557</v>
      </c>
      <c r="IM8" s="33">
        <f t="shared" ref="IM8" ca="1" si="12">+IL4*IL5</f>
        <v>381045.79427545902</v>
      </c>
    </row>
    <row r="9" spans="1:247" x14ac:dyDescent="0.3">
      <c r="A9" t="s">
        <v>813</v>
      </c>
      <c r="B9" s="30" t="e">
        <f>+#REF!</f>
        <v>#REF!</v>
      </c>
      <c r="C9" s="30">
        <f>+Producción!E46</f>
        <v>0</v>
      </c>
      <c r="D9" s="30">
        <f>+Producción!F46</f>
        <v>0</v>
      </c>
      <c r="E9" s="30">
        <f>+Producción!G46</f>
        <v>0</v>
      </c>
      <c r="F9" s="30">
        <f>+Producción!H46</f>
        <v>0</v>
      </c>
      <c r="G9" s="30">
        <f>+Producción!I46</f>
        <v>0</v>
      </c>
      <c r="H9" s="30">
        <f>+Producción!J46</f>
        <v>0</v>
      </c>
      <c r="I9" s="30" t="e">
        <f ca="1">+Producción!K46+SUM(Producción!K24:K26)</f>
        <v>#VALUE!</v>
      </c>
      <c r="J9" s="30" t="e">
        <f ca="1">+Producción!L46+SUM(Producción!L24:L26)</f>
        <v>#VALUE!</v>
      </c>
      <c r="K9" s="30" t="e">
        <f ca="1">+Producción!M46+SUM(Producción!M24:M26)</f>
        <v>#VALUE!</v>
      </c>
      <c r="L9" s="30" t="e">
        <f ca="1">+Producción!N46+SUM(Producción!N24:N26)</f>
        <v>#VALUE!</v>
      </c>
      <c r="M9" s="30" t="e">
        <f ca="1">+Producción!O46+SUM(Producción!O24:O26)</f>
        <v>#VALUE!</v>
      </c>
      <c r="N9" s="30" t="e">
        <f ca="1">+Producción!P46+SUM(Producción!P24:P26)</f>
        <v>#VALUE!</v>
      </c>
      <c r="O9" s="30" t="e">
        <f ca="1">+Producción!Q46+SUM(Producción!Q24:Q26)</f>
        <v>#VALUE!</v>
      </c>
      <c r="P9" s="30" t="e">
        <f ca="1">+Producción!R46+SUM(Producción!R24:R26)</f>
        <v>#VALUE!</v>
      </c>
      <c r="Q9" s="30" t="e">
        <f ca="1">+Producción!S46+SUM(Producción!S24:S26)</f>
        <v>#VALUE!</v>
      </c>
      <c r="R9" s="30" t="e">
        <f ca="1">+Producción!T46+SUM(Producción!T24:T26)</f>
        <v>#VALUE!</v>
      </c>
      <c r="S9" s="30" t="e">
        <f ca="1">+Producción!U46+SUM(Producción!U24:U26)</f>
        <v>#VALUE!</v>
      </c>
      <c r="T9" s="30" t="e">
        <f ca="1">+Producción!V46+SUM(Producción!V24:V26)</f>
        <v>#VALUE!</v>
      </c>
      <c r="U9" s="30" t="e">
        <f ca="1">+Producción!W46+SUM(Producción!W24:W26)</f>
        <v>#VALUE!</v>
      </c>
      <c r="V9" s="30" t="e">
        <f ca="1">+Producción!X46+SUM(Producción!X24:X26)</f>
        <v>#VALUE!</v>
      </c>
      <c r="W9" s="30" t="e">
        <f ca="1">+Producción!Y46+SUM(Producción!Y24:Y26)</f>
        <v>#VALUE!</v>
      </c>
      <c r="X9" s="30" t="e">
        <f ca="1">+Producción!Z46+SUM(Producción!Z24:Z26)</f>
        <v>#VALUE!</v>
      </c>
      <c r="Y9" s="30" t="e">
        <f ca="1">+Producción!AA46+SUM(Producción!AA24:AA26)</f>
        <v>#VALUE!</v>
      </c>
      <c r="Z9" s="30" t="e">
        <f ca="1">+Producción!AB46+SUM(Producción!AB24:AB26)</f>
        <v>#VALUE!</v>
      </c>
      <c r="AA9" s="30" t="e">
        <f ca="1">+Producción!AC46+SUM(Producción!AC24:AC26)</f>
        <v>#VALUE!</v>
      </c>
      <c r="AB9" s="30" t="e">
        <f ca="1">+Producción!AD46+SUM(Producción!AD24:AD26)</f>
        <v>#VALUE!</v>
      </c>
      <c r="AC9" s="30" t="e">
        <f ca="1">+Producción!AE46+SUM(Producción!AE24:AE26)</f>
        <v>#VALUE!</v>
      </c>
      <c r="AD9" s="30" t="e">
        <f ca="1">+Producción!AF46+SUM(Producción!AF24:AF26)</f>
        <v>#VALUE!</v>
      </c>
      <c r="AE9" s="30" t="e">
        <f ca="1">+Producción!AG46+SUM(Producción!AG24:AG26)</f>
        <v>#VALUE!</v>
      </c>
      <c r="AF9" s="30" t="e">
        <f ca="1">+Producción!AH46+SUM(Producción!AH24:AH26)</f>
        <v>#VALUE!</v>
      </c>
      <c r="AG9" s="30" t="e">
        <f ca="1">+Producción!AI46+SUM(Producción!AI24:AI26)</f>
        <v>#VALUE!</v>
      </c>
      <c r="AH9" s="30" t="e">
        <f ca="1">+Producción!AJ46+SUM(Producción!AJ24:AJ26)</f>
        <v>#VALUE!</v>
      </c>
      <c r="AI9" s="30" t="e">
        <f ca="1">+Producción!AK46+SUM(Producción!AK24:AK26)</f>
        <v>#VALUE!</v>
      </c>
      <c r="AJ9" s="30" t="e">
        <f ca="1">+Producción!AL46+SUM(Producción!AL24:AL26)</f>
        <v>#VALUE!</v>
      </c>
      <c r="AK9" s="30" t="e">
        <f ca="1">+Producción!AM46+SUM(Producción!AM24:AM26)</f>
        <v>#VALUE!</v>
      </c>
      <c r="AL9" s="30" t="e">
        <f ca="1">+Producción!AN46+SUM(Producción!AN24:AN26)</f>
        <v>#VALUE!</v>
      </c>
      <c r="AM9" s="30" t="e">
        <f ca="1">+Producción!AO46+SUM(Producción!AO24:AO26)</f>
        <v>#VALUE!</v>
      </c>
      <c r="AN9" s="30" t="e">
        <f ca="1">+Producción!AP46+SUM(Producción!AP24:AP26)</f>
        <v>#VALUE!</v>
      </c>
      <c r="AO9" s="30" t="e">
        <f ca="1">+Producción!AQ46+SUM(Producción!AQ24:AQ26)</f>
        <v>#VALUE!</v>
      </c>
      <c r="AP9" s="30" t="e">
        <f ca="1">+Producción!AR46+SUM(Producción!AR24:AR26)</f>
        <v>#VALUE!</v>
      </c>
      <c r="AQ9" s="30" t="e">
        <f ca="1">+Producción!AS46+SUM(Producción!AS24:AS26)</f>
        <v>#VALUE!</v>
      </c>
      <c r="AR9" s="30" t="e">
        <f ca="1">+Producción!AT46+SUM(Producción!AT24:AT26)</f>
        <v>#VALUE!</v>
      </c>
      <c r="AS9" s="30" t="e">
        <f ca="1">+Producción!AU46+SUM(Producción!AU24:AU26)</f>
        <v>#VALUE!</v>
      </c>
      <c r="AT9" s="30" t="e">
        <f ca="1">+Producción!AV46+SUM(Producción!AV24:AV26)</f>
        <v>#VALUE!</v>
      </c>
      <c r="AU9" s="30" t="e">
        <f ca="1">+Producción!AW46+SUM(Producción!AW24:AW26)</f>
        <v>#VALUE!</v>
      </c>
      <c r="AV9" s="30" t="e">
        <f ca="1">+Producción!AX46+SUM(Producción!AX24:AX26)</f>
        <v>#VALUE!</v>
      </c>
      <c r="AW9" s="30" t="e">
        <f ca="1">+Producción!AY46+SUM(Producción!AY24:AY26)</f>
        <v>#VALUE!</v>
      </c>
      <c r="AX9" s="30" t="e">
        <f ca="1">+Producción!AZ46+SUM(Producción!AZ24:AZ26)</f>
        <v>#VALUE!</v>
      </c>
      <c r="AY9" s="30" t="e">
        <f ca="1">+Producción!BA46+SUM(Producción!BA24:BA26)</f>
        <v>#VALUE!</v>
      </c>
      <c r="AZ9" s="30" t="e">
        <f ca="1">+Producción!BB46+SUM(Producción!BB24:BB26)</f>
        <v>#VALUE!</v>
      </c>
      <c r="BA9" s="30" t="e">
        <f ca="1">+Producción!BC46+SUM(Producción!BC24:BC26)</f>
        <v>#VALUE!</v>
      </c>
      <c r="BB9" s="30" t="e">
        <f ca="1">+Producción!BD46+SUM(Producción!BD24:BD26)</f>
        <v>#VALUE!</v>
      </c>
      <c r="BC9" s="30" t="e">
        <f ca="1">+Producción!BE46+SUM(Producción!BE24:BE26)</f>
        <v>#VALUE!</v>
      </c>
      <c r="BD9" s="30" t="e">
        <f ca="1">+Producción!BF46+SUM(Producción!BF24:BF26)</f>
        <v>#VALUE!</v>
      </c>
      <c r="BE9" s="30" t="e">
        <f ca="1">+Producción!BG46+SUM(Producción!BG24:BG26)</f>
        <v>#VALUE!</v>
      </c>
      <c r="BF9" s="30" t="e">
        <f ca="1">+Producción!BH46+SUM(Producción!BH24:BH26)</f>
        <v>#VALUE!</v>
      </c>
      <c r="BG9" s="30" t="e">
        <f ca="1">+Producción!BI46+SUM(Producción!BI24:BI26)</f>
        <v>#VALUE!</v>
      </c>
      <c r="BH9" s="30" t="e">
        <f ca="1">+Producción!BJ46+SUM(Producción!BJ24:BJ26)</f>
        <v>#VALUE!</v>
      </c>
      <c r="BI9" s="30" t="e">
        <f ca="1">+Producción!BK46+SUM(Producción!BK24:BK26)</f>
        <v>#VALUE!</v>
      </c>
      <c r="BJ9" s="30" t="e">
        <f ca="1">+Producción!BL46+SUM(Producción!BL24:BL26)</f>
        <v>#VALUE!</v>
      </c>
      <c r="BK9" s="30" t="e">
        <f ca="1">+Producción!BM46+SUM(Producción!BM24:BM26)</f>
        <v>#VALUE!</v>
      </c>
      <c r="BL9" s="30" t="e">
        <f ca="1">+Producción!BN46+SUM(Producción!BN24:BN26)</f>
        <v>#VALUE!</v>
      </c>
      <c r="BM9" s="30" t="e">
        <f ca="1">+Producción!BO46+SUM(Producción!BO24:BO26)</f>
        <v>#VALUE!</v>
      </c>
      <c r="BN9" s="30" t="e">
        <f ca="1">+Producción!BP46+SUM(Producción!BP24:BP26)</f>
        <v>#VALUE!</v>
      </c>
      <c r="BO9" s="30" t="e">
        <f ca="1">+Producción!BQ46+SUM(Producción!BQ24:BQ26)</f>
        <v>#VALUE!</v>
      </c>
      <c r="BP9" s="30" t="e">
        <f ca="1">+Producción!BR46+SUM(Producción!BR24:BR26)</f>
        <v>#VALUE!</v>
      </c>
      <c r="BQ9" s="30" t="e">
        <f ca="1">+Producción!BS46+SUM(Producción!BS24:BS26)</f>
        <v>#VALUE!</v>
      </c>
      <c r="BR9" s="30" t="e">
        <f ca="1">+Producción!BT46+SUM(Producción!BT24:BT26)</f>
        <v>#VALUE!</v>
      </c>
      <c r="BS9" s="30" t="e">
        <f ca="1">+Producción!BU46+SUM(Producción!BU24:BU26)</f>
        <v>#VALUE!</v>
      </c>
      <c r="BT9" s="30" t="e">
        <f ca="1">+Producción!BV46+SUM(Producción!BV24:BV26)</f>
        <v>#VALUE!</v>
      </c>
      <c r="BU9" s="30" t="e">
        <f ca="1">+Producción!BW46+SUM(Producción!BW24:BW26)</f>
        <v>#VALUE!</v>
      </c>
      <c r="BV9" s="30" t="e">
        <f ca="1">+Producción!BX46+SUM(Producción!BX24:BX26)</f>
        <v>#VALUE!</v>
      </c>
      <c r="BW9" s="30" t="e">
        <f ca="1">+Producción!BY46+SUM(Producción!BY24:BY26)</f>
        <v>#VALUE!</v>
      </c>
      <c r="BX9" s="30" t="e">
        <f ca="1">+Producción!BZ46+SUM(Producción!BZ24:BZ26)</f>
        <v>#VALUE!</v>
      </c>
      <c r="BY9" s="30" t="e">
        <f ca="1">+Producción!CA46+SUM(Producción!CA24:CA26)</f>
        <v>#VALUE!</v>
      </c>
      <c r="BZ9" s="30" t="e">
        <f ca="1">+Producción!CB46+SUM(Producción!CB24:CB26)</f>
        <v>#VALUE!</v>
      </c>
      <c r="CA9" s="30" t="e">
        <f ca="1">+Producción!CC46+SUM(Producción!CC24:CC26)</f>
        <v>#VALUE!</v>
      </c>
      <c r="CB9" s="30" t="e">
        <f ca="1">+Producción!CD46+SUM(Producción!CD24:CD26)</f>
        <v>#VALUE!</v>
      </c>
      <c r="CC9" s="30" t="e">
        <f ca="1">+Producción!CE46+SUM(Producción!CE24:CE26)</f>
        <v>#VALUE!</v>
      </c>
      <c r="CD9" s="30" t="e">
        <f ca="1">+Producción!CF46+SUM(Producción!CF24:CF26)</f>
        <v>#VALUE!</v>
      </c>
      <c r="CE9" s="30" t="e">
        <f ca="1">+Producción!CG46+SUM(Producción!CG24:CG26)</f>
        <v>#VALUE!</v>
      </c>
      <c r="CF9" s="30" t="e">
        <f ca="1">+Producción!CH46+SUM(Producción!CH24:CH26)</f>
        <v>#VALUE!</v>
      </c>
      <c r="CG9" s="30" t="e">
        <f ca="1">+Producción!CI46+SUM(Producción!CI24:CI26)</f>
        <v>#VALUE!</v>
      </c>
      <c r="CH9" s="30" t="e">
        <f ca="1">+Producción!CJ46+SUM(Producción!CJ24:CJ26)</f>
        <v>#VALUE!</v>
      </c>
      <c r="CI9" s="30" t="e">
        <f ca="1">+Producción!CK46+SUM(Producción!CK24:CK26)</f>
        <v>#VALUE!</v>
      </c>
      <c r="CJ9" s="30" t="e">
        <f ca="1">+Producción!CL46+SUM(Producción!CL24:CL26)</f>
        <v>#VALUE!</v>
      </c>
      <c r="CK9" s="30" t="e">
        <f ca="1">+Producción!CM46+SUM(Producción!CM24:CM26)</f>
        <v>#VALUE!</v>
      </c>
      <c r="CL9" s="30" t="e">
        <f ca="1">+Producción!CN46+SUM(Producción!CN24:CN26)</f>
        <v>#VALUE!</v>
      </c>
      <c r="CM9" s="30" t="e">
        <f ca="1">+Producción!CO46+SUM(Producción!CO24:CO26)</f>
        <v>#VALUE!</v>
      </c>
      <c r="CN9" s="30" t="e">
        <f ca="1">+Producción!CP46+SUM(Producción!CP24:CP26)</f>
        <v>#VALUE!</v>
      </c>
      <c r="CO9" s="30" t="e">
        <f ca="1">+Producción!CQ46+SUM(Producción!CQ24:CQ26)</f>
        <v>#VALUE!</v>
      </c>
      <c r="CP9" s="30" t="e">
        <f ca="1">+Producción!CR46+SUM(Producción!CR24:CR26)</f>
        <v>#VALUE!</v>
      </c>
      <c r="CQ9" s="30" t="e">
        <f ca="1">+Producción!CS46+SUM(Producción!CS24:CS26)</f>
        <v>#VALUE!</v>
      </c>
      <c r="CR9" s="30" t="e">
        <f ca="1">+Producción!CT46+SUM(Producción!CT24:CT26)</f>
        <v>#VALUE!</v>
      </c>
      <c r="CS9" s="30" t="e">
        <f ca="1">+Producción!CU46+SUM(Producción!CU24:CU26)</f>
        <v>#VALUE!</v>
      </c>
      <c r="CT9" s="30" t="e">
        <f ca="1">+Producción!CV46+SUM(Producción!CV24:CV26)</f>
        <v>#VALUE!</v>
      </c>
      <c r="CU9" s="30" t="e">
        <f ca="1">+Producción!CW46+SUM(Producción!CW24:CW26)</f>
        <v>#VALUE!</v>
      </c>
      <c r="CV9" s="30" t="e">
        <f ca="1">+Producción!CX46+SUM(Producción!CX24:CX26)</f>
        <v>#VALUE!</v>
      </c>
      <c r="CW9" s="30" t="e">
        <f ca="1">+Producción!CY46+SUM(Producción!CY24:CY26)</f>
        <v>#VALUE!</v>
      </c>
      <c r="CX9" s="30" t="e">
        <f ca="1">+Producción!CZ46+SUM(Producción!CZ24:CZ26)</f>
        <v>#VALUE!</v>
      </c>
      <c r="CY9" s="30" t="e">
        <f ca="1">+Producción!DA46+SUM(Producción!DA24:DA26)</f>
        <v>#VALUE!</v>
      </c>
      <c r="CZ9" s="30" t="e">
        <f ca="1">+Producción!DB46+SUM(Producción!DB24:DB26)</f>
        <v>#VALUE!</v>
      </c>
      <c r="DA9" s="30" t="e">
        <f ca="1">+Producción!DC46+SUM(Producción!DC24:DC26)</f>
        <v>#VALUE!</v>
      </c>
      <c r="DB9" s="30" t="e">
        <f ca="1">+Producción!DD46+SUM(Producción!DD24:DD26)</f>
        <v>#VALUE!</v>
      </c>
      <c r="DC9" s="30" t="e">
        <f ca="1">+Producción!DE46+SUM(Producción!DE24:DE26)</f>
        <v>#VALUE!</v>
      </c>
      <c r="DD9" s="30" t="e">
        <f ca="1">+Producción!DF46+SUM(Producción!DF24:DF26)</f>
        <v>#VALUE!</v>
      </c>
      <c r="DE9" s="30" t="e">
        <f ca="1">+Producción!DG46+SUM(Producción!DG24:DG26)</f>
        <v>#VALUE!</v>
      </c>
      <c r="DF9" s="30" t="e">
        <f ca="1">+Producción!DH46+SUM(Producción!DH24:DH26)</f>
        <v>#VALUE!</v>
      </c>
      <c r="DG9" s="30" t="e">
        <f ca="1">+Producción!DI46+SUM(Producción!DI24:DI26)</f>
        <v>#VALUE!</v>
      </c>
      <c r="DH9" s="30" t="e">
        <f ca="1">+Producción!DJ46+SUM(Producción!DJ24:DJ26)</f>
        <v>#VALUE!</v>
      </c>
      <c r="DI9" s="30" t="e">
        <f ca="1">+Producción!DK46+SUM(Producción!DK24:DK26)</f>
        <v>#VALUE!</v>
      </c>
      <c r="DJ9" s="30" t="e">
        <f ca="1">+Producción!DL46+SUM(Producción!DL24:DL26)</f>
        <v>#VALUE!</v>
      </c>
      <c r="DK9" s="30" t="e">
        <f ca="1">+Producción!DM46+SUM(Producción!DM24:DM26)</f>
        <v>#VALUE!</v>
      </c>
      <c r="DL9" s="30" t="e">
        <f ca="1">+Producción!DN46+SUM(Producción!DN24:DN26)</f>
        <v>#VALUE!</v>
      </c>
      <c r="DM9" s="30" t="e">
        <f ca="1">+Producción!DO46+SUM(Producción!DO24:DO26)</f>
        <v>#VALUE!</v>
      </c>
      <c r="DN9" s="30" t="e">
        <f ca="1">+Producción!DP46+SUM(Producción!DP24:DP26)</f>
        <v>#VALUE!</v>
      </c>
      <c r="DO9" s="30" t="e">
        <f ca="1">+Producción!DQ46+SUM(Producción!DQ24:DQ26)</f>
        <v>#VALUE!</v>
      </c>
      <c r="DP9" s="30" t="e">
        <f ca="1">+Producción!DR46+SUM(Producción!DR24:DR26)</f>
        <v>#VALUE!</v>
      </c>
      <c r="DQ9" s="30" t="e">
        <f ca="1">+Producción!DS46+SUM(Producción!DS24:DS26)</f>
        <v>#VALUE!</v>
      </c>
      <c r="DR9" s="30" t="e">
        <f ca="1">+Producción!DT46+SUM(Producción!DT24:DT26)</f>
        <v>#VALUE!</v>
      </c>
      <c r="DS9" s="30" t="e">
        <f ca="1">+Producción!DU46+SUM(Producción!DU24:DU26)</f>
        <v>#VALUE!</v>
      </c>
      <c r="DT9" s="30" t="e">
        <f ca="1">+Producción!DV46+SUM(Producción!DV24:DV26)</f>
        <v>#VALUE!</v>
      </c>
      <c r="DU9" s="30" t="e">
        <f ca="1">+Producción!DW46+SUM(Producción!DW24:DW26)</f>
        <v>#VALUE!</v>
      </c>
      <c r="DV9" s="30" t="e">
        <f ca="1">+Producción!DX46+SUM(Producción!DX24:DX26)</f>
        <v>#VALUE!</v>
      </c>
      <c r="DW9" s="30" t="e">
        <f ca="1">+Producción!DY46+SUM(Producción!DY24:DY26)</f>
        <v>#VALUE!</v>
      </c>
      <c r="DX9" s="30" t="e">
        <f ca="1">+Producción!DZ46+SUM(Producción!DZ24:DZ26)</f>
        <v>#VALUE!</v>
      </c>
      <c r="DY9" s="30" t="e">
        <f ca="1">+Producción!EA46+SUM(Producción!EA24:EA26)</f>
        <v>#VALUE!</v>
      </c>
      <c r="DZ9" s="30" t="e">
        <f ca="1">+Producción!EB46+SUM(Producción!EB24:EB26)</f>
        <v>#VALUE!</v>
      </c>
      <c r="EA9" s="30" t="e">
        <f ca="1">+Producción!EC46+SUM(Producción!EC24:EC26)</f>
        <v>#VALUE!</v>
      </c>
      <c r="EB9" s="30" t="e">
        <f ca="1">+Producción!ED46+SUM(Producción!ED24:ED26)</f>
        <v>#VALUE!</v>
      </c>
      <c r="EC9" s="30" t="e">
        <f ca="1">+Producción!EE46+SUM(Producción!EE24:EE26)</f>
        <v>#VALUE!</v>
      </c>
      <c r="ED9" s="30" t="e">
        <f ca="1">+Producción!EF46+SUM(Producción!EF24:EF26)</f>
        <v>#VALUE!</v>
      </c>
      <c r="EE9" s="30" t="e">
        <f ca="1">+Producción!EG46+SUM(Producción!EG24:EG26)</f>
        <v>#VALUE!</v>
      </c>
      <c r="EF9" s="30" t="e">
        <f ca="1">+Producción!EH46+SUM(Producción!EH24:EH26)</f>
        <v>#VALUE!</v>
      </c>
      <c r="EG9" s="30" t="e">
        <f ca="1">+Producción!EI46+SUM(Producción!EI24:EI26)</f>
        <v>#VALUE!</v>
      </c>
      <c r="EH9" s="30" t="e">
        <f ca="1">+Producción!EJ46+SUM(Producción!EJ24:EJ26)</f>
        <v>#VALUE!</v>
      </c>
      <c r="EI9" s="30" t="e">
        <f ca="1">+Producción!EK46+SUM(Producción!EK24:EK26)</f>
        <v>#VALUE!</v>
      </c>
      <c r="EJ9" s="30" t="e">
        <f ca="1">+Producción!EL46+SUM(Producción!EL24:EL26)</f>
        <v>#VALUE!</v>
      </c>
      <c r="EK9" s="30" t="e">
        <f ca="1">+Producción!EM46+SUM(Producción!EM24:EM26)</f>
        <v>#VALUE!</v>
      </c>
      <c r="EL9" s="30" t="e">
        <f ca="1">+Producción!EN46+SUM(Producción!EN24:EN26)</f>
        <v>#VALUE!</v>
      </c>
      <c r="EM9" s="30" t="e">
        <f ca="1">+Producción!EO46+SUM(Producción!EO24:EO26)</f>
        <v>#VALUE!</v>
      </c>
      <c r="EN9" s="30" t="e">
        <f ca="1">+Producción!EP46+SUM(Producción!EP24:EP26)</f>
        <v>#VALUE!</v>
      </c>
      <c r="EO9" s="30" t="e">
        <f ca="1">+Producción!EQ46+SUM(Producción!EQ24:EQ26)</f>
        <v>#VALUE!</v>
      </c>
      <c r="EP9" s="30" t="e">
        <f ca="1">+Producción!ER46+SUM(Producción!ER24:ER26)</f>
        <v>#VALUE!</v>
      </c>
      <c r="EQ9" s="30" t="e">
        <f ca="1">+Producción!ES46+SUM(Producción!ES24:ES26)</f>
        <v>#VALUE!</v>
      </c>
      <c r="ER9" s="30" t="e">
        <f ca="1">+Producción!ET46+SUM(Producción!ET24:ET26)</f>
        <v>#VALUE!</v>
      </c>
      <c r="ES9" s="30" t="e">
        <f ca="1">+Producción!EU46+SUM(Producción!EU24:EU26)</f>
        <v>#VALUE!</v>
      </c>
      <c r="ET9" s="30" t="e">
        <f ca="1">+Producción!EV46+SUM(Producción!EV24:EV26)</f>
        <v>#VALUE!</v>
      </c>
      <c r="EU9" s="30" t="e">
        <f ca="1">+Producción!EW46+SUM(Producción!EW24:EW26)</f>
        <v>#VALUE!</v>
      </c>
      <c r="EV9" s="30" t="e">
        <f ca="1">+Producción!EX46+SUM(Producción!EX24:EX26)</f>
        <v>#VALUE!</v>
      </c>
      <c r="EW9" s="30" t="e">
        <f ca="1">+Producción!EY46+SUM(Producción!EY24:EY26)</f>
        <v>#VALUE!</v>
      </c>
      <c r="EX9" s="30" t="e">
        <f ca="1">+Producción!EZ46+SUM(Producción!EZ24:EZ26)</f>
        <v>#VALUE!</v>
      </c>
      <c r="EY9" s="30" t="e">
        <f ca="1">+Producción!FA46+SUM(Producción!FA24:FA26)</f>
        <v>#VALUE!</v>
      </c>
      <c r="EZ9" s="30" t="e">
        <f ca="1">+Producción!FB46+SUM(Producción!FB24:FB26)</f>
        <v>#VALUE!</v>
      </c>
      <c r="FA9" s="30" t="e">
        <f ca="1">+Producción!FC46+SUM(Producción!FC24:FC26)</f>
        <v>#VALUE!</v>
      </c>
      <c r="FB9" s="30" t="e">
        <f ca="1">+Producción!FD46+SUM(Producción!FD24:FD26)</f>
        <v>#VALUE!</v>
      </c>
      <c r="FC9" s="30" t="e">
        <f ca="1">+Producción!FE46+SUM(Producción!FE24:FE26)</f>
        <v>#VALUE!</v>
      </c>
      <c r="FD9" s="30" t="e">
        <f ca="1">+Producción!FF46+SUM(Producción!FF24:FF26)</f>
        <v>#VALUE!</v>
      </c>
      <c r="FE9" s="30" t="e">
        <f ca="1">+Producción!FG46+SUM(Producción!FG24:FG26)</f>
        <v>#VALUE!</v>
      </c>
      <c r="FF9" s="30" t="e">
        <f ca="1">+Producción!FH46+SUM(Producción!FH24:FH26)</f>
        <v>#VALUE!</v>
      </c>
      <c r="FG9" s="30" t="e">
        <f ca="1">+Producción!FI46+SUM(Producción!FI24:FI26)</f>
        <v>#VALUE!</v>
      </c>
      <c r="FH9" s="30" t="e">
        <f ca="1">+Producción!FJ46+SUM(Producción!FJ24:FJ26)</f>
        <v>#VALUE!</v>
      </c>
      <c r="FI9" s="30" t="e">
        <f ca="1">+Producción!FK46+SUM(Producción!FK24:FK26)</f>
        <v>#VALUE!</v>
      </c>
      <c r="FJ9" s="30" t="e">
        <f ca="1">+Producción!FL46+SUM(Producción!FL24:FL26)</f>
        <v>#VALUE!</v>
      </c>
      <c r="FK9" s="30" t="e">
        <f ca="1">+Producción!FM46+SUM(Producción!FM24:FM26)</f>
        <v>#VALUE!</v>
      </c>
      <c r="FL9" s="30" t="e">
        <f ca="1">+Producción!FN46+SUM(Producción!FN24:FN26)</f>
        <v>#VALUE!</v>
      </c>
      <c r="FM9" s="30" t="e">
        <f ca="1">+Producción!FO46+SUM(Producción!FO24:FO26)</f>
        <v>#VALUE!</v>
      </c>
      <c r="FN9" s="30" t="e">
        <f ca="1">+Producción!FP46+SUM(Producción!FP24:FP26)</f>
        <v>#VALUE!</v>
      </c>
      <c r="FO9" s="30" t="e">
        <f ca="1">+Producción!FQ46+SUM(Producción!FQ24:FQ26)</f>
        <v>#VALUE!</v>
      </c>
      <c r="FP9" s="30" t="e">
        <f ca="1">+Producción!FR46+SUM(Producción!FR24:FR26)</f>
        <v>#VALUE!</v>
      </c>
      <c r="FQ9" s="30" t="e">
        <f ca="1">+Producción!FS46+SUM(Producción!FS24:FS26)</f>
        <v>#VALUE!</v>
      </c>
      <c r="FR9" s="30" t="e">
        <f ca="1">+Producción!FT46+SUM(Producción!FT24:FT26)</f>
        <v>#VALUE!</v>
      </c>
      <c r="FS9" s="30" t="e">
        <f ca="1">+Producción!FU46+SUM(Producción!FU24:FU26)</f>
        <v>#VALUE!</v>
      </c>
      <c r="FT9" s="30" t="e">
        <f ca="1">+Producción!FV46+SUM(Producción!FV24:FV26)</f>
        <v>#VALUE!</v>
      </c>
      <c r="FU9" s="30" t="e">
        <f ca="1">+Producción!FW46+SUM(Producción!FW24:FW26)</f>
        <v>#VALUE!</v>
      </c>
      <c r="FV9" s="30" t="e">
        <f ca="1">+Producción!FX46+SUM(Producción!FX24:FX26)</f>
        <v>#VALUE!</v>
      </c>
      <c r="FW9" s="30" t="e">
        <f ca="1">+Producción!FY46+SUM(Producción!FY24:FY26)</f>
        <v>#VALUE!</v>
      </c>
      <c r="FX9" s="30" t="e">
        <f ca="1">+Producción!FZ46+SUM(Producción!FZ24:FZ26)</f>
        <v>#VALUE!</v>
      </c>
      <c r="FY9" s="30" t="e">
        <f ca="1">+Producción!GA46+SUM(Producción!GA24:GA26)</f>
        <v>#VALUE!</v>
      </c>
      <c r="FZ9" s="30" t="e">
        <f ca="1">+Producción!GB46+SUM(Producción!GB24:GB26)</f>
        <v>#VALUE!</v>
      </c>
      <c r="GA9" s="30" t="e">
        <f ca="1">+Producción!GC46+SUM(Producción!GC24:GC26)</f>
        <v>#VALUE!</v>
      </c>
      <c r="GB9" s="30" t="e">
        <f ca="1">+Producción!GD46+SUM(Producción!GD24:GD26)</f>
        <v>#VALUE!</v>
      </c>
      <c r="GC9" s="30" t="e">
        <f ca="1">+Producción!GE46+SUM(Producción!GE24:GE26)</f>
        <v>#VALUE!</v>
      </c>
      <c r="GD9" s="30" t="e">
        <f ca="1">+Producción!GF46+SUM(Producción!GF24:GF26)</f>
        <v>#VALUE!</v>
      </c>
      <c r="GE9" s="30" t="e">
        <f ca="1">+Producción!GG46+SUM(Producción!GG24:GG26)</f>
        <v>#VALUE!</v>
      </c>
      <c r="GF9" s="30" t="e">
        <f ca="1">+Producción!GH46+SUM(Producción!GH24:GH26)</f>
        <v>#VALUE!</v>
      </c>
      <c r="GG9" s="30">
        <f>+Producción!GI46+SUM(Producción!GI24:GI26)</f>
        <v>120825.2138991955</v>
      </c>
      <c r="GH9" s="30">
        <f>+Producción!GJ46+SUM(Producción!GJ24:GJ26)</f>
        <v>120825.2138991955</v>
      </c>
      <c r="GI9" s="30">
        <f>+Producción!GK46+SUM(Producción!GK24:GK26)</f>
        <v>326825.21389919549</v>
      </c>
      <c r="GJ9" s="30">
        <f>+Producción!GL46+SUM(Producción!GL24:GL26)</f>
        <v>120825.2138991955</v>
      </c>
      <c r="GK9" s="30">
        <f>+Producción!GM46+SUM(Producción!GM24:GM26)</f>
        <v>120825.2138991955</v>
      </c>
      <c r="GL9" s="30">
        <f>+Producción!GN46+SUM(Producción!GN24:GN26)</f>
        <v>326825.21389919549</v>
      </c>
      <c r="GM9" s="30">
        <f>+Producción!GO46+SUM(Producción!GO24:GO26)</f>
        <v>120825.2138991955</v>
      </c>
      <c r="GN9" s="30">
        <f>+Producción!GP46+SUM(Producción!GP24:GP26)</f>
        <v>120825.2138991955</v>
      </c>
      <c r="GO9" s="30">
        <f>+Producción!GQ46+SUM(Producción!GQ24:GQ26)</f>
        <v>326825.21389919549</v>
      </c>
      <c r="GP9" s="30">
        <f>+Producción!GR46+SUM(Producción!GR24:GR26)</f>
        <v>120825.2138991955</v>
      </c>
      <c r="GQ9" s="30">
        <f>+Producción!GS46+SUM(Producción!GS24:GS26)</f>
        <v>120825.2138991955</v>
      </c>
      <c r="GR9" s="30">
        <f>+Producción!GT46+SUM(Producción!GT24:GT26)</f>
        <v>330449.97031617136</v>
      </c>
      <c r="GS9" s="30">
        <f>+Producción!GU46+SUM(Producción!GU24:GU26)</f>
        <v>124449.97031617137</v>
      </c>
      <c r="GT9" s="30">
        <f>+Producción!GV46+SUM(Producción!GV24:GV26)</f>
        <v>124449.97031617137</v>
      </c>
      <c r="GU9" s="30">
        <f>+Producción!GW46+SUM(Producción!GW24:GW26)</f>
        <v>330449.97031617136</v>
      </c>
      <c r="GV9" s="30">
        <f>+Producción!GX46+SUM(Producción!GX24:GX26)</f>
        <v>124449.97031617137</v>
      </c>
      <c r="GW9" s="30">
        <f>+Producción!GY46+SUM(Producción!GY24:GY26)</f>
        <v>124449.97031617137</v>
      </c>
      <c r="GX9" s="30">
        <f>+Producción!GZ46+SUM(Producción!GZ24:GZ26)</f>
        <v>330449.97031617136</v>
      </c>
      <c r="GY9" s="30">
        <f>+Producción!HA46+SUM(Producción!HA24:HA26)</f>
        <v>124449.97031617137</v>
      </c>
      <c r="GZ9" s="30">
        <f>+Producción!HB46+SUM(Producción!HB24:HB26)</f>
        <v>124449.97031617137</v>
      </c>
      <c r="HA9" s="30">
        <f>+Producción!HC46+SUM(Producción!HC24:HC26)</f>
        <v>330449.97031617136</v>
      </c>
      <c r="HB9" s="30">
        <f>+Producción!HD46+SUM(Producción!HD24:HD26)</f>
        <v>124449.97031617137</v>
      </c>
      <c r="HC9" s="30">
        <f>+Producción!HE46+SUM(Producción!HE24:HE26)</f>
        <v>124449.97031617137</v>
      </c>
      <c r="HD9" s="30">
        <f>+Producción!HF46+SUM(Producción!HF24:HF26)</f>
        <v>334183.46942565654</v>
      </c>
      <c r="HE9" s="30">
        <f>+Producción!HG46+SUM(Producción!HG24:HG26)</f>
        <v>128183.46942565651</v>
      </c>
      <c r="HF9" s="30">
        <f>+Producción!HH46+SUM(Producción!HH24:HH26)</f>
        <v>128183.46942565651</v>
      </c>
      <c r="HG9" s="30">
        <f>+Producción!HI46+SUM(Producción!HI24:HI26)</f>
        <v>334183.46942565654</v>
      </c>
      <c r="HH9" s="30">
        <f>+Producción!HJ46+SUM(Producción!HJ24:HJ26)</f>
        <v>128183.46942565651</v>
      </c>
      <c r="HI9" s="30">
        <f>+Producción!HK46+SUM(Producción!HK24:HK26)</f>
        <v>128183.46942565651</v>
      </c>
      <c r="HJ9" s="30">
        <f>+Producción!HL46+SUM(Producción!HL24:HL26)</f>
        <v>334183.46942565654</v>
      </c>
      <c r="HK9" s="30">
        <f>+Producción!HM46+SUM(Producción!HM24:HM26)</f>
        <v>128183.46942565651</v>
      </c>
      <c r="HL9" s="30">
        <f>+Producción!HN46+SUM(Producción!HN24:HN26)</f>
        <v>128183.46942565651</v>
      </c>
      <c r="HM9" s="30">
        <f>+Producción!HO46+SUM(Producción!HO24:HO26)</f>
        <v>334183.46942565654</v>
      </c>
      <c r="HN9" s="30">
        <f>+Producción!HP46+SUM(Producción!HP24:HP26)</f>
        <v>128183.46942565651</v>
      </c>
      <c r="HO9" s="30">
        <f>+Producción!HQ46+SUM(Producción!HQ24:HQ26)</f>
        <v>128183.46942565651</v>
      </c>
      <c r="HP9" s="30">
        <f>+Producción!HR46+SUM(Producción!HR24:HR26)</f>
        <v>338028.97350842622</v>
      </c>
      <c r="HQ9" s="30">
        <f>+Producción!HS46+SUM(Producción!HS24:HS26)</f>
        <v>132028.97350842622</v>
      </c>
      <c r="HR9" s="30">
        <f>+Producción!HT46+SUM(Producción!HT24:HT26)</f>
        <v>132028.97350842622</v>
      </c>
      <c r="HS9" s="30">
        <f>+Producción!HU46+SUM(Producción!HU24:HU26)</f>
        <v>338028.97350842622</v>
      </c>
      <c r="HT9" s="30">
        <f>+Producción!HV46+SUM(Producción!HV24:HV26)</f>
        <v>132028.97350842622</v>
      </c>
      <c r="HU9" s="30">
        <f>+Producción!HW46+SUM(Producción!HW24:HW26)</f>
        <v>132028.97350842622</v>
      </c>
      <c r="HV9" s="30">
        <f>+Producción!HX46+SUM(Producción!HX24:HX26)</f>
        <v>338028.97350842622</v>
      </c>
      <c r="HW9" s="30">
        <f>+Producción!HY46+SUM(Producción!HY24:HY26)</f>
        <v>132028.97350842622</v>
      </c>
      <c r="HX9" s="30">
        <f>+Producción!HZ46+SUM(Producción!HZ24:HZ26)</f>
        <v>132028.97350842622</v>
      </c>
      <c r="HY9" s="30">
        <f>+Producción!IA46+SUM(Producción!IA24:IA26)</f>
        <v>338028.97350842622</v>
      </c>
      <c r="HZ9" s="30">
        <f>+Producción!IB46+SUM(Producción!IB24:IB26)</f>
        <v>132028.97350842622</v>
      </c>
      <c r="IA9" s="30">
        <f>+Producción!IC46+SUM(Producción!IC24:IC26)</f>
        <v>132028.97350842622</v>
      </c>
      <c r="IB9" s="30">
        <f>+Producción!ID46+SUM(Producción!ID24:ID26)</f>
        <v>341989.84271367895</v>
      </c>
      <c r="IC9" s="30">
        <f>+Producción!IE46+SUM(Producción!IE24:IE26)</f>
        <v>135989.84271367898</v>
      </c>
      <c r="ID9" s="30">
        <f>+Producción!IF46+SUM(Producción!IF24:IF26)</f>
        <v>135989.84271367898</v>
      </c>
      <c r="IE9" s="30">
        <f>+Producción!IG46+SUM(Producción!IG24:IG26)</f>
        <v>341989.84271367895</v>
      </c>
      <c r="IF9" s="30">
        <f>+Producción!IH46+SUM(Producción!IH24:IH26)</f>
        <v>135989.84271367898</v>
      </c>
      <c r="IG9" s="30">
        <f>+Producción!II46+SUM(Producción!II24:II26)</f>
        <v>135989.84271367898</v>
      </c>
      <c r="IH9" s="30">
        <f>+Producción!IJ46+SUM(Producción!IJ24:IJ26)</f>
        <v>341989.84271367895</v>
      </c>
      <c r="II9" s="30">
        <f>+Producción!IK46+SUM(Producción!IK24:IK26)</f>
        <v>137266.6675096089</v>
      </c>
      <c r="IJ9" s="30">
        <f>+Producción!IL46+SUM(Producción!IL24:IL26)</f>
        <v>138581.79704941675</v>
      </c>
      <c r="IK9" s="30">
        <f>+Producción!IM46+SUM(Producción!IM24:IM26)</f>
        <v>344581.79704941675</v>
      </c>
      <c r="IL9" s="30">
        <f>+Producción!IN46+SUM(Producción!IN24:IN26)</f>
        <v>138581.79704941675</v>
      </c>
      <c r="IM9" s="30">
        <f>+Producción!IO46+SUM(Producción!IO24:IO26)</f>
        <v>138581.79704941675</v>
      </c>
    </row>
    <row r="10" spans="1:247" x14ac:dyDescent="0.3">
      <c r="A10" t="s">
        <v>943</v>
      </c>
      <c r="C10" s="33"/>
      <c r="D10" s="33"/>
      <c r="E10" s="33"/>
      <c r="F10" s="33"/>
      <c r="G10" s="33"/>
      <c r="H10" s="33"/>
      <c r="I10" s="33"/>
      <c r="J10" s="33" t="e">
        <f ca="1">+'Prestamo 15 años'!L3+'Prestamo 15 años'!L4+'Prestamo 15 años'!L6</f>
        <v>#VALUE!</v>
      </c>
      <c r="K10" s="33" t="e">
        <f ca="1">+'Prestamo 15 años'!M3+'Prestamo 15 años'!M4+'Prestamo 15 años'!M6</f>
        <v>#VALUE!</v>
      </c>
      <c r="L10" s="33" t="e">
        <f ca="1">+'Prestamo 15 años'!N3+'Prestamo 15 años'!N4+'Prestamo 15 años'!N6</f>
        <v>#VALUE!</v>
      </c>
      <c r="M10" s="33" t="e">
        <f ca="1">+'Prestamo 15 años'!O3+'Prestamo 15 años'!O4+'Prestamo 15 años'!O6</f>
        <v>#VALUE!</v>
      </c>
      <c r="N10" s="33" t="e">
        <f ca="1">+'Prestamo 15 años'!P3+'Prestamo 15 años'!P4+'Prestamo 15 años'!P6</f>
        <v>#VALUE!</v>
      </c>
      <c r="O10" s="33" t="e">
        <f ca="1">+'Prestamo 15 años'!Q3+'Prestamo 15 años'!Q4+'Prestamo 15 años'!Q6</f>
        <v>#VALUE!</v>
      </c>
      <c r="P10" s="33" t="e">
        <f ca="1">+'Prestamo 15 años'!R3+'Prestamo 15 años'!R4+'Prestamo 15 años'!R6</f>
        <v>#VALUE!</v>
      </c>
      <c r="Q10" s="33" t="e">
        <f ca="1">+'Prestamo 15 años'!S3+'Prestamo 15 años'!S4+'Prestamo 15 años'!S6</f>
        <v>#VALUE!</v>
      </c>
      <c r="R10" s="33" t="e">
        <f ca="1">+'Prestamo 15 años'!T3+'Prestamo 15 años'!T4+'Prestamo 15 años'!T6</f>
        <v>#VALUE!</v>
      </c>
      <c r="S10" s="33" t="e">
        <f ca="1">+'Prestamo 15 años'!U3+'Prestamo 15 años'!U4+'Prestamo 15 años'!U6</f>
        <v>#VALUE!</v>
      </c>
      <c r="T10" s="33" t="e">
        <f ca="1">+'Prestamo 15 años'!V3+'Prestamo 15 años'!V4+'Prestamo 15 años'!V6</f>
        <v>#VALUE!</v>
      </c>
      <c r="U10" s="33" t="e">
        <f ca="1">+'Prestamo 15 años'!W3+'Prestamo 15 años'!W4+'Prestamo 15 años'!W6</f>
        <v>#VALUE!</v>
      </c>
      <c r="V10" s="33" t="e">
        <f ca="1">+'Prestamo 15 años'!X3+'Prestamo 15 años'!X4+'Prestamo 15 años'!X6</f>
        <v>#VALUE!</v>
      </c>
      <c r="W10" s="33" t="e">
        <f ca="1">+'Prestamo 15 años'!Y3+'Prestamo 15 años'!Y4+'Prestamo 15 años'!Y6</f>
        <v>#VALUE!</v>
      </c>
      <c r="X10" s="33" t="e">
        <f ca="1">+'Prestamo 15 años'!Z3+'Prestamo 15 años'!Z4+'Prestamo 15 años'!Z6</f>
        <v>#VALUE!</v>
      </c>
      <c r="Y10" s="33" t="e">
        <f ca="1">+'Prestamo 15 años'!AA3+'Prestamo 15 años'!AA4+'Prestamo 15 años'!AA6</f>
        <v>#VALUE!</v>
      </c>
      <c r="Z10" s="33" t="e">
        <f ca="1">+'Prestamo 15 años'!AB3+'Prestamo 15 años'!AB4+'Prestamo 15 años'!AB6</f>
        <v>#VALUE!</v>
      </c>
      <c r="AA10" s="33" t="e">
        <f ca="1">+'Prestamo 15 años'!AC3+'Prestamo 15 años'!AC4+'Prestamo 15 años'!AC6</f>
        <v>#VALUE!</v>
      </c>
      <c r="AB10" s="33" t="e">
        <f ca="1">+'Prestamo 15 años'!AD3+'Prestamo 15 años'!AD4+'Prestamo 15 años'!AD6</f>
        <v>#VALUE!</v>
      </c>
      <c r="AC10" s="33" t="e">
        <f ca="1">+'Prestamo 15 años'!AE3+'Prestamo 15 años'!AE4+'Prestamo 15 años'!AE6</f>
        <v>#VALUE!</v>
      </c>
      <c r="AD10" s="33" t="e">
        <f ca="1">+'Prestamo 15 años'!AF3+'Prestamo 15 años'!AF4+'Prestamo 15 años'!AF6</f>
        <v>#VALUE!</v>
      </c>
      <c r="AE10" s="33" t="e">
        <f ca="1">+'Prestamo 15 años'!AG3+'Prestamo 15 años'!AG4+'Prestamo 15 años'!AG6</f>
        <v>#VALUE!</v>
      </c>
      <c r="AF10" s="33" t="e">
        <f ca="1">+'Prestamo 15 años'!AH3+'Prestamo 15 años'!AH4+'Prestamo 15 años'!AH6</f>
        <v>#VALUE!</v>
      </c>
      <c r="AG10" s="33" t="e">
        <f ca="1">+'Prestamo 15 años'!AI3+'Prestamo 15 años'!AI4+'Prestamo 15 años'!AI6</f>
        <v>#VALUE!</v>
      </c>
      <c r="AH10" s="33" t="e">
        <f ca="1">+'Prestamo 15 años'!AJ3+'Prestamo 15 años'!AJ4+'Prestamo 15 años'!AJ6</f>
        <v>#VALUE!</v>
      </c>
      <c r="AI10" s="33" t="e">
        <f ca="1">+'Prestamo 15 años'!AK3+'Prestamo 15 años'!AK4+'Prestamo 15 años'!AK6</f>
        <v>#VALUE!</v>
      </c>
      <c r="AJ10" s="33" t="e">
        <f ca="1">+'Prestamo 15 años'!AL3+'Prestamo 15 años'!AL4+'Prestamo 15 años'!AL6</f>
        <v>#VALUE!</v>
      </c>
      <c r="AK10" s="33" t="e">
        <f ca="1">+'Prestamo 15 años'!AM3+'Prestamo 15 años'!AM4+'Prestamo 15 años'!AM6</f>
        <v>#VALUE!</v>
      </c>
      <c r="AL10" s="33" t="e">
        <f ca="1">+'Prestamo 15 años'!AN3+'Prestamo 15 años'!AN4+'Prestamo 15 años'!AN6</f>
        <v>#VALUE!</v>
      </c>
      <c r="AM10" s="33" t="e">
        <f ca="1">+'Prestamo 15 años'!AO3+'Prestamo 15 años'!AO4+'Prestamo 15 años'!AO6</f>
        <v>#VALUE!</v>
      </c>
      <c r="AN10" s="33" t="e">
        <f ca="1">+'Prestamo 15 años'!AP3+'Prestamo 15 años'!AP4+'Prestamo 15 años'!AP6</f>
        <v>#VALUE!</v>
      </c>
      <c r="AO10" s="33" t="e">
        <f ca="1">+'Prestamo 15 años'!AQ3+'Prestamo 15 años'!AQ4+'Prestamo 15 años'!AQ6</f>
        <v>#VALUE!</v>
      </c>
      <c r="AP10" s="33" t="e">
        <f ca="1">+'Prestamo 15 años'!AR3+'Prestamo 15 años'!AR4+'Prestamo 15 años'!AR6</f>
        <v>#VALUE!</v>
      </c>
      <c r="AQ10" s="33" t="e">
        <f ca="1">+'Prestamo 15 años'!AS3+'Prestamo 15 años'!AS4+'Prestamo 15 años'!AS6</f>
        <v>#VALUE!</v>
      </c>
      <c r="AR10" s="33" t="e">
        <f ca="1">+'Prestamo 15 años'!AT3+'Prestamo 15 años'!AT4+'Prestamo 15 años'!AT6</f>
        <v>#VALUE!</v>
      </c>
      <c r="AS10" s="33" t="e">
        <f ca="1">+'Prestamo 15 años'!AU3+'Prestamo 15 años'!AU4+'Prestamo 15 años'!AU6</f>
        <v>#VALUE!</v>
      </c>
      <c r="AT10" s="33" t="e">
        <f ca="1">+'Prestamo 15 años'!AV3+'Prestamo 15 años'!AV4+'Prestamo 15 años'!AV6</f>
        <v>#VALUE!</v>
      </c>
      <c r="AU10" s="33" t="e">
        <f ca="1">+'Prestamo 15 años'!AW3+'Prestamo 15 años'!AW4+'Prestamo 15 años'!AW6</f>
        <v>#VALUE!</v>
      </c>
      <c r="AV10" s="33" t="e">
        <f ca="1">+'Prestamo 15 años'!AX3+'Prestamo 15 años'!AX4+'Prestamo 15 años'!AX6</f>
        <v>#VALUE!</v>
      </c>
      <c r="AW10" s="33" t="e">
        <f ca="1">+'Prestamo 15 años'!AY3+'Prestamo 15 años'!AY4+'Prestamo 15 años'!AY6</f>
        <v>#VALUE!</v>
      </c>
      <c r="AX10" s="33" t="e">
        <f ca="1">+'Prestamo 15 años'!AZ3+'Prestamo 15 años'!AZ4+'Prestamo 15 años'!AZ6</f>
        <v>#VALUE!</v>
      </c>
      <c r="AY10" s="33" t="e">
        <f ca="1">+'Prestamo 15 años'!BA3+'Prestamo 15 años'!BA4+'Prestamo 15 años'!BA6</f>
        <v>#VALUE!</v>
      </c>
      <c r="AZ10" s="33" t="e">
        <f ca="1">+'Prestamo 15 años'!BB3+'Prestamo 15 años'!BB4+'Prestamo 15 años'!BB6</f>
        <v>#VALUE!</v>
      </c>
      <c r="BA10" s="33" t="e">
        <f ca="1">+'Prestamo 15 años'!BC3+'Prestamo 15 años'!BC4+'Prestamo 15 años'!BC6</f>
        <v>#VALUE!</v>
      </c>
      <c r="BB10" s="33" t="e">
        <f ca="1">+'Prestamo 15 años'!BD3+'Prestamo 15 años'!BD4+'Prestamo 15 años'!BD6</f>
        <v>#VALUE!</v>
      </c>
      <c r="BC10" s="33" t="e">
        <f ca="1">+'Prestamo 15 años'!BE3+'Prestamo 15 años'!BE4+'Prestamo 15 años'!BE6</f>
        <v>#VALUE!</v>
      </c>
      <c r="BD10" s="33" t="e">
        <f ca="1">+'Prestamo 15 años'!BF3+'Prestamo 15 años'!BF4+'Prestamo 15 años'!BF6</f>
        <v>#VALUE!</v>
      </c>
      <c r="BE10" s="33" t="e">
        <f ca="1">+'Prestamo 15 años'!BG3+'Prestamo 15 años'!BG4+'Prestamo 15 años'!BG6</f>
        <v>#VALUE!</v>
      </c>
      <c r="BF10" s="33" t="e">
        <f ca="1">+'Prestamo 15 años'!BH3+'Prestamo 15 años'!BH4+'Prestamo 15 años'!BH6</f>
        <v>#VALUE!</v>
      </c>
      <c r="BG10" s="33" t="e">
        <f ca="1">+'Prestamo 15 años'!BI3+'Prestamo 15 años'!BI4+'Prestamo 15 años'!BI6</f>
        <v>#VALUE!</v>
      </c>
      <c r="BH10" s="33" t="e">
        <f ca="1">+'Prestamo 15 años'!BJ3+'Prestamo 15 años'!BJ4+'Prestamo 15 años'!BJ6</f>
        <v>#VALUE!</v>
      </c>
      <c r="BI10" s="33" t="e">
        <f ca="1">+'Prestamo 15 años'!BK3+'Prestamo 15 años'!BK4+'Prestamo 15 años'!BK6</f>
        <v>#VALUE!</v>
      </c>
      <c r="BJ10" s="33" t="e">
        <f ca="1">+'Prestamo 15 años'!BL3+'Prestamo 15 años'!BL4+'Prestamo 15 años'!BL6</f>
        <v>#VALUE!</v>
      </c>
      <c r="BK10" s="33" t="e">
        <f ca="1">+'Prestamo 15 años'!BM3+'Prestamo 15 años'!BM4+'Prestamo 15 años'!BM6</f>
        <v>#VALUE!</v>
      </c>
      <c r="BL10" s="33" t="e">
        <f ca="1">+'Prestamo 15 años'!BN3+'Prestamo 15 años'!BN4+'Prestamo 15 años'!BN6</f>
        <v>#VALUE!</v>
      </c>
      <c r="BM10" s="33" t="e">
        <f ca="1">+'Prestamo 15 años'!BO3+'Prestamo 15 años'!BO4+'Prestamo 15 años'!BO6</f>
        <v>#VALUE!</v>
      </c>
      <c r="BN10" s="33" t="e">
        <f ca="1">+'Prestamo 15 años'!BP3+'Prestamo 15 años'!BP4+'Prestamo 15 años'!BP6</f>
        <v>#VALUE!</v>
      </c>
      <c r="BO10" s="33" t="e">
        <f ca="1">+'Prestamo 15 años'!BQ3+'Prestamo 15 años'!BQ4+'Prestamo 15 años'!BQ6</f>
        <v>#VALUE!</v>
      </c>
      <c r="BP10" s="33" t="e">
        <f ca="1">+'Prestamo 15 años'!BR3+'Prestamo 15 años'!BR4+'Prestamo 15 años'!BR6</f>
        <v>#VALUE!</v>
      </c>
      <c r="BQ10" s="33" t="e">
        <f ca="1">+'Prestamo 15 años'!BS3+'Prestamo 15 años'!BS4+'Prestamo 15 años'!BS6</f>
        <v>#VALUE!</v>
      </c>
      <c r="BR10" s="33" t="e">
        <f ca="1">+'Prestamo 15 años'!BT3+'Prestamo 15 años'!BT4+'Prestamo 15 años'!BT6</f>
        <v>#VALUE!</v>
      </c>
      <c r="BS10" s="33" t="e">
        <f ca="1">+'Prestamo 15 años'!BU3+'Prestamo 15 años'!BU4+'Prestamo 15 años'!BU6</f>
        <v>#VALUE!</v>
      </c>
      <c r="BT10" s="33" t="e">
        <f ca="1">+'Prestamo 15 años'!BV3+'Prestamo 15 años'!BV4+'Prestamo 15 años'!BV6</f>
        <v>#VALUE!</v>
      </c>
      <c r="BU10" s="33" t="e">
        <f ca="1">+'Prestamo 15 años'!BW3+'Prestamo 15 años'!BW4+'Prestamo 15 años'!BW6</f>
        <v>#VALUE!</v>
      </c>
      <c r="BV10" s="33" t="e">
        <f ca="1">+'Prestamo 15 años'!BX3+'Prestamo 15 años'!BX4+'Prestamo 15 años'!BX6</f>
        <v>#VALUE!</v>
      </c>
      <c r="BW10" s="33" t="e">
        <f ca="1">+'Prestamo 15 años'!BY3+'Prestamo 15 años'!BY4+'Prestamo 15 años'!BY6</f>
        <v>#VALUE!</v>
      </c>
      <c r="BX10" s="33" t="e">
        <f ca="1">+'Prestamo 15 años'!BZ3+'Prestamo 15 años'!BZ4+'Prestamo 15 años'!BZ6</f>
        <v>#VALUE!</v>
      </c>
      <c r="BY10" s="33" t="e">
        <f ca="1">+'Prestamo 15 años'!CA3+'Prestamo 15 años'!CA4+'Prestamo 15 años'!CA6</f>
        <v>#VALUE!</v>
      </c>
      <c r="BZ10" s="33" t="e">
        <f ca="1">+'Prestamo 15 años'!CB3+'Prestamo 15 años'!CB4+'Prestamo 15 años'!CB6</f>
        <v>#VALUE!</v>
      </c>
      <c r="CA10" s="33" t="e">
        <f ca="1">+'Prestamo 15 años'!CC3+'Prestamo 15 años'!CC4+'Prestamo 15 años'!CC6</f>
        <v>#VALUE!</v>
      </c>
      <c r="CB10" s="33" t="e">
        <f ca="1">+'Prestamo 15 años'!CD3+'Prestamo 15 años'!CD4+'Prestamo 15 años'!CD6</f>
        <v>#VALUE!</v>
      </c>
      <c r="CC10" s="33" t="e">
        <f ca="1">+'Prestamo 15 años'!CE3+'Prestamo 15 años'!CE4+'Prestamo 15 años'!CE6</f>
        <v>#VALUE!</v>
      </c>
      <c r="CD10" s="33" t="e">
        <f ca="1">+'Prestamo 15 años'!CF3+'Prestamo 15 años'!CF4+'Prestamo 15 años'!CF6</f>
        <v>#VALUE!</v>
      </c>
      <c r="CE10" s="33" t="e">
        <f ca="1">+'Prestamo 15 años'!CG3+'Prestamo 15 años'!CG4+'Prestamo 15 años'!CG6</f>
        <v>#VALUE!</v>
      </c>
      <c r="CF10" s="33" t="e">
        <f ca="1">+'Prestamo 15 años'!CH3+'Prestamo 15 años'!CH4+'Prestamo 15 años'!CH6</f>
        <v>#VALUE!</v>
      </c>
      <c r="CG10" s="33" t="e">
        <f ca="1">+'Prestamo 15 años'!CI3+'Prestamo 15 años'!CI4+'Prestamo 15 años'!CI6</f>
        <v>#VALUE!</v>
      </c>
      <c r="CH10" s="33" t="e">
        <f ca="1">+'Prestamo 15 años'!CJ3+'Prestamo 15 años'!CJ4+'Prestamo 15 años'!CJ6</f>
        <v>#VALUE!</v>
      </c>
      <c r="CI10" s="33" t="e">
        <f ca="1">+'Prestamo 15 años'!CK3+'Prestamo 15 años'!CK4+'Prestamo 15 años'!CK6</f>
        <v>#VALUE!</v>
      </c>
      <c r="CJ10" s="33" t="e">
        <f ca="1">+'Prestamo 15 años'!CL3+'Prestamo 15 años'!CL4+'Prestamo 15 años'!CL6</f>
        <v>#VALUE!</v>
      </c>
      <c r="CK10" s="33" t="e">
        <f ca="1">+'Prestamo 15 años'!CM3+'Prestamo 15 años'!CM4+'Prestamo 15 años'!CM6</f>
        <v>#VALUE!</v>
      </c>
      <c r="CL10" s="33" t="e">
        <f ca="1">+'Prestamo 15 años'!CN3+'Prestamo 15 años'!CN4+'Prestamo 15 años'!CN6</f>
        <v>#VALUE!</v>
      </c>
      <c r="CM10" s="33" t="e">
        <f ca="1">+'Prestamo 15 años'!CO3+'Prestamo 15 años'!CO4+'Prestamo 15 años'!CO6</f>
        <v>#VALUE!</v>
      </c>
      <c r="CN10" s="33" t="e">
        <f ca="1">+'Prestamo 15 años'!CP3+'Prestamo 15 años'!CP4+'Prestamo 15 años'!CP6</f>
        <v>#VALUE!</v>
      </c>
      <c r="CO10" s="33" t="e">
        <f ca="1">+'Prestamo 15 años'!CQ3+'Prestamo 15 años'!CQ4+'Prestamo 15 años'!CQ6</f>
        <v>#VALUE!</v>
      </c>
      <c r="CP10" s="33" t="e">
        <f ca="1">+'Prestamo 15 años'!CR3+'Prestamo 15 años'!CR4+'Prestamo 15 años'!CR6</f>
        <v>#VALUE!</v>
      </c>
      <c r="CQ10" s="33" t="e">
        <f ca="1">+'Prestamo 15 años'!CS3+'Prestamo 15 años'!CS4+'Prestamo 15 años'!CS6</f>
        <v>#VALUE!</v>
      </c>
      <c r="CR10" s="33" t="e">
        <f ca="1">+'Prestamo 15 años'!CT3+'Prestamo 15 años'!CT4+'Prestamo 15 años'!CT6</f>
        <v>#VALUE!</v>
      </c>
      <c r="CS10" s="33" t="e">
        <f ca="1">+'Prestamo 15 años'!CU3+'Prestamo 15 años'!CU4+'Prestamo 15 años'!CU6</f>
        <v>#VALUE!</v>
      </c>
      <c r="CT10" s="33" t="e">
        <f ca="1">+'Prestamo 15 años'!CV3+'Prestamo 15 años'!CV4+'Prestamo 15 años'!CV6</f>
        <v>#VALUE!</v>
      </c>
      <c r="CU10" s="33" t="e">
        <f ca="1">+'Prestamo 15 años'!CW3+'Prestamo 15 años'!CW4+'Prestamo 15 años'!CW6</f>
        <v>#VALUE!</v>
      </c>
      <c r="CV10" s="33" t="e">
        <f ca="1">+'Prestamo 15 años'!CX3+'Prestamo 15 años'!CX4+'Prestamo 15 años'!CX6</f>
        <v>#VALUE!</v>
      </c>
      <c r="CW10" s="33" t="e">
        <f ca="1">+'Prestamo 15 años'!CY3+'Prestamo 15 años'!CY4+'Prestamo 15 años'!CY6</f>
        <v>#VALUE!</v>
      </c>
      <c r="CX10" s="33" t="e">
        <f ca="1">+'Prestamo 15 años'!CZ3+'Prestamo 15 años'!CZ4+'Prestamo 15 años'!CZ6</f>
        <v>#VALUE!</v>
      </c>
      <c r="CY10" s="33" t="e">
        <f ca="1">+'Prestamo 15 años'!DA3+'Prestamo 15 años'!DA4+'Prestamo 15 años'!DA6</f>
        <v>#VALUE!</v>
      </c>
      <c r="CZ10" s="33" t="e">
        <f ca="1">+'Prestamo 15 años'!DB3+'Prestamo 15 años'!DB4+'Prestamo 15 años'!DB6</f>
        <v>#VALUE!</v>
      </c>
      <c r="DA10" s="33" t="e">
        <f ca="1">+'Prestamo 15 años'!DC3+'Prestamo 15 años'!DC4+'Prestamo 15 años'!DC6</f>
        <v>#VALUE!</v>
      </c>
      <c r="DB10" s="33" t="e">
        <f ca="1">+'Prestamo 15 años'!DD3+'Prestamo 15 años'!DD4+'Prestamo 15 años'!DD6</f>
        <v>#VALUE!</v>
      </c>
      <c r="DC10" s="33" t="e">
        <f ca="1">+'Prestamo 15 años'!DE3+'Prestamo 15 años'!DE4+'Prestamo 15 años'!DE6</f>
        <v>#VALUE!</v>
      </c>
      <c r="DD10" s="33" t="e">
        <f ca="1">+'Prestamo 15 años'!DF3+'Prestamo 15 años'!DF4+'Prestamo 15 años'!DF6</f>
        <v>#VALUE!</v>
      </c>
      <c r="DE10" s="33" t="e">
        <f ca="1">+'Prestamo 15 años'!DG3+'Prestamo 15 años'!DG4+'Prestamo 15 años'!DG6</f>
        <v>#VALUE!</v>
      </c>
      <c r="DF10" s="33" t="e">
        <f ca="1">+'Prestamo 15 años'!DH3+'Prestamo 15 años'!DH4+'Prestamo 15 años'!DH6</f>
        <v>#VALUE!</v>
      </c>
      <c r="DG10" s="33" t="e">
        <f ca="1">+'Prestamo 15 años'!DI3+'Prestamo 15 años'!DI4+'Prestamo 15 años'!DI6</f>
        <v>#VALUE!</v>
      </c>
      <c r="DH10" s="33" t="e">
        <f ca="1">+'Prestamo 15 años'!DJ3+'Prestamo 15 años'!DJ4+'Prestamo 15 años'!DJ6</f>
        <v>#VALUE!</v>
      </c>
      <c r="DI10" s="33" t="e">
        <f ca="1">+'Prestamo 15 años'!DK3+'Prestamo 15 años'!DK4+'Prestamo 15 años'!DK6</f>
        <v>#VALUE!</v>
      </c>
      <c r="DJ10" s="33" t="e">
        <f ca="1">+'Prestamo 15 años'!DL3+'Prestamo 15 años'!DL4+'Prestamo 15 años'!DL6</f>
        <v>#VALUE!</v>
      </c>
      <c r="DK10" s="33" t="e">
        <f ca="1">+'Prestamo 15 años'!DM3+'Prestamo 15 años'!DM4+'Prestamo 15 años'!DM6</f>
        <v>#VALUE!</v>
      </c>
      <c r="DL10" s="33" t="e">
        <f ca="1">+'Prestamo 15 años'!DN3+'Prestamo 15 años'!DN4+'Prestamo 15 años'!DN6</f>
        <v>#VALUE!</v>
      </c>
      <c r="DM10" s="33" t="e">
        <f ca="1">+'Prestamo 15 años'!DO3+'Prestamo 15 años'!DO4+'Prestamo 15 años'!DO6</f>
        <v>#VALUE!</v>
      </c>
      <c r="DN10" s="33" t="e">
        <f ca="1">+'Prestamo 15 años'!DP3+'Prestamo 15 años'!DP4+'Prestamo 15 años'!DP6</f>
        <v>#VALUE!</v>
      </c>
      <c r="DO10" s="33" t="e">
        <f ca="1">+'Prestamo 15 años'!DQ3+'Prestamo 15 años'!DQ4+'Prestamo 15 años'!DQ6</f>
        <v>#VALUE!</v>
      </c>
      <c r="DP10" s="33" t="e">
        <f ca="1">+'Prestamo 15 años'!DR3+'Prestamo 15 años'!DR4+'Prestamo 15 años'!DR6</f>
        <v>#VALUE!</v>
      </c>
      <c r="DQ10" s="33" t="e">
        <f ca="1">+'Prestamo 15 años'!DS3+'Prestamo 15 años'!DS4+'Prestamo 15 años'!DS6</f>
        <v>#VALUE!</v>
      </c>
      <c r="DR10" s="33" t="e">
        <f ca="1">+'Prestamo 15 años'!DT3+'Prestamo 15 años'!DT4+'Prestamo 15 años'!DT6</f>
        <v>#VALUE!</v>
      </c>
      <c r="DS10" s="33" t="e">
        <f ca="1">+'Prestamo 15 años'!DU3+'Prestamo 15 años'!DU4+'Prestamo 15 años'!DU6</f>
        <v>#VALUE!</v>
      </c>
      <c r="DT10" s="33" t="e">
        <f ca="1">+'Prestamo 15 años'!DV3+'Prestamo 15 años'!DV4+'Prestamo 15 años'!DV6</f>
        <v>#VALUE!</v>
      </c>
      <c r="DU10" s="33" t="e">
        <f ca="1">+'Prestamo 15 años'!DW3+'Prestamo 15 años'!DW4+'Prestamo 15 años'!DW6</f>
        <v>#VALUE!</v>
      </c>
      <c r="DV10" s="33" t="e">
        <f ca="1">+'Prestamo 15 años'!DX3+'Prestamo 15 años'!DX4+'Prestamo 15 años'!DX6</f>
        <v>#VALUE!</v>
      </c>
      <c r="DW10" s="33" t="e">
        <f ca="1">+'Prestamo 15 años'!DY3+'Prestamo 15 años'!DY4+'Prestamo 15 años'!DY6</f>
        <v>#VALUE!</v>
      </c>
      <c r="DX10" s="33" t="e">
        <f ca="1">+'Prestamo 15 años'!DZ3+'Prestamo 15 años'!DZ4+'Prestamo 15 años'!DZ6</f>
        <v>#VALUE!</v>
      </c>
      <c r="DY10" s="33" t="e">
        <f ca="1">+'Prestamo 15 años'!EA3+'Prestamo 15 años'!EA4+'Prestamo 15 años'!EA6</f>
        <v>#VALUE!</v>
      </c>
      <c r="DZ10" s="33" t="e">
        <f ca="1">+'Prestamo 15 años'!EB3+'Prestamo 15 años'!EB4+'Prestamo 15 años'!EB6</f>
        <v>#VALUE!</v>
      </c>
      <c r="EA10" s="33" t="e">
        <f ca="1">+'Prestamo 15 años'!EC3+'Prestamo 15 años'!EC4+'Prestamo 15 años'!EC6</f>
        <v>#VALUE!</v>
      </c>
      <c r="EB10" s="33" t="e">
        <f ca="1">+'Prestamo 15 años'!ED3+'Prestamo 15 años'!ED4+'Prestamo 15 años'!ED6</f>
        <v>#VALUE!</v>
      </c>
      <c r="EC10" s="33" t="e">
        <f ca="1">+'Prestamo 15 años'!EE3+'Prestamo 15 años'!EE4+'Prestamo 15 años'!EE6</f>
        <v>#VALUE!</v>
      </c>
      <c r="ED10" s="33" t="e">
        <f ca="1">+'Prestamo 15 años'!EF3+'Prestamo 15 años'!EF4+'Prestamo 15 años'!EF6</f>
        <v>#VALUE!</v>
      </c>
      <c r="EE10" s="33" t="e">
        <f ca="1">+'Prestamo 15 años'!EG3+'Prestamo 15 años'!EG4+'Prestamo 15 años'!EG6</f>
        <v>#VALUE!</v>
      </c>
      <c r="EF10" s="33" t="e">
        <f ca="1">+'Prestamo 15 años'!EH3+'Prestamo 15 años'!EH4+'Prestamo 15 años'!EH6</f>
        <v>#VALUE!</v>
      </c>
      <c r="EG10" s="33" t="e">
        <f ca="1">+'Prestamo 15 años'!EI3+'Prestamo 15 años'!EI4+'Prestamo 15 años'!EI6</f>
        <v>#VALUE!</v>
      </c>
      <c r="EH10" s="33" t="e">
        <f ca="1">+'Prestamo 15 años'!EJ3+'Prestamo 15 años'!EJ4+'Prestamo 15 años'!EJ6</f>
        <v>#VALUE!</v>
      </c>
      <c r="EI10" s="33" t="e">
        <f ca="1">+'Prestamo 15 años'!EK3+'Prestamo 15 años'!EK4+'Prestamo 15 años'!EK6</f>
        <v>#VALUE!</v>
      </c>
      <c r="EJ10" s="33" t="e">
        <f ca="1">+'Prestamo 15 años'!EL3+'Prestamo 15 años'!EL4+'Prestamo 15 años'!EL6</f>
        <v>#VALUE!</v>
      </c>
      <c r="EK10" s="33" t="e">
        <f ca="1">+'Prestamo 15 años'!EM3+'Prestamo 15 años'!EM4+'Prestamo 15 años'!EM6</f>
        <v>#VALUE!</v>
      </c>
      <c r="EL10" s="33" t="e">
        <f ca="1">+'Prestamo 15 años'!EN3+'Prestamo 15 años'!EN4+'Prestamo 15 años'!EN6</f>
        <v>#VALUE!</v>
      </c>
      <c r="EM10" s="33" t="e">
        <f ca="1">+'Prestamo 15 años'!EO3+'Prestamo 15 años'!EO4+'Prestamo 15 años'!EO6</f>
        <v>#VALUE!</v>
      </c>
      <c r="EN10" s="33" t="e">
        <f ca="1">+'Prestamo 15 años'!EP3+'Prestamo 15 años'!EP4+'Prestamo 15 años'!EP6</f>
        <v>#VALUE!</v>
      </c>
      <c r="EO10" s="33" t="e">
        <f ca="1">+'Prestamo 15 años'!EQ3+'Prestamo 15 años'!EQ4+'Prestamo 15 años'!EQ6</f>
        <v>#VALUE!</v>
      </c>
      <c r="EP10" s="33" t="e">
        <f ca="1">+'Prestamo 15 años'!ER3+'Prestamo 15 años'!ER4+'Prestamo 15 años'!ER6</f>
        <v>#VALUE!</v>
      </c>
      <c r="EQ10" s="33" t="e">
        <f ca="1">+'Prestamo 15 años'!ES3+'Prestamo 15 años'!ES4+'Prestamo 15 años'!ES6</f>
        <v>#VALUE!</v>
      </c>
      <c r="ER10" s="33" t="e">
        <f ca="1">+'Prestamo 15 años'!ET3+'Prestamo 15 años'!ET4+'Prestamo 15 años'!ET6</f>
        <v>#VALUE!</v>
      </c>
      <c r="ES10" s="33" t="e">
        <f ca="1">+'Prestamo 15 años'!EU3+'Prestamo 15 años'!EU4+'Prestamo 15 años'!EU6</f>
        <v>#VALUE!</v>
      </c>
      <c r="ET10" s="33" t="e">
        <f ca="1">+'Prestamo 15 años'!EV3+'Prestamo 15 años'!EV4+'Prestamo 15 años'!EV6</f>
        <v>#VALUE!</v>
      </c>
      <c r="EU10" s="33" t="e">
        <f ca="1">+'Prestamo 15 años'!EW3+'Prestamo 15 años'!EW4+'Prestamo 15 años'!EW6</f>
        <v>#VALUE!</v>
      </c>
      <c r="EV10" s="33" t="e">
        <f ca="1">+'Prestamo 15 años'!EX3+'Prestamo 15 años'!EX4+'Prestamo 15 años'!EX6</f>
        <v>#VALUE!</v>
      </c>
      <c r="EW10" s="33" t="e">
        <f ca="1">+'Prestamo 15 años'!EY3+'Prestamo 15 años'!EY4+'Prestamo 15 años'!EY6</f>
        <v>#VALUE!</v>
      </c>
      <c r="EX10" s="33" t="e">
        <f ca="1">+'Prestamo 15 años'!EZ3+'Prestamo 15 años'!EZ4+'Prestamo 15 años'!EZ6</f>
        <v>#VALUE!</v>
      </c>
      <c r="EY10" s="33" t="e">
        <f ca="1">+'Prestamo 15 años'!FA3+'Prestamo 15 años'!FA4+'Prestamo 15 años'!FA6</f>
        <v>#VALUE!</v>
      </c>
      <c r="EZ10" s="33" t="e">
        <f ca="1">+'Prestamo 15 años'!FB3+'Prestamo 15 años'!FB4+'Prestamo 15 años'!FB6</f>
        <v>#VALUE!</v>
      </c>
      <c r="FA10" s="33" t="e">
        <f ca="1">+'Prestamo 15 años'!FC3+'Prestamo 15 años'!FC4+'Prestamo 15 años'!FC6</f>
        <v>#VALUE!</v>
      </c>
      <c r="FB10" s="33" t="e">
        <f ca="1">+'Prestamo 15 años'!FD3+'Prestamo 15 años'!FD4+'Prestamo 15 años'!FD6</f>
        <v>#VALUE!</v>
      </c>
      <c r="FC10" s="33" t="e">
        <f ca="1">+'Prestamo 15 años'!FE3+'Prestamo 15 años'!FE4+'Prestamo 15 años'!FE6</f>
        <v>#VALUE!</v>
      </c>
      <c r="FD10" s="33" t="e">
        <f ca="1">+'Prestamo 15 años'!FF3+'Prestamo 15 años'!FF4+'Prestamo 15 años'!FF6</f>
        <v>#VALUE!</v>
      </c>
      <c r="FE10" s="33" t="e">
        <f ca="1">+'Prestamo 15 años'!FG3+'Prestamo 15 años'!FG4+'Prestamo 15 años'!FG6</f>
        <v>#VALUE!</v>
      </c>
      <c r="FF10" s="33" t="e">
        <f ca="1">+'Prestamo 15 años'!FH3+'Prestamo 15 años'!FH4+'Prestamo 15 años'!FH6</f>
        <v>#VALUE!</v>
      </c>
      <c r="FG10" s="33" t="e">
        <f ca="1">+'Prestamo 15 años'!FI3+'Prestamo 15 años'!FI4+'Prestamo 15 años'!FI6</f>
        <v>#VALUE!</v>
      </c>
      <c r="FH10" s="33" t="e">
        <f ca="1">+'Prestamo 15 años'!FJ3+'Prestamo 15 años'!FJ4+'Prestamo 15 años'!FJ6</f>
        <v>#VALUE!</v>
      </c>
      <c r="FI10" s="33" t="e">
        <f ca="1">+'Prestamo 15 años'!FK3+'Prestamo 15 años'!FK4+'Prestamo 15 años'!FK6</f>
        <v>#VALUE!</v>
      </c>
      <c r="FJ10" s="33" t="e">
        <f ca="1">+'Prestamo 15 años'!FL3+'Prestamo 15 años'!FL4+'Prestamo 15 años'!FL6</f>
        <v>#VALUE!</v>
      </c>
      <c r="FK10" s="33" t="e">
        <f ca="1">+'Prestamo 15 años'!FM3+'Prestamo 15 años'!FM4+'Prestamo 15 años'!FM6</f>
        <v>#VALUE!</v>
      </c>
      <c r="FL10" s="33" t="e">
        <f ca="1">+'Prestamo 15 años'!FN3+'Prestamo 15 años'!FN4+'Prestamo 15 años'!FN6</f>
        <v>#VALUE!</v>
      </c>
      <c r="FM10" s="33" t="e">
        <f ca="1">+'Prestamo 15 años'!FO3+'Prestamo 15 años'!FO4+'Prestamo 15 años'!FO6</f>
        <v>#VALUE!</v>
      </c>
      <c r="FN10" s="33" t="e">
        <f ca="1">+'Prestamo 15 años'!FP3+'Prestamo 15 años'!FP4+'Prestamo 15 años'!FP6</f>
        <v>#VALUE!</v>
      </c>
      <c r="FO10" s="33" t="e">
        <f ca="1">+'Prestamo 15 años'!FQ3+'Prestamo 15 años'!FQ4+'Prestamo 15 años'!FQ6</f>
        <v>#VALUE!</v>
      </c>
      <c r="FP10" s="33" t="e">
        <f ca="1">+'Prestamo 15 años'!FR3+'Prestamo 15 años'!FR4+'Prestamo 15 años'!FR6</f>
        <v>#VALUE!</v>
      </c>
      <c r="FQ10" s="33" t="e">
        <f ca="1">+'Prestamo 15 años'!FS3+'Prestamo 15 años'!FS4+'Prestamo 15 años'!FS6</f>
        <v>#VALUE!</v>
      </c>
      <c r="FR10" s="33" t="e">
        <f ca="1">+'Prestamo 15 años'!FT3+'Prestamo 15 años'!FT4+'Prestamo 15 años'!FT6</f>
        <v>#VALUE!</v>
      </c>
      <c r="FS10" s="33" t="e">
        <f ca="1">+'Prestamo 15 años'!FU3+'Prestamo 15 años'!FU4+'Prestamo 15 años'!FU6</f>
        <v>#VALUE!</v>
      </c>
      <c r="FT10" s="33" t="e">
        <f ca="1">+'Prestamo 15 años'!FV3+'Prestamo 15 años'!FV4+'Prestamo 15 años'!FV6</f>
        <v>#VALUE!</v>
      </c>
      <c r="FU10" s="33" t="e">
        <f ca="1">+'Prestamo 15 años'!FW3+'Prestamo 15 años'!FW4+'Prestamo 15 años'!FW6</f>
        <v>#VALUE!</v>
      </c>
      <c r="FV10" s="33" t="e">
        <f ca="1">+'Prestamo 15 años'!FX3+'Prestamo 15 años'!FX4+'Prestamo 15 años'!FX6</f>
        <v>#VALUE!</v>
      </c>
      <c r="FW10" s="33" t="e">
        <f ca="1">+'Prestamo 15 años'!FY3+'Prestamo 15 años'!FY4+'Prestamo 15 años'!FY6</f>
        <v>#VALUE!</v>
      </c>
      <c r="FX10" s="33" t="e">
        <f ca="1">+'Prestamo 15 años'!FZ3+'Prestamo 15 años'!FZ4+'Prestamo 15 años'!FZ6</f>
        <v>#VALUE!</v>
      </c>
      <c r="FY10" s="33" t="e">
        <f ca="1">+'Prestamo 15 años'!GA3+'Prestamo 15 años'!GA4+'Prestamo 15 años'!GA6</f>
        <v>#VALUE!</v>
      </c>
      <c r="FZ10" s="33" t="e">
        <f ca="1">+'Prestamo 15 años'!GB3+'Prestamo 15 años'!GB4+'Prestamo 15 años'!GB6</f>
        <v>#VALUE!</v>
      </c>
      <c r="GA10" s="33" t="e">
        <f ca="1">+'Prestamo 15 años'!GC3+'Prestamo 15 años'!GC4+'Prestamo 15 años'!GC6</f>
        <v>#VALUE!</v>
      </c>
      <c r="GB10" s="33" t="e">
        <f ca="1">+'Prestamo 15 años'!GD3+'Prestamo 15 años'!GD4+'Prestamo 15 años'!GD6</f>
        <v>#VALUE!</v>
      </c>
      <c r="GC10" s="33" t="e">
        <f ca="1">+'Prestamo 15 años'!GE3+'Prestamo 15 años'!GE4+'Prestamo 15 años'!GE6</f>
        <v>#VALUE!</v>
      </c>
      <c r="GD10" s="33" t="e">
        <f ca="1">+'Prestamo 15 años'!GF3+'Prestamo 15 años'!GF4+'Prestamo 15 años'!GF6</f>
        <v>#VALUE!</v>
      </c>
      <c r="GE10" s="33" t="e">
        <f ca="1">+'Prestamo 15 años'!GG3+'Prestamo 15 años'!GG4+'Prestamo 15 años'!GG6</f>
        <v>#VALUE!</v>
      </c>
      <c r="GF10" s="33" t="e">
        <f ca="1">+'Prestamo 15 años'!GH3+'Prestamo 15 años'!GH4+'Prestamo 15 años'!GH6</f>
        <v>#VALUE!</v>
      </c>
      <c r="GG10" s="33" t="e">
        <f ca="1">+'Prestamo 15 años'!GI3+'Prestamo 15 años'!GI4+'Prestamo 15 años'!GI6</f>
        <v>#VALUE!</v>
      </c>
      <c r="GH10" s="33">
        <f>+'Prestamo 15 años'!GJ3+'Prestamo 15 años'!GJ4+'Prestamo 15 años'!GJ6</f>
        <v>0</v>
      </c>
      <c r="GI10" s="33">
        <f>+'Prestamo 15 años'!GK3+'Prestamo 15 años'!GK4+'Prestamo 15 años'!GK6</f>
        <v>0</v>
      </c>
      <c r="GJ10" s="33">
        <f>+'Prestamo 15 años'!GL3+'Prestamo 15 años'!GL4+'Prestamo 15 años'!GL6</f>
        <v>0</v>
      </c>
      <c r="GK10" s="33">
        <f>+'Prestamo 15 años'!GM3+'Prestamo 15 años'!GM4+'Prestamo 15 años'!GM6</f>
        <v>0</v>
      </c>
      <c r="GL10" s="33">
        <f>+'Prestamo 15 años'!GN3+'Prestamo 15 años'!GN4+'Prestamo 15 años'!GN6</f>
        <v>0</v>
      </c>
      <c r="GM10" s="33">
        <f>+'Prestamo 15 años'!GO3+'Prestamo 15 años'!GO4+'Prestamo 15 años'!GO6</f>
        <v>0</v>
      </c>
      <c r="GN10" s="33">
        <f>+'Prestamo 15 años'!GP3+'Prestamo 15 años'!GP4+'Prestamo 15 años'!GP6</f>
        <v>0</v>
      </c>
      <c r="GO10" s="33">
        <f>+'Prestamo 15 años'!GQ3+'Prestamo 15 años'!GQ4+'Prestamo 15 años'!GQ6</f>
        <v>0</v>
      </c>
      <c r="GP10" s="33">
        <f>+'Prestamo 15 años'!GR3+'Prestamo 15 años'!GR4+'Prestamo 15 años'!GR6</f>
        <v>0</v>
      </c>
      <c r="GQ10" s="33">
        <f>+'Prestamo 15 años'!GS3+'Prestamo 15 años'!GS4+'Prestamo 15 años'!GS6</f>
        <v>0</v>
      </c>
      <c r="GR10" s="33">
        <f>+'Prestamo 15 años'!GT3+'Prestamo 15 años'!GT4+'Prestamo 15 años'!GT6</f>
        <v>0</v>
      </c>
      <c r="GS10" s="33">
        <f>+'Prestamo 15 años'!GU3+'Prestamo 15 años'!GU4+'Prestamo 15 años'!GU6</f>
        <v>0</v>
      </c>
      <c r="GT10" s="33">
        <f>+'Prestamo 15 años'!GV3+'Prestamo 15 años'!GV4+'Prestamo 15 años'!GV6</f>
        <v>0</v>
      </c>
      <c r="GU10" s="33">
        <f>+'Prestamo 15 años'!GW3+'Prestamo 15 años'!GW4+'Prestamo 15 años'!GW6</f>
        <v>0</v>
      </c>
      <c r="GV10" s="33">
        <f>+'Prestamo 15 años'!GX3+'Prestamo 15 años'!GX4+'Prestamo 15 años'!GX6</f>
        <v>0</v>
      </c>
      <c r="GW10" s="33">
        <f>+'Prestamo 15 años'!GY3+'Prestamo 15 años'!GY4+'Prestamo 15 años'!GY6</f>
        <v>0</v>
      </c>
      <c r="GX10" s="33">
        <f>+'Prestamo 15 años'!GZ3+'Prestamo 15 años'!GZ4+'Prestamo 15 años'!GZ6</f>
        <v>0</v>
      </c>
      <c r="GY10" s="33">
        <f>+'Prestamo 15 años'!HA3+'Prestamo 15 años'!HA4+'Prestamo 15 años'!HA6</f>
        <v>0</v>
      </c>
      <c r="GZ10" s="33">
        <f>+'Prestamo 15 años'!HB3+'Prestamo 15 años'!HB4+'Prestamo 15 años'!HB6</f>
        <v>0</v>
      </c>
      <c r="HA10" s="33">
        <f>+'Prestamo 15 años'!HC3+'Prestamo 15 años'!HC4+'Prestamo 15 años'!HC6</f>
        <v>0</v>
      </c>
      <c r="HB10" s="33">
        <f>+'Prestamo 15 años'!HD3+'Prestamo 15 años'!HD4+'Prestamo 15 años'!HD6</f>
        <v>0</v>
      </c>
      <c r="HC10" s="33">
        <f>+'Prestamo 15 años'!HE3+'Prestamo 15 años'!HE4+'Prestamo 15 años'!HE6</f>
        <v>0</v>
      </c>
      <c r="HD10" s="33">
        <f>+'Prestamo 15 años'!HF3+'Prestamo 15 años'!HF4+'Prestamo 15 años'!HF6</f>
        <v>0</v>
      </c>
      <c r="HE10" s="33">
        <f>+'Prestamo 15 años'!HG3+'Prestamo 15 años'!HG4+'Prestamo 15 años'!HG6</f>
        <v>0</v>
      </c>
      <c r="HF10" s="33">
        <f>+'Prestamo 15 años'!HH3+'Prestamo 15 años'!HH4+'Prestamo 15 años'!HH6</f>
        <v>0</v>
      </c>
      <c r="HG10" s="33">
        <f>+'Prestamo 15 años'!HI3+'Prestamo 15 años'!HI4+'Prestamo 15 años'!HI6</f>
        <v>0</v>
      </c>
      <c r="HH10" s="33">
        <f>+'Prestamo 15 años'!HJ3+'Prestamo 15 años'!HJ4+'Prestamo 15 años'!HJ6</f>
        <v>0</v>
      </c>
      <c r="HI10" s="33">
        <f>+'Prestamo 15 años'!HK3+'Prestamo 15 años'!HK4+'Prestamo 15 años'!HK6</f>
        <v>0</v>
      </c>
      <c r="HJ10" s="33">
        <f>+'Prestamo 15 años'!HL3+'Prestamo 15 años'!HL4+'Prestamo 15 años'!HL6</f>
        <v>0</v>
      </c>
      <c r="HK10" s="33">
        <f>+'Prestamo 15 años'!HM3+'Prestamo 15 años'!HM4+'Prestamo 15 años'!HM6</f>
        <v>0</v>
      </c>
      <c r="HL10" s="33">
        <f>+'Prestamo 15 años'!HN3+'Prestamo 15 años'!HN4+'Prestamo 15 años'!HN6</f>
        <v>0</v>
      </c>
      <c r="HM10" s="33">
        <f>+'Prestamo 15 años'!HO3+'Prestamo 15 años'!HO4+'Prestamo 15 años'!HO6</f>
        <v>0</v>
      </c>
      <c r="HN10" s="33">
        <f>+'Prestamo 15 años'!HP3+'Prestamo 15 años'!HP4+'Prestamo 15 años'!HP6</f>
        <v>0</v>
      </c>
      <c r="HO10" s="33">
        <f>+'Prestamo 15 años'!HQ3+'Prestamo 15 años'!HQ4+'Prestamo 15 años'!HQ6</f>
        <v>0</v>
      </c>
      <c r="HP10" s="33">
        <f>+'Prestamo 15 años'!HR3+'Prestamo 15 años'!HR4+'Prestamo 15 años'!HR6</f>
        <v>0</v>
      </c>
      <c r="HQ10" s="33">
        <f>+'Prestamo 15 años'!HS3+'Prestamo 15 años'!HS4+'Prestamo 15 años'!HS6</f>
        <v>0</v>
      </c>
      <c r="HR10" s="33">
        <f>+'Prestamo 15 años'!HT3+'Prestamo 15 años'!HT4+'Prestamo 15 años'!HT6</f>
        <v>0</v>
      </c>
      <c r="HS10" s="33">
        <f>+'Prestamo 15 años'!HU3+'Prestamo 15 años'!HU4+'Prestamo 15 años'!HU6</f>
        <v>0</v>
      </c>
      <c r="HT10" s="33">
        <f>+'Prestamo 15 años'!HV3+'Prestamo 15 años'!HV4+'Prestamo 15 años'!HV6</f>
        <v>0</v>
      </c>
      <c r="HU10" s="33">
        <f>+'Prestamo 15 años'!HW3+'Prestamo 15 años'!HW4+'Prestamo 15 años'!HW6</f>
        <v>0</v>
      </c>
      <c r="HV10" s="33">
        <f>+'Prestamo 15 años'!HX3+'Prestamo 15 años'!HX4+'Prestamo 15 años'!HX6</f>
        <v>0</v>
      </c>
      <c r="HW10" s="33">
        <f>+'Prestamo 15 años'!HY3+'Prestamo 15 años'!HY4+'Prestamo 15 años'!HY6</f>
        <v>0</v>
      </c>
      <c r="HX10" s="33">
        <f>+'Prestamo 15 años'!HZ3+'Prestamo 15 años'!HZ4+'Prestamo 15 años'!HZ6</f>
        <v>0</v>
      </c>
      <c r="HY10" s="33">
        <f>+'Prestamo 15 años'!IA3+'Prestamo 15 años'!IA4+'Prestamo 15 años'!IA6</f>
        <v>0</v>
      </c>
      <c r="HZ10" s="33">
        <f>+'Prestamo 15 años'!IB3+'Prestamo 15 años'!IB4+'Prestamo 15 años'!IB6</f>
        <v>0</v>
      </c>
      <c r="IA10" s="33">
        <f>+'Prestamo 15 años'!IC3+'Prestamo 15 años'!IC4+'Prestamo 15 años'!IC6</f>
        <v>0</v>
      </c>
      <c r="IB10" s="33">
        <f>+'Prestamo 15 años'!ID3+'Prestamo 15 años'!ID4+'Prestamo 15 años'!ID6</f>
        <v>0</v>
      </c>
      <c r="IC10" s="33">
        <f>+'Prestamo 15 años'!IE3+'Prestamo 15 años'!IE4+'Prestamo 15 años'!IE6</f>
        <v>0</v>
      </c>
      <c r="ID10" s="33">
        <f>+'Prestamo 15 años'!IF3+'Prestamo 15 años'!IF4+'Prestamo 15 años'!IF6</f>
        <v>0</v>
      </c>
      <c r="IE10" s="33">
        <f>+'Prestamo 15 años'!IG3+'Prestamo 15 años'!IG4+'Prestamo 15 años'!IG6</f>
        <v>0</v>
      </c>
      <c r="IF10" s="33">
        <f>+'Prestamo 15 años'!IH3+'Prestamo 15 años'!IH4+'Prestamo 15 años'!IH6</f>
        <v>0</v>
      </c>
      <c r="IG10" s="33">
        <f>+'Prestamo 15 años'!II3+'Prestamo 15 años'!II4+'Prestamo 15 años'!II6</f>
        <v>0</v>
      </c>
      <c r="IH10" s="33">
        <f>+'Prestamo 15 años'!IJ3+'Prestamo 15 años'!IJ4+'Prestamo 15 años'!IJ6</f>
        <v>0</v>
      </c>
      <c r="II10" s="33">
        <f>+'Prestamo 15 años'!IK3+'Prestamo 15 años'!IK4+'Prestamo 15 años'!IK6</f>
        <v>0</v>
      </c>
      <c r="IJ10" s="33">
        <f>+'Prestamo 15 años'!IL3+'Prestamo 15 años'!IL4+'Prestamo 15 años'!IL6</f>
        <v>0</v>
      </c>
      <c r="IK10" s="33">
        <f>+'Prestamo 15 años'!IM3+'Prestamo 15 años'!IM4+'Prestamo 15 años'!IM6</f>
        <v>0</v>
      </c>
      <c r="IL10" s="33">
        <f>+'Prestamo 15 años'!IN3+'Prestamo 15 años'!IN4+'Prestamo 15 años'!IN6</f>
        <v>0</v>
      </c>
      <c r="IM10" s="33">
        <f>+'Prestamo 15 años'!IO3+'Prestamo 15 años'!IO4+'Prestamo 15 años'!IO6</f>
        <v>0</v>
      </c>
    </row>
    <row r="12" spans="1:247" x14ac:dyDescent="0.3">
      <c r="A12" t="s">
        <v>922</v>
      </c>
      <c r="B12" s="33" t="e">
        <f>+B8-B9</f>
        <v>#REF!</v>
      </c>
      <c r="C12" s="33">
        <f>+C8-C9</f>
        <v>0</v>
      </c>
      <c r="D12" s="33">
        <f t="shared" ref="D12:BO12" si="13">+D8-D9</f>
        <v>0</v>
      </c>
      <c r="E12" s="33">
        <f t="shared" si="13"/>
        <v>0</v>
      </c>
      <c r="F12" s="33">
        <f>+F8-F9</f>
        <v>0</v>
      </c>
      <c r="G12" s="33">
        <f t="shared" si="13"/>
        <v>0</v>
      </c>
      <c r="H12" s="33">
        <f t="shared" si="13"/>
        <v>0</v>
      </c>
      <c r="I12" s="33" t="e">
        <f ca="1">+I8-I9</f>
        <v>#VALUE!</v>
      </c>
      <c r="J12" s="33" t="e">
        <f t="shared" ca="1" si="13"/>
        <v>#VALUE!</v>
      </c>
      <c r="K12" s="33" t="e">
        <f t="shared" ca="1" si="13"/>
        <v>#VALUE!</v>
      </c>
      <c r="L12" s="33" t="e">
        <f t="shared" ca="1" si="13"/>
        <v>#VALUE!</v>
      </c>
      <c r="M12" s="33" t="e">
        <f t="shared" ca="1" si="13"/>
        <v>#VALUE!</v>
      </c>
      <c r="N12" s="33" t="e">
        <f t="shared" ca="1" si="13"/>
        <v>#VALUE!</v>
      </c>
      <c r="O12" s="33" t="e">
        <f t="shared" ca="1" si="13"/>
        <v>#VALUE!</v>
      </c>
      <c r="P12" s="33" t="e">
        <f t="shared" ca="1" si="13"/>
        <v>#VALUE!</v>
      </c>
      <c r="Q12" s="33" t="e">
        <f t="shared" ca="1" si="13"/>
        <v>#VALUE!</v>
      </c>
      <c r="R12" s="33" t="e">
        <f t="shared" ca="1" si="13"/>
        <v>#VALUE!</v>
      </c>
      <c r="S12" s="33" t="e">
        <f t="shared" ca="1" si="13"/>
        <v>#VALUE!</v>
      </c>
      <c r="T12" s="33" t="e">
        <f t="shared" ca="1" si="13"/>
        <v>#VALUE!</v>
      </c>
      <c r="U12" s="33" t="e">
        <f t="shared" ca="1" si="13"/>
        <v>#VALUE!</v>
      </c>
      <c r="V12" s="33" t="e">
        <f t="shared" ca="1" si="13"/>
        <v>#VALUE!</v>
      </c>
      <c r="W12" s="33" t="e">
        <f t="shared" ca="1" si="13"/>
        <v>#VALUE!</v>
      </c>
      <c r="X12" s="33" t="e">
        <f t="shared" ca="1" si="13"/>
        <v>#VALUE!</v>
      </c>
      <c r="Y12" s="33" t="e">
        <f t="shared" ca="1" si="13"/>
        <v>#VALUE!</v>
      </c>
      <c r="Z12" s="33" t="e">
        <f t="shared" ca="1" si="13"/>
        <v>#VALUE!</v>
      </c>
      <c r="AA12" s="33" t="e">
        <f t="shared" ca="1" si="13"/>
        <v>#VALUE!</v>
      </c>
      <c r="AB12" s="33" t="e">
        <f t="shared" ca="1" si="13"/>
        <v>#VALUE!</v>
      </c>
      <c r="AC12" s="33" t="e">
        <f t="shared" ca="1" si="13"/>
        <v>#VALUE!</v>
      </c>
      <c r="AD12" s="33" t="e">
        <f t="shared" ca="1" si="13"/>
        <v>#VALUE!</v>
      </c>
      <c r="AE12" s="33" t="e">
        <f t="shared" ca="1" si="13"/>
        <v>#VALUE!</v>
      </c>
      <c r="AF12" s="33" t="e">
        <f t="shared" ca="1" si="13"/>
        <v>#VALUE!</v>
      </c>
      <c r="AG12" s="33" t="e">
        <f t="shared" ca="1" si="13"/>
        <v>#VALUE!</v>
      </c>
      <c r="AH12" s="33" t="e">
        <f t="shared" ca="1" si="13"/>
        <v>#VALUE!</v>
      </c>
      <c r="AI12" s="33" t="e">
        <f t="shared" ca="1" si="13"/>
        <v>#VALUE!</v>
      </c>
      <c r="AJ12" s="33" t="e">
        <f t="shared" ca="1" si="13"/>
        <v>#VALUE!</v>
      </c>
      <c r="AK12" s="33" t="e">
        <f t="shared" ca="1" si="13"/>
        <v>#VALUE!</v>
      </c>
      <c r="AL12" s="33" t="e">
        <f t="shared" ca="1" si="13"/>
        <v>#VALUE!</v>
      </c>
      <c r="AM12" s="33" t="e">
        <f t="shared" ca="1" si="13"/>
        <v>#VALUE!</v>
      </c>
      <c r="AN12" s="33" t="e">
        <f t="shared" ca="1" si="13"/>
        <v>#VALUE!</v>
      </c>
      <c r="AO12" s="33" t="e">
        <f t="shared" ca="1" si="13"/>
        <v>#VALUE!</v>
      </c>
      <c r="AP12" s="33" t="e">
        <f t="shared" ca="1" si="13"/>
        <v>#VALUE!</v>
      </c>
      <c r="AQ12" s="33" t="e">
        <f t="shared" ca="1" si="13"/>
        <v>#VALUE!</v>
      </c>
      <c r="AR12" s="33" t="e">
        <f t="shared" ca="1" si="13"/>
        <v>#VALUE!</v>
      </c>
      <c r="AS12" s="33" t="e">
        <f t="shared" ca="1" si="13"/>
        <v>#VALUE!</v>
      </c>
      <c r="AT12" s="33" t="e">
        <f t="shared" ca="1" si="13"/>
        <v>#VALUE!</v>
      </c>
      <c r="AU12" s="33" t="e">
        <f t="shared" ca="1" si="13"/>
        <v>#VALUE!</v>
      </c>
      <c r="AV12" s="33" t="e">
        <f t="shared" ca="1" si="13"/>
        <v>#VALUE!</v>
      </c>
      <c r="AW12" s="33" t="e">
        <f t="shared" ca="1" si="13"/>
        <v>#VALUE!</v>
      </c>
      <c r="AX12" s="33" t="e">
        <f t="shared" ca="1" si="13"/>
        <v>#VALUE!</v>
      </c>
      <c r="AY12" s="33" t="e">
        <f t="shared" ca="1" si="13"/>
        <v>#VALUE!</v>
      </c>
      <c r="AZ12" s="33" t="e">
        <f t="shared" ca="1" si="13"/>
        <v>#VALUE!</v>
      </c>
      <c r="BA12" s="33" t="e">
        <f t="shared" ca="1" si="13"/>
        <v>#VALUE!</v>
      </c>
      <c r="BB12" s="33" t="e">
        <f t="shared" ca="1" si="13"/>
        <v>#VALUE!</v>
      </c>
      <c r="BC12" s="33" t="e">
        <f t="shared" ca="1" si="13"/>
        <v>#VALUE!</v>
      </c>
      <c r="BD12" s="33" t="e">
        <f t="shared" ca="1" si="13"/>
        <v>#VALUE!</v>
      </c>
      <c r="BE12" s="33" t="e">
        <f t="shared" ca="1" si="13"/>
        <v>#VALUE!</v>
      </c>
      <c r="BF12" s="33" t="e">
        <f t="shared" ca="1" si="13"/>
        <v>#VALUE!</v>
      </c>
      <c r="BG12" s="33" t="e">
        <f t="shared" ca="1" si="13"/>
        <v>#VALUE!</v>
      </c>
      <c r="BH12" s="33" t="e">
        <f t="shared" ca="1" si="13"/>
        <v>#VALUE!</v>
      </c>
      <c r="BI12" s="33" t="e">
        <f t="shared" ca="1" si="13"/>
        <v>#VALUE!</v>
      </c>
      <c r="BJ12" s="33" t="e">
        <f t="shared" ca="1" si="13"/>
        <v>#VALUE!</v>
      </c>
      <c r="BK12" s="33" t="e">
        <f t="shared" ca="1" si="13"/>
        <v>#VALUE!</v>
      </c>
      <c r="BL12" s="33" t="e">
        <f t="shared" ca="1" si="13"/>
        <v>#VALUE!</v>
      </c>
      <c r="BM12" s="33" t="e">
        <f t="shared" ca="1" si="13"/>
        <v>#VALUE!</v>
      </c>
      <c r="BN12" s="33" t="e">
        <f t="shared" ca="1" si="13"/>
        <v>#VALUE!</v>
      </c>
      <c r="BO12" s="33" t="e">
        <f t="shared" ca="1" si="13"/>
        <v>#VALUE!</v>
      </c>
      <c r="BP12" s="33" t="e">
        <f t="shared" ref="BP12:DR12" ca="1" si="14">+BP8-BP9</f>
        <v>#VALUE!</v>
      </c>
      <c r="BQ12" s="33" t="e">
        <f t="shared" ca="1" si="14"/>
        <v>#VALUE!</v>
      </c>
      <c r="BR12" s="33" t="e">
        <f t="shared" ca="1" si="14"/>
        <v>#VALUE!</v>
      </c>
      <c r="BS12" s="33" t="e">
        <f t="shared" ca="1" si="14"/>
        <v>#VALUE!</v>
      </c>
      <c r="BT12" s="33" t="e">
        <f t="shared" ca="1" si="14"/>
        <v>#VALUE!</v>
      </c>
      <c r="BU12" s="33" t="e">
        <f t="shared" ca="1" si="14"/>
        <v>#VALUE!</v>
      </c>
      <c r="BV12" s="33" t="e">
        <f t="shared" ca="1" si="14"/>
        <v>#VALUE!</v>
      </c>
      <c r="BW12" s="33" t="e">
        <f t="shared" ca="1" si="14"/>
        <v>#VALUE!</v>
      </c>
      <c r="BX12" s="33" t="e">
        <f t="shared" ca="1" si="14"/>
        <v>#VALUE!</v>
      </c>
      <c r="BY12" s="33" t="e">
        <f t="shared" ca="1" si="14"/>
        <v>#VALUE!</v>
      </c>
      <c r="BZ12" s="33" t="e">
        <f t="shared" ca="1" si="14"/>
        <v>#VALUE!</v>
      </c>
      <c r="CA12" s="33" t="e">
        <f t="shared" ca="1" si="14"/>
        <v>#VALUE!</v>
      </c>
      <c r="CB12" s="33" t="e">
        <f t="shared" ca="1" si="14"/>
        <v>#VALUE!</v>
      </c>
      <c r="CC12" s="33" t="e">
        <f t="shared" ca="1" si="14"/>
        <v>#VALUE!</v>
      </c>
      <c r="CD12" s="33" t="e">
        <f t="shared" ca="1" si="14"/>
        <v>#VALUE!</v>
      </c>
      <c r="CE12" s="33" t="e">
        <f t="shared" ca="1" si="14"/>
        <v>#VALUE!</v>
      </c>
      <c r="CF12" s="33" t="e">
        <f t="shared" ca="1" si="14"/>
        <v>#VALUE!</v>
      </c>
      <c r="CG12" s="33" t="e">
        <f t="shared" ca="1" si="14"/>
        <v>#VALUE!</v>
      </c>
      <c r="CH12" s="33" t="e">
        <f t="shared" ca="1" si="14"/>
        <v>#VALUE!</v>
      </c>
      <c r="CI12" s="33" t="e">
        <f t="shared" ca="1" si="14"/>
        <v>#VALUE!</v>
      </c>
      <c r="CJ12" s="33" t="e">
        <f t="shared" ca="1" si="14"/>
        <v>#VALUE!</v>
      </c>
      <c r="CK12" s="33" t="e">
        <f t="shared" ca="1" si="14"/>
        <v>#VALUE!</v>
      </c>
      <c r="CL12" s="33" t="e">
        <f t="shared" ca="1" si="14"/>
        <v>#VALUE!</v>
      </c>
      <c r="CM12" s="33" t="e">
        <f t="shared" ca="1" si="14"/>
        <v>#VALUE!</v>
      </c>
      <c r="CN12" s="33" t="e">
        <f t="shared" ca="1" si="14"/>
        <v>#VALUE!</v>
      </c>
      <c r="CO12" s="33" t="e">
        <f t="shared" ca="1" si="14"/>
        <v>#VALUE!</v>
      </c>
      <c r="CP12" s="33" t="e">
        <f t="shared" ca="1" si="14"/>
        <v>#VALUE!</v>
      </c>
      <c r="CQ12" s="33" t="e">
        <f t="shared" ca="1" si="14"/>
        <v>#VALUE!</v>
      </c>
      <c r="CR12" s="33" t="e">
        <f t="shared" ca="1" si="14"/>
        <v>#VALUE!</v>
      </c>
      <c r="CS12" s="33" t="e">
        <f t="shared" ca="1" si="14"/>
        <v>#VALUE!</v>
      </c>
      <c r="CT12" s="33" t="e">
        <f t="shared" ca="1" si="14"/>
        <v>#VALUE!</v>
      </c>
      <c r="CU12" s="33" t="e">
        <f t="shared" ca="1" si="14"/>
        <v>#VALUE!</v>
      </c>
      <c r="CV12" s="33" t="e">
        <f t="shared" ca="1" si="14"/>
        <v>#VALUE!</v>
      </c>
      <c r="CW12" s="33" t="e">
        <f t="shared" ca="1" si="14"/>
        <v>#VALUE!</v>
      </c>
      <c r="CX12" s="33" t="e">
        <f t="shared" ca="1" si="14"/>
        <v>#VALUE!</v>
      </c>
      <c r="CY12" s="33" t="e">
        <f t="shared" ca="1" si="14"/>
        <v>#VALUE!</v>
      </c>
      <c r="CZ12" s="33" t="e">
        <f t="shared" ca="1" si="14"/>
        <v>#VALUE!</v>
      </c>
      <c r="DA12" s="33" t="e">
        <f t="shared" ca="1" si="14"/>
        <v>#VALUE!</v>
      </c>
      <c r="DB12" s="33" t="e">
        <f t="shared" ca="1" si="14"/>
        <v>#VALUE!</v>
      </c>
      <c r="DC12" s="33" t="e">
        <f t="shared" ca="1" si="14"/>
        <v>#VALUE!</v>
      </c>
      <c r="DD12" s="33" t="e">
        <f t="shared" ca="1" si="14"/>
        <v>#VALUE!</v>
      </c>
      <c r="DE12" s="33" t="e">
        <f t="shared" ca="1" si="14"/>
        <v>#VALUE!</v>
      </c>
      <c r="DF12" s="33" t="e">
        <f t="shared" ca="1" si="14"/>
        <v>#VALUE!</v>
      </c>
      <c r="DG12" s="33" t="e">
        <f t="shared" ca="1" si="14"/>
        <v>#VALUE!</v>
      </c>
      <c r="DH12" s="33" t="e">
        <f t="shared" ca="1" si="14"/>
        <v>#VALUE!</v>
      </c>
      <c r="DI12" s="33" t="e">
        <f t="shared" ca="1" si="14"/>
        <v>#VALUE!</v>
      </c>
      <c r="DJ12" s="33" t="e">
        <f t="shared" ca="1" si="14"/>
        <v>#VALUE!</v>
      </c>
      <c r="DK12" s="33" t="e">
        <f t="shared" ca="1" si="14"/>
        <v>#VALUE!</v>
      </c>
      <c r="DL12" s="33" t="e">
        <f t="shared" ca="1" si="14"/>
        <v>#VALUE!</v>
      </c>
      <c r="DM12" s="33" t="e">
        <f t="shared" ca="1" si="14"/>
        <v>#VALUE!</v>
      </c>
      <c r="DN12" s="33" t="e">
        <f t="shared" ca="1" si="14"/>
        <v>#VALUE!</v>
      </c>
      <c r="DO12" s="33" t="e">
        <f t="shared" ca="1" si="14"/>
        <v>#VALUE!</v>
      </c>
      <c r="DP12" s="33" t="e">
        <f t="shared" ca="1" si="14"/>
        <v>#VALUE!</v>
      </c>
      <c r="DQ12" s="33" t="e">
        <f t="shared" ca="1" si="14"/>
        <v>#VALUE!</v>
      </c>
      <c r="DR12" s="33" t="e">
        <f t="shared" ca="1" si="14"/>
        <v>#VALUE!</v>
      </c>
      <c r="DS12" s="33" t="e">
        <f ca="1">+DS8-DS9</f>
        <v>#VALUE!</v>
      </c>
      <c r="DT12" s="33" t="e">
        <f t="shared" ref="DT12:DU12" ca="1" si="15">+DT8-DT9</f>
        <v>#VALUE!</v>
      </c>
      <c r="DU12" s="33" t="e">
        <f t="shared" ca="1" si="15"/>
        <v>#VALUE!</v>
      </c>
      <c r="DV12" s="33" t="e">
        <f ca="1">+DV8-DV9</f>
        <v>#VALUE!</v>
      </c>
      <c r="DW12" s="33" t="e">
        <f t="shared" ref="DW12:DX12" ca="1" si="16">+DW8-DW9</f>
        <v>#VALUE!</v>
      </c>
      <c r="DX12" s="33" t="e">
        <f t="shared" ca="1" si="16"/>
        <v>#VALUE!</v>
      </c>
      <c r="DY12" s="33" t="e">
        <f ca="1">+DY8-DY9</f>
        <v>#VALUE!</v>
      </c>
      <c r="DZ12" s="33" t="e">
        <f t="shared" ref="DZ12:GK12" ca="1" si="17">+DZ8-DZ9</f>
        <v>#VALUE!</v>
      </c>
      <c r="EA12" s="33" t="e">
        <f t="shared" ca="1" si="17"/>
        <v>#VALUE!</v>
      </c>
      <c r="EB12" s="33" t="e">
        <f t="shared" ca="1" si="17"/>
        <v>#VALUE!</v>
      </c>
      <c r="EC12" s="33" t="e">
        <f t="shared" ca="1" si="17"/>
        <v>#VALUE!</v>
      </c>
      <c r="ED12" s="33" t="e">
        <f t="shared" ca="1" si="17"/>
        <v>#VALUE!</v>
      </c>
      <c r="EE12" s="33" t="e">
        <f t="shared" ca="1" si="17"/>
        <v>#VALUE!</v>
      </c>
      <c r="EF12" s="33" t="e">
        <f t="shared" ca="1" si="17"/>
        <v>#VALUE!</v>
      </c>
      <c r="EG12" s="33" t="e">
        <f t="shared" ca="1" si="17"/>
        <v>#VALUE!</v>
      </c>
      <c r="EH12" s="33" t="e">
        <f t="shared" ca="1" si="17"/>
        <v>#VALUE!</v>
      </c>
      <c r="EI12" s="33" t="e">
        <f t="shared" ca="1" si="17"/>
        <v>#VALUE!</v>
      </c>
      <c r="EJ12" s="33" t="e">
        <f t="shared" ca="1" si="17"/>
        <v>#VALUE!</v>
      </c>
      <c r="EK12" s="33" t="e">
        <f t="shared" ca="1" si="17"/>
        <v>#VALUE!</v>
      </c>
      <c r="EL12" s="33" t="e">
        <f t="shared" ca="1" si="17"/>
        <v>#VALUE!</v>
      </c>
      <c r="EM12" s="33" t="e">
        <f t="shared" ca="1" si="17"/>
        <v>#VALUE!</v>
      </c>
      <c r="EN12" s="33" t="e">
        <f t="shared" ca="1" si="17"/>
        <v>#VALUE!</v>
      </c>
      <c r="EO12" s="33" t="e">
        <f t="shared" ca="1" si="17"/>
        <v>#VALUE!</v>
      </c>
      <c r="EP12" s="33" t="e">
        <f t="shared" ca="1" si="17"/>
        <v>#VALUE!</v>
      </c>
      <c r="EQ12" s="33" t="e">
        <f t="shared" ca="1" si="17"/>
        <v>#VALUE!</v>
      </c>
      <c r="ER12" s="33" t="e">
        <f t="shared" ca="1" si="17"/>
        <v>#VALUE!</v>
      </c>
      <c r="ES12" s="33" t="e">
        <f t="shared" ca="1" si="17"/>
        <v>#VALUE!</v>
      </c>
      <c r="ET12" s="33" t="e">
        <f t="shared" ca="1" si="17"/>
        <v>#VALUE!</v>
      </c>
      <c r="EU12" s="33" t="e">
        <f t="shared" ca="1" si="17"/>
        <v>#VALUE!</v>
      </c>
      <c r="EV12" s="33" t="e">
        <f t="shared" ca="1" si="17"/>
        <v>#VALUE!</v>
      </c>
      <c r="EW12" s="33" t="e">
        <f t="shared" ca="1" si="17"/>
        <v>#VALUE!</v>
      </c>
      <c r="EX12" s="33" t="e">
        <f t="shared" ca="1" si="17"/>
        <v>#VALUE!</v>
      </c>
      <c r="EY12" s="33" t="e">
        <f t="shared" ca="1" si="17"/>
        <v>#VALUE!</v>
      </c>
      <c r="EZ12" s="33" t="e">
        <f t="shared" ca="1" si="17"/>
        <v>#VALUE!</v>
      </c>
      <c r="FA12" s="33" t="e">
        <f t="shared" ca="1" si="17"/>
        <v>#VALUE!</v>
      </c>
      <c r="FB12" s="33" t="e">
        <f t="shared" ca="1" si="17"/>
        <v>#VALUE!</v>
      </c>
      <c r="FC12" s="33" t="e">
        <f t="shared" ca="1" si="17"/>
        <v>#VALUE!</v>
      </c>
      <c r="FD12" s="33" t="e">
        <f t="shared" ca="1" si="17"/>
        <v>#VALUE!</v>
      </c>
      <c r="FE12" s="33" t="e">
        <f t="shared" ca="1" si="17"/>
        <v>#VALUE!</v>
      </c>
      <c r="FF12" s="33" t="e">
        <f t="shared" ca="1" si="17"/>
        <v>#VALUE!</v>
      </c>
      <c r="FG12" s="33" t="e">
        <f t="shared" ca="1" si="17"/>
        <v>#VALUE!</v>
      </c>
      <c r="FH12" s="33" t="e">
        <f t="shared" ca="1" si="17"/>
        <v>#VALUE!</v>
      </c>
      <c r="FI12" s="33" t="e">
        <f t="shared" ca="1" si="17"/>
        <v>#VALUE!</v>
      </c>
      <c r="FJ12" s="33" t="e">
        <f t="shared" ca="1" si="17"/>
        <v>#VALUE!</v>
      </c>
      <c r="FK12" s="33" t="e">
        <f t="shared" ca="1" si="17"/>
        <v>#VALUE!</v>
      </c>
      <c r="FL12" s="33" t="e">
        <f t="shared" ca="1" si="17"/>
        <v>#VALUE!</v>
      </c>
      <c r="FM12" s="33" t="e">
        <f t="shared" ca="1" si="17"/>
        <v>#VALUE!</v>
      </c>
      <c r="FN12" s="33" t="e">
        <f t="shared" ca="1" si="17"/>
        <v>#VALUE!</v>
      </c>
      <c r="FO12" s="33" t="e">
        <f t="shared" ca="1" si="17"/>
        <v>#VALUE!</v>
      </c>
      <c r="FP12" s="33" t="e">
        <f t="shared" ca="1" si="17"/>
        <v>#VALUE!</v>
      </c>
      <c r="FQ12" s="33" t="e">
        <f t="shared" ca="1" si="17"/>
        <v>#VALUE!</v>
      </c>
      <c r="FR12" s="33" t="e">
        <f t="shared" ca="1" si="17"/>
        <v>#VALUE!</v>
      </c>
      <c r="FS12" s="33" t="e">
        <f t="shared" ca="1" si="17"/>
        <v>#VALUE!</v>
      </c>
      <c r="FT12" s="33" t="e">
        <f t="shared" ca="1" si="17"/>
        <v>#VALUE!</v>
      </c>
      <c r="FU12" s="33" t="e">
        <f t="shared" ca="1" si="17"/>
        <v>#VALUE!</v>
      </c>
      <c r="FV12" s="33" t="e">
        <f t="shared" ca="1" si="17"/>
        <v>#VALUE!</v>
      </c>
      <c r="FW12" s="33" t="e">
        <f t="shared" ca="1" si="17"/>
        <v>#VALUE!</v>
      </c>
      <c r="FX12" s="33" t="e">
        <f t="shared" ca="1" si="17"/>
        <v>#VALUE!</v>
      </c>
      <c r="FY12" s="33" t="e">
        <f t="shared" ca="1" si="17"/>
        <v>#VALUE!</v>
      </c>
      <c r="FZ12" s="33" t="e">
        <f t="shared" ca="1" si="17"/>
        <v>#VALUE!</v>
      </c>
      <c r="GA12" s="33" t="e">
        <f t="shared" ca="1" si="17"/>
        <v>#VALUE!</v>
      </c>
      <c r="GB12" s="33" t="e">
        <f t="shared" ca="1" si="17"/>
        <v>#VALUE!</v>
      </c>
      <c r="GC12" s="33" t="e">
        <f t="shared" ca="1" si="17"/>
        <v>#VALUE!</v>
      </c>
      <c r="GD12" s="33" t="e">
        <f t="shared" ca="1" si="17"/>
        <v>#VALUE!</v>
      </c>
      <c r="GE12" s="33" t="e">
        <f t="shared" ca="1" si="17"/>
        <v>#VALUE!</v>
      </c>
      <c r="GF12" s="33" t="e">
        <f t="shared" ca="1" si="17"/>
        <v>#VALUE!</v>
      </c>
      <c r="GG12" s="33">
        <f t="shared" ca="1" si="17"/>
        <v>265869.08906871098</v>
      </c>
      <c r="GH12" s="33">
        <f t="shared" ca="1" si="17"/>
        <v>248403.45175350201</v>
      </c>
      <c r="GI12" s="33">
        <f t="shared" ca="1" si="17"/>
        <v>97674.203317229403</v>
      </c>
      <c r="GJ12" s="33">
        <f t="shared" ca="1" si="17"/>
        <v>264786.44552749587</v>
      </c>
      <c r="GK12" s="33">
        <f t="shared" ca="1" si="17"/>
        <v>253052.46702225541</v>
      </c>
      <c r="GL12" s="33">
        <f t="shared" ref="GL12:IH12" ca="1" si="18">+GL8-GL9</f>
        <v>48988.690115565376</v>
      </c>
      <c r="GM12" s="33">
        <f t="shared" ca="1" si="18"/>
        <v>279086.50283109915</v>
      </c>
      <c r="GN12" s="33">
        <f t="shared" ca="1" si="18"/>
        <v>269587.81748136808</v>
      </c>
      <c r="GO12" s="33">
        <f t="shared" ca="1" si="18"/>
        <v>50717.05820508569</v>
      </c>
      <c r="GP12" s="33">
        <f t="shared" ca="1" si="18"/>
        <v>208576.62792672863</v>
      </c>
      <c r="GQ12" s="33">
        <f t="shared" ca="1" si="18"/>
        <v>204475.90408769884</v>
      </c>
      <c r="GR12" s="33">
        <f t="shared" ca="1" si="18"/>
        <v>2328.938200718374</v>
      </c>
      <c r="GS12" s="33">
        <f t="shared" ca="1" si="18"/>
        <v>277016.92400107085</v>
      </c>
      <c r="GT12" s="33">
        <f t="shared" ca="1" si="18"/>
        <v>245665.64525014366</v>
      </c>
      <c r="GU12" s="33">
        <f t="shared" ca="1" si="18"/>
        <v>110266.27856919554</v>
      </c>
      <c r="GV12" s="33">
        <f t="shared" ca="1" si="18"/>
        <v>275892.92104367452</v>
      </c>
      <c r="GW12" s="33">
        <f t="shared" ca="1" si="18"/>
        <v>263710.67819104274</v>
      </c>
      <c r="GX12" s="33">
        <f t="shared" ca="1" si="18"/>
        <v>59720.869357580435</v>
      </c>
      <c r="GY12" s="33">
        <f t="shared" ca="1" si="18"/>
        <v>290739.27267123567</v>
      </c>
      <c r="GZ12" s="33">
        <f t="shared" ca="1" si="18"/>
        <v>280825.37532717502</v>
      </c>
      <c r="HA12" s="33">
        <f t="shared" ca="1" si="18"/>
        <v>61464.649646625156</v>
      </c>
      <c r="HB12" s="33">
        <f t="shared" ca="1" si="18"/>
        <v>217491.60071562603</v>
      </c>
      <c r="HC12" s="33">
        <f t="shared" ca="1" si="18"/>
        <v>213234.769775906</v>
      </c>
      <c r="HD12" s="33">
        <f t="shared" ca="1" si="18"/>
        <v>11263.727085910214</v>
      </c>
      <c r="HE12" s="33">
        <f t="shared" ca="1" si="18"/>
        <v>288566.53961843532</v>
      </c>
      <c r="HF12" s="33">
        <f t="shared" ca="1" si="18"/>
        <v>256021.77468778539</v>
      </c>
      <c r="HG12" s="33">
        <f t="shared" ca="1" si="18"/>
        <v>123310.04575250566</v>
      </c>
      <c r="HH12" s="33">
        <f t="shared" ca="1" si="18"/>
        <v>287399.7479120926</v>
      </c>
      <c r="HI12" s="33">
        <f t="shared" ca="1" si="18"/>
        <v>274753.74922359362</v>
      </c>
      <c r="HJ12" s="33">
        <f t="shared" ca="1" si="18"/>
        <v>70840.464712948306</v>
      </c>
      <c r="HK12" s="33">
        <f t="shared" ca="1" si="18"/>
        <v>302811.27315274836</v>
      </c>
      <c r="HL12" s="33">
        <f t="shared" ca="1" si="18"/>
        <v>292464.38932829956</v>
      </c>
      <c r="HM12" s="33">
        <f t="shared" ca="1" si="18"/>
        <v>72596.877501246112</v>
      </c>
      <c r="HN12" s="33">
        <f t="shared" ca="1" si="18"/>
        <v>226728.29912803668</v>
      </c>
      <c r="HO12" s="33">
        <f t="shared" ca="1" si="18"/>
        <v>222310.00218715481</v>
      </c>
      <c r="HP12" s="33">
        <f t="shared" ca="1" si="18"/>
        <v>20521.392525993113</v>
      </c>
      <c r="HQ12" s="33">
        <f t="shared" ca="1" si="18"/>
        <v>300528.79449940711</v>
      </c>
      <c r="HR12" s="33">
        <f t="shared" ca="1" si="18"/>
        <v>266749.57296793931</v>
      </c>
      <c r="HS12" s="33">
        <f t="shared" ca="1" si="18"/>
        <v>136817.74396959733</v>
      </c>
      <c r="HT12" s="33">
        <f t="shared" ca="1" si="18"/>
        <v>299317.74517661694</v>
      </c>
      <c r="HU12" s="33">
        <f t="shared" ca="1" si="18"/>
        <v>286192.07067579555</v>
      </c>
      <c r="HV12" s="33">
        <f t="shared" ca="1" si="18"/>
        <v>82357.937442332739</v>
      </c>
      <c r="HW12" s="33">
        <f t="shared" ca="1" si="18"/>
        <v>315313.84551260789</v>
      </c>
      <c r="HX12" s="33">
        <f t="shared" ca="1" si="18"/>
        <v>304515.46130309225</v>
      </c>
      <c r="HY12" s="33">
        <f t="shared" ca="1" si="18"/>
        <v>84123.886529086099</v>
      </c>
      <c r="HZ12" s="33">
        <f t="shared" ca="1" si="18"/>
        <v>236295.15839177283</v>
      </c>
      <c r="IA12" s="33">
        <f t="shared" ca="1" si="18"/>
        <v>231709.89092696225</v>
      </c>
      <c r="IB12" s="33">
        <f t="shared" ca="1" si="18"/>
        <v>30110.391804599261</v>
      </c>
      <c r="IC12" s="33">
        <f t="shared" ca="1" si="18"/>
        <v>312914.58513165964</v>
      </c>
      <c r="ID12" s="33">
        <f t="shared" ca="1" si="18"/>
        <v>292639.13275037962</v>
      </c>
      <c r="IE12" s="33">
        <f t="shared" ca="1" si="18"/>
        <v>150801.66350624664</v>
      </c>
      <c r="IF12" s="33">
        <f t="shared" ca="1" si="18"/>
        <v>311657.76941004302</v>
      </c>
      <c r="IG12" s="33">
        <f t="shared" ca="1" si="18"/>
        <v>298036.06651238829</v>
      </c>
      <c r="IH12" s="33">
        <f t="shared" ca="1" si="18"/>
        <v>94283.782895102806</v>
      </c>
      <c r="II12" s="33">
        <f t="shared" ref="II12:IM12" ca="1" si="19">+II8-II9</f>
        <v>326981.54874187132</v>
      </c>
      <c r="IJ12" s="33">
        <f t="shared" ca="1" si="19"/>
        <v>315565.23593998532</v>
      </c>
      <c r="IK12" s="33">
        <f t="shared" ca="1" si="19"/>
        <v>95614.69329615077</v>
      </c>
      <c r="IL12" s="33">
        <f t="shared" ca="1" si="19"/>
        <v>246376.32790433895</v>
      </c>
      <c r="IM12" s="33">
        <f t="shared" ca="1" si="19"/>
        <v>242463.99722604227</v>
      </c>
    </row>
    <row r="13" spans="1:247" x14ac:dyDescent="0.3">
      <c r="A13" t="s">
        <v>923</v>
      </c>
      <c r="B13" s="33" t="e">
        <f>+B12</f>
        <v>#REF!</v>
      </c>
      <c r="C13" s="33" t="e">
        <f>+B13+C12</f>
        <v>#REF!</v>
      </c>
      <c r="D13" s="33" t="e">
        <f>+C13+D12</f>
        <v>#REF!</v>
      </c>
      <c r="E13" s="33" t="e">
        <f>+D13+E12</f>
        <v>#REF!</v>
      </c>
      <c r="F13" s="33" t="e">
        <f>+E13+F12</f>
        <v>#REF!</v>
      </c>
      <c r="G13" s="33" t="e">
        <f t="shared" ref="G13:BR13" si="20">+F13+G12</f>
        <v>#REF!</v>
      </c>
      <c r="H13" s="33" t="e">
        <f t="shared" si="20"/>
        <v>#REF!</v>
      </c>
      <c r="I13" s="33" t="e">
        <f t="shared" ca="1" si="20"/>
        <v>#REF!</v>
      </c>
      <c r="J13" s="33" t="e">
        <f t="shared" ca="1" si="20"/>
        <v>#REF!</v>
      </c>
      <c r="K13" s="33" t="e">
        <f t="shared" ca="1" si="20"/>
        <v>#REF!</v>
      </c>
      <c r="L13" s="33" t="e">
        <f t="shared" ca="1" si="20"/>
        <v>#REF!</v>
      </c>
      <c r="M13" s="33" t="e">
        <f t="shared" ca="1" si="20"/>
        <v>#REF!</v>
      </c>
      <c r="N13" s="33" t="e">
        <f t="shared" ca="1" si="20"/>
        <v>#REF!</v>
      </c>
      <c r="O13" s="33" t="e">
        <f t="shared" ca="1" si="20"/>
        <v>#REF!</v>
      </c>
      <c r="P13" s="33" t="e">
        <f t="shared" ca="1" si="20"/>
        <v>#REF!</v>
      </c>
      <c r="Q13" s="33" t="e">
        <f t="shared" ca="1" si="20"/>
        <v>#REF!</v>
      </c>
      <c r="R13" s="33" t="e">
        <f t="shared" ca="1" si="20"/>
        <v>#REF!</v>
      </c>
      <c r="S13" s="33" t="e">
        <f t="shared" ca="1" si="20"/>
        <v>#REF!</v>
      </c>
      <c r="T13" s="33" t="e">
        <f t="shared" ca="1" si="20"/>
        <v>#REF!</v>
      </c>
      <c r="U13" s="33" t="e">
        <f t="shared" ca="1" si="20"/>
        <v>#REF!</v>
      </c>
      <c r="V13" s="33" t="e">
        <f t="shared" ca="1" si="20"/>
        <v>#REF!</v>
      </c>
      <c r="W13" s="33" t="e">
        <f t="shared" ca="1" si="20"/>
        <v>#REF!</v>
      </c>
      <c r="X13" s="33" t="e">
        <f t="shared" ca="1" si="20"/>
        <v>#REF!</v>
      </c>
      <c r="Y13" s="33" t="e">
        <f t="shared" ca="1" si="20"/>
        <v>#REF!</v>
      </c>
      <c r="Z13" s="33" t="e">
        <f t="shared" ca="1" si="20"/>
        <v>#REF!</v>
      </c>
      <c r="AA13" s="33" t="e">
        <f t="shared" ca="1" si="20"/>
        <v>#REF!</v>
      </c>
      <c r="AB13" s="33" t="e">
        <f t="shared" ca="1" si="20"/>
        <v>#REF!</v>
      </c>
      <c r="AC13" s="33" t="e">
        <f t="shared" ca="1" si="20"/>
        <v>#REF!</v>
      </c>
      <c r="AD13" s="33" t="e">
        <f t="shared" ca="1" si="20"/>
        <v>#REF!</v>
      </c>
      <c r="AE13" s="33" t="e">
        <f t="shared" ca="1" si="20"/>
        <v>#REF!</v>
      </c>
      <c r="AF13" s="33" t="e">
        <f t="shared" ca="1" si="20"/>
        <v>#REF!</v>
      </c>
      <c r="AG13" s="33" t="e">
        <f t="shared" ca="1" si="20"/>
        <v>#REF!</v>
      </c>
      <c r="AH13" s="33" t="e">
        <f t="shared" ca="1" si="20"/>
        <v>#REF!</v>
      </c>
      <c r="AI13" s="33" t="e">
        <f t="shared" ca="1" si="20"/>
        <v>#REF!</v>
      </c>
      <c r="AJ13" s="33" t="e">
        <f t="shared" ca="1" si="20"/>
        <v>#REF!</v>
      </c>
      <c r="AK13" s="33" t="e">
        <f t="shared" ca="1" si="20"/>
        <v>#REF!</v>
      </c>
      <c r="AL13" s="33" t="e">
        <f t="shared" ca="1" si="20"/>
        <v>#REF!</v>
      </c>
      <c r="AM13" s="33" t="e">
        <f t="shared" ca="1" si="20"/>
        <v>#REF!</v>
      </c>
      <c r="AN13" s="33" t="e">
        <f t="shared" ca="1" si="20"/>
        <v>#REF!</v>
      </c>
      <c r="AO13" s="33" t="e">
        <f t="shared" ca="1" si="20"/>
        <v>#REF!</v>
      </c>
      <c r="AP13" s="33" t="e">
        <f t="shared" ca="1" si="20"/>
        <v>#REF!</v>
      </c>
      <c r="AQ13" s="33" t="e">
        <f t="shared" ca="1" si="20"/>
        <v>#REF!</v>
      </c>
      <c r="AR13" s="33" t="e">
        <f t="shared" ca="1" si="20"/>
        <v>#REF!</v>
      </c>
      <c r="AS13" s="33" t="e">
        <f t="shared" ca="1" si="20"/>
        <v>#REF!</v>
      </c>
      <c r="AT13" s="33" t="e">
        <f t="shared" ca="1" si="20"/>
        <v>#REF!</v>
      </c>
      <c r="AU13" s="33" t="e">
        <f t="shared" ca="1" si="20"/>
        <v>#REF!</v>
      </c>
      <c r="AV13" s="33" t="e">
        <f t="shared" ca="1" si="20"/>
        <v>#REF!</v>
      </c>
      <c r="AW13" s="33" t="e">
        <f t="shared" ca="1" si="20"/>
        <v>#REF!</v>
      </c>
      <c r="AX13" s="33" t="e">
        <f t="shared" ca="1" si="20"/>
        <v>#REF!</v>
      </c>
      <c r="AY13" s="33" t="e">
        <f t="shared" ca="1" si="20"/>
        <v>#REF!</v>
      </c>
      <c r="AZ13" s="33" t="e">
        <f t="shared" ca="1" si="20"/>
        <v>#REF!</v>
      </c>
      <c r="BA13" s="33" t="e">
        <f t="shared" ca="1" si="20"/>
        <v>#REF!</v>
      </c>
      <c r="BB13" s="33" t="e">
        <f t="shared" ca="1" si="20"/>
        <v>#REF!</v>
      </c>
      <c r="BC13" s="33" t="e">
        <f t="shared" ca="1" si="20"/>
        <v>#REF!</v>
      </c>
      <c r="BD13" s="33" t="e">
        <f t="shared" ca="1" si="20"/>
        <v>#REF!</v>
      </c>
      <c r="BE13" s="33" t="e">
        <f t="shared" ca="1" si="20"/>
        <v>#REF!</v>
      </c>
      <c r="BF13" s="33" t="e">
        <f t="shared" ca="1" si="20"/>
        <v>#REF!</v>
      </c>
      <c r="BG13" s="33" t="e">
        <f t="shared" ca="1" si="20"/>
        <v>#REF!</v>
      </c>
      <c r="BH13" s="33" t="e">
        <f t="shared" ca="1" si="20"/>
        <v>#REF!</v>
      </c>
      <c r="BI13" s="33" t="e">
        <f t="shared" ca="1" si="20"/>
        <v>#REF!</v>
      </c>
      <c r="BJ13" s="33" t="e">
        <f t="shared" ca="1" si="20"/>
        <v>#REF!</v>
      </c>
      <c r="BK13" s="33" t="e">
        <f t="shared" ca="1" si="20"/>
        <v>#REF!</v>
      </c>
      <c r="BL13" s="33" t="e">
        <f t="shared" ca="1" si="20"/>
        <v>#REF!</v>
      </c>
      <c r="BM13" s="33" t="e">
        <f t="shared" ca="1" si="20"/>
        <v>#REF!</v>
      </c>
      <c r="BN13" s="33" t="e">
        <f t="shared" ca="1" si="20"/>
        <v>#REF!</v>
      </c>
      <c r="BO13" s="33" t="e">
        <f t="shared" ca="1" si="20"/>
        <v>#REF!</v>
      </c>
      <c r="BP13" s="33" t="e">
        <f t="shared" ca="1" si="20"/>
        <v>#REF!</v>
      </c>
      <c r="BQ13" s="33" t="e">
        <f t="shared" ca="1" si="20"/>
        <v>#REF!</v>
      </c>
      <c r="BR13" s="33" t="e">
        <f t="shared" ca="1" si="20"/>
        <v>#REF!</v>
      </c>
      <c r="BS13" s="33" t="e">
        <f t="shared" ref="BS13:DR13" ca="1" si="21">+BR13+BS12</f>
        <v>#REF!</v>
      </c>
      <c r="BT13" s="33" t="e">
        <f t="shared" ca="1" si="21"/>
        <v>#REF!</v>
      </c>
      <c r="BU13" s="33" t="e">
        <f t="shared" ca="1" si="21"/>
        <v>#REF!</v>
      </c>
      <c r="BV13" s="33" t="e">
        <f t="shared" ca="1" si="21"/>
        <v>#REF!</v>
      </c>
      <c r="BW13" s="33" t="e">
        <f t="shared" ca="1" si="21"/>
        <v>#REF!</v>
      </c>
      <c r="BX13" s="33" t="e">
        <f t="shared" ca="1" si="21"/>
        <v>#REF!</v>
      </c>
      <c r="BY13" s="33" t="e">
        <f t="shared" ca="1" si="21"/>
        <v>#REF!</v>
      </c>
      <c r="BZ13" s="33" t="e">
        <f t="shared" ca="1" si="21"/>
        <v>#REF!</v>
      </c>
      <c r="CA13" s="33" t="e">
        <f t="shared" ca="1" si="21"/>
        <v>#REF!</v>
      </c>
      <c r="CB13" s="33" t="e">
        <f t="shared" ca="1" si="21"/>
        <v>#REF!</v>
      </c>
      <c r="CC13" s="33" t="e">
        <f t="shared" ca="1" si="21"/>
        <v>#REF!</v>
      </c>
      <c r="CD13" s="33" t="e">
        <f t="shared" ca="1" si="21"/>
        <v>#REF!</v>
      </c>
      <c r="CE13" s="33" t="e">
        <f t="shared" ca="1" si="21"/>
        <v>#REF!</v>
      </c>
      <c r="CF13" s="33" t="e">
        <f t="shared" ca="1" si="21"/>
        <v>#REF!</v>
      </c>
      <c r="CG13" s="33" t="e">
        <f t="shared" ca="1" si="21"/>
        <v>#REF!</v>
      </c>
      <c r="CH13" s="33" t="e">
        <f t="shared" ca="1" si="21"/>
        <v>#REF!</v>
      </c>
      <c r="CI13" s="33" t="e">
        <f t="shared" ca="1" si="21"/>
        <v>#REF!</v>
      </c>
      <c r="CJ13" s="33" t="e">
        <f t="shared" ca="1" si="21"/>
        <v>#REF!</v>
      </c>
      <c r="CK13" s="33" t="e">
        <f t="shared" ca="1" si="21"/>
        <v>#REF!</v>
      </c>
      <c r="CL13" s="33" t="e">
        <f t="shared" ca="1" si="21"/>
        <v>#REF!</v>
      </c>
      <c r="CM13" s="33" t="e">
        <f t="shared" ca="1" si="21"/>
        <v>#REF!</v>
      </c>
      <c r="CN13" s="33" t="e">
        <f t="shared" ca="1" si="21"/>
        <v>#REF!</v>
      </c>
      <c r="CO13" s="33" t="e">
        <f t="shared" ca="1" si="21"/>
        <v>#REF!</v>
      </c>
      <c r="CP13" s="33" t="e">
        <f t="shared" ca="1" si="21"/>
        <v>#REF!</v>
      </c>
      <c r="CQ13" s="33" t="e">
        <f t="shared" ca="1" si="21"/>
        <v>#REF!</v>
      </c>
      <c r="CR13" s="33" t="e">
        <f t="shared" ca="1" si="21"/>
        <v>#REF!</v>
      </c>
      <c r="CS13" s="33" t="e">
        <f t="shared" ca="1" si="21"/>
        <v>#REF!</v>
      </c>
      <c r="CT13" s="33" t="e">
        <f t="shared" ca="1" si="21"/>
        <v>#REF!</v>
      </c>
      <c r="CU13" s="33" t="e">
        <f t="shared" ca="1" si="21"/>
        <v>#REF!</v>
      </c>
      <c r="CV13" s="33" t="e">
        <f t="shared" ca="1" si="21"/>
        <v>#REF!</v>
      </c>
      <c r="CW13" s="33" t="e">
        <f t="shared" ca="1" si="21"/>
        <v>#REF!</v>
      </c>
      <c r="CX13" s="33" t="e">
        <f t="shared" ca="1" si="21"/>
        <v>#REF!</v>
      </c>
      <c r="CY13" s="33" t="e">
        <f t="shared" ca="1" si="21"/>
        <v>#REF!</v>
      </c>
      <c r="CZ13" s="33" t="e">
        <f t="shared" ca="1" si="21"/>
        <v>#REF!</v>
      </c>
      <c r="DA13" s="33" t="e">
        <f t="shared" ca="1" si="21"/>
        <v>#REF!</v>
      </c>
      <c r="DB13" s="33" t="e">
        <f t="shared" ca="1" si="21"/>
        <v>#REF!</v>
      </c>
      <c r="DC13" s="33" t="e">
        <f t="shared" ca="1" si="21"/>
        <v>#REF!</v>
      </c>
      <c r="DD13" s="33" t="e">
        <f t="shared" ca="1" si="21"/>
        <v>#REF!</v>
      </c>
      <c r="DE13" s="33" t="e">
        <f t="shared" ca="1" si="21"/>
        <v>#REF!</v>
      </c>
      <c r="DF13" s="33" t="e">
        <f t="shared" ca="1" si="21"/>
        <v>#REF!</v>
      </c>
      <c r="DG13" s="33" t="e">
        <f t="shared" ca="1" si="21"/>
        <v>#REF!</v>
      </c>
      <c r="DH13" s="33" t="e">
        <f t="shared" ca="1" si="21"/>
        <v>#REF!</v>
      </c>
      <c r="DI13" s="33" t="e">
        <f t="shared" ca="1" si="21"/>
        <v>#REF!</v>
      </c>
      <c r="DJ13" s="33" t="e">
        <f t="shared" ca="1" si="21"/>
        <v>#REF!</v>
      </c>
      <c r="DK13" s="33" t="e">
        <f t="shared" ca="1" si="21"/>
        <v>#REF!</v>
      </c>
      <c r="DL13" s="33" t="e">
        <f t="shared" ca="1" si="21"/>
        <v>#REF!</v>
      </c>
      <c r="DM13" s="33" t="e">
        <f t="shared" ca="1" si="21"/>
        <v>#REF!</v>
      </c>
      <c r="DN13" s="33" t="e">
        <f t="shared" ca="1" si="21"/>
        <v>#REF!</v>
      </c>
      <c r="DO13" s="33" t="e">
        <f t="shared" ca="1" si="21"/>
        <v>#REF!</v>
      </c>
      <c r="DP13" s="33" t="e">
        <f t="shared" ca="1" si="21"/>
        <v>#REF!</v>
      </c>
      <c r="DQ13" s="33" t="e">
        <f t="shared" ca="1" si="21"/>
        <v>#REF!</v>
      </c>
      <c r="DR13" s="33" t="e">
        <f t="shared" ca="1" si="21"/>
        <v>#REF!</v>
      </c>
      <c r="DS13" s="33" t="e">
        <f ca="1">+DR13+DS12</f>
        <v>#REF!</v>
      </c>
      <c r="DT13" s="33" t="e">
        <f ca="1">+DS13+DT12</f>
        <v>#REF!</v>
      </c>
      <c r="DU13" s="33" t="e">
        <f ca="1">+DT13+DU12</f>
        <v>#REF!</v>
      </c>
      <c r="DV13" s="33" t="e">
        <f ca="1">+DU13+DV12</f>
        <v>#REF!</v>
      </c>
      <c r="DW13" s="33" t="e">
        <f t="shared" ref="DW13:GH13" ca="1" si="22">+DV13+DW12</f>
        <v>#REF!</v>
      </c>
      <c r="DX13" s="33" t="e">
        <f t="shared" ca="1" si="22"/>
        <v>#REF!</v>
      </c>
      <c r="DY13" s="33" t="e">
        <f t="shared" ca="1" si="22"/>
        <v>#REF!</v>
      </c>
      <c r="DZ13" s="33" t="e">
        <f t="shared" ca="1" si="22"/>
        <v>#REF!</v>
      </c>
      <c r="EA13" s="33" t="e">
        <f t="shared" ca="1" si="22"/>
        <v>#REF!</v>
      </c>
      <c r="EB13" s="33" t="e">
        <f t="shared" ca="1" si="22"/>
        <v>#REF!</v>
      </c>
      <c r="EC13" s="33" t="e">
        <f t="shared" ca="1" si="22"/>
        <v>#REF!</v>
      </c>
      <c r="ED13" s="33" t="e">
        <f t="shared" ca="1" si="22"/>
        <v>#REF!</v>
      </c>
      <c r="EE13" s="33" t="e">
        <f t="shared" ca="1" si="22"/>
        <v>#REF!</v>
      </c>
      <c r="EF13" s="33" t="e">
        <f t="shared" ca="1" si="22"/>
        <v>#REF!</v>
      </c>
      <c r="EG13" s="33" t="e">
        <f t="shared" ca="1" si="22"/>
        <v>#REF!</v>
      </c>
      <c r="EH13" s="33" t="e">
        <f t="shared" ca="1" si="22"/>
        <v>#REF!</v>
      </c>
      <c r="EI13" s="33" t="e">
        <f t="shared" ca="1" si="22"/>
        <v>#REF!</v>
      </c>
      <c r="EJ13" s="33" t="e">
        <f t="shared" ca="1" si="22"/>
        <v>#REF!</v>
      </c>
      <c r="EK13" s="33" t="e">
        <f t="shared" ca="1" si="22"/>
        <v>#REF!</v>
      </c>
      <c r="EL13" s="33" t="e">
        <f t="shared" ca="1" si="22"/>
        <v>#REF!</v>
      </c>
      <c r="EM13" s="33" t="e">
        <f t="shared" ca="1" si="22"/>
        <v>#REF!</v>
      </c>
      <c r="EN13" s="33" t="e">
        <f t="shared" ca="1" si="22"/>
        <v>#REF!</v>
      </c>
      <c r="EO13" s="33" t="e">
        <f t="shared" ca="1" si="22"/>
        <v>#REF!</v>
      </c>
      <c r="EP13" s="33" t="e">
        <f t="shared" ca="1" si="22"/>
        <v>#REF!</v>
      </c>
      <c r="EQ13" s="33" t="e">
        <f t="shared" ca="1" si="22"/>
        <v>#REF!</v>
      </c>
      <c r="ER13" s="33" t="e">
        <f t="shared" ca="1" si="22"/>
        <v>#REF!</v>
      </c>
      <c r="ES13" s="33" t="e">
        <f t="shared" ca="1" si="22"/>
        <v>#REF!</v>
      </c>
      <c r="ET13" s="33" t="e">
        <f t="shared" ca="1" si="22"/>
        <v>#REF!</v>
      </c>
      <c r="EU13" s="33" t="e">
        <f t="shared" ca="1" si="22"/>
        <v>#REF!</v>
      </c>
      <c r="EV13" s="33" t="e">
        <f t="shared" ca="1" si="22"/>
        <v>#REF!</v>
      </c>
      <c r="EW13" s="33" t="e">
        <f t="shared" ca="1" si="22"/>
        <v>#REF!</v>
      </c>
      <c r="EX13" s="33" t="e">
        <f t="shared" ca="1" si="22"/>
        <v>#REF!</v>
      </c>
      <c r="EY13" s="33" t="e">
        <f t="shared" ca="1" si="22"/>
        <v>#REF!</v>
      </c>
      <c r="EZ13" s="33" t="e">
        <f t="shared" ca="1" si="22"/>
        <v>#REF!</v>
      </c>
      <c r="FA13" s="33" t="e">
        <f t="shared" ca="1" si="22"/>
        <v>#REF!</v>
      </c>
      <c r="FB13" s="33" t="e">
        <f t="shared" ca="1" si="22"/>
        <v>#REF!</v>
      </c>
      <c r="FC13" s="33" t="e">
        <f t="shared" ca="1" si="22"/>
        <v>#REF!</v>
      </c>
      <c r="FD13" s="33" t="e">
        <f t="shared" ca="1" si="22"/>
        <v>#REF!</v>
      </c>
      <c r="FE13" s="33" t="e">
        <f t="shared" ca="1" si="22"/>
        <v>#REF!</v>
      </c>
      <c r="FF13" s="33" t="e">
        <f t="shared" ca="1" si="22"/>
        <v>#REF!</v>
      </c>
      <c r="FG13" s="33" t="e">
        <f t="shared" ca="1" si="22"/>
        <v>#REF!</v>
      </c>
      <c r="FH13" s="33" t="e">
        <f t="shared" ca="1" si="22"/>
        <v>#REF!</v>
      </c>
      <c r="FI13" s="33" t="e">
        <f t="shared" ca="1" si="22"/>
        <v>#REF!</v>
      </c>
      <c r="FJ13" s="33" t="e">
        <f t="shared" ca="1" si="22"/>
        <v>#REF!</v>
      </c>
      <c r="FK13" s="33" t="e">
        <f t="shared" ca="1" si="22"/>
        <v>#REF!</v>
      </c>
      <c r="FL13" s="33" t="e">
        <f t="shared" ca="1" si="22"/>
        <v>#REF!</v>
      </c>
      <c r="FM13" s="33" t="e">
        <f t="shared" ca="1" si="22"/>
        <v>#REF!</v>
      </c>
      <c r="FN13" s="33" t="e">
        <f t="shared" ca="1" si="22"/>
        <v>#REF!</v>
      </c>
      <c r="FO13" s="33" t="e">
        <f t="shared" ca="1" si="22"/>
        <v>#REF!</v>
      </c>
      <c r="FP13" s="33" t="e">
        <f t="shared" ca="1" si="22"/>
        <v>#REF!</v>
      </c>
      <c r="FQ13" s="33" t="e">
        <f t="shared" ca="1" si="22"/>
        <v>#REF!</v>
      </c>
      <c r="FR13" s="33" t="e">
        <f t="shared" ca="1" si="22"/>
        <v>#REF!</v>
      </c>
      <c r="FS13" s="33" t="e">
        <f t="shared" ca="1" si="22"/>
        <v>#REF!</v>
      </c>
      <c r="FT13" s="33" t="e">
        <f t="shared" ca="1" si="22"/>
        <v>#REF!</v>
      </c>
      <c r="FU13" s="33" t="e">
        <f t="shared" ca="1" si="22"/>
        <v>#REF!</v>
      </c>
      <c r="FV13" s="33" t="e">
        <f t="shared" ca="1" si="22"/>
        <v>#REF!</v>
      </c>
      <c r="FW13" s="33" t="e">
        <f t="shared" ca="1" si="22"/>
        <v>#REF!</v>
      </c>
      <c r="FX13" s="33" t="e">
        <f t="shared" ca="1" si="22"/>
        <v>#REF!</v>
      </c>
      <c r="FY13" s="33" t="e">
        <f t="shared" ca="1" si="22"/>
        <v>#REF!</v>
      </c>
      <c r="FZ13" s="33" t="e">
        <f t="shared" ca="1" si="22"/>
        <v>#REF!</v>
      </c>
      <c r="GA13" s="33" t="e">
        <f t="shared" ca="1" si="22"/>
        <v>#REF!</v>
      </c>
      <c r="GB13" s="33" t="e">
        <f t="shared" ca="1" si="22"/>
        <v>#REF!</v>
      </c>
      <c r="GC13" s="33" t="e">
        <f t="shared" ca="1" si="22"/>
        <v>#REF!</v>
      </c>
      <c r="GD13" s="33" t="e">
        <f t="shared" ca="1" si="22"/>
        <v>#REF!</v>
      </c>
      <c r="GE13" s="33" t="e">
        <f t="shared" ca="1" si="22"/>
        <v>#REF!</v>
      </c>
      <c r="GF13" s="33" t="e">
        <f t="shared" ca="1" si="22"/>
        <v>#REF!</v>
      </c>
      <c r="GG13" s="33" t="e">
        <f t="shared" ca="1" si="22"/>
        <v>#REF!</v>
      </c>
      <c r="GH13" s="33" t="e">
        <f t="shared" ca="1" si="22"/>
        <v>#REF!</v>
      </c>
      <c r="GI13" s="33" t="e">
        <f t="shared" ref="GI13:IH13" ca="1" si="23">+GH13+GI12</f>
        <v>#REF!</v>
      </c>
      <c r="GJ13" s="33" t="e">
        <f t="shared" ca="1" si="23"/>
        <v>#REF!</v>
      </c>
      <c r="GK13" s="33" t="e">
        <f t="shared" ca="1" si="23"/>
        <v>#REF!</v>
      </c>
      <c r="GL13" s="33" t="e">
        <f t="shared" ca="1" si="23"/>
        <v>#REF!</v>
      </c>
      <c r="GM13" s="33" t="e">
        <f t="shared" ca="1" si="23"/>
        <v>#REF!</v>
      </c>
      <c r="GN13" s="33" t="e">
        <f t="shared" ca="1" si="23"/>
        <v>#REF!</v>
      </c>
      <c r="GO13" s="33" t="e">
        <f t="shared" ca="1" si="23"/>
        <v>#REF!</v>
      </c>
      <c r="GP13" s="33" t="e">
        <f t="shared" ca="1" si="23"/>
        <v>#REF!</v>
      </c>
      <c r="GQ13" s="33" t="e">
        <f t="shared" ca="1" si="23"/>
        <v>#REF!</v>
      </c>
      <c r="GR13" s="33" t="e">
        <f t="shared" ca="1" si="23"/>
        <v>#REF!</v>
      </c>
      <c r="GS13" s="33" t="e">
        <f t="shared" ca="1" si="23"/>
        <v>#REF!</v>
      </c>
      <c r="GT13" s="33" t="e">
        <f t="shared" ca="1" si="23"/>
        <v>#REF!</v>
      </c>
      <c r="GU13" s="33" t="e">
        <f t="shared" ca="1" si="23"/>
        <v>#REF!</v>
      </c>
      <c r="GV13" s="33" t="e">
        <f t="shared" ca="1" si="23"/>
        <v>#REF!</v>
      </c>
      <c r="GW13" s="33" t="e">
        <f t="shared" ca="1" si="23"/>
        <v>#REF!</v>
      </c>
      <c r="GX13" s="33" t="e">
        <f t="shared" ca="1" si="23"/>
        <v>#REF!</v>
      </c>
      <c r="GY13" s="33" t="e">
        <f t="shared" ca="1" si="23"/>
        <v>#REF!</v>
      </c>
      <c r="GZ13" s="33" t="e">
        <f t="shared" ca="1" si="23"/>
        <v>#REF!</v>
      </c>
      <c r="HA13" s="33" t="e">
        <f t="shared" ca="1" si="23"/>
        <v>#REF!</v>
      </c>
      <c r="HB13" s="33" t="e">
        <f t="shared" ca="1" si="23"/>
        <v>#REF!</v>
      </c>
      <c r="HC13" s="33" t="e">
        <f t="shared" ca="1" si="23"/>
        <v>#REF!</v>
      </c>
      <c r="HD13" s="33" t="e">
        <f t="shared" ca="1" si="23"/>
        <v>#REF!</v>
      </c>
      <c r="HE13" s="33" t="e">
        <f t="shared" ca="1" si="23"/>
        <v>#REF!</v>
      </c>
      <c r="HF13" s="33" t="e">
        <f t="shared" ca="1" si="23"/>
        <v>#REF!</v>
      </c>
      <c r="HG13" s="33" t="e">
        <f t="shared" ca="1" si="23"/>
        <v>#REF!</v>
      </c>
      <c r="HH13" s="33" t="e">
        <f t="shared" ca="1" si="23"/>
        <v>#REF!</v>
      </c>
      <c r="HI13" s="33" t="e">
        <f t="shared" ca="1" si="23"/>
        <v>#REF!</v>
      </c>
      <c r="HJ13" s="33" t="e">
        <f t="shared" ca="1" si="23"/>
        <v>#REF!</v>
      </c>
      <c r="HK13" s="33" t="e">
        <f t="shared" ca="1" si="23"/>
        <v>#REF!</v>
      </c>
      <c r="HL13" s="33" t="e">
        <f t="shared" ca="1" si="23"/>
        <v>#REF!</v>
      </c>
      <c r="HM13" s="33" t="e">
        <f t="shared" ca="1" si="23"/>
        <v>#REF!</v>
      </c>
      <c r="HN13" s="33" t="e">
        <f t="shared" ca="1" si="23"/>
        <v>#REF!</v>
      </c>
      <c r="HO13" s="33" t="e">
        <f t="shared" ca="1" si="23"/>
        <v>#REF!</v>
      </c>
      <c r="HP13" s="33" t="e">
        <f t="shared" ca="1" si="23"/>
        <v>#REF!</v>
      </c>
      <c r="HQ13" s="33" t="e">
        <f t="shared" ca="1" si="23"/>
        <v>#REF!</v>
      </c>
      <c r="HR13" s="33" t="e">
        <f t="shared" ca="1" si="23"/>
        <v>#REF!</v>
      </c>
      <c r="HS13" s="33" t="e">
        <f t="shared" ca="1" si="23"/>
        <v>#REF!</v>
      </c>
      <c r="HT13" s="33" t="e">
        <f t="shared" ca="1" si="23"/>
        <v>#REF!</v>
      </c>
      <c r="HU13" s="33" t="e">
        <f t="shared" ca="1" si="23"/>
        <v>#REF!</v>
      </c>
      <c r="HV13" s="33" t="e">
        <f t="shared" ca="1" si="23"/>
        <v>#REF!</v>
      </c>
      <c r="HW13" s="33" t="e">
        <f t="shared" ca="1" si="23"/>
        <v>#REF!</v>
      </c>
      <c r="HX13" s="33" t="e">
        <f t="shared" ca="1" si="23"/>
        <v>#REF!</v>
      </c>
      <c r="HY13" s="33" t="e">
        <f t="shared" ca="1" si="23"/>
        <v>#REF!</v>
      </c>
      <c r="HZ13" s="33" t="e">
        <f t="shared" ca="1" si="23"/>
        <v>#REF!</v>
      </c>
      <c r="IA13" s="33" t="e">
        <f t="shared" ca="1" si="23"/>
        <v>#REF!</v>
      </c>
      <c r="IB13" s="33" t="e">
        <f t="shared" ca="1" si="23"/>
        <v>#REF!</v>
      </c>
      <c r="IC13" s="33" t="e">
        <f t="shared" ca="1" si="23"/>
        <v>#REF!</v>
      </c>
      <c r="ID13" s="33" t="e">
        <f t="shared" ca="1" si="23"/>
        <v>#REF!</v>
      </c>
      <c r="IE13" s="33" t="e">
        <f t="shared" ca="1" si="23"/>
        <v>#REF!</v>
      </c>
      <c r="IF13" s="33" t="e">
        <f t="shared" ca="1" si="23"/>
        <v>#REF!</v>
      </c>
      <c r="IG13" s="33" t="e">
        <f t="shared" ca="1" si="23"/>
        <v>#REF!</v>
      </c>
      <c r="IH13" s="33" t="e">
        <f t="shared" ca="1" si="23"/>
        <v>#REF!</v>
      </c>
      <c r="II13" s="33" t="e">
        <f t="shared" ref="II13" ca="1" si="24">+IH13+II12</f>
        <v>#REF!</v>
      </c>
      <c r="IJ13" s="33" t="e">
        <f t="shared" ref="IJ13" ca="1" si="25">+II13+IJ12</f>
        <v>#REF!</v>
      </c>
      <c r="IK13" s="33" t="e">
        <f t="shared" ref="IK13" ca="1" si="26">+IJ13+IK12</f>
        <v>#REF!</v>
      </c>
      <c r="IL13" s="33" t="e">
        <f t="shared" ref="IL13" ca="1" si="27">+IK13+IL12</f>
        <v>#REF!</v>
      </c>
      <c r="IM13" s="33" t="e">
        <f t="shared" ref="IM13" ca="1" si="28">+IL13+IM12</f>
        <v>#REF!</v>
      </c>
    </row>
    <row r="15" spans="1:247" x14ac:dyDescent="0.3"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  <c r="J15">
        <v>2031</v>
      </c>
      <c r="K15">
        <v>2032</v>
      </c>
      <c r="L15">
        <v>2033</v>
      </c>
      <c r="M15">
        <v>2034</v>
      </c>
      <c r="N15">
        <v>2035</v>
      </c>
      <c r="O15">
        <v>2036</v>
      </c>
      <c r="P15">
        <v>2037</v>
      </c>
      <c r="Q15">
        <v>2038</v>
      </c>
      <c r="R15">
        <v>2039</v>
      </c>
      <c r="S15">
        <v>2040</v>
      </c>
      <c r="T15">
        <v>2041</v>
      </c>
      <c r="U15">
        <v>2042</v>
      </c>
      <c r="V15">
        <v>2043</v>
      </c>
      <c r="W15">
        <v>2044</v>
      </c>
    </row>
    <row r="16" spans="1:247" x14ac:dyDescent="0.3">
      <c r="B16" t="s">
        <v>947</v>
      </c>
      <c r="C16" s="30">
        <f>+SUMIFS(8:8,2:2,C15)</f>
        <v>0</v>
      </c>
      <c r="D16" s="30">
        <f t="shared" ref="D16:M16" ca="1" si="29">+SUMIFS(8:8,2:2,D15)</f>
        <v>2052666.0605293191</v>
      </c>
      <c r="E16" s="30">
        <f t="shared" ca="1" si="29"/>
        <v>2559640.4907792159</v>
      </c>
      <c r="F16" s="30">
        <f t="shared" ca="1" si="29"/>
        <v>2684873.5385467797</v>
      </c>
      <c r="G16" s="30">
        <f t="shared" ca="1" si="29"/>
        <v>2774388.4218524098</v>
      </c>
      <c r="H16" s="30">
        <f t="shared" ca="1" si="29"/>
        <v>2893951.8006705651</v>
      </c>
      <c r="I16" s="30">
        <f t="shared" ca="1" si="29"/>
        <v>2969623.7378357477</v>
      </c>
      <c r="J16" s="30">
        <f t="shared" ca="1" si="29"/>
        <v>3097655.6786642671</v>
      </c>
      <c r="K16" s="30">
        <f t="shared" ca="1" si="29"/>
        <v>3244953.3537622858</v>
      </c>
      <c r="L16" s="30">
        <f t="shared" ca="1" si="29"/>
        <v>3379716.4896059074</v>
      </c>
      <c r="M16" s="30">
        <f t="shared" ca="1" si="29"/>
        <v>3542227.9008007557</v>
      </c>
      <c r="N16" s="30">
        <f ca="1">+SUMIFS(8:8,2:2,N15)</f>
        <v>3680055.0197631349</v>
      </c>
      <c r="O16" s="30">
        <f t="shared" ref="O16:W16" ca="1" si="30">+SUMIFS(8:8,2:2,O15)</f>
        <v>3833754.7192039932</v>
      </c>
      <c r="P16" s="30">
        <f t="shared" ca="1" si="30"/>
        <v>3970638.8305376195</v>
      </c>
      <c r="Q16" s="30">
        <f t="shared" ca="1" si="30"/>
        <v>4123694.3119701012</v>
      </c>
      <c r="R16" s="30">
        <f t="shared" ca="1" si="30"/>
        <v>4282128.7444694862</v>
      </c>
      <c r="S16" s="30">
        <f t="shared" ca="1" si="30"/>
        <v>4458829.4073924264</v>
      </c>
      <c r="T16" s="30">
        <f t="shared" ca="1" si="30"/>
        <v>4615757.5665440504</v>
      </c>
      <c r="U16" s="30">
        <f t="shared" ca="1" si="30"/>
        <v>4791268.523398634</v>
      </c>
      <c r="V16" s="30">
        <f t="shared" ca="1" si="30"/>
        <v>4972791.1820223182</v>
      </c>
      <c r="W16" s="30">
        <f t="shared" ca="1" si="30"/>
        <v>5184967.9498218372</v>
      </c>
    </row>
    <row r="17" spans="1:242" x14ac:dyDescent="0.3">
      <c r="B17" t="s">
        <v>948</v>
      </c>
      <c r="C17" s="30" t="e">
        <f>+SUMIFS(9:9,2:2,C15)</f>
        <v>#REF!</v>
      </c>
      <c r="D17" s="30" t="e">
        <f t="shared" ref="D17:W17" ca="1" si="31">+SUMIFS(9:9,2:2,D15)</f>
        <v>#VALUE!</v>
      </c>
      <c r="E17" s="30" t="e">
        <f t="shared" ca="1" si="31"/>
        <v>#VALUE!</v>
      </c>
      <c r="F17" s="30" t="e">
        <f t="shared" ca="1" si="31"/>
        <v>#VALUE!</v>
      </c>
      <c r="G17" s="30" t="e">
        <f ca="1">+SUMIFS(9:9,2:2,G15)</f>
        <v>#VALUE!</v>
      </c>
      <c r="H17" s="30" t="e">
        <f t="shared" ca="1" si="31"/>
        <v>#VALUE!</v>
      </c>
      <c r="I17" s="30" t="e">
        <f t="shared" ca="1" si="31"/>
        <v>#VALUE!</v>
      </c>
      <c r="J17" s="30" t="e">
        <f t="shared" ca="1" si="31"/>
        <v>#VALUE!</v>
      </c>
      <c r="K17" s="30" t="e">
        <f t="shared" ca="1" si="31"/>
        <v>#VALUE!</v>
      </c>
      <c r="L17" s="30" t="e">
        <f t="shared" ca="1" si="31"/>
        <v>#VALUE!</v>
      </c>
      <c r="M17" s="30" t="e">
        <f t="shared" ca="1" si="31"/>
        <v>#VALUE!</v>
      </c>
      <c r="N17" s="30" t="e">
        <f t="shared" ca="1" si="31"/>
        <v>#VALUE!</v>
      </c>
      <c r="O17" s="30" t="e">
        <f t="shared" ca="1" si="31"/>
        <v>#VALUE!</v>
      </c>
      <c r="P17" s="30" t="e">
        <f t="shared" ca="1" si="31"/>
        <v>#VALUE!</v>
      </c>
      <c r="Q17" s="30" t="e">
        <f t="shared" ca="1" si="31"/>
        <v>#VALUE!</v>
      </c>
      <c r="R17" s="30" t="e">
        <f t="shared" ca="1" si="31"/>
        <v>#VALUE!</v>
      </c>
      <c r="S17" s="30" t="e">
        <f t="shared" ca="1" si="31"/>
        <v>#VALUE!</v>
      </c>
      <c r="T17" s="30">
        <f t="shared" si="31"/>
        <v>2317399.6437940565</v>
      </c>
      <c r="U17" s="30">
        <f t="shared" si="31"/>
        <v>2362201.6331078783</v>
      </c>
      <c r="V17" s="30">
        <f t="shared" si="31"/>
        <v>2408347.6821011147</v>
      </c>
      <c r="W17" s="30">
        <f t="shared" si="31"/>
        <v>2467522.7547030286</v>
      </c>
    </row>
    <row r="18" spans="1:242" x14ac:dyDescent="0.3">
      <c r="B18" t="s">
        <v>924</v>
      </c>
      <c r="C18" s="33" t="e">
        <f>+C16-C17</f>
        <v>#REF!</v>
      </c>
      <c r="D18" s="33" t="e">
        <f t="shared" ref="D18:W18" ca="1" si="32">+D16-D17</f>
        <v>#VALUE!</v>
      </c>
      <c r="E18" s="33" t="e">
        <f t="shared" ca="1" si="32"/>
        <v>#VALUE!</v>
      </c>
      <c r="F18" s="33" t="e">
        <f t="shared" ca="1" si="32"/>
        <v>#VALUE!</v>
      </c>
      <c r="G18" s="33" t="e">
        <f t="shared" ca="1" si="32"/>
        <v>#VALUE!</v>
      </c>
      <c r="H18" s="33" t="e">
        <f t="shared" ca="1" si="32"/>
        <v>#VALUE!</v>
      </c>
      <c r="I18" s="33" t="e">
        <f t="shared" ca="1" si="32"/>
        <v>#VALUE!</v>
      </c>
      <c r="J18" s="33" t="e">
        <f t="shared" ca="1" si="32"/>
        <v>#VALUE!</v>
      </c>
      <c r="K18" s="33" t="e">
        <f t="shared" ca="1" si="32"/>
        <v>#VALUE!</v>
      </c>
      <c r="L18" s="33" t="e">
        <f t="shared" ca="1" si="32"/>
        <v>#VALUE!</v>
      </c>
      <c r="M18" s="33" t="e">
        <f t="shared" ca="1" si="32"/>
        <v>#VALUE!</v>
      </c>
      <c r="N18" s="33" t="e">
        <f t="shared" ca="1" si="32"/>
        <v>#VALUE!</v>
      </c>
      <c r="O18" s="33" t="e">
        <f t="shared" ca="1" si="32"/>
        <v>#VALUE!</v>
      </c>
      <c r="P18" s="33" t="e">
        <f t="shared" ca="1" si="32"/>
        <v>#VALUE!</v>
      </c>
      <c r="Q18" s="33" t="e">
        <f t="shared" ca="1" si="32"/>
        <v>#VALUE!</v>
      </c>
      <c r="R18" s="33" t="e">
        <f t="shared" ca="1" si="32"/>
        <v>#VALUE!</v>
      </c>
      <c r="S18" s="33" t="e">
        <f t="shared" ca="1" si="32"/>
        <v>#VALUE!</v>
      </c>
      <c r="T18" s="33">
        <f t="shared" ca="1" si="32"/>
        <v>2298357.9227499939</v>
      </c>
      <c r="U18" s="33">
        <f t="shared" ca="1" si="32"/>
        <v>2429066.8902907558</v>
      </c>
      <c r="V18" s="33">
        <f t="shared" ca="1" si="32"/>
        <v>2564443.4999212036</v>
      </c>
      <c r="W18" s="33">
        <f t="shared" ca="1" si="32"/>
        <v>2717445.1951188087</v>
      </c>
    </row>
    <row r="19" spans="1:242" x14ac:dyDescent="0.3">
      <c r="B19" t="s">
        <v>925</v>
      </c>
      <c r="C19" s="33" t="e">
        <f>+C18</f>
        <v>#REF!</v>
      </c>
      <c r="D19" s="33" t="e">
        <f ca="1">+D18+C19</f>
        <v>#VALUE!</v>
      </c>
      <c r="E19" s="33" t="e">
        <f t="shared" ref="E19:W19" ca="1" si="33">+E18+D19</f>
        <v>#VALUE!</v>
      </c>
      <c r="F19" s="33" t="e">
        <f t="shared" ca="1" si="33"/>
        <v>#VALUE!</v>
      </c>
      <c r="G19" s="33" t="e">
        <f t="shared" ca="1" si="33"/>
        <v>#VALUE!</v>
      </c>
      <c r="H19" s="33" t="e">
        <f t="shared" ca="1" si="33"/>
        <v>#VALUE!</v>
      </c>
      <c r="I19" s="33" t="e">
        <f t="shared" ca="1" si="33"/>
        <v>#VALUE!</v>
      </c>
      <c r="J19" s="33" t="e">
        <f t="shared" ca="1" si="33"/>
        <v>#VALUE!</v>
      </c>
      <c r="K19" s="33" t="e">
        <f t="shared" ca="1" si="33"/>
        <v>#VALUE!</v>
      </c>
      <c r="L19" s="33" t="e">
        <f t="shared" ca="1" si="33"/>
        <v>#VALUE!</v>
      </c>
      <c r="M19" s="33" t="e">
        <f t="shared" ca="1" si="33"/>
        <v>#VALUE!</v>
      </c>
      <c r="N19" s="33" t="e">
        <f t="shared" ca="1" si="33"/>
        <v>#VALUE!</v>
      </c>
      <c r="O19" s="33" t="e">
        <f t="shared" ca="1" si="33"/>
        <v>#VALUE!</v>
      </c>
      <c r="P19" s="33" t="e">
        <f t="shared" ca="1" si="33"/>
        <v>#VALUE!</v>
      </c>
      <c r="Q19" s="33" t="e">
        <f t="shared" ca="1" si="33"/>
        <v>#VALUE!</v>
      </c>
      <c r="R19" s="33" t="e">
        <f t="shared" ca="1" si="33"/>
        <v>#VALUE!</v>
      </c>
      <c r="S19" s="33" t="e">
        <f t="shared" ca="1" si="33"/>
        <v>#VALUE!</v>
      </c>
      <c r="T19" s="33" t="e">
        <f t="shared" ca="1" si="33"/>
        <v>#VALUE!</v>
      </c>
      <c r="U19" s="33" t="e">
        <f t="shared" ca="1" si="33"/>
        <v>#VALUE!</v>
      </c>
      <c r="V19" s="33" t="e">
        <f t="shared" ca="1" si="33"/>
        <v>#VALUE!</v>
      </c>
      <c r="W19" s="33" t="e">
        <f t="shared" ca="1" si="33"/>
        <v>#VALUE!</v>
      </c>
    </row>
    <row r="20" spans="1:242" x14ac:dyDescent="0.3">
      <c r="P20">
        <v>2025</v>
      </c>
      <c r="Q20">
        <v>2026</v>
      </c>
    </row>
    <row r="21" spans="1:242" x14ac:dyDescent="0.3">
      <c r="B21" s="6" t="s">
        <v>788</v>
      </c>
      <c r="C21" s="6" t="s">
        <v>793</v>
      </c>
      <c r="D21" s="6" t="s">
        <v>798</v>
      </c>
      <c r="E21" s="6" t="s">
        <v>803</v>
      </c>
      <c r="O21" t="s">
        <v>950</v>
      </c>
      <c r="P21" s="41">
        <f ca="1">+AVERAGE(H8:S8)/1000000</f>
        <v>0.17105550504410991</v>
      </c>
      <c r="Q21" s="41">
        <f ca="1">+AVERAGE(I8:T8)/1000000</f>
        <v>0.18646170010450239</v>
      </c>
    </row>
    <row r="22" spans="1:242" x14ac:dyDescent="0.3">
      <c r="A22" t="s">
        <v>932</v>
      </c>
      <c r="B22" s="35" t="e">
        <f ca="1">+NPV(11%,D18,E18:H18)</f>
        <v>#VALUE!</v>
      </c>
      <c r="C22" s="35" t="e">
        <f ca="1">+NPV(11%,D18,E18:M18)</f>
        <v>#VALUE!</v>
      </c>
      <c r="D22" s="35" t="e">
        <f ca="1">+NPV(11%,D18,E18:S18)</f>
        <v>#VALUE!</v>
      </c>
      <c r="E22" s="35" t="e">
        <f ca="1">+NPV(11%,D18,E18:W18)</f>
        <v>#VALUE!</v>
      </c>
      <c r="O22" t="s">
        <v>951</v>
      </c>
      <c r="P22" s="41" t="e">
        <f ca="1">+AVERAGE(H9:S9)/1000000</f>
        <v>#VALUE!</v>
      </c>
      <c r="Q22" s="41" t="e">
        <f ca="1">+AVERAGE(I9:T9)/1000000</f>
        <v>#VALUE!</v>
      </c>
    </row>
    <row r="23" spans="1:242" x14ac:dyDescent="0.3">
      <c r="A23" t="s">
        <v>933</v>
      </c>
      <c r="B23" s="84" t="e">
        <f ca="1">+IRR(D18:H18)</f>
        <v>#VALUE!</v>
      </c>
      <c r="C23" s="84" t="e">
        <f ca="1">+IRR(D18:M18)</f>
        <v>#VALUE!</v>
      </c>
      <c r="D23" s="84" t="e">
        <f ca="1">+IRR(D18:S18)</f>
        <v>#VALUE!</v>
      </c>
      <c r="E23" s="84" t="e">
        <f ca="1">+IRR(D18:X18)</f>
        <v>#VALUE!</v>
      </c>
      <c r="O23" t="s">
        <v>952</v>
      </c>
      <c r="P23" s="41" t="e">
        <f ca="1">+P21-P22</f>
        <v>#VALUE!</v>
      </c>
      <c r="Q23" s="41" t="e">
        <f ca="1">+Q21-Q22</f>
        <v>#VALUE!</v>
      </c>
    </row>
    <row r="24" spans="1:242" x14ac:dyDescent="0.3">
      <c r="A24" t="s">
        <v>953</v>
      </c>
      <c r="B24" s="33">
        <f ca="1">+SUM(D16:H16)</f>
        <v>12965520.312378291</v>
      </c>
      <c r="C24" s="33">
        <f ca="1">+SUM(D16:M16)</f>
        <v>29199697.473047253</v>
      </c>
      <c r="D24" s="33">
        <f ca="1">+SUM(D16:S16)</f>
        <v>53548798.506384008</v>
      </c>
      <c r="E24" s="33">
        <f ca="1">+SUM(D16:W16)</f>
        <v>73113583.728170842</v>
      </c>
    </row>
    <row r="25" spans="1:242" x14ac:dyDescent="0.3">
      <c r="A25" t="s">
        <v>954</v>
      </c>
      <c r="B25" s="33" t="e">
        <f ca="1">+SUM(D17:H17)</f>
        <v>#VALUE!</v>
      </c>
      <c r="C25" s="33" t="e">
        <f ca="1">+SUM(D17:M17)</f>
        <v>#VALUE!</v>
      </c>
      <c r="D25" s="33" t="e">
        <f ca="1">+SUM(D17:S17)</f>
        <v>#VALUE!</v>
      </c>
      <c r="E25" s="33" t="e">
        <f ca="1">+SUM(D17:W17)</f>
        <v>#VALUE!</v>
      </c>
    </row>
    <row r="26" spans="1:242" x14ac:dyDescent="0.3">
      <c r="A26" t="s">
        <v>971</v>
      </c>
      <c r="B26" s="33" t="e">
        <f t="shared" ref="B26" ca="1" si="34">+B24-B25</f>
        <v>#VALUE!</v>
      </c>
      <c r="C26" s="33" t="e">
        <f ca="1">+C24-C25</f>
        <v>#VALUE!</v>
      </c>
      <c r="D26" s="33" t="e">
        <f ca="1">+D24-D25</f>
        <v>#VALUE!</v>
      </c>
      <c r="E26" s="33" t="e">
        <f ca="1">+E24-E25</f>
        <v>#VALUE!</v>
      </c>
    </row>
    <row r="27" spans="1:242" x14ac:dyDescent="0.3">
      <c r="A27" t="s">
        <v>956</v>
      </c>
      <c r="B27" s="85">
        <f t="shared" ref="B27:C27" ca="1" si="35">COUNTIFS(13:13,"&lt;0")/12</f>
        <v>0</v>
      </c>
      <c r="C27" s="85">
        <f t="shared" ca="1" si="35"/>
        <v>0</v>
      </c>
      <c r="D27" s="85">
        <f ca="1">COUNTIFS(13:13,"&lt;0")/12</f>
        <v>0</v>
      </c>
      <c r="E27" s="85">
        <f ca="1">COUNTIFS(13:13,"&lt;0")/12</f>
        <v>0</v>
      </c>
    </row>
    <row r="28" spans="1:242" x14ac:dyDescent="0.3">
      <c r="A28" t="s">
        <v>818</v>
      </c>
      <c r="B28" s="35" t="e">
        <f>+#REF!</f>
        <v>#REF!</v>
      </c>
      <c r="C28" s="35" t="e">
        <f>+#REF!</f>
        <v>#REF!</v>
      </c>
      <c r="D28" s="35" t="e">
        <f>+#REF!</f>
        <v>#REF!</v>
      </c>
      <c r="E28" s="35" t="e">
        <f>+D28</f>
        <v>#REF!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</row>
    <row r="29" spans="1:242" x14ac:dyDescent="0.3">
      <c r="A29" t="s">
        <v>971</v>
      </c>
      <c r="B29" s="86" t="e">
        <f ca="1">+B26/B28</f>
        <v>#VALUE!</v>
      </c>
      <c r="C29" s="86" t="e">
        <f ca="1">+C26/C28</f>
        <v>#VALUE!</v>
      </c>
      <c r="D29" s="86" t="e">
        <f ca="1">+D26/D28</f>
        <v>#VALUE!</v>
      </c>
      <c r="E29" s="86" t="e">
        <f ca="1">+E26/E28</f>
        <v>#VALUE!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</row>
    <row r="30" spans="1:242" x14ac:dyDescent="0.3">
      <c r="B30" s="87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0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</row>
    <row r="31" spans="1:242" x14ac:dyDescent="0.3">
      <c r="A31" t="s">
        <v>958</v>
      </c>
      <c r="B31" s="33">
        <f ca="1">+Producción!T39</f>
        <v>288.6838805668603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</row>
    <row r="33" spans="1:242" x14ac:dyDescent="0.3">
      <c r="C33" s="6" t="s">
        <v>906</v>
      </c>
      <c r="D33" s="6" t="s">
        <v>959</v>
      </c>
      <c r="E33" s="6" t="s">
        <v>960</v>
      </c>
      <c r="F33" s="9">
        <v>0.25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</row>
    <row r="34" spans="1:242" x14ac:dyDescent="0.3">
      <c r="A34" t="s">
        <v>961</v>
      </c>
      <c r="C34" s="31">
        <f>+SUM(C4:BO4)</f>
        <v>133254.46424674997</v>
      </c>
      <c r="E34" s="31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</row>
    <row r="35" spans="1:242" x14ac:dyDescent="0.3">
      <c r="A35" t="s">
        <v>783</v>
      </c>
      <c r="C35" s="31">
        <f>+C5</f>
        <v>0</v>
      </c>
      <c r="E35" s="33" t="e">
        <f>+(E37-E36)/C34</f>
        <v>#REF!</v>
      </c>
    </row>
    <row r="36" spans="1:242" x14ac:dyDescent="0.3">
      <c r="A36" t="s">
        <v>962</v>
      </c>
      <c r="C36" s="31">
        <v>0</v>
      </c>
      <c r="E36" s="31">
        <f>+C36</f>
        <v>0</v>
      </c>
    </row>
    <row r="37" spans="1:242" x14ac:dyDescent="0.3">
      <c r="A37" t="s">
        <v>963</v>
      </c>
      <c r="C37" s="31">
        <f>+(C34*C35)+C36</f>
        <v>0</v>
      </c>
      <c r="D37" s="30" t="e">
        <f>+#REF!</f>
        <v>#REF!</v>
      </c>
      <c r="E37" s="33" t="e">
        <f>+E38+E43</f>
        <v>#REF!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42" x14ac:dyDescent="0.3">
      <c r="A38" t="s">
        <v>813</v>
      </c>
      <c r="C38" s="31" t="e">
        <f>+SUM(C39:C42)</f>
        <v>#REF!</v>
      </c>
      <c r="D38" s="30" t="e">
        <f>+SUM('Simulacion prestamo'!C12:F12)+SUM('Simulacion prestamo'!C15:F15)</f>
        <v>#REF!</v>
      </c>
      <c r="E38" s="31" t="e">
        <f>+C38</f>
        <v>#REF!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42" x14ac:dyDescent="0.3">
      <c r="A39" t="s">
        <v>964</v>
      </c>
      <c r="C39" s="30" t="e">
        <f>+'Simulacion prestamo'!C16*'Simulacion prestamo'!B6</f>
        <v>#REF!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42" x14ac:dyDescent="0.3">
      <c r="A40" t="s">
        <v>643</v>
      </c>
      <c r="C40" s="30">
        <f>(4*300000*5)+300000</f>
        <v>6300000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42" x14ac:dyDescent="0.3">
      <c r="A41" t="s">
        <v>965</v>
      </c>
      <c r="C41" s="30" t="e">
        <f>+#REF!*17</f>
        <v>#REF!</v>
      </c>
    </row>
    <row r="42" spans="1:242" x14ac:dyDescent="0.3">
      <c r="A42" t="s">
        <v>644</v>
      </c>
      <c r="C42" s="30" t="e">
        <f>+#REF!*65</f>
        <v>#REF!</v>
      </c>
    </row>
    <row r="43" spans="1:242" x14ac:dyDescent="0.3">
      <c r="A43" t="s">
        <v>284</v>
      </c>
      <c r="C43" s="30" t="e">
        <f>+C37-C38</f>
        <v>#REF!</v>
      </c>
      <c r="D43" s="30" t="e">
        <f>+D37-D44-D38</f>
        <v>#REF!</v>
      </c>
      <c r="E43" s="30" t="e">
        <f>+E38*F33</f>
        <v>#REF!</v>
      </c>
      <c r="F43" s="38"/>
    </row>
    <row r="44" spans="1:242" x14ac:dyDescent="0.3">
      <c r="A44" t="s">
        <v>966</v>
      </c>
      <c r="C44" s="30" t="e">
        <f>+D28</f>
        <v>#REF!</v>
      </c>
      <c r="D44" s="33" t="e">
        <f>+C44</f>
        <v>#REF!</v>
      </c>
    </row>
    <row r="45" spans="1:242" x14ac:dyDescent="0.3">
      <c r="C45" s="38" t="e">
        <f>+C43/C38</f>
        <v>#REF!</v>
      </c>
      <c r="D45" s="38" t="e">
        <f>+D43/(D44+D38)</f>
        <v>#REF!</v>
      </c>
      <c r="G45" s="30"/>
      <c r="H45" s="30"/>
      <c r="I45" s="30"/>
      <c r="J45" s="30"/>
      <c r="K45" s="30"/>
      <c r="L45" s="30"/>
      <c r="M45" s="30"/>
    </row>
    <row r="48" spans="1:242" x14ac:dyDescent="0.3">
      <c r="B48" t="s">
        <v>967</v>
      </c>
      <c r="C48">
        <v>2024</v>
      </c>
      <c r="D48">
        <v>2025</v>
      </c>
      <c r="E48">
        <v>2026</v>
      </c>
      <c r="F48">
        <v>2027</v>
      </c>
      <c r="G48">
        <v>2028</v>
      </c>
      <c r="H48">
        <v>2029</v>
      </c>
      <c r="I48">
        <v>2030</v>
      </c>
      <c r="J48">
        <v>2031</v>
      </c>
      <c r="K48">
        <v>2032</v>
      </c>
      <c r="L48">
        <v>2033</v>
      </c>
      <c r="M48">
        <v>2034</v>
      </c>
      <c r="N48">
        <v>2035</v>
      </c>
      <c r="O48">
        <v>2036</v>
      </c>
      <c r="P48">
        <v>2037</v>
      </c>
      <c r="Q48">
        <v>2038</v>
      </c>
      <c r="R48">
        <v>2039</v>
      </c>
      <c r="S48">
        <v>2040</v>
      </c>
      <c r="T48">
        <v>2041</v>
      </c>
      <c r="U48">
        <v>2042</v>
      </c>
      <c r="V48">
        <v>2043</v>
      </c>
      <c r="W48">
        <v>2044</v>
      </c>
    </row>
    <row r="49" spans="2:23" x14ac:dyDescent="0.3">
      <c r="B49" t="s">
        <v>947</v>
      </c>
      <c r="C49" s="12">
        <f>+C16/1000000</f>
        <v>0</v>
      </c>
      <c r="D49" s="12">
        <f t="shared" ref="D49:W50" ca="1" si="36">+D16/1000000</f>
        <v>2.0526660605293192</v>
      </c>
      <c r="E49" s="12">
        <f t="shared" ca="1" si="36"/>
        <v>2.5596404907792158</v>
      </c>
      <c r="F49" s="12">
        <f t="shared" ca="1" si="36"/>
        <v>2.6848735385467797</v>
      </c>
      <c r="G49" s="12">
        <f t="shared" ca="1" si="36"/>
        <v>2.77438842185241</v>
      </c>
      <c r="H49" s="12">
        <f t="shared" ca="1" si="36"/>
        <v>2.8939518006705649</v>
      </c>
      <c r="I49" s="12">
        <f t="shared" ca="1" si="36"/>
        <v>2.9696237378357475</v>
      </c>
      <c r="J49" s="12">
        <f t="shared" ca="1" si="36"/>
        <v>3.0976556786642671</v>
      </c>
      <c r="K49" s="12">
        <f t="shared" ca="1" si="36"/>
        <v>3.2449533537622859</v>
      </c>
      <c r="L49" s="12">
        <f t="shared" ca="1" si="36"/>
        <v>3.3797164896059075</v>
      </c>
      <c r="M49" s="12">
        <f t="shared" ca="1" si="36"/>
        <v>3.5422279008007558</v>
      </c>
      <c r="N49" s="12">
        <f t="shared" ca="1" si="36"/>
        <v>3.680055019763135</v>
      </c>
      <c r="O49" s="12">
        <f t="shared" ca="1" si="36"/>
        <v>3.8337547192039931</v>
      </c>
      <c r="P49" s="12">
        <f t="shared" ca="1" si="36"/>
        <v>3.9706388305376197</v>
      </c>
      <c r="Q49" s="12">
        <f t="shared" ca="1" si="36"/>
        <v>4.1236943119701008</v>
      </c>
      <c r="R49" s="12">
        <f t="shared" ca="1" si="36"/>
        <v>4.2821287444694862</v>
      </c>
      <c r="S49" s="12">
        <f t="shared" ca="1" si="36"/>
        <v>4.4588294073924262</v>
      </c>
      <c r="T49" s="12">
        <f t="shared" ca="1" si="36"/>
        <v>4.6157575665440502</v>
      </c>
      <c r="U49" s="12">
        <f t="shared" ca="1" si="36"/>
        <v>4.7912685233986343</v>
      </c>
      <c r="V49" s="12">
        <f t="shared" ca="1" si="36"/>
        <v>4.9727911820223181</v>
      </c>
      <c r="W49" s="12">
        <f t="shared" ca="1" si="36"/>
        <v>5.1849679498218375</v>
      </c>
    </row>
    <row r="50" spans="2:23" x14ac:dyDescent="0.3">
      <c r="B50" t="s">
        <v>948</v>
      </c>
      <c r="C50" s="12" t="e">
        <f>+C17/1000000</f>
        <v>#REF!</v>
      </c>
      <c r="D50" s="12" t="e">
        <f t="shared" ca="1" si="36"/>
        <v>#VALUE!</v>
      </c>
      <c r="E50" s="12" t="e">
        <f t="shared" ca="1" si="36"/>
        <v>#VALUE!</v>
      </c>
      <c r="F50" s="12" t="e">
        <f t="shared" ca="1" si="36"/>
        <v>#VALUE!</v>
      </c>
      <c r="G50" s="12" t="e">
        <f t="shared" ca="1" si="36"/>
        <v>#VALUE!</v>
      </c>
      <c r="H50" s="12" t="e">
        <f t="shared" ca="1" si="36"/>
        <v>#VALUE!</v>
      </c>
      <c r="I50" s="12" t="e">
        <f t="shared" ca="1" si="36"/>
        <v>#VALUE!</v>
      </c>
      <c r="J50" s="12" t="e">
        <f t="shared" ca="1" si="36"/>
        <v>#VALUE!</v>
      </c>
      <c r="K50" s="12" t="e">
        <f t="shared" ca="1" si="36"/>
        <v>#VALUE!</v>
      </c>
      <c r="L50" s="12" t="e">
        <f t="shared" ca="1" si="36"/>
        <v>#VALUE!</v>
      </c>
      <c r="M50" s="12" t="e">
        <f t="shared" ca="1" si="36"/>
        <v>#VALUE!</v>
      </c>
      <c r="N50" s="12" t="e">
        <f t="shared" ca="1" si="36"/>
        <v>#VALUE!</v>
      </c>
      <c r="O50" s="12" t="e">
        <f t="shared" ca="1" si="36"/>
        <v>#VALUE!</v>
      </c>
      <c r="P50" s="12" t="e">
        <f t="shared" ca="1" si="36"/>
        <v>#VALUE!</v>
      </c>
      <c r="Q50" s="12" t="e">
        <f t="shared" ca="1" si="36"/>
        <v>#VALUE!</v>
      </c>
      <c r="R50" s="12" t="e">
        <f t="shared" ca="1" si="36"/>
        <v>#VALUE!</v>
      </c>
      <c r="S50" s="12" t="e">
        <f t="shared" ca="1" si="36"/>
        <v>#VALUE!</v>
      </c>
      <c r="T50" s="12">
        <f t="shared" si="36"/>
        <v>2.3173996437940563</v>
      </c>
      <c r="U50" s="12">
        <f t="shared" si="36"/>
        <v>2.3622016331078783</v>
      </c>
      <c r="V50" s="12">
        <f t="shared" si="36"/>
        <v>2.4083476821011147</v>
      </c>
      <c r="W50" s="12">
        <f t="shared" si="36"/>
        <v>2.4675227547030287</v>
      </c>
    </row>
    <row r="51" spans="2:23" x14ac:dyDescent="0.3">
      <c r="B51" t="s">
        <v>952</v>
      </c>
      <c r="C51" s="12" t="e">
        <f>+C49-C50</f>
        <v>#REF!</v>
      </c>
      <c r="D51" s="12" t="e">
        <f t="shared" ref="D51:W51" ca="1" si="37">+D49-D50</f>
        <v>#VALUE!</v>
      </c>
      <c r="E51" s="12" t="e">
        <f t="shared" ca="1" si="37"/>
        <v>#VALUE!</v>
      </c>
      <c r="F51" s="12" t="e">
        <f t="shared" ca="1" si="37"/>
        <v>#VALUE!</v>
      </c>
      <c r="G51" s="12" t="e">
        <f t="shared" ca="1" si="37"/>
        <v>#VALUE!</v>
      </c>
      <c r="H51" s="12" t="e">
        <f t="shared" ca="1" si="37"/>
        <v>#VALUE!</v>
      </c>
      <c r="I51" s="12" t="e">
        <f t="shared" ca="1" si="37"/>
        <v>#VALUE!</v>
      </c>
      <c r="J51" s="12" t="e">
        <f t="shared" ca="1" si="37"/>
        <v>#VALUE!</v>
      </c>
      <c r="K51" s="12" t="e">
        <f t="shared" ca="1" si="37"/>
        <v>#VALUE!</v>
      </c>
      <c r="L51" s="12" t="e">
        <f t="shared" ca="1" si="37"/>
        <v>#VALUE!</v>
      </c>
      <c r="M51" s="12" t="e">
        <f t="shared" ca="1" si="37"/>
        <v>#VALUE!</v>
      </c>
      <c r="N51" s="12" t="e">
        <f t="shared" ca="1" si="37"/>
        <v>#VALUE!</v>
      </c>
      <c r="O51" s="12" t="e">
        <f t="shared" ca="1" si="37"/>
        <v>#VALUE!</v>
      </c>
      <c r="P51" s="12" t="e">
        <f t="shared" ca="1" si="37"/>
        <v>#VALUE!</v>
      </c>
      <c r="Q51" s="12" t="e">
        <f t="shared" ca="1" si="37"/>
        <v>#VALUE!</v>
      </c>
      <c r="R51" s="12" t="e">
        <f t="shared" ca="1" si="37"/>
        <v>#VALUE!</v>
      </c>
      <c r="S51" s="12" t="e">
        <f t="shared" ca="1" si="37"/>
        <v>#VALUE!</v>
      </c>
      <c r="T51" s="12">
        <f t="shared" ca="1" si="37"/>
        <v>2.298357922749994</v>
      </c>
      <c r="U51" s="12">
        <f t="shared" ca="1" si="37"/>
        <v>2.429066890290756</v>
      </c>
      <c r="V51" s="12">
        <f t="shared" ca="1" si="37"/>
        <v>2.5644434999212034</v>
      </c>
      <c r="W51" s="12">
        <f t="shared" ca="1" si="37"/>
        <v>2.7174451951188088</v>
      </c>
    </row>
    <row r="53" spans="2:23" x14ac:dyDescent="0.3">
      <c r="D53" t="s">
        <v>114</v>
      </c>
      <c r="E53" t="s">
        <v>115</v>
      </c>
      <c r="F53" t="s">
        <v>116</v>
      </c>
      <c r="G53" t="s">
        <v>117</v>
      </c>
      <c r="H53" t="s">
        <v>118</v>
      </c>
      <c r="I53" t="s">
        <v>119</v>
      </c>
      <c r="J53" t="s">
        <v>120</v>
      </c>
      <c r="K53" t="s">
        <v>121</v>
      </c>
      <c r="L53" t="s">
        <v>122</v>
      </c>
      <c r="M53" t="s">
        <v>123</v>
      </c>
      <c r="N53" t="s">
        <v>124</v>
      </c>
      <c r="O53" t="s">
        <v>125</v>
      </c>
      <c r="P53" t="s">
        <v>114</v>
      </c>
      <c r="Q53" t="s">
        <v>115</v>
      </c>
    </row>
    <row r="54" spans="2:23" x14ac:dyDescent="0.3">
      <c r="C54" t="s">
        <v>947</v>
      </c>
      <c r="D54" s="3">
        <f t="shared" ref="D54:O55" si="38">+H8/1000000</f>
        <v>0</v>
      </c>
      <c r="E54" s="3">
        <f t="shared" si="38"/>
        <v>0</v>
      </c>
      <c r="F54" s="3">
        <f t="shared" ca="1" si="38"/>
        <v>0.19622583055471762</v>
      </c>
      <c r="G54" s="3">
        <f t="shared" ca="1" si="38"/>
        <v>0.2336564801357208</v>
      </c>
      <c r="H54" s="3">
        <f t="shared" ca="1" si="38"/>
        <v>0.21225155886373934</v>
      </c>
      <c r="I54" s="3">
        <f t="shared" ca="1" si="38"/>
        <v>0.20579284536655479</v>
      </c>
      <c r="J54" s="3">
        <f t="shared" ca="1" si="38"/>
        <v>0.2068585972955137</v>
      </c>
      <c r="K54" s="3">
        <f t="shared" ca="1" si="38"/>
        <v>0.22012271467641165</v>
      </c>
      <c r="L54" s="3">
        <f t="shared" ca="1" si="38"/>
        <v>0.21689280762561847</v>
      </c>
      <c r="M54" s="3">
        <f t="shared" ca="1" si="38"/>
        <v>0.20297660834159262</v>
      </c>
      <c r="N54" s="3">
        <f t="shared" ca="1" si="38"/>
        <v>0.18299822128896126</v>
      </c>
      <c r="O54" s="3">
        <f t="shared" ca="1" si="38"/>
        <v>0.17489039638048873</v>
      </c>
      <c r="P54" s="3">
        <f t="shared" ref="P54:P55" ca="1" si="39">+T8/1000000</f>
        <v>0.18487434072470962</v>
      </c>
      <c r="Q54" s="3">
        <f t="shared" ref="Q54:Q55" ca="1" si="40">+U8/1000000</f>
        <v>0.22303374856441613</v>
      </c>
    </row>
    <row r="55" spans="2:23" x14ac:dyDescent="0.3">
      <c r="C55" t="s">
        <v>948</v>
      </c>
      <c r="D55" s="3">
        <f t="shared" si="38"/>
        <v>0</v>
      </c>
      <c r="E55" s="3" t="e">
        <f t="shared" ca="1" si="38"/>
        <v>#VALUE!</v>
      </c>
      <c r="F55" s="3" t="e">
        <f t="shared" ca="1" si="38"/>
        <v>#VALUE!</v>
      </c>
      <c r="G55" s="3" t="e">
        <f t="shared" ca="1" si="38"/>
        <v>#VALUE!</v>
      </c>
      <c r="H55" s="3" t="e">
        <f t="shared" ca="1" si="38"/>
        <v>#VALUE!</v>
      </c>
      <c r="I55" s="3" t="e">
        <f t="shared" ca="1" si="38"/>
        <v>#VALUE!</v>
      </c>
      <c r="J55" s="3" t="e">
        <f t="shared" ca="1" si="38"/>
        <v>#VALUE!</v>
      </c>
      <c r="K55" s="3" t="e">
        <f t="shared" ca="1" si="38"/>
        <v>#VALUE!</v>
      </c>
      <c r="L55" s="3" t="e">
        <f t="shared" ca="1" si="38"/>
        <v>#VALUE!</v>
      </c>
      <c r="M55" s="3" t="e">
        <f t="shared" ca="1" si="38"/>
        <v>#VALUE!</v>
      </c>
      <c r="N55" s="3" t="e">
        <f t="shared" ca="1" si="38"/>
        <v>#VALUE!</v>
      </c>
      <c r="O55" s="3" t="e">
        <f t="shared" ca="1" si="38"/>
        <v>#VALUE!</v>
      </c>
      <c r="P55" s="3" t="e">
        <f t="shared" ca="1" si="39"/>
        <v>#VALUE!</v>
      </c>
      <c r="Q55" s="3" t="e">
        <f t="shared" ca="1" si="40"/>
        <v>#VALUE!</v>
      </c>
    </row>
    <row r="56" spans="2:23" x14ac:dyDescent="0.3">
      <c r="C56" t="s">
        <v>952</v>
      </c>
      <c r="D56" s="3">
        <f>+D54-D55</f>
        <v>0</v>
      </c>
      <c r="E56" s="3" t="e">
        <f t="shared" ref="E56:O56" ca="1" si="41">+E54-E55</f>
        <v>#VALUE!</v>
      </c>
      <c r="F56" s="3" t="e">
        <f t="shared" ca="1" si="41"/>
        <v>#VALUE!</v>
      </c>
      <c r="G56" s="3" t="e">
        <f t="shared" ca="1" si="41"/>
        <v>#VALUE!</v>
      </c>
      <c r="H56" s="3" t="e">
        <f t="shared" ca="1" si="41"/>
        <v>#VALUE!</v>
      </c>
      <c r="I56" s="3" t="e">
        <f t="shared" ca="1" si="41"/>
        <v>#VALUE!</v>
      </c>
      <c r="J56" s="3" t="e">
        <f t="shared" ca="1" si="41"/>
        <v>#VALUE!</v>
      </c>
      <c r="K56" s="3" t="e">
        <f t="shared" ca="1" si="41"/>
        <v>#VALUE!</v>
      </c>
      <c r="L56" s="3" t="e">
        <f t="shared" ca="1" si="41"/>
        <v>#VALUE!</v>
      </c>
      <c r="M56" s="3" t="e">
        <f t="shared" ca="1" si="41"/>
        <v>#VALUE!</v>
      </c>
      <c r="N56" s="3" t="e">
        <f t="shared" ca="1" si="41"/>
        <v>#VALUE!</v>
      </c>
      <c r="O56" s="3" t="e">
        <f t="shared" ca="1" si="41"/>
        <v>#VALUE!</v>
      </c>
      <c r="P56" s="3" t="e">
        <f t="shared" ref="P56:Q56" ca="1" si="42">+P54-P55</f>
        <v>#VALUE!</v>
      </c>
      <c r="Q56" s="3" t="e">
        <f t="shared" ca="1" si="42"/>
        <v>#VALUE!</v>
      </c>
    </row>
    <row r="1048551" spans="16384:16384" x14ac:dyDescent="0.3">
      <c r="XFD1048551" t="e" cm="1">
        <f t="array" ref="XFD1048551">solver_pre</f>
        <v>#NAME?</v>
      </c>
    </row>
    <row r="1048552" spans="16384:16384" x14ac:dyDescent="0.3">
      <c r="XFD1048552" t="e" cm="1">
        <f t="array" ref="XFD1048552">solver_scl</f>
        <v>#NAME?</v>
      </c>
    </row>
    <row r="1048553" spans="16384:16384" x14ac:dyDescent="0.3">
      <c r="XFD1048553" t="e" cm="1">
        <f t="array" ref="XFD1048553">solver_rlx</f>
        <v>#NAME?</v>
      </c>
    </row>
    <row r="1048554" spans="16384:16384" x14ac:dyDescent="0.3">
      <c r="XFD1048554" t="e" cm="1">
        <f t="array" ref="XFD1048554">solver_tol</f>
        <v>#NAME?</v>
      </c>
    </row>
    <row r="1048555" spans="16384:16384" x14ac:dyDescent="0.3">
      <c r="XFD1048555" t="e" cm="1">
        <f t="array" ref="XFD1048555">solver_cvg</f>
        <v>#NAME?</v>
      </c>
    </row>
    <row r="1048556" spans="16384:16384" x14ac:dyDescent="0.3">
      <c r="XFD1048556" t="e" cm="1">
        <f t="array" ref="XFD1048556">AREAS(solver_adj1)</f>
        <v>#NAME?</v>
      </c>
    </row>
    <row r="1048557" spans="16384:16384" x14ac:dyDescent="0.3">
      <c r="XFD1048557" t="e" cm="1">
        <f t="array" ref="XFD1048557">solver_ssz</f>
        <v>#NAME?</v>
      </c>
    </row>
    <row r="1048558" spans="16384:16384" x14ac:dyDescent="0.3">
      <c r="XFD1048558" t="e" cm="1">
        <f t="array" ref="XFD1048558">solver_rsd</f>
        <v>#NAME?</v>
      </c>
    </row>
    <row r="1048559" spans="16384:16384" x14ac:dyDescent="0.3">
      <c r="XFD1048559" t="e" cm="1">
        <f t="array" ref="XFD1048559">solver_mrt</f>
        <v>#NAME?</v>
      </c>
    </row>
    <row r="1048560" spans="16384:16384" x14ac:dyDescent="0.3">
      <c r="XFD1048560" t="e" cm="1">
        <f t="array" ref="XFD1048560">solver_mni</f>
        <v>#NAME?</v>
      </c>
    </row>
    <row r="1048561" spans="16384:16384" x14ac:dyDescent="0.3">
      <c r="XFD1048561" t="e" cm="1">
        <f t="array" ref="XFD1048561">solver_rbv</f>
        <v>#NAME?</v>
      </c>
    </row>
    <row r="1048562" spans="16384:16384" x14ac:dyDescent="0.3">
      <c r="XFD1048562" t="e" cm="1">
        <f t="array" ref="XFD1048562">solver_neg</f>
        <v>#NAME?</v>
      </c>
    </row>
    <row r="1048563" spans="16384:16384" x14ac:dyDescent="0.3">
      <c r="XFD1048563" t="e" cm="1">
        <f t="array" ref="XFD1048563">solver_ntr</f>
        <v>#NAME?</v>
      </c>
    </row>
    <row r="1048564" spans="16384:16384" x14ac:dyDescent="0.3">
      <c r="XFD1048564" t="e" cm="1">
        <f t="array" ref="XFD1048564">solver_acc</f>
        <v>#NAME?</v>
      </c>
    </row>
    <row r="1048565" spans="16384:16384" x14ac:dyDescent="0.3">
      <c r="XFD1048565" t="e" cm="1">
        <f t="array" ref="XFD1048565">solver_res</f>
        <v>#NAME?</v>
      </c>
    </row>
    <row r="1048566" spans="16384:16384" x14ac:dyDescent="0.3">
      <c r="XFD1048566" t="e" cm="1">
        <f t="array" ref="XFD1048566">solver_ars</f>
        <v>#NAME?</v>
      </c>
    </row>
    <row r="1048567" spans="16384:16384" x14ac:dyDescent="0.3">
      <c r="XFD1048567" t="e" cm="1">
        <f t="array" ref="XFD1048567">solver_sta</f>
        <v>#NAME?</v>
      </c>
    </row>
    <row r="1048568" spans="16384:16384" x14ac:dyDescent="0.3">
      <c r="XFD1048568" t="e" cm="1">
        <f t="array" ref="XFD1048568">solver_met</f>
        <v>#NAME?</v>
      </c>
    </row>
    <row r="1048569" spans="16384:16384" x14ac:dyDescent="0.3">
      <c r="XFD1048569" t="e" cm="1">
        <f t="array" ref="XFD1048569">solver_soc</f>
        <v>#NAME?</v>
      </c>
    </row>
    <row r="1048570" spans="16384:16384" x14ac:dyDescent="0.3">
      <c r="XFD1048570" t="e" cm="1">
        <f t="array" ref="XFD1048570">solver_lpt</f>
        <v>#NAME?</v>
      </c>
    </row>
    <row r="1048571" spans="16384:16384" x14ac:dyDescent="0.3">
      <c r="XFD1048571" t="e" cm="1">
        <f t="array" ref="XFD1048571">solver_lpp</f>
        <v>#NAME?</v>
      </c>
    </row>
    <row r="1048572" spans="16384:16384" x14ac:dyDescent="0.3">
      <c r="XFD1048572" t="e" cm="1">
        <f t="array" ref="XFD1048572">solver_gap</f>
        <v>#NAME?</v>
      </c>
    </row>
    <row r="1048573" spans="16384:16384" x14ac:dyDescent="0.3">
      <c r="XFD1048573" t="e" cm="1">
        <f t="array" ref="XFD1048573">solver_ips</f>
        <v>#NAME?</v>
      </c>
    </row>
    <row r="1048574" spans="16384:16384" x14ac:dyDescent="0.3">
      <c r="XFD1048574" t="e" cm="1">
        <f t="array" ref="XFD1048574">solver_fea</f>
        <v>#NAME?</v>
      </c>
    </row>
    <row r="1048575" spans="16384:16384" x14ac:dyDescent="0.3">
      <c r="XFD1048575" t="e" cm="1">
        <f t="array" ref="XFD1048575">solver_ipi</f>
        <v>#NAME?</v>
      </c>
    </row>
    <row r="1048576" spans="16384:16384" x14ac:dyDescent="0.3">
      <c r="XFD1048576" t="e" cm="1">
        <f t="array" ref="XFD1048576">solver_ipd</f>
        <v>#NAME?</v>
      </c>
    </row>
  </sheetData>
  <phoneticPr fontId="3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97A2-B4E1-4DE6-ADB0-15A7F8B323DF}">
  <dimension ref="A1:X125"/>
  <sheetViews>
    <sheetView workbookViewId="0">
      <selection activeCell="C2" sqref="C2"/>
    </sheetView>
  </sheetViews>
  <sheetFormatPr baseColWidth="10" defaultColWidth="11.44140625" defaultRowHeight="14.4" x14ac:dyDescent="0.3"/>
  <cols>
    <col min="1" max="1" width="22.77734375" customWidth="1"/>
    <col min="2" max="2" width="18" customWidth="1"/>
    <col min="3" max="3" width="15.77734375" customWidth="1"/>
    <col min="4" max="4" width="13.5546875" customWidth="1"/>
    <col min="5" max="5" width="15.44140625" customWidth="1"/>
    <col min="6" max="6" width="14.5546875" customWidth="1"/>
    <col min="7" max="7" width="14.44140625" bestFit="1" customWidth="1"/>
    <col min="8" max="8" width="14.77734375" customWidth="1"/>
    <col min="9" max="9" width="14.21875" customWidth="1"/>
    <col min="10" max="10" width="14.5546875" customWidth="1"/>
    <col min="11" max="11" width="14.44140625" customWidth="1"/>
    <col min="12" max="12" width="16.5546875" bestFit="1" customWidth="1"/>
    <col min="13" max="13" width="15.44140625" bestFit="1" customWidth="1"/>
    <col min="14" max="17" width="13.5546875" bestFit="1" customWidth="1"/>
    <col min="18" max="19" width="15.44140625" bestFit="1" customWidth="1"/>
    <col min="20" max="21" width="15.44140625" customWidth="1"/>
    <col min="22" max="23" width="15.44140625" bestFit="1" customWidth="1"/>
  </cols>
  <sheetData>
    <row r="1" spans="1:24" x14ac:dyDescent="0.3">
      <c r="A1" t="s">
        <v>972</v>
      </c>
      <c r="B1" s="9">
        <v>0.35</v>
      </c>
    </row>
    <row r="2" spans="1:24" x14ac:dyDescent="0.3">
      <c r="B2" s="9"/>
      <c r="W2" t="s">
        <v>973</v>
      </c>
      <c r="X2" s="9">
        <v>0.03</v>
      </c>
    </row>
    <row r="4" spans="1:24" x14ac:dyDescent="0.3">
      <c r="A4" s="6" t="s">
        <v>727</v>
      </c>
      <c r="B4" s="6"/>
    </row>
    <row r="5" spans="1:24" x14ac:dyDescent="0.3">
      <c r="B5" s="116">
        <v>2025</v>
      </c>
      <c r="C5" s="116">
        <v>2026</v>
      </c>
      <c r="D5" s="116">
        <v>2027</v>
      </c>
      <c r="E5" s="116">
        <v>2028</v>
      </c>
      <c r="F5" s="116">
        <v>2029</v>
      </c>
      <c r="G5" s="116">
        <v>2030</v>
      </c>
      <c r="H5" s="116">
        <v>2031</v>
      </c>
      <c r="I5" s="116">
        <v>2032</v>
      </c>
      <c r="J5" s="116">
        <v>2033</v>
      </c>
      <c r="K5" s="116">
        <v>2034</v>
      </c>
      <c r="L5" s="116">
        <v>2035</v>
      </c>
      <c r="M5" s="116">
        <v>2036</v>
      </c>
      <c r="N5" s="116">
        <v>2037</v>
      </c>
      <c r="O5" s="116">
        <v>2038</v>
      </c>
      <c r="P5" s="116">
        <v>2039</v>
      </c>
      <c r="Q5" s="116">
        <v>2040</v>
      </c>
      <c r="R5" s="116">
        <v>2041</v>
      </c>
      <c r="S5" s="116">
        <v>2042</v>
      </c>
      <c r="T5" s="116">
        <v>2043</v>
      </c>
      <c r="U5" s="116">
        <v>2044</v>
      </c>
      <c r="V5" t="s">
        <v>974</v>
      </c>
    </row>
    <row r="6" spans="1:24" x14ac:dyDescent="0.3">
      <c r="A6" t="s">
        <v>975</v>
      </c>
      <c r="B6" s="30">
        <f ca="1">+'Anál inv cap propio'!D16</f>
        <v>2208928.8812356014</v>
      </c>
      <c r="C6" s="30">
        <f ca="1">+'Anál inv cap propio'!E16</f>
        <v>2991825.8719446193</v>
      </c>
      <c r="D6" s="30">
        <f ca="1">+'Anál inv cap propio'!F16</f>
        <v>3078428.7211848274</v>
      </c>
      <c r="E6" s="30">
        <f ca="1">+'Anál inv cap propio'!G16</f>
        <v>3176609.8408549363</v>
      </c>
      <c r="F6" s="30">
        <f ca="1">+'Anál inv cap propio'!H16</f>
        <v>3254957.2158162124</v>
      </c>
      <c r="G6" s="30">
        <f ca="1">+'Anál inv cap propio'!I16</f>
        <v>3335384.9540633587</v>
      </c>
      <c r="H6" s="30">
        <f ca="1">+'Anál inv cap propio'!J16</f>
        <v>3417708.8951110998</v>
      </c>
      <c r="I6" s="30">
        <f ca="1">+'Anál inv cap propio'!K16</f>
        <v>3512016.6913353093</v>
      </c>
      <c r="J6" s="30">
        <f ca="1">+'Anál inv cap propio'!L16</f>
        <v>3588211.7110725134</v>
      </c>
      <c r="K6" s="30">
        <f ca="1">+'Anál inv cap propio'!M16</f>
        <v>3689097.4915115465</v>
      </c>
      <c r="L6" s="30">
        <f ca="1">+'Anál inv cap propio'!N16</f>
        <v>3759636.8037775471</v>
      </c>
      <c r="M6" s="30">
        <f ca="1">+'Anál inv cap propio'!O16</f>
        <v>3842042.0982474061</v>
      </c>
      <c r="N6" s="30">
        <f ca="1">+'Anál inv cap propio'!P16</f>
        <v>3903443.186168924</v>
      </c>
      <c r="O6" s="30">
        <f ca="1">+'Anál inv cap propio'!Q16</f>
        <v>3976691.399790274</v>
      </c>
      <c r="P6" s="30">
        <f ca="1">+'Anál inv cap propio'!R16</f>
        <v>4050821.4073613528</v>
      </c>
      <c r="Q6" s="30">
        <f ca="1">+'Anál inv cap propio'!S16</f>
        <v>4137618.5413075266</v>
      </c>
      <c r="R6" s="30">
        <f ca="1">+'Anál inv cap propio'!T16</f>
        <v>4201673.166771723</v>
      </c>
      <c r="S6" s="30">
        <f ca="1">+'Anál inv cap propio'!U16</f>
        <v>4278364.0806614384</v>
      </c>
      <c r="T6" s="30">
        <f ca="1">+'Anál inv cap propio'!V16</f>
        <v>4355874.9435344413</v>
      </c>
      <c r="U6" s="30">
        <f ca="1">+'Anál inv cap propio'!W16</f>
        <v>4455191.147434419</v>
      </c>
      <c r="V6" s="30">
        <f ca="1">+SUM(B6:F6)</f>
        <v>14710750.531036196</v>
      </c>
      <c r="W6" s="30"/>
      <c r="X6" s="30"/>
    </row>
    <row r="7" spans="1:24" x14ac:dyDescent="0.3">
      <c r="A7" t="s">
        <v>976</v>
      </c>
      <c r="B7" s="30">
        <f>+SUM(B8:B10)</f>
        <v>0</v>
      </c>
      <c r="C7" s="30">
        <f t="shared" ref="C7:G7" si="0">+SUM(C8:C10)</f>
        <v>50000</v>
      </c>
      <c r="D7" s="30">
        <f t="shared" si="0"/>
        <v>1127000</v>
      </c>
      <c r="E7" s="30">
        <f t="shared" si="0"/>
        <v>1142270</v>
      </c>
      <c r="F7" s="30">
        <f t="shared" si="0"/>
        <v>1151818.0999999999</v>
      </c>
      <c r="G7" s="30">
        <f t="shared" si="0"/>
        <v>1594025.7462494061</v>
      </c>
      <c r="H7" s="30">
        <f t="shared" ref="H7" si="1">+SUM(H8:H10)</f>
        <v>1935229.5874560936</v>
      </c>
      <c r="I7" s="30">
        <f t="shared" ref="I7" si="2">+SUM(I8:I10)</f>
        <v>1968566.4750797765</v>
      </c>
      <c r="J7" s="30">
        <f t="shared" ref="J7" si="3">+SUM(J8:J10)</f>
        <v>2002903.4693321702</v>
      </c>
      <c r="K7" s="30">
        <f t="shared" ref="K7" si="4">+SUM(K8:K10)</f>
        <v>2038270.573412135</v>
      </c>
      <c r="L7" s="30">
        <f t="shared" ref="L7" si="5">+SUM(L8:L10)</f>
        <v>2074698.6906144992</v>
      </c>
      <c r="M7" s="30">
        <f t="shared" ref="M7" si="6">+SUM(M8:M10)</f>
        <v>2112219.6513329339</v>
      </c>
      <c r="N7" s="30">
        <f t="shared" ref="N7" si="7">+SUM(N8:N10)</f>
        <v>2150866.2408729224</v>
      </c>
      <c r="O7" s="30">
        <f t="shared" ref="O7" si="8">+SUM(O8:O10)</f>
        <v>2190672.2280991105</v>
      </c>
      <c r="P7" s="30">
        <f t="shared" ref="P7" si="9">+SUM(P8:P10)</f>
        <v>2231672.3949420834</v>
      </c>
      <c r="Q7" s="30">
        <f t="shared" ref="Q7" si="10">+SUM(Q8:Q10)</f>
        <v>2273902.5667903461</v>
      </c>
      <c r="R7" s="30">
        <f t="shared" ref="R7" si="11">+SUM(R8:R10)</f>
        <v>2317399.6437940565</v>
      </c>
      <c r="S7" s="30">
        <f t="shared" ref="S7" si="12">+SUM(S8:S10)</f>
        <v>2362201.6331078783</v>
      </c>
      <c r="T7" s="30">
        <f t="shared" ref="T7" si="13">+SUM(T8:T10)</f>
        <v>2408347.6821011147</v>
      </c>
      <c r="U7" s="30">
        <f t="shared" ref="U7" si="14">+SUM(U8:U10)</f>
        <v>2467522.7547030291</v>
      </c>
      <c r="V7" s="30">
        <f>+SUM(B7:F7)</f>
        <v>3471088.0999999996</v>
      </c>
      <c r="W7" s="40"/>
      <c r="X7" s="38">
        <f ca="1">+B7/B6</f>
        <v>0</v>
      </c>
    </row>
    <row r="8" spans="1:24" x14ac:dyDescent="0.3">
      <c r="A8" t="s">
        <v>643</v>
      </c>
      <c r="B8" s="30">
        <f>+SUMIF(Producción!18:18,EEFF!B5,Producción!24:24)</f>
        <v>0</v>
      </c>
      <c r="C8" s="30">
        <f>+SUMIF(Producción!18:18,EEFF!C5,Producción!24:24)</f>
        <v>0</v>
      </c>
      <c r="D8" s="30">
        <f>+SUMIF(Producción!18:18,EEFF!D5,Producción!24:24)</f>
        <v>818000</v>
      </c>
      <c r="E8" s="30">
        <f>+SUMIF(Producción!18:18,EEFF!E5,Producción!24:24)</f>
        <v>824000</v>
      </c>
      <c r="F8" s="30">
        <f>+SUMIF(Producción!18:18,EEFF!F5,Producción!24:24)</f>
        <v>824000</v>
      </c>
      <c r="G8" s="30">
        <f>+SUMIF(Producción!18:18,EEFF!G5,Producción!24:24)</f>
        <v>824000</v>
      </c>
      <c r="H8" s="30">
        <f>+SUMIF(Producción!18:18,EEFF!H5,Producción!24:24)</f>
        <v>824000</v>
      </c>
      <c r="I8" s="30">
        <f>+SUMIF(Producción!18:18,EEFF!I5,Producción!24:24)</f>
        <v>824000</v>
      </c>
      <c r="J8" s="30">
        <f>+SUMIF(Producción!18:18,EEFF!J5,Producción!24:24)</f>
        <v>824000</v>
      </c>
      <c r="K8" s="30">
        <f>+SUMIF(Producción!18:18,EEFF!K5,Producción!24:24)</f>
        <v>824000</v>
      </c>
      <c r="L8" s="30">
        <f>+SUMIF(Producción!18:18,EEFF!L5,Producción!24:24)</f>
        <v>824000</v>
      </c>
      <c r="M8" s="30">
        <f>+SUMIF(Producción!18:18,EEFF!M5,Producción!24:24)</f>
        <v>824000</v>
      </c>
      <c r="N8" s="30">
        <f>+SUMIF(Producción!18:18,EEFF!N5,Producción!24:24)</f>
        <v>824000</v>
      </c>
      <c r="O8" s="30">
        <f>+SUMIF(Producción!18:18,EEFF!O5,Producción!24:24)</f>
        <v>824000</v>
      </c>
      <c r="P8" s="30">
        <f>+SUMIF(Producción!18:18,EEFF!P5,Producción!24:24)</f>
        <v>824000</v>
      </c>
      <c r="Q8" s="30">
        <f>+SUMIF(Producción!18:18,EEFF!Q5,Producción!24:24)</f>
        <v>824000</v>
      </c>
      <c r="R8" s="30">
        <f>+SUMIF(Producción!18:18,EEFF!R5,Producción!24:24)</f>
        <v>824000</v>
      </c>
      <c r="S8" s="30">
        <f>+SUMIF(Producción!18:18,EEFF!S5,Producción!24:24)</f>
        <v>824000</v>
      </c>
      <c r="T8" s="30">
        <f>+SUMIF(Producción!18:18,EEFF!T5,Producción!24:24)</f>
        <v>824000</v>
      </c>
      <c r="U8" s="30">
        <f>+SUMIF(Producción!18:18,EEFF!U5,Producción!24:24)</f>
        <v>824000</v>
      </c>
      <c r="V8" s="30">
        <f t="shared" ref="V8:V11" si="15">+SUM(B8:F8)</f>
        <v>2466000</v>
      </c>
      <c r="W8" s="40"/>
      <c r="X8" s="38">
        <f ca="1">+B8/B6</f>
        <v>0</v>
      </c>
    </row>
    <row r="9" spans="1:24" x14ac:dyDescent="0.3">
      <c r="A9" t="s">
        <v>777</v>
      </c>
      <c r="B9" s="30">
        <f>+SUMIF(Producción!$18:$18,EEFF!B$5,Producción!25:25)</f>
        <v>0</v>
      </c>
      <c r="C9" s="30">
        <f>+SUMIF(Producción!$18:$18,EEFF!C$5,Producción!25:25)</f>
        <v>0</v>
      </c>
      <c r="D9" s="30">
        <f>+SUMIF(Producción!$18:$18,EEFF!D$5,Producción!25:25)</f>
        <v>0</v>
      </c>
      <c r="E9" s="30">
        <f>+SUMIF(Producción!$18:$18,EEFF!E$5,Producción!25:25)</f>
        <v>0</v>
      </c>
      <c r="F9" s="30">
        <f>+SUMIF(Producción!$18:$18,EEFF!F$5,Producción!25:25)</f>
        <v>0</v>
      </c>
      <c r="G9" s="30">
        <f>+SUMIF(Producción!$18:$18,EEFF!G$5,Producción!25:25)</f>
        <v>432373.10324940598</v>
      </c>
      <c r="H9" s="30">
        <f>+SUMIF(Producción!$18:$18,EEFF!H$5,Producción!25:25)</f>
        <v>763447.36516609369</v>
      </c>
      <c r="I9" s="30">
        <f>+SUMIF(Producción!$18:$18,EEFF!I$5,Producción!25:25)</f>
        <v>786350.78612107655</v>
      </c>
      <c r="J9" s="30">
        <f>+SUMIF(Producción!$18:$18,EEFF!J$5,Producción!25:25)</f>
        <v>809941.30970470922</v>
      </c>
      <c r="K9" s="30">
        <f>+SUMIF(Producción!$18:$18,EEFF!K$5,Producción!25:25)</f>
        <v>834239.54899585014</v>
      </c>
      <c r="L9" s="30">
        <f>+SUMIF(Producción!$18:$18,EEFF!L$5,Producción!25:25)</f>
        <v>859266.73546572577</v>
      </c>
      <c r="M9" s="30">
        <f>+SUMIF(Producción!$18:$18,EEFF!M$5,Producción!25:25)</f>
        <v>885044.73752969748</v>
      </c>
      <c r="N9" s="30">
        <f>+SUMIF(Producción!$18:$18,EEFF!N$5,Producción!25:25)</f>
        <v>911596.0796555886</v>
      </c>
      <c r="O9" s="30">
        <f>+SUMIF(Producción!$18:$18,EEFF!O$5,Producción!25:25)</f>
        <v>938943.9620452564</v>
      </c>
      <c r="P9" s="30">
        <f>+SUMIF(Producción!$18:$18,EEFF!P$5,Producción!25:25)</f>
        <v>967112.28090661403</v>
      </c>
      <c r="Q9" s="30">
        <f>+SUMIF(Producción!$18:$18,EEFF!Q$5,Producción!25:25)</f>
        <v>996125.64933381276</v>
      </c>
      <c r="R9" s="30">
        <f>+SUMIF(Producción!$18:$18,EEFF!R$5,Producción!25:25)</f>
        <v>1026009.418813827</v>
      </c>
      <c r="S9" s="30">
        <f>+SUMIF(Producción!$18:$18,EEFF!S$5,Producción!25:25)</f>
        <v>1056789.7013782419</v>
      </c>
      <c r="T9" s="30">
        <f>+SUMIF(Producción!$18:$18,EEFF!T$5,Producción!25:25)</f>
        <v>1088493.3924195892</v>
      </c>
      <c r="U9" s="30">
        <f>+SUMIF(Producción!$18:$18,EEFF!U$5,Producción!25:25)</f>
        <v>1121148.1941921769</v>
      </c>
      <c r="V9" s="30">
        <f t="shared" si="15"/>
        <v>0</v>
      </c>
      <c r="W9" s="40"/>
      <c r="X9" s="30"/>
    </row>
    <row r="10" spans="1:24" x14ac:dyDescent="0.3">
      <c r="A10" t="s">
        <v>644</v>
      </c>
      <c r="B10" s="30">
        <f>+SUMIF(Producción!$18:$18,EEFF!B$5,Producción!26:26)</f>
        <v>0</v>
      </c>
      <c r="C10" s="30">
        <f>+SUMIF(Producción!$18:$18,EEFF!C$5,Producción!26:26)</f>
        <v>50000</v>
      </c>
      <c r="D10" s="30">
        <f>+SUMIF(Producción!$18:$18,EEFF!D$5,Producción!26:26)</f>
        <v>309000</v>
      </c>
      <c r="E10" s="30">
        <f>+SUMIF(Producción!$18:$18,EEFF!E$5,Producción!26:26)</f>
        <v>318270</v>
      </c>
      <c r="F10" s="30">
        <f>+SUMIF(Producción!$18:$18,EEFF!F$5,Producción!26:26)</f>
        <v>327818.09999999992</v>
      </c>
      <c r="G10" s="30">
        <f>+SUMIF(Producción!$18:$18,EEFF!G$5,Producción!26:26)</f>
        <v>337652.6430000001</v>
      </c>
      <c r="H10" s="30">
        <f>+SUMIF(Producción!$18:$18,EEFF!H$5,Producción!26:26)</f>
        <v>347782.22228999995</v>
      </c>
      <c r="I10" s="30">
        <f>+SUMIF(Producción!$18:$18,EEFF!I$5,Producción!26:26)</f>
        <v>358215.68895869999</v>
      </c>
      <c r="J10" s="30">
        <f>+SUMIF(Producción!$18:$18,EEFF!J$5,Producción!26:26)</f>
        <v>368962.15962746093</v>
      </c>
      <c r="K10" s="30">
        <f>+SUMIF(Producción!$18:$18,EEFF!K$5,Producción!26:26)</f>
        <v>380031.02441628481</v>
      </c>
      <c r="L10" s="30">
        <f>+SUMIF(Producción!$18:$18,EEFF!L$5,Producción!26:26)</f>
        <v>391431.95514877333</v>
      </c>
      <c r="M10" s="30">
        <f>+SUMIF(Producción!$18:$18,EEFF!M$5,Producción!26:26)</f>
        <v>403174.9138032365</v>
      </c>
      <c r="N10" s="30">
        <f>+SUMIF(Producción!$18:$18,EEFF!N$5,Producción!26:26)</f>
        <v>415270.16121733381</v>
      </c>
      <c r="O10" s="30">
        <f>+SUMIF(Producción!$18:$18,EEFF!O$5,Producción!26:26)</f>
        <v>427728.26605385385</v>
      </c>
      <c r="P10" s="30">
        <f>+SUMIF(Producción!$18:$18,EEFF!P$5,Producción!26:26)</f>
        <v>440560.11403546925</v>
      </c>
      <c r="Q10" s="30">
        <f>+SUMIF(Producción!$18:$18,EEFF!Q$5,Producción!26:26)</f>
        <v>453776.91745653335</v>
      </c>
      <c r="R10" s="30">
        <f>+SUMIF(Producción!$18:$18,EEFF!R$5,Producción!26:26)</f>
        <v>467390.22498022934</v>
      </c>
      <c r="S10" s="30">
        <f>+SUMIF(Producción!$18:$18,EEFF!S$5,Producción!26:26)</f>
        <v>481411.93172963639</v>
      </c>
      <c r="T10" s="30">
        <f>+SUMIF(Producción!$18:$18,EEFF!T$5,Producción!26:26)</f>
        <v>495854.28968152561</v>
      </c>
      <c r="U10" s="30">
        <f>+SUMIF(Producción!$18:$18,EEFF!U$5,Producción!26:26)</f>
        <v>522374.56051085232</v>
      </c>
      <c r="V10" s="30">
        <f t="shared" si="15"/>
        <v>1005088.0999999999</v>
      </c>
      <c r="W10" s="40"/>
      <c r="X10" s="30"/>
    </row>
    <row r="11" spans="1:24" x14ac:dyDescent="0.3">
      <c r="A11" t="s">
        <v>977</v>
      </c>
      <c r="B11" s="33">
        <f ca="1">+B6-B7</f>
        <v>2208928.8812356014</v>
      </c>
      <c r="C11" s="33">
        <f t="shared" ref="C11:F11" ca="1" si="16">+C6-C7</f>
        <v>2941825.8719446193</v>
      </c>
      <c r="D11" s="33">
        <f t="shared" ca="1" si="16"/>
        <v>1951428.7211848274</v>
      </c>
      <c r="E11" s="33">
        <f t="shared" ca="1" si="16"/>
        <v>2034339.8408549363</v>
      </c>
      <c r="F11" s="33">
        <f t="shared" ca="1" si="16"/>
        <v>2103139.1158162123</v>
      </c>
      <c r="G11" s="33">
        <f t="shared" ref="G11:U11" ca="1" si="17">+G6-G7</f>
        <v>1741359.2078139526</v>
      </c>
      <c r="H11" s="33">
        <f t="shared" ca="1" si="17"/>
        <v>1482479.3076550062</v>
      </c>
      <c r="I11" s="33">
        <f t="shared" ca="1" si="17"/>
        <v>1543450.2162555328</v>
      </c>
      <c r="J11" s="33">
        <f t="shared" ca="1" si="17"/>
        <v>1585308.2417403432</v>
      </c>
      <c r="K11" s="33">
        <f t="shared" ca="1" si="17"/>
        <v>1650826.9180994115</v>
      </c>
      <c r="L11" s="33">
        <f t="shared" ca="1" si="17"/>
        <v>1684938.1131630479</v>
      </c>
      <c r="M11" s="33">
        <f t="shared" ca="1" si="17"/>
        <v>1729822.4469144722</v>
      </c>
      <c r="N11" s="33">
        <f t="shared" ca="1" si="17"/>
        <v>1752576.9452960016</v>
      </c>
      <c r="O11" s="33">
        <f t="shared" ca="1" si="17"/>
        <v>1786019.1716911634</v>
      </c>
      <c r="P11" s="33">
        <f t="shared" ca="1" si="17"/>
        <v>1819149.0124192694</v>
      </c>
      <c r="Q11" s="33">
        <f t="shared" ca="1" si="17"/>
        <v>1863715.9745171806</v>
      </c>
      <c r="R11" s="33">
        <f t="shared" ca="1" si="17"/>
        <v>1884273.5229776665</v>
      </c>
      <c r="S11" s="33">
        <f t="shared" ca="1" si="17"/>
        <v>1916162.4475535601</v>
      </c>
      <c r="T11" s="33">
        <f t="shared" ca="1" si="17"/>
        <v>1947527.2614333266</v>
      </c>
      <c r="U11" s="33">
        <f t="shared" ca="1" si="17"/>
        <v>1987668.39273139</v>
      </c>
      <c r="V11" s="30">
        <f t="shared" ca="1" si="15"/>
        <v>11239662.431036197</v>
      </c>
      <c r="W11" s="33"/>
      <c r="X11" s="33"/>
    </row>
    <row r="12" spans="1:24" x14ac:dyDescent="0.3">
      <c r="A12" t="s">
        <v>957</v>
      </c>
      <c r="B12" s="111">
        <f t="shared" ref="B12:G12" ca="1" si="18">+B11/B6</f>
        <v>1</v>
      </c>
      <c r="C12" s="111">
        <f t="shared" ca="1" si="18"/>
        <v>0.98328779743872552</v>
      </c>
      <c r="D12" s="111">
        <f t="shared" ca="1" si="18"/>
        <v>0.63390414329091904</v>
      </c>
      <c r="E12" s="111">
        <f t="shared" ca="1" si="18"/>
        <v>0.64041224537270358</v>
      </c>
      <c r="F12" s="111">
        <f t="shared" ca="1" si="18"/>
        <v>0.64613418130254274</v>
      </c>
      <c r="G12" s="111">
        <f t="shared" ca="1" si="18"/>
        <v>0.52208642534425542</v>
      </c>
      <c r="H12" s="111">
        <f t="shared" ref="H12:U12" ca="1" si="19">+H11/H6</f>
        <v>0.43376406626545505</v>
      </c>
      <c r="I12" s="111">
        <f t="shared" ca="1" si="19"/>
        <v>0.43947690227767544</v>
      </c>
      <c r="J12" s="111">
        <f t="shared" ca="1" si="19"/>
        <v>0.441810118630513</v>
      </c>
      <c r="K12" s="111">
        <f t="shared" ca="1" si="19"/>
        <v>0.44748801621477685</v>
      </c>
      <c r="L12" s="111">
        <f t="shared" ca="1" si="19"/>
        <v>0.44816512900131283</v>
      </c>
      <c r="M12" s="111">
        <f t="shared" ca="1" si="19"/>
        <v>0.45023516210391124</v>
      </c>
      <c r="N12" s="111">
        <f t="shared" ca="1" si="19"/>
        <v>0.44898231169494413</v>
      </c>
      <c r="O12" s="111">
        <f t="shared" ca="1" si="19"/>
        <v>0.44912189358856358</v>
      </c>
      <c r="P12" s="111">
        <f t="shared" ca="1" si="19"/>
        <v>0.44908151445862854</v>
      </c>
      <c r="Q12" s="111">
        <f t="shared" ca="1" si="19"/>
        <v>0.45043204343535947</v>
      </c>
      <c r="R12" s="111">
        <f t="shared" ca="1" si="19"/>
        <v>0.44845789955276621</v>
      </c>
      <c r="S12" s="111">
        <f t="shared" ca="1" si="19"/>
        <v>0.44787269419514197</v>
      </c>
      <c r="T12" s="111">
        <f t="shared" ca="1" si="19"/>
        <v>0.44710357544219698</v>
      </c>
      <c r="U12" s="111">
        <f t="shared" ca="1" si="19"/>
        <v>0.44614660223411856</v>
      </c>
      <c r="V12" s="38"/>
      <c r="W12" s="38"/>
      <c r="X12" s="38"/>
    </row>
    <row r="14" spans="1:24" x14ac:dyDescent="0.3">
      <c r="A14" t="s">
        <v>973</v>
      </c>
      <c r="B14" s="30">
        <f ca="1">+B6*$X$2</f>
        <v>66267.866437068034</v>
      </c>
      <c r="C14" s="30">
        <f t="shared" ref="C14:G14" ca="1" si="20">+C6*$X$2</f>
        <v>89754.776158338573</v>
      </c>
      <c r="D14" s="30">
        <f t="shared" ca="1" si="20"/>
        <v>92352.861635544818</v>
      </c>
      <c r="E14" s="30">
        <f t="shared" ca="1" si="20"/>
        <v>95298.295225648078</v>
      </c>
      <c r="F14" s="30">
        <f t="shared" ca="1" si="20"/>
        <v>97648.716474486369</v>
      </c>
      <c r="G14" s="30">
        <f t="shared" ca="1" si="20"/>
        <v>100061.54862190076</v>
      </c>
      <c r="H14" s="30">
        <f t="shared" ref="H14:U14" ca="1" si="21">+H6*$X$2</f>
        <v>102531.26685333299</v>
      </c>
      <c r="I14" s="30">
        <f t="shared" ca="1" si="21"/>
        <v>105360.50074005927</v>
      </c>
      <c r="J14" s="30">
        <f t="shared" ca="1" si="21"/>
        <v>107646.3513321754</v>
      </c>
      <c r="K14" s="30">
        <f t="shared" ca="1" si="21"/>
        <v>110672.92474534639</v>
      </c>
      <c r="L14" s="30">
        <f t="shared" ca="1" si="21"/>
        <v>112789.10411332641</v>
      </c>
      <c r="M14" s="30">
        <f t="shared" ca="1" si="21"/>
        <v>115261.26294742218</v>
      </c>
      <c r="N14" s="30">
        <f t="shared" ca="1" si="21"/>
        <v>117103.29558506771</v>
      </c>
      <c r="O14" s="30">
        <f t="shared" ca="1" si="21"/>
        <v>119300.74199370822</v>
      </c>
      <c r="P14" s="30">
        <f t="shared" ca="1" si="21"/>
        <v>121524.64222084059</v>
      </c>
      <c r="Q14" s="30">
        <f t="shared" ca="1" si="21"/>
        <v>124128.5562392258</v>
      </c>
      <c r="R14" s="30">
        <f t="shared" ca="1" si="21"/>
        <v>126050.19500315169</v>
      </c>
      <c r="S14" s="30">
        <f t="shared" ca="1" si="21"/>
        <v>128350.92241984315</v>
      </c>
      <c r="T14" s="30">
        <f t="shared" ca="1" si="21"/>
        <v>130676.24830603323</v>
      </c>
      <c r="U14" s="30">
        <f t="shared" ca="1" si="21"/>
        <v>133655.73442303255</v>
      </c>
      <c r="V14" s="30">
        <f ca="1">+SUM(B14:F14)</f>
        <v>441322.51593108592</v>
      </c>
      <c r="W14" s="38">
        <f ca="1">+V14/$V$6</f>
        <v>3.0000000000000002E-2</v>
      </c>
      <c r="X14" s="30"/>
    </row>
    <row r="15" spans="1:24" x14ac:dyDescent="0.3">
      <c r="A15" t="s">
        <v>719</v>
      </c>
      <c r="B15" s="30">
        <f>+SUMIF(Producción!18:18,EEFF!B5,Producción!23:23)</f>
        <v>0</v>
      </c>
      <c r="C15" s="30">
        <f ca="1">+SUMIF(Producción!18:18,EEFF!C5,Producción!23:23)</f>
        <v>113068.14960297954</v>
      </c>
      <c r="D15" s="30">
        <f ca="1">+SUMIF(Producción!18:18,EEFF!D5,Producción!23:23)</f>
        <v>632575.08230433357</v>
      </c>
      <c r="E15" s="30">
        <f ca="1">+SUMIF(Producción!18:18,EEFF!E5,Producción!23:23)</f>
        <v>538342.59305025986</v>
      </c>
      <c r="F15" s="30">
        <f ca="1">+SUMIF(Producción!18:18,EEFF!F5,Producción!23:23)</f>
        <v>417656.07002328458</v>
      </c>
      <c r="G15" s="30">
        <f ca="1">+SUMIF(Producción!18:18,EEFF!G5,Producción!23:23)</f>
        <v>263089.03103666502</v>
      </c>
      <c r="H15" s="30">
        <f ca="1">+SUMIF(Producción!18:18,EEFF!H5,Producción!23:23)</f>
        <v>70208.096958650975</v>
      </c>
      <c r="I15" s="30">
        <f>+SUMIF(Producción!18:18,EEFF!I5,Producción!23:23)</f>
        <v>0</v>
      </c>
      <c r="J15" s="30">
        <f>+SUMIF(Producción!18:18,EEFF!J5,Producción!23:23)</f>
        <v>0</v>
      </c>
      <c r="K15" s="30">
        <f>+SUMIF(Producción!18:18,EEFF!K5,Producción!23:23)</f>
        <v>0</v>
      </c>
      <c r="L15" s="30">
        <f>+SUMIF(Producción!18:18,EEFF!L5,Producción!23:23)</f>
        <v>0</v>
      </c>
      <c r="M15" s="30">
        <f>+SUMIF(Producción!18:18,EEFF!M5,Producción!23:23)</f>
        <v>0</v>
      </c>
      <c r="N15" s="30">
        <f>+SUMIF(Producción!18:18,EEFF!N5,Producción!23:23)</f>
        <v>0</v>
      </c>
      <c r="O15" s="30">
        <f>+SUMIF(Producción!18:18,EEFF!O5,Producción!23:23)</f>
        <v>0</v>
      </c>
      <c r="P15" s="30">
        <f>+SUMIF(Producción!18:18,EEFF!P5,Producción!23:23)</f>
        <v>0</v>
      </c>
      <c r="Q15" s="30">
        <f>+SUMIF(Producción!18:18,EEFF!Q5,Producción!23:23)</f>
        <v>0</v>
      </c>
      <c r="R15" s="30">
        <f>+SUMIF(Producción!18:18,EEFF!R5,Producción!23:23)</f>
        <v>0</v>
      </c>
      <c r="S15" s="30">
        <f>+SUMIF(Producción!18:18,EEFF!S5,Producción!23:23)</f>
        <v>0</v>
      </c>
      <c r="T15" s="30">
        <f>+SUMIF(Producción!18:18,EEFF!T5,Producción!23:23)</f>
        <v>0</v>
      </c>
      <c r="U15" s="30">
        <f>+SUMIF(Producción!18:18,EEFF!U5,Producción!23:23)</f>
        <v>0</v>
      </c>
      <c r="V15" s="30">
        <f ca="1">+SUM(B15:F15)</f>
        <v>1701641.8949808574</v>
      </c>
      <c r="W15" s="30"/>
      <c r="X15" s="30"/>
    </row>
    <row r="16" spans="1:24" x14ac:dyDescent="0.3">
      <c r="A16" s="6" t="s">
        <v>978</v>
      </c>
      <c r="B16" s="59">
        <f ca="1">+B11-B14-B15</f>
        <v>2142661.0147985332</v>
      </c>
      <c r="C16" s="59">
        <f ca="1">+C11-C14-C15</f>
        <v>2739002.9461833015</v>
      </c>
      <c r="D16" s="59">
        <f ca="1">+D11-D14-D15</f>
        <v>1226500.777244949</v>
      </c>
      <c r="E16" s="59">
        <f t="shared" ref="E16:F16" ca="1" si="22">+E11-E14-E15</f>
        <v>1400698.9525790284</v>
      </c>
      <c r="F16" s="59">
        <f t="shared" ca="1" si="22"/>
        <v>1587834.3293184415</v>
      </c>
      <c r="G16" s="59">
        <f t="shared" ref="G16:U16" ca="1" si="23">+G11-G14-G15</f>
        <v>1378208.6281553868</v>
      </c>
      <c r="H16" s="59">
        <f t="shared" ca="1" si="23"/>
        <v>1309739.9438430222</v>
      </c>
      <c r="I16" s="59">
        <f t="shared" ca="1" si="23"/>
        <v>1438089.7155154736</v>
      </c>
      <c r="J16" s="59">
        <f t="shared" ca="1" si="23"/>
        <v>1477661.8904081678</v>
      </c>
      <c r="K16" s="59">
        <f t="shared" ca="1" si="23"/>
        <v>1540153.9933540651</v>
      </c>
      <c r="L16" s="59">
        <f t="shared" ca="1" si="23"/>
        <v>1572149.0090497215</v>
      </c>
      <c r="M16" s="59">
        <f t="shared" ca="1" si="23"/>
        <v>1614561.1839670499</v>
      </c>
      <c r="N16" s="59">
        <f t="shared" ca="1" si="23"/>
        <v>1635473.6497109339</v>
      </c>
      <c r="O16" s="59">
        <f t="shared" ca="1" si="23"/>
        <v>1666718.4296974551</v>
      </c>
      <c r="P16" s="59">
        <f t="shared" ca="1" si="23"/>
        <v>1697624.3701984289</v>
      </c>
      <c r="Q16" s="59">
        <f t="shared" ca="1" si="23"/>
        <v>1739587.4182779547</v>
      </c>
      <c r="R16" s="59">
        <f t="shared" ca="1" si="23"/>
        <v>1758223.3279745148</v>
      </c>
      <c r="S16" s="59">
        <f t="shared" ca="1" si="23"/>
        <v>1787811.5251337169</v>
      </c>
      <c r="T16" s="59">
        <f t="shared" ca="1" si="23"/>
        <v>1816851.0131272934</v>
      </c>
      <c r="U16" s="59">
        <f t="shared" ca="1" si="23"/>
        <v>1854012.6583083575</v>
      </c>
      <c r="V16" s="30">
        <f ca="1">+SUM(B16:F16)</f>
        <v>9096698.0201242529</v>
      </c>
      <c r="W16" s="33"/>
      <c r="X16" s="33"/>
    </row>
    <row r="17" spans="1:24" x14ac:dyDescent="0.3">
      <c r="A17" s="6" t="s">
        <v>979</v>
      </c>
      <c r="B17" s="111">
        <f t="shared" ref="B17:G17" ca="1" si="24">+B16/B6</f>
        <v>0.97</v>
      </c>
      <c r="C17" s="111">
        <f t="shared" ca="1" si="24"/>
        <v>0.91549544105085612</v>
      </c>
      <c r="D17" s="111">
        <f t="shared" ca="1" si="24"/>
        <v>0.39841779307883168</v>
      </c>
      <c r="E17" s="111">
        <f t="shared" ca="1" si="24"/>
        <v>0.44094145102882754</v>
      </c>
      <c r="F17" s="111">
        <f t="shared" ca="1" si="24"/>
        <v>0.48782033803792302</v>
      </c>
      <c r="G17" s="111">
        <f t="shared" ca="1" si="24"/>
        <v>0.4132082644542644</v>
      </c>
      <c r="H17" s="111">
        <f t="shared" ref="H17:U17" ca="1" si="25">+H16/H6</f>
        <v>0.38322162127867426</v>
      </c>
      <c r="I17" s="111">
        <f t="shared" ca="1" si="25"/>
        <v>0.40947690227767547</v>
      </c>
      <c r="J17" s="111">
        <f t="shared" ca="1" si="25"/>
        <v>0.41181011863051303</v>
      </c>
      <c r="K17" s="111">
        <f t="shared" ca="1" si="25"/>
        <v>0.41748801621477682</v>
      </c>
      <c r="L17" s="111">
        <f t="shared" ca="1" si="25"/>
        <v>0.41816512900131286</v>
      </c>
      <c r="M17" s="111">
        <f t="shared" ca="1" si="25"/>
        <v>0.42023516210391121</v>
      </c>
      <c r="N17" s="111">
        <f t="shared" ca="1" si="25"/>
        <v>0.4189823116949441</v>
      </c>
      <c r="O17" s="111">
        <f t="shared" ca="1" si="25"/>
        <v>0.41912189358856355</v>
      </c>
      <c r="P17" s="111">
        <f t="shared" ca="1" si="25"/>
        <v>0.41908151445862857</v>
      </c>
      <c r="Q17" s="111">
        <f t="shared" ca="1" si="25"/>
        <v>0.42043204343535945</v>
      </c>
      <c r="R17" s="111">
        <f t="shared" ca="1" si="25"/>
        <v>0.41845789955276624</v>
      </c>
      <c r="S17" s="111">
        <f t="shared" ca="1" si="25"/>
        <v>0.41787269419514195</v>
      </c>
      <c r="T17" s="111">
        <f t="shared" ca="1" si="25"/>
        <v>0.41710357544219701</v>
      </c>
      <c r="U17" s="111">
        <f t="shared" ca="1" si="25"/>
        <v>0.41614660223411859</v>
      </c>
      <c r="V17" s="38"/>
      <c r="W17" s="38"/>
      <c r="X17" s="38"/>
    </row>
    <row r="19" spans="1:24" x14ac:dyDescent="0.3">
      <c r="A19" t="s">
        <v>980</v>
      </c>
      <c r="B19" s="30" t="e">
        <f>+#REF!/5</f>
        <v>#REF!</v>
      </c>
      <c r="C19" s="30" t="e">
        <f>+B19</f>
        <v>#REF!</v>
      </c>
      <c r="D19" s="30" t="e">
        <f t="shared" ref="D19:F19" si="26">+C19</f>
        <v>#REF!</v>
      </c>
      <c r="E19" s="30" t="e">
        <f t="shared" si="26"/>
        <v>#REF!</v>
      </c>
      <c r="F19" s="30" t="e">
        <f t="shared" si="26"/>
        <v>#REF!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 t="e">
        <f>+SUM(B19:F19)</f>
        <v>#REF!</v>
      </c>
      <c r="W19" s="30"/>
      <c r="X19" s="30"/>
    </row>
    <row r="20" spans="1:24" x14ac:dyDescent="0.3">
      <c r="A20" t="s">
        <v>981</v>
      </c>
      <c r="B20" s="33" t="e">
        <f ca="1">+B16-B19</f>
        <v>#REF!</v>
      </c>
      <c r="C20" s="33" t="e">
        <f ca="1">+C16-C19</f>
        <v>#REF!</v>
      </c>
      <c r="D20" s="33" t="e">
        <f ca="1">+D16-D19</f>
        <v>#REF!</v>
      </c>
      <c r="E20" s="33" t="e">
        <f ca="1">+E16-E19</f>
        <v>#REF!</v>
      </c>
      <c r="F20" s="33" t="e">
        <f t="shared" ref="F20:G20" ca="1" si="27">+F16-F19</f>
        <v>#REF!</v>
      </c>
      <c r="G20" s="33">
        <f t="shared" ca="1" si="27"/>
        <v>1378208.6281553868</v>
      </c>
      <c r="H20" s="33">
        <f t="shared" ref="H20:U20" ca="1" si="28">+H16-H19</f>
        <v>1309739.9438430222</v>
      </c>
      <c r="I20" s="33">
        <f t="shared" ca="1" si="28"/>
        <v>1438089.7155154736</v>
      </c>
      <c r="J20" s="33">
        <f t="shared" ca="1" si="28"/>
        <v>1477661.8904081678</v>
      </c>
      <c r="K20" s="33">
        <f t="shared" ca="1" si="28"/>
        <v>1540153.9933540651</v>
      </c>
      <c r="L20" s="33">
        <f t="shared" ca="1" si="28"/>
        <v>1572149.0090497215</v>
      </c>
      <c r="M20" s="33">
        <f t="shared" ca="1" si="28"/>
        <v>1614561.1839670499</v>
      </c>
      <c r="N20" s="33">
        <f t="shared" ca="1" si="28"/>
        <v>1635473.6497109339</v>
      </c>
      <c r="O20" s="33">
        <f t="shared" ca="1" si="28"/>
        <v>1666718.4296974551</v>
      </c>
      <c r="P20" s="33">
        <f t="shared" ca="1" si="28"/>
        <v>1697624.3701984289</v>
      </c>
      <c r="Q20" s="33">
        <f t="shared" ca="1" si="28"/>
        <v>1739587.4182779547</v>
      </c>
      <c r="R20" s="33">
        <f t="shared" ca="1" si="28"/>
        <v>1758223.3279745148</v>
      </c>
      <c r="S20" s="33">
        <f t="shared" ca="1" si="28"/>
        <v>1787811.5251337169</v>
      </c>
      <c r="T20" s="33">
        <f t="shared" ca="1" si="28"/>
        <v>1816851.0131272934</v>
      </c>
      <c r="U20" s="33">
        <f t="shared" ca="1" si="28"/>
        <v>1854012.6583083575</v>
      </c>
      <c r="V20" s="33"/>
      <c r="W20" s="41"/>
      <c r="X20" s="41"/>
    </row>
    <row r="21" spans="1:24" x14ac:dyDescent="0.3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4" x14ac:dyDescent="0.3">
      <c r="A22" t="s">
        <v>982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f ca="1">+SUMIF(Producción!18:18,EEFF!H5,Producción!22:22)</f>
        <v>1532247.4644111919</v>
      </c>
      <c r="I22" s="30">
        <f>+SUMIF(Producción!18:18,EEFF!I5,Producción!22:22)</f>
        <v>0</v>
      </c>
      <c r="J22" s="30">
        <f>+SUMIF(Producción!18:18,EEFF!J5,Producción!22:22)</f>
        <v>0</v>
      </c>
      <c r="K22" s="30">
        <f>+SUMIF(Producción!18:18,EEFF!K5,Producción!22:22)</f>
        <v>0</v>
      </c>
      <c r="L22" s="30">
        <f>+SUMIF(Producción!18:18,EEFF!L5,Producción!22:22)</f>
        <v>0</v>
      </c>
      <c r="M22" s="30">
        <f>+SUMIF(Producción!18:18,EEFF!M5,Producción!22:22)</f>
        <v>0</v>
      </c>
      <c r="N22" s="30">
        <f>+SUMIF(Producción!18:18,EEFF!N5,Producción!22:22)</f>
        <v>0</v>
      </c>
      <c r="O22" s="30">
        <f>+SUMIF(Producción!18:18,EEFF!O5,Producción!22:22)</f>
        <v>0</v>
      </c>
      <c r="P22" s="30">
        <f>+SUMIF(Producción!18:18,EEFF!P5,Producción!22:22)</f>
        <v>0</v>
      </c>
      <c r="Q22" s="30">
        <f>+SUMIF(Producción!18:18,EEFF!Q5,Producción!22:22)</f>
        <v>0</v>
      </c>
      <c r="R22" s="30">
        <f>+SUMIF(Producción!18:18,EEFF!R5,Producción!22:22)</f>
        <v>0</v>
      </c>
      <c r="S22" s="30">
        <f>+SUMIF(Producción!18:18,EEFF!S5,Producción!22:22)</f>
        <v>0</v>
      </c>
      <c r="T22" s="30">
        <f>+SUMIF(Producción!18:18,EEFF!T5,Producción!22:22)</f>
        <v>0</v>
      </c>
      <c r="U22" s="30">
        <f>+SUMIF(Producción!18:18,EEFF!U5,Producción!22:22)</f>
        <v>0</v>
      </c>
      <c r="V22" s="30">
        <f>+SUM(B22:F22)</f>
        <v>0</v>
      </c>
      <c r="W22" s="30"/>
      <c r="X22" s="30"/>
    </row>
    <row r="23" spans="1:24" x14ac:dyDescent="0.3">
      <c r="A23" t="s">
        <v>983</v>
      </c>
      <c r="B23" s="33" t="e">
        <f ca="1">+B20-B22</f>
        <v>#REF!</v>
      </c>
      <c r="C23" s="33" t="e">
        <f ca="1">+C20-C22</f>
        <v>#REF!</v>
      </c>
      <c r="D23" s="33" t="e">
        <f ca="1">+D20-D22</f>
        <v>#REF!</v>
      </c>
      <c r="E23" s="33" t="e">
        <f ca="1">+E20-E22</f>
        <v>#REF!</v>
      </c>
      <c r="F23" s="33" t="e">
        <f t="shared" ref="F23:G23" ca="1" si="29">+F20-F22</f>
        <v>#REF!</v>
      </c>
      <c r="G23" s="33">
        <f t="shared" ca="1" si="29"/>
        <v>1378208.6281553868</v>
      </c>
      <c r="H23" s="33">
        <f t="shared" ref="H23:U23" ca="1" si="30">+H20-H22</f>
        <v>-222507.52056816965</v>
      </c>
      <c r="I23" s="33">
        <f t="shared" ca="1" si="30"/>
        <v>1438089.7155154736</v>
      </c>
      <c r="J23" s="33">
        <f t="shared" ca="1" si="30"/>
        <v>1477661.8904081678</v>
      </c>
      <c r="K23" s="33">
        <f t="shared" ca="1" si="30"/>
        <v>1540153.9933540651</v>
      </c>
      <c r="L23" s="33">
        <f t="shared" ca="1" si="30"/>
        <v>1572149.0090497215</v>
      </c>
      <c r="M23" s="33">
        <f t="shared" ca="1" si="30"/>
        <v>1614561.1839670499</v>
      </c>
      <c r="N23" s="33">
        <f t="shared" ca="1" si="30"/>
        <v>1635473.6497109339</v>
      </c>
      <c r="O23" s="33">
        <f t="shared" ca="1" si="30"/>
        <v>1666718.4296974551</v>
      </c>
      <c r="P23" s="33">
        <f t="shared" ca="1" si="30"/>
        <v>1697624.3701984289</v>
      </c>
      <c r="Q23" s="33">
        <f t="shared" ca="1" si="30"/>
        <v>1739587.4182779547</v>
      </c>
      <c r="R23" s="33">
        <f t="shared" ca="1" si="30"/>
        <v>1758223.3279745148</v>
      </c>
      <c r="S23" s="33">
        <f t="shared" ca="1" si="30"/>
        <v>1787811.5251337169</v>
      </c>
      <c r="T23" s="33">
        <f t="shared" ca="1" si="30"/>
        <v>1816851.0131272934</v>
      </c>
      <c r="U23" s="33">
        <f t="shared" ca="1" si="30"/>
        <v>1854012.6583083575</v>
      </c>
      <c r="V23" s="33"/>
      <c r="W23" s="33"/>
      <c r="X23" s="33"/>
    </row>
    <row r="25" spans="1:24" x14ac:dyDescent="0.3">
      <c r="A25" t="s">
        <v>984</v>
      </c>
      <c r="B25" s="30" t="e">
        <f t="shared" ref="B25:H25" ca="1" si="31">+B23*$B$1</f>
        <v>#REF!</v>
      </c>
      <c r="C25" s="30" t="e">
        <f t="shared" ca="1" si="31"/>
        <v>#REF!</v>
      </c>
      <c r="D25" s="30" t="e">
        <f t="shared" ca="1" si="31"/>
        <v>#REF!</v>
      </c>
      <c r="E25" s="30" t="e">
        <f t="shared" ca="1" si="31"/>
        <v>#REF!</v>
      </c>
      <c r="F25" s="30" t="e">
        <f t="shared" ca="1" si="31"/>
        <v>#REF!</v>
      </c>
      <c r="G25" s="30">
        <f t="shared" ca="1" si="31"/>
        <v>482373.01985438535</v>
      </c>
      <c r="H25" s="30">
        <f t="shared" ca="1" si="31"/>
        <v>-77877.63219885937</v>
      </c>
      <c r="I25" s="30">
        <f t="shared" ref="I25:U25" ca="1" si="32">+I23*$B$1</f>
        <v>503331.40043041576</v>
      </c>
      <c r="J25" s="30">
        <f t="shared" ca="1" si="32"/>
        <v>517181.6616428587</v>
      </c>
      <c r="K25" s="30">
        <f t="shared" ca="1" si="32"/>
        <v>539053.89767392271</v>
      </c>
      <c r="L25" s="30">
        <f t="shared" ca="1" si="32"/>
        <v>550252.15316740249</v>
      </c>
      <c r="M25" s="30">
        <f t="shared" ca="1" si="32"/>
        <v>565096.41438846744</v>
      </c>
      <c r="N25" s="30">
        <f t="shared" ca="1" si="32"/>
        <v>572415.77739882679</v>
      </c>
      <c r="O25" s="30">
        <f t="shared" ca="1" si="32"/>
        <v>583351.45039410924</v>
      </c>
      <c r="P25" s="30">
        <f t="shared" ca="1" si="32"/>
        <v>594168.52956945007</v>
      </c>
      <c r="Q25" s="30">
        <f t="shared" ca="1" si="32"/>
        <v>608855.59639728407</v>
      </c>
      <c r="R25" s="30">
        <f t="shared" ca="1" si="32"/>
        <v>615378.16479108017</v>
      </c>
      <c r="S25" s="30">
        <f t="shared" ca="1" si="32"/>
        <v>625734.03379680088</v>
      </c>
      <c r="T25" s="30">
        <f t="shared" ca="1" si="32"/>
        <v>635897.85459455266</v>
      </c>
      <c r="U25" s="30">
        <f t="shared" ca="1" si="32"/>
        <v>648904.43040792504</v>
      </c>
      <c r="V25" s="30" t="e">
        <f ca="1">+SUM(B25:F25)</f>
        <v>#REF!</v>
      </c>
      <c r="W25" s="30"/>
      <c r="X25" s="30"/>
    </row>
    <row r="26" spans="1:24" x14ac:dyDescent="0.3">
      <c r="A26" t="s">
        <v>985</v>
      </c>
      <c r="B26" s="30" t="e">
        <f ca="1">+IF(B23&lt;0,0,B25*50%)</f>
        <v>#REF!</v>
      </c>
      <c r="C26" s="30" t="e">
        <f ca="1">+IF(C23&lt;0,0,C25*50%)</f>
        <v>#REF!</v>
      </c>
      <c r="D26" s="30" t="e">
        <f ca="1">+IF(D23&lt;0,0,D25*50%)</f>
        <v>#REF!</v>
      </c>
      <c r="E26" s="30" t="e">
        <f ca="1">+IF(E23&lt;0,0,E25*50%)</f>
        <v>#REF!</v>
      </c>
      <c r="F26" s="30" t="e">
        <f ca="1">+IF(F23&lt;0,0,F25*50%)</f>
        <v>#REF!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 t="e">
        <f ca="1">+SUM(B26:F26)</f>
        <v>#REF!</v>
      </c>
      <c r="W26" s="30"/>
      <c r="X26" s="30"/>
    </row>
    <row r="27" spans="1:24" x14ac:dyDescent="0.3">
      <c r="A27" t="s">
        <v>986</v>
      </c>
      <c r="B27" s="30">
        <f t="shared" ref="B27:U27" ca="1" si="33">(B6*15)/1000</f>
        <v>33133.933218534024</v>
      </c>
      <c r="C27" s="30">
        <f t="shared" ca="1" si="33"/>
        <v>44877.388079169286</v>
      </c>
      <c r="D27" s="30">
        <f t="shared" ca="1" si="33"/>
        <v>46176.430817772409</v>
      </c>
      <c r="E27" s="30">
        <f t="shared" ca="1" si="33"/>
        <v>47649.147612824047</v>
      </c>
      <c r="F27" s="30">
        <f t="shared" ca="1" si="33"/>
        <v>48824.358237243185</v>
      </c>
      <c r="G27" s="30">
        <f t="shared" ca="1" si="33"/>
        <v>50030.774310950386</v>
      </c>
      <c r="H27" s="30">
        <f t="shared" ca="1" si="33"/>
        <v>51265.6334266665</v>
      </c>
      <c r="I27" s="30">
        <f t="shared" ca="1" si="33"/>
        <v>52680.250370029644</v>
      </c>
      <c r="J27" s="30">
        <f t="shared" ca="1" si="33"/>
        <v>53823.1756660877</v>
      </c>
      <c r="K27" s="30">
        <f t="shared" ca="1" si="33"/>
        <v>55336.462372673195</v>
      </c>
      <c r="L27" s="30">
        <f t="shared" ca="1" si="33"/>
        <v>56394.552056663211</v>
      </c>
      <c r="M27" s="30">
        <f t="shared" ca="1" si="33"/>
        <v>57630.631473711088</v>
      </c>
      <c r="N27" s="30">
        <f t="shared" ca="1" si="33"/>
        <v>58551.647792533862</v>
      </c>
      <c r="O27" s="30">
        <f t="shared" ca="1" si="33"/>
        <v>59650.370996854108</v>
      </c>
      <c r="P27" s="30">
        <f t="shared" ca="1" si="33"/>
        <v>60762.321110420293</v>
      </c>
      <c r="Q27" s="30">
        <f t="shared" ca="1" si="33"/>
        <v>62064.2781196129</v>
      </c>
      <c r="R27" s="30">
        <f t="shared" ca="1" si="33"/>
        <v>63025.097501575845</v>
      </c>
      <c r="S27" s="30">
        <f t="shared" ca="1" si="33"/>
        <v>64175.461209921574</v>
      </c>
      <c r="T27" s="30">
        <f t="shared" ca="1" si="33"/>
        <v>65338.124153016623</v>
      </c>
      <c r="U27" s="30">
        <f t="shared" ca="1" si="33"/>
        <v>66827.867211516277</v>
      </c>
      <c r="V27" s="30">
        <f ca="1">+SUM(B27:F27)</f>
        <v>220661.25796554296</v>
      </c>
      <c r="W27" s="30"/>
      <c r="X27" s="30"/>
    </row>
    <row r="28" spans="1:24" x14ac:dyDescent="0.3">
      <c r="A28" t="s">
        <v>987</v>
      </c>
      <c r="B28" s="33" t="e">
        <f t="shared" ref="B28:U28" ca="1" si="34">+B23-(B25-B26)-B27</f>
        <v>#REF!</v>
      </c>
      <c r="C28" s="33" t="e">
        <f t="shared" ca="1" si="34"/>
        <v>#REF!</v>
      </c>
      <c r="D28" s="33" t="e">
        <f t="shared" ca="1" si="34"/>
        <v>#REF!</v>
      </c>
      <c r="E28" s="33" t="e">
        <f t="shared" ca="1" si="34"/>
        <v>#REF!</v>
      </c>
      <c r="F28" s="33" t="e">
        <f t="shared" ca="1" si="34"/>
        <v>#REF!</v>
      </c>
      <c r="G28" s="33">
        <f t="shared" ca="1" si="34"/>
        <v>845804.83399005095</v>
      </c>
      <c r="H28" s="33">
        <f t="shared" ca="1" si="34"/>
        <v>-195895.52179597679</v>
      </c>
      <c r="I28" s="33">
        <f t="shared" ca="1" si="34"/>
        <v>882078.06471502827</v>
      </c>
      <c r="J28" s="33">
        <f t="shared" ca="1" si="34"/>
        <v>906657.05309922143</v>
      </c>
      <c r="K28" s="33">
        <f t="shared" ca="1" si="34"/>
        <v>945763.63330746919</v>
      </c>
      <c r="L28" s="33">
        <f t="shared" ca="1" si="34"/>
        <v>965502.30382565584</v>
      </c>
      <c r="M28" s="33">
        <f t="shared" ca="1" si="34"/>
        <v>991834.1381048715</v>
      </c>
      <c r="N28" s="33">
        <f t="shared" ca="1" si="34"/>
        <v>1004506.2245195733</v>
      </c>
      <c r="O28" s="33">
        <f t="shared" ca="1" si="34"/>
        <v>1023716.6083064919</v>
      </c>
      <c r="P28" s="33">
        <f t="shared" ca="1" si="34"/>
        <v>1042693.5195185585</v>
      </c>
      <c r="Q28" s="33">
        <f t="shared" ca="1" si="34"/>
        <v>1068667.5437610578</v>
      </c>
      <c r="R28" s="33">
        <f t="shared" ca="1" si="34"/>
        <v>1079820.0656818587</v>
      </c>
      <c r="S28" s="33">
        <f t="shared" ca="1" si="34"/>
        <v>1097902.0301269945</v>
      </c>
      <c r="T28" s="33">
        <f t="shared" ca="1" si="34"/>
        <v>1115615.0343797242</v>
      </c>
      <c r="U28" s="33">
        <f t="shared" ca="1" si="34"/>
        <v>1138280.3606889162</v>
      </c>
      <c r="V28" s="113" t="e">
        <f ca="1">+SUM(B28:F28)</f>
        <v>#REF!</v>
      </c>
      <c r="W28" s="33"/>
      <c r="X28" s="33"/>
    </row>
    <row r="29" spans="1:24" x14ac:dyDescent="0.3">
      <c r="A29" t="s">
        <v>988</v>
      </c>
      <c r="B29" s="114" t="e">
        <f t="shared" ref="B29:U29" ca="1" si="35">+B28/B6</f>
        <v>#REF!</v>
      </c>
      <c r="C29" s="114" t="e">
        <f t="shared" ca="1" si="35"/>
        <v>#REF!</v>
      </c>
      <c r="D29" s="114" t="e">
        <f t="shared" ca="1" si="35"/>
        <v>#REF!</v>
      </c>
      <c r="E29" s="114" t="e">
        <f t="shared" ca="1" si="35"/>
        <v>#REF!</v>
      </c>
      <c r="F29" s="114" t="e">
        <f t="shared" ca="1" si="35"/>
        <v>#REF!</v>
      </c>
      <c r="G29" s="114">
        <f t="shared" ca="1" si="35"/>
        <v>0.2535853718952718</v>
      </c>
      <c r="H29" s="114">
        <f t="shared" ca="1" si="35"/>
        <v>-5.7317790311573275E-2</v>
      </c>
      <c r="I29" s="114">
        <f t="shared" ca="1" si="35"/>
        <v>0.25115998648048909</v>
      </c>
      <c r="J29" s="114">
        <f t="shared" ca="1" si="35"/>
        <v>0.25267657710983349</v>
      </c>
      <c r="K29" s="114">
        <f t="shared" ca="1" si="35"/>
        <v>0.25636721053960498</v>
      </c>
      <c r="L29" s="114">
        <f t="shared" ca="1" si="35"/>
        <v>0.25680733385085336</v>
      </c>
      <c r="M29" s="114">
        <f t="shared" ca="1" si="35"/>
        <v>0.25815285536754234</v>
      </c>
      <c r="N29" s="114">
        <f t="shared" ca="1" si="35"/>
        <v>0.2573385026017137</v>
      </c>
      <c r="O29" s="114">
        <f t="shared" ca="1" si="35"/>
        <v>0.25742923083256636</v>
      </c>
      <c r="P29" s="114">
        <f t="shared" ca="1" si="35"/>
        <v>0.25740298439810855</v>
      </c>
      <c r="Q29" s="114">
        <f t="shared" ca="1" si="35"/>
        <v>0.25828082823298371</v>
      </c>
      <c r="R29" s="114">
        <f t="shared" ca="1" si="35"/>
        <v>0.25699763470929804</v>
      </c>
      <c r="S29" s="114">
        <f t="shared" ca="1" si="35"/>
        <v>0.25661725122684231</v>
      </c>
      <c r="T29" s="114">
        <f t="shared" ca="1" si="35"/>
        <v>0.25611732403742804</v>
      </c>
      <c r="U29" s="114">
        <f t="shared" ca="1" si="35"/>
        <v>0.25549529145217709</v>
      </c>
      <c r="V29" s="114"/>
      <c r="W29" s="114"/>
    </row>
    <row r="31" spans="1:24" x14ac:dyDescent="0.3">
      <c r="A31" t="s">
        <v>640</v>
      </c>
      <c r="B31" s="30">
        <f>+SUMIF(Producción!18:18,EEFF!B5,Producción!21:21)</f>
        <v>0</v>
      </c>
      <c r="C31" s="30">
        <f ca="1">+SUMIF(Producción!18:18,EEFF!C5,Producción!21:21)</f>
        <v>850586.02256033593</v>
      </c>
      <c r="D31" s="30">
        <f ca="1">+SUMIF(Producción!18:18,EEFF!D5,Producción!21:21)</f>
        <v>5910577.3829812501</v>
      </c>
      <c r="E31" s="30">
        <f ca="1">+SUMIF(Producción!18:18,EEFF!E5,Producción!21:21)</f>
        <v>7569862.9960902706</v>
      </c>
      <c r="F31" s="30">
        <f ca="1">+SUMIF(Producción!18:18,EEFF!F5,Producción!21:21)</f>
        <v>9694962.4489432983</v>
      </c>
      <c r="G31" s="30">
        <f ca="1">+SUMIF(Producción!18:18,EEFF!G5,Producción!21:21)</f>
        <v>12416644.387747351</v>
      </c>
      <c r="H31" s="30">
        <f ca="1">+SUMIF(Producción!18:18,EEFF!H5,Producción!21:21)</f>
        <v>12971435.704466756</v>
      </c>
    </row>
    <row r="32" spans="1:24" x14ac:dyDescent="0.3">
      <c r="A32" t="s">
        <v>989</v>
      </c>
      <c r="B32" s="73">
        <f t="shared" ref="B32:U32" ca="1" si="36">+B11-B14-B15-B31-B22</f>
        <v>2142661.0147985332</v>
      </c>
      <c r="C32" s="73">
        <f t="shared" ca="1" si="36"/>
        <v>1888416.9236229656</v>
      </c>
      <c r="D32" s="73">
        <f t="shared" ca="1" si="36"/>
        <v>-4684076.6057363013</v>
      </c>
      <c r="E32" s="73">
        <f t="shared" ca="1" si="36"/>
        <v>-6169164.0435112417</v>
      </c>
      <c r="F32" s="73">
        <f t="shared" ca="1" si="36"/>
        <v>-8107128.1196248569</v>
      </c>
      <c r="G32" s="73">
        <f t="shared" ca="1" si="36"/>
        <v>-11038435.759591965</v>
      </c>
      <c r="H32" s="73">
        <f t="shared" ca="1" si="36"/>
        <v>-13193943.225034926</v>
      </c>
      <c r="I32" s="73">
        <f t="shared" ca="1" si="36"/>
        <v>1438089.7155154736</v>
      </c>
      <c r="J32" s="73">
        <f t="shared" ca="1" si="36"/>
        <v>1477661.8904081678</v>
      </c>
      <c r="K32" s="73">
        <f t="shared" ca="1" si="36"/>
        <v>1540153.9933540651</v>
      </c>
      <c r="L32" s="73">
        <f t="shared" ca="1" si="36"/>
        <v>1572149.0090497215</v>
      </c>
      <c r="M32" s="73">
        <f t="shared" ca="1" si="36"/>
        <v>1614561.1839670499</v>
      </c>
      <c r="N32" s="73">
        <f t="shared" ca="1" si="36"/>
        <v>1635473.6497109339</v>
      </c>
      <c r="O32" s="73">
        <f t="shared" ca="1" si="36"/>
        <v>1666718.4296974551</v>
      </c>
      <c r="P32" s="73">
        <f t="shared" ca="1" si="36"/>
        <v>1697624.3701984289</v>
      </c>
      <c r="Q32" s="73">
        <f t="shared" ca="1" si="36"/>
        <v>1739587.4182779547</v>
      </c>
      <c r="R32" s="73">
        <f t="shared" ca="1" si="36"/>
        <v>1758223.3279745148</v>
      </c>
      <c r="S32" s="73">
        <f t="shared" ca="1" si="36"/>
        <v>1787811.5251337169</v>
      </c>
      <c r="T32" s="73">
        <f t="shared" ca="1" si="36"/>
        <v>1816851.0131272934</v>
      </c>
      <c r="U32" s="73">
        <f t="shared" ca="1" si="36"/>
        <v>1854012.6583083575</v>
      </c>
      <c r="V32" s="73"/>
      <c r="W32" s="73"/>
    </row>
    <row r="33" spans="1:23" x14ac:dyDescent="0.3">
      <c r="A33" t="s">
        <v>990</v>
      </c>
      <c r="B33" s="73" t="e">
        <f t="shared" ref="B33:U33" ca="1" si="37">IF(B25&lt;0,B11-B14-B15-B19-B22,B11-B14-B15-B19-B22-B25)</f>
        <v>#REF!</v>
      </c>
      <c r="C33" s="73" t="e">
        <f t="shared" ca="1" si="37"/>
        <v>#REF!</v>
      </c>
      <c r="D33" s="73" t="e">
        <f t="shared" ca="1" si="37"/>
        <v>#REF!</v>
      </c>
      <c r="E33" s="73" t="e">
        <f t="shared" ca="1" si="37"/>
        <v>#REF!</v>
      </c>
      <c r="F33" s="73" t="e">
        <f t="shared" ca="1" si="37"/>
        <v>#REF!</v>
      </c>
      <c r="G33" s="73">
        <f t="shared" ca="1" si="37"/>
        <v>895835.60830100137</v>
      </c>
      <c r="H33" s="73">
        <f t="shared" ca="1" si="37"/>
        <v>-222507.52056816965</v>
      </c>
      <c r="I33" s="73">
        <f t="shared" ca="1" si="37"/>
        <v>934758.31508505787</v>
      </c>
      <c r="J33" s="73">
        <f t="shared" ca="1" si="37"/>
        <v>960480.22876530909</v>
      </c>
      <c r="K33" s="73">
        <f t="shared" ca="1" si="37"/>
        <v>1001100.0956801424</v>
      </c>
      <c r="L33" s="73">
        <f t="shared" ca="1" si="37"/>
        <v>1021896.855882319</v>
      </c>
      <c r="M33" s="73">
        <f t="shared" ca="1" si="37"/>
        <v>1049464.7695785826</v>
      </c>
      <c r="N33" s="73">
        <f t="shared" ca="1" si="37"/>
        <v>1063057.8723121071</v>
      </c>
      <c r="O33" s="73">
        <f t="shared" ca="1" si="37"/>
        <v>1083366.979303346</v>
      </c>
      <c r="P33" s="73">
        <f t="shared" ca="1" si="37"/>
        <v>1103455.8406289788</v>
      </c>
      <c r="Q33" s="73">
        <f t="shared" ca="1" si="37"/>
        <v>1130731.8218806707</v>
      </c>
      <c r="R33" s="73">
        <f t="shared" ca="1" si="37"/>
        <v>1142845.1631834346</v>
      </c>
      <c r="S33" s="73">
        <f t="shared" ca="1" si="37"/>
        <v>1162077.4913369161</v>
      </c>
      <c r="T33" s="73">
        <f t="shared" ca="1" si="37"/>
        <v>1180953.1585327408</v>
      </c>
      <c r="U33" s="73">
        <f t="shared" ca="1" si="37"/>
        <v>1205108.2279004324</v>
      </c>
      <c r="V33" s="38"/>
      <c r="W33" s="38"/>
    </row>
    <row r="34" spans="1:23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38"/>
      <c r="W34" s="38"/>
    </row>
    <row r="35" spans="1:23" x14ac:dyDescent="0.3">
      <c r="A35" t="s">
        <v>991</v>
      </c>
      <c r="B35" s="73">
        <f t="shared" ref="B35:U35" si="38">+B15+B22+B31</f>
        <v>0</v>
      </c>
      <c r="C35" s="73">
        <f t="shared" ca="1" si="38"/>
        <v>963654.17216331547</v>
      </c>
      <c r="D35" s="73">
        <f t="shared" ca="1" si="38"/>
        <v>6543152.4652855834</v>
      </c>
      <c r="E35" s="73">
        <f t="shared" ca="1" si="38"/>
        <v>8108205.5891405307</v>
      </c>
      <c r="F35" s="73">
        <f t="shared" ca="1" si="38"/>
        <v>10112618.518966584</v>
      </c>
      <c r="G35" s="73">
        <f t="shared" ca="1" si="38"/>
        <v>12679733.418784017</v>
      </c>
      <c r="H35" s="73">
        <f t="shared" ca="1" si="38"/>
        <v>14573891.2658366</v>
      </c>
      <c r="I35" s="73">
        <f t="shared" si="38"/>
        <v>0</v>
      </c>
      <c r="J35" s="73">
        <f t="shared" si="38"/>
        <v>0</v>
      </c>
      <c r="K35" s="73">
        <f t="shared" si="38"/>
        <v>0</v>
      </c>
      <c r="L35" s="73">
        <f t="shared" si="38"/>
        <v>0</v>
      </c>
      <c r="M35" s="73">
        <f t="shared" si="38"/>
        <v>0</v>
      </c>
      <c r="N35" s="73">
        <f t="shared" si="38"/>
        <v>0</v>
      </c>
      <c r="O35" s="73">
        <f t="shared" si="38"/>
        <v>0</v>
      </c>
      <c r="P35" s="73">
        <f t="shared" si="38"/>
        <v>0</v>
      </c>
      <c r="Q35" s="73">
        <f t="shared" si="38"/>
        <v>0</v>
      </c>
      <c r="R35" s="73">
        <f t="shared" si="38"/>
        <v>0</v>
      </c>
      <c r="S35" s="73">
        <f t="shared" si="38"/>
        <v>0</v>
      </c>
      <c r="T35" s="73">
        <f t="shared" si="38"/>
        <v>0</v>
      </c>
      <c r="U35" s="73">
        <f t="shared" si="38"/>
        <v>0</v>
      </c>
      <c r="V35" s="38"/>
      <c r="W35" s="38"/>
    </row>
    <row r="37" spans="1:23" x14ac:dyDescent="0.3">
      <c r="A37" t="s">
        <v>992</v>
      </c>
      <c r="B37" t="s">
        <v>993</v>
      </c>
      <c r="C37" t="s">
        <v>994</v>
      </c>
    </row>
    <row r="38" spans="1:23" x14ac:dyDescent="0.3">
      <c r="B38" s="30" t="e">
        <f>+#REF!*50%</f>
        <v>#REF!</v>
      </c>
      <c r="F38" s="17"/>
      <c r="G38" s="17"/>
      <c r="Q38" s="30"/>
    </row>
    <row r="39" spans="1:23" x14ac:dyDescent="0.3">
      <c r="A39" t="s">
        <v>995</v>
      </c>
      <c r="B39" s="30" t="e">
        <f ca="1">+SUM(B26:F26)</f>
        <v>#REF!</v>
      </c>
      <c r="F39" s="17"/>
      <c r="G39" s="17"/>
      <c r="Q39" s="30"/>
    </row>
    <row r="40" spans="1:23" x14ac:dyDescent="0.3">
      <c r="A40" t="s">
        <v>996</v>
      </c>
      <c r="B40" s="30" t="e">
        <f ca="1">+B38-B39</f>
        <v>#REF!</v>
      </c>
      <c r="F40" s="17"/>
      <c r="G40" s="17"/>
      <c r="Q40" s="30"/>
    </row>
    <row r="41" spans="1:23" x14ac:dyDescent="0.3">
      <c r="B41" s="30"/>
      <c r="F41" s="17"/>
      <c r="G41" s="17"/>
      <c r="Q41" s="30"/>
    </row>
    <row r="42" spans="1:23" x14ac:dyDescent="0.3">
      <c r="A42" t="s">
        <v>897</v>
      </c>
      <c r="B42" t="s">
        <v>997</v>
      </c>
      <c r="F42" s="30"/>
      <c r="G42" s="30"/>
      <c r="Q42" s="30"/>
    </row>
    <row r="43" spans="1:23" x14ac:dyDescent="0.3">
      <c r="B43" t="s">
        <v>998</v>
      </c>
    </row>
    <row r="44" spans="1:23" x14ac:dyDescent="0.3">
      <c r="A44" t="s">
        <v>999</v>
      </c>
      <c r="B44" s="30" t="e">
        <f ca="1">+B25*50%</f>
        <v>#REF!</v>
      </c>
      <c r="C44" s="30" t="e">
        <f ca="1">+C25*50%</f>
        <v>#REF!</v>
      </c>
      <c r="D44" s="30" t="e">
        <f ca="1">+D25*50%</f>
        <v>#REF!</v>
      </c>
      <c r="E44" s="30" t="e">
        <f ca="1">+E25*50%</f>
        <v>#REF!</v>
      </c>
      <c r="F44" s="30" t="e">
        <f ca="1">+F25*50%</f>
        <v>#REF!</v>
      </c>
      <c r="H44" s="30">
        <f>+V23*B1*50%</f>
        <v>0</v>
      </c>
    </row>
    <row r="47" spans="1:23" x14ac:dyDescent="0.3">
      <c r="A47" t="s">
        <v>972</v>
      </c>
      <c r="B47" s="9">
        <v>0.35</v>
      </c>
    </row>
    <row r="48" spans="1:23" x14ac:dyDescent="0.3">
      <c r="B48" s="9"/>
      <c r="H48" t="s">
        <v>973</v>
      </c>
      <c r="I48" s="9">
        <v>0.1</v>
      </c>
    </row>
    <row r="50" spans="1:23" x14ac:dyDescent="0.3">
      <c r="A50" s="6" t="s">
        <v>741</v>
      </c>
      <c r="B50" s="6" t="s">
        <v>1000</v>
      </c>
    </row>
    <row r="51" spans="1:23" x14ac:dyDescent="0.3">
      <c r="B51">
        <v>2025</v>
      </c>
      <c r="C51">
        <v>2026</v>
      </c>
      <c r="D51">
        <v>2027</v>
      </c>
      <c r="E51">
        <v>2028</v>
      </c>
      <c r="F51">
        <v>2029</v>
      </c>
      <c r="G51">
        <v>2030</v>
      </c>
      <c r="H51">
        <v>2031</v>
      </c>
      <c r="I51">
        <v>2032</v>
      </c>
      <c r="J51">
        <v>2033</v>
      </c>
      <c r="K51">
        <v>2034</v>
      </c>
      <c r="L51">
        <v>2035</v>
      </c>
      <c r="M51">
        <v>2036</v>
      </c>
      <c r="N51">
        <v>2037</v>
      </c>
      <c r="O51">
        <v>2038</v>
      </c>
      <c r="P51">
        <v>2039</v>
      </c>
      <c r="Q51">
        <v>2040</v>
      </c>
      <c r="R51">
        <v>2041</v>
      </c>
      <c r="S51">
        <v>2042</v>
      </c>
      <c r="T51">
        <v>2043</v>
      </c>
      <c r="U51">
        <v>2044</v>
      </c>
      <c r="V51" t="s">
        <v>1001</v>
      </c>
    </row>
    <row r="52" spans="1:23" x14ac:dyDescent="0.3">
      <c r="A52" t="s">
        <v>975</v>
      </c>
      <c r="B52" s="30">
        <f ca="1">+'Anál arrend finan MP'!D16</f>
        <v>2442412.7808829867</v>
      </c>
      <c r="C52" s="30">
        <f ca="1">+'Anál arrend finan MP'!E16</f>
        <v>2991825.8719446193</v>
      </c>
      <c r="D52" s="30">
        <f ca="1">+'Anál arrend finan MP'!F16</f>
        <v>3078428.7211848274</v>
      </c>
      <c r="E52" s="30">
        <f ca="1">+'Anál arrend finan MP'!G16</f>
        <v>3176609.8408549363</v>
      </c>
      <c r="F52" s="30">
        <f ca="1">+'Anál arrend finan MP'!H16</f>
        <v>3254957.2158162124</v>
      </c>
      <c r="G52" s="30">
        <f ca="1">+'Anál arrend finan MP'!I16</f>
        <v>3335384.9540633587</v>
      </c>
      <c r="H52" s="30">
        <f ca="1">+'Anál arrend finan MP'!J16</f>
        <v>3417708.8951110998</v>
      </c>
      <c r="I52" s="30">
        <f ca="1">+'Anál arrend finan MP'!K16</f>
        <v>3512016.6913353093</v>
      </c>
      <c r="J52" s="30">
        <f ca="1">+'Anál arrend finan MP'!L16</f>
        <v>3588211.7110725134</v>
      </c>
      <c r="K52" s="30">
        <f ca="1">+'Anál arrend finan MP'!M16</f>
        <v>3689097.4915115465</v>
      </c>
      <c r="L52" s="30">
        <f ca="1">+'Anál arrend finan MP'!N16</f>
        <v>3759636.8037775471</v>
      </c>
      <c r="M52" s="30">
        <f ca="1">+'Anál arrend finan MP'!O16</f>
        <v>3842042.0982474061</v>
      </c>
      <c r="N52" s="30">
        <f ca="1">+'Anál arrend finan MP'!P16</f>
        <v>3903443.186168924</v>
      </c>
      <c r="O52" s="30">
        <f ca="1">+'Anál arrend finan MP'!Q16</f>
        <v>3976691.399790274</v>
      </c>
      <c r="P52" s="30">
        <f ca="1">+'Anál arrend finan MP'!R16</f>
        <v>4050821.4073613528</v>
      </c>
      <c r="Q52" s="30">
        <f ca="1">+'Anál arrend finan MP'!S16</f>
        <v>4137618.5413075266</v>
      </c>
      <c r="R52" s="30">
        <f ca="1">+'Anál arrend finan MP'!T16</f>
        <v>4201673.166771723</v>
      </c>
      <c r="S52" s="30">
        <f ca="1">+'Anál arrend finan MP'!U16</f>
        <v>4278364.0806614384</v>
      </c>
      <c r="T52" s="30">
        <f ca="1">+'Anál arrend finan MP'!V16</f>
        <v>4355874.9435344413</v>
      </c>
      <c r="U52" s="30">
        <f ca="1">+'Anál arrend finan MP'!W16</f>
        <v>4455191.147434419</v>
      </c>
      <c r="V52" s="30">
        <f t="shared" ref="V52:V57" ca="1" si="39">+SUM(B52:L52)</f>
        <v>36246290.977554955</v>
      </c>
      <c r="W52" s="30"/>
    </row>
    <row r="53" spans="1:23" x14ac:dyDescent="0.3">
      <c r="A53" t="s">
        <v>976</v>
      </c>
      <c r="B53" s="33">
        <f t="shared" ref="B53:L53" si="40">+SUM(B54:B56)</f>
        <v>0</v>
      </c>
      <c r="C53" s="33">
        <f t="shared" si="40"/>
        <v>50000</v>
      </c>
      <c r="D53" s="33">
        <f t="shared" si="40"/>
        <v>1127000</v>
      </c>
      <c r="E53" s="33">
        <f t="shared" si="40"/>
        <v>1142270</v>
      </c>
      <c r="F53" s="33">
        <f t="shared" si="40"/>
        <v>1151818.0999999999</v>
      </c>
      <c r="G53" s="33">
        <f t="shared" si="40"/>
        <v>1594025.7462494061</v>
      </c>
      <c r="H53" s="33">
        <f t="shared" si="40"/>
        <v>1935229.5874560936</v>
      </c>
      <c r="I53" s="33">
        <f t="shared" si="40"/>
        <v>1968566.4750797765</v>
      </c>
      <c r="J53" s="33">
        <f t="shared" si="40"/>
        <v>2002903.4693321702</v>
      </c>
      <c r="K53" s="33">
        <f t="shared" si="40"/>
        <v>2038270.573412135</v>
      </c>
      <c r="L53" s="33">
        <f t="shared" si="40"/>
        <v>2074698.6906144992</v>
      </c>
      <c r="M53" s="33">
        <f t="shared" ref="M53:U53" si="41">+SUM(M54:M56)</f>
        <v>2112219.6513329339</v>
      </c>
      <c r="N53" s="33">
        <f t="shared" si="41"/>
        <v>2150866.2408729224</v>
      </c>
      <c r="O53" s="33">
        <f t="shared" si="41"/>
        <v>2190672.2280991105</v>
      </c>
      <c r="P53" s="33">
        <f t="shared" si="41"/>
        <v>2231672.3949420834</v>
      </c>
      <c r="Q53" s="33">
        <f t="shared" si="41"/>
        <v>2273902.5667903461</v>
      </c>
      <c r="R53" s="33">
        <f t="shared" si="41"/>
        <v>2317399.6437940565</v>
      </c>
      <c r="S53" s="33">
        <f t="shared" si="41"/>
        <v>2362201.6331078783</v>
      </c>
      <c r="T53" s="33">
        <f t="shared" si="41"/>
        <v>2408347.6821011147</v>
      </c>
      <c r="U53" s="33">
        <f t="shared" si="41"/>
        <v>2467522.7547030291</v>
      </c>
      <c r="V53" s="30">
        <f t="shared" si="39"/>
        <v>15084782.64214408</v>
      </c>
      <c r="W53" s="38">
        <f ca="1">+V53/$V$52</f>
        <v>0.41617451704189917</v>
      </c>
    </row>
    <row r="54" spans="1:23" x14ac:dyDescent="0.3">
      <c r="A54" t="s">
        <v>643</v>
      </c>
      <c r="B54" s="30">
        <f>+SUMIF(Producción!$18:$18,EEFF!B$51,Producción!24:24)</f>
        <v>0</v>
      </c>
      <c r="C54" s="30">
        <f>+SUMIF(Producción!$18:$18,EEFF!C$51,Producción!24:24)</f>
        <v>0</v>
      </c>
      <c r="D54" s="30">
        <f>+SUMIF(Producción!$18:$18,EEFF!D$51,Producción!24:24)</f>
        <v>818000</v>
      </c>
      <c r="E54" s="30">
        <f>+SUMIF(Producción!$18:$18,EEFF!E$51,Producción!24:24)</f>
        <v>824000</v>
      </c>
      <c r="F54" s="30">
        <f>+SUMIF(Producción!$18:$18,EEFF!F$51,Producción!24:24)</f>
        <v>824000</v>
      </c>
      <c r="G54" s="30">
        <f>+SUMIF(Producción!$18:$18,EEFF!G$51,Producción!24:24)</f>
        <v>824000</v>
      </c>
      <c r="H54" s="30">
        <f>+SUMIF(Producción!$18:$18,EEFF!H$51,Producción!24:24)</f>
        <v>824000</v>
      </c>
      <c r="I54" s="30">
        <f>+SUMIF(Producción!$18:$18,EEFF!I$51,Producción!24:24)</f>
        <v>824000</v>
      </c>
      <c r="J54" s="30">
        <f>+SUMIF(Producción!$18:$18,EEFF!J$51,Producción!24:24)</f>
        <v>824000</v>
      </c>
      <c r="K54" s="30">
        <f>+SUMIF(Producción!$18:$18,EEFF!K$51,Producción!24:24)</f>
        <v>824000</v>
      </c>
      <c r="L54" s="30">
        <f>+SUMIF(Producción!$18:$18,EEFF!L$51,Producción!24:24)</f>
        <v>824000</v>
      </c>
      <c r="M54" s="30">
        <f>+SUMIF(Producción!$18:$18,EEFF!M$51,Producción!24:24)</f>
        <v>824000</v>
      </c>
      <c r="N54" s="30">
        <f>+SUMIF(Producción!$18:$18,EEFF!N$51,Producción!24:24)</f>
        <v>824000</v>
      </c>
      <c r="O54" s="30">
        <f>+SUMIF(Producción!$18:$18,EEFF!O$51,Producción!24:24)</f>
        <v>824000</v>
      </c>
      <c r="P54" s="30">
        <f>+SUMIF(Producción!$18:$18,EEFF!P$51,Producción!24:24)</f>
        <v>824000</v>
      </c>
      <c r="Q54" s="30">
        <f>+SUMIF(Producción!$18:$18,EEFF!Q$51,Producción!24:24)</f>
        <v>824000</v>
      </c>
      <c r="R54" s="30">
        <f>+SUMIF(Producción!$18:$18,EEFF!R$51,Producción!24:24)</f>
        <v>824000</v>
      </c>
      <c r="S54" s="30">
        <f>+SUMIF(Producción!$18:$18,EEFF!S$51,Producción!24:24)</f>
        <v>824000</v>
      </c>
      <c r="T54" s="30">
        <f>+SUMIF(Producción!$18:$18,EEFF!T$51,Producción!24:24)</f>
        <v>824000</v>
      </c>
      <c r="U54" s="30">
        <f>+SUMIF(Producción!$18:$18,EEFF!U$51,Producción!24:24)</f>
        <v>824000</v>
      </c>
      <c r="V54" s="30">
        <f t="shared" si="39"/>
        <v>7410000</v>
      </c>
      <c r="W54" s="38">
        <f ca="1">+V54/$V$52</f>
        <v>0.20443471042564179</v>
      </c>
    </row>
    <row r="55" spans="1:23" x14ac:dyDescent="0.3">
      <c r="A55" t="s">
        <v>777</v>
      </c>
      <c r="B55" s="30">
        <f>+SUMIF(Producción!$18:$18,EEFF!B$51,Producción!25:25)</f>
        <v>0</v>
      </c>
      <c r="C55" s="30">
        <f>+SUMIF(Producción!$18:$18,EEFF!C$51,Producción!25:25)</f>
        <v>0</v>
      </c>
      <c r="D55" s="30">
        <f>+SUMIF(Producción!$18:$18,EEFF!D$51,Producción!25:25)</f>
        <v>0</v>
      </c>
      <c r="E55" s="30">
        <f>+SUMIF(Producción!$18:$18,EEFF!E$51,Producción!25:25)</f>
        <v>0</v>
      </c>
      <c r="F55" s="30">
        <f>+SUMIF(Producción!$18:$18,EEFF!F$51,Producción!25:25)</f>
        <v>0</v>
      </c>
      <c r="G55" s="30">
        <f>+SUMIF(Producción!$18:$18,EEFF!G$51,Producción!25:25)</f>
        <v>432373.10324940598</v>
      </c>
      <c r="H55" s="30">
        <f>+SUMIF(Producción!$18:$18,EEFF!H$51,Producción!25:25)</f>
        <v>763447.36516609369</v>
      </c>
      <c r="I55" s="30">
        <f>+SUMIF(Producción!$18:$18,EEFF!I$51,Producción!25:25)</f>
        <v>786350.78612107655</v>
      </c>
      <c r="J55" s="30">
        <f>+SUMIF(Producción!$18:$18,EEFF!J$51,Producción!25:25)</f>
        <v>809941.30970470922</v>
      </c>
      <c r="K55" s="30">
        <f>+SUMIF(Producción!$18:$18,EEFF!K$51,Producción!25:25)</f>
        <v>834239.54899585014</v>
      </c>
      <c r="L55" s="30">
        <f>+SUMIF(Producción!$18:$18,EEFF!L$51,Producción!25:25)</f>
        <v>859266.73546572577</v>
      </c>
      <c r="M55" s="30">
        <f>+SUMIF(Producción!$18:$18,EEFF!M$51,Producción!25:25)</f>
        <v>885044.73752969748</v>
      </c>
      <c r="N55" s="30">
        <f>+SUMIF(Producción!$18:$18,EEFF!N$51,Producción!25:25)</f>
        <v>911596.0796555886</v>
      </c>
      <c r="O55" s="30">
        <f>+SUMIF(Producción!$18:$18,EEFF!O$51,Producción!25:25)</f>
        <v>938943.9620452564</v>
      </c>
      <c r="P55" s="30">
        <f>+SUMIF(Producción!$18:$18,EEFF!P$51,Producción!25:25)</f>
        <v>967112.28090661403</v>
      </c>
      <c r="Q55" s="30">
        <f>+SUMIF(Producción!$18:$18,EEFF!Q$51,Producción!25:25)</f>
        <v>996125.64933381276</v>
      </c>
      <c r="R55" s="30">
        <f>+SUMIF(Producción!$18:$18,EEFF!R$51,Producción!25:25)</f>
        <v>1026009.418813827</v>
      </c>
      <c r="S55" s="30">
        <f>+SUMIF(Producción!$18:$18,EEFF!S$51,Producción!25:25)</f>
        <v>1056789.7013782419</v>
      </c>
      <c r="T55" s="30">
        <f>+SUMIF(Producción!$18:$18,EEFF!T$51,Producción!25:25)</f>
        <v>1088493.3924195892</v>
      </c>
      <c r="U55" s="30">
        <f>+SUMIF(Producción!$18:$18,EEFF!U$51,Producción!25:25)</f>
        <v>1121148.1941921769</v>
      </c>
      <c r="V55" s="30">
        <f t="shared" si="39"/>
        <v>4485618.848702861</v>
      </c>
      <c r="W55" s="38">
        <f ca="1">+V55/$V$52</f>
        <v>0.12375387185079219</v>
      </c>
    </row>
    <row r="56" spans="1:23" x14ac:dyDescent="0.3">
      <c r="A56" t="s">
        <v>644</v>
      </c>
      <c r="B56" s="30">
        <f>+SUMIF(Producción!$18:$18,EEFF!B$51,Producción!26:26)</f>
        <v>0</v>
      </c>
      <c r="C56" s="30">
        <f>+SUMIF(Producción!$18:$18,EEFF!C$51,Producción!26:26)</f>
        <v>50000</v>
      </c>
      <c r="D56" s="30">
        <f>+SUMIF(Producción!$18:$18,EEFF!D$51,Producción!26:26)</f>
        <v>309000</v>
      </c>
      <c r="E56" s="30">
        <f>+SUMIF(Producción!$18:$18,EEFF!E$51,Producción!26:26)</f>
        <v>318270</v>
      </c>
      <c r="F56" s="30">
        <f>+SUMIF(Producción!$18:$18,EEFF!F$51,Producción!26:26)</f>
        <v>327818.09999999992</v>
      </c>
      <c r="G56" s="30">
        <f>+SUMIF(Producción!$18:$18,EEFF!G$51,Producción!26:26)</f>
        <v>337652.6430000001</v>
      </c>
      <c r="H56" s="30">
        <f>+SUMIF(Producción!$18:$18,EEFF!H$51,Producción!26:26)</f>
        <v>347782.22228999995</v>
      </c>
      <c r="I56" s="30">
        <f>+SUMIF(Producción!$18:$18,EEFF!I$51,Producción!26:26)</f>
        <v>358215.68895869999</v>
      </c>
      <c r="J56" s="30">
        <f>+SUMIF(Producción!$18:$18,EEFF!J$51,Producción!26:26)</f>
        <v>368962.15962746093</v>
      </c>
      <c r="K56" s="30">
        <f>+SUMIF(Producción!$18:$18,EEFF!K$51,Producción!26:26)</f>
        <v>380031.02441628481</v>
      </c>
      <c r="L56" s="30">
        <f>+SUMIF(Producción!$18:$18,EEFF!L$51,Producción!26:26)</f>
        <v>391431.95514877333</v>
      </c>
      <c r="M56" s="30">
        <f>+SUMIF(Producción!$18:$18,EEFF!M$51,Producción!26:26)</f>
        <v>403174.9138032365</v>
      </c>
      <c r="N56" s="30">
        <f>+SUMIF(Producción!$18:$18,EEFF!N$51,Producción!26:26)</f>
        <v>415270.16121733381</v>
      </c>
      <c r="O56" s="30">
        <f>+SUMIF(Producción!$18:$18,EEFF!O$51,Producción!26:26)</f>
        <v>427728.26605385385</v>
      </c>
      <c r="P56" s="30">
        <f>+SUMIF(Producción!$18:$18,EEFF!P$51,Producción!26:26)</f>
        <v>440560.11403546925</v>
      </c>
      <c r="Q56" s="30">
        <f>+SUMIF(Producción!$18:$18,EEFF!Q$51,Producción!26:26)</f>
        <v>453776.91745653335</v>
      </c>
      <c r="R56" s="30">
        <f>+SUMIF(Producción!$18:$18,EEFF!R$51,Producción!26:26)</f>
        <v>467390.22498022934</v>
      </c>
      <c r="S56" s="30">
        <f>+SUMIF(Producción!$18:$18,EEFF!S$51,Producción!26:26)</f>
        <v>481411.93172963639</v>
      </c>
      <c r="T56" s="30">
        <f>+SUMIF(Producción!$18:$18,EEFF!T$51,Producción!26:26)</f>
        <v>495854.28968152561</v>
      </c>
      <c r="U56" s="30">
        <f>+SUMIF(Producción!$18:$18,EEFF!U$51,Producción!26:26)</f>
        <v>522374.56051085232</v>
      </c>
      <c r="V56" s="30">
        <f t="shared" si="39"/>
        <v>3189163.7934412188</v>
      </c>
      <c r="W56" s="38">
        <f ca="1">+V56/$V$52</f>
        <v>8.7985934765465165E-2</v>
      </c>
    </row>
    <row r="57" spans="1:23" x14ac:dyDescent="0.3">
      <c r="A57" t="s">
        <v>977</v>
      </c>
      <c r="B57" s="33">
        <f t="shared" ref="B57:L57" ca="1" si="42">+B52-B53</f>
        <v>2442412.7808829867</v>
      </c>
      <c r="C57" s="33">
        <f t="shared" ca="1" si="42"/>
        <v>2941825.8719446193</v>
      </c>
      <c r="D57" s="33">
        <f t="shared" ca="1" si="42"/>
        <v>1951428.7211848274</v>
      </c>
      <c r="E57" s="33">
        <f t="shared" ca="1" si="42"/>
        <v>2034339.8408549363</v>
      </c>
      <c r="F57" s="33">
        <f t="shared" ca="1" si="42"/>
        <v>2103139.1158162123</v>
      </c>
      <c r="G57" s="33">
        <f t="shared" ca="1" si="42"/>
        <v>1741359.2078139526</v>
      </c>
      <c r="H57" s="33">
        <f t="shared" ca="1" si="42"/>
        <v>1482479.3076550062</v>
      </c>
      <c r="I57" s="33">
        <f t="shared" ca="1" si="42"/>
        <v>1543450.2162555328</v>
      </c>
      <c r="J57" s="33">
        <f t="shared" ca="1" si="42"/>
        <v>1585308.2417403432</v>
      </c>
      <c r="K57" s="33">
        <f t="shared" ca="1" si="42"/>
        <v>1650826.9180994115</v>
      </c>
      <c r="L57" s="33">
        <f t="shared" ca="1" si="42"/>
        <v>1684938.1131630479</v>
      </c>
      <c r="M57" s="33">
        <f t="shared" ref="M57:U57" ca="1" si="43">+M52-M53</f>
        <v>1729822.4469144722</v>
      </c>
      <c r="N57" s="33">
        <f t="shared" ca="1" si="43"/>
        <v>1752576.9452960016</v>
      </c>
      <c r="O57" s="33">
        <f t="shared" ca="1" si="43"/>
        <v>1786019.1716911634</v>
      </c>
      <c r="P57" s="33">
        <f t="shared" ca="1" si="43"/>
        <v>1819149.0124192694</v>
      </c>
      <c r="Q57" s="33">
        <f t="shared" ca="1" si="43"/>
        <v>1863715.9745171806</v>
      </c>
      <c r="R57" s="33">
        <f t="shared" ca="1" si="43"/>
        <v>1884273.5229776665</v>
      </c>
      <c r="S57" s="33">
        <f t="shared" ca="1" si="43"/>
        <v>1916162.4475535601</v>
      </c>
      <c r="T57" s="33">
        <f t="shared" ca="1" si="43"/>
        <v>1947527.2614333266</v>
      </c>
      <c r="U57" s="33">
        <f t="shared" ca="1" si="43"/>
        <v>1987668.39273139</v>
      </c>
      <c r="V57" s="30">
        <f t="shared" ca="1" si="39"/>
        <v>21161508.335410874</v>
      </c>
      <c r="W57" s="33"/>
    </row>
    <row r="58" spans="1:23" x14ac:dyDescent="0.3">
      <c r="A58" t="s">
        <v>957</v>
      </c>
      <c r="B58" s="38">
        <f t="shared" ref="B58:L58" ca="1" si="44">+B57/B52</f>
        <v>1</v>
      </c>
      <c r="C58" s="38">
        <f t="shared" ca="1" si="44"/>
        <v>0.98328779743872552</v>
      </c>
      <c r="D58" s="38">
        <f t="shared" ca="1" si="44"/>
        <v>0.63390414329091904</v>
      </c>
      <c r="E58" s="38">
        <f t="shared" ca="1" si="44"/>
        <v>0.64041224537270358</v>
      </c>
      <c r="F58" s="38">
        <f t="shared" ca="1" si="44"/>
        <v>0.64613418130254274</v>
      </c>
      <c r="G58" s="38">
        <f t="shared" ca="1" si="44"/>
        <v>0.52208642534425542</v>
      </c>
      <c r="H58" s="38">
        <f t="shared" ca="1" si="44"/>
        <v>0.43376406626545505</v>
      </c>
      <c r="I58" s="38">
        <f t="shared" ca="1" si="44"/>
        <v>0.43947690227767544</v>
      </c>
      <c r="J58" s="38">
        <f t="shared" ca="1" si="44"/>
        <v>0.441810118630513</v>
      </c>
      <c r="K58" s="38">
        <f t="shared" ca="1" si="44"/>
        <v>0.44748801621477685</v>
      </c>
      <c r="L58" s="38">
        <f t="shared" ca="1" si="44"/>
        <v>0.44816512900131283</v>
      </c>
      <c r="M58" s="38">
        <f t="shared" ref="M58:U58" ca="1" si="45">+M57/M52</f>
        <v>0.45023516210391124</v>
      </c>
      <c r="N58" s="38">
        <f t="shared" ca="1" si="45"/>
        <v>0.44898231169494413</v>
      </c>
      <c r="O58" s="38">
        <f t="shared" ca="1" si="45"/>
        <v>0.44912189358856358</v>
      </c>
      <c r="P58" s="38">
        <f t="shared" ca="1" si="45"/>
        <v>0.44908151445862854</v>
      </c>
      <c r="Q58" s="38">
        <f t="shared" ca="1" si="45"/>
        <v>0.45043204343535947</v>
      </c>
      <c r="R58" s="38">
        <f t="shared" ca="1" si="45"/>
        <v>0.44845789955276621</v>
      </c>
      <c r="S58" s="38">
        <f t="shared" ca="1" si="45"/>
        <v>0.44787269419514197</v>
      </c>
      <c r="T58" s="38">
        <f t="shared" ca="1" si="45"/>
        <v>0.44710357544219698</v>
      </c>
      <c r="U58" s="38">
        <f t="shared" ca="1" si="45"/>
        <v>0.44614660223411856</v>
      </c>
      <c r="V58" s="30"/>
      <c r="W58" s="38"/>
    </row>
    <row r="60" spans="1:23" x14ac:dyDescent="0.3">
      <c r="A60" t="s">
        <v>973</v>
      </c>
      <c r="B60" s="30">
        <f ca="1">+B52*$I$48</f>
        <v>244241.27808829868</v>
      </c>
      <c r="C60" s="30">
        <f ca="1">+C52*$I$48</f>
        <v>299182.58719446196</v>
      </c>
      <c r="D60" s="30">
        <f ca="1">+D52*$I$48</f>
        <v>307842.87211848277</v>
      </c>
      <c r="E60" s="30">
        <f ca="1">+E52*$I$48</f>
        <v>317660.98408549366</v>
      </c>
      <c r="F60" s="30">
        <f t="shared" ref="F60:L60" ca="1" si="46">+F52*$I$48</f>
        <v>325495.72158162127</v>
      </c>
      <c r="G60" s="30">
        <f t="shared" ca="1" si="46"/>
        <v>333538.49540633592</v>
      </c>
      <c r="H60" s="30">
        <f t="shared" ca="1" si="46"/>
        <v>341770.88951111003</v>
      </c>
      <c r="I60" s="30">
        <f t="shared" ca="1" si="46"/>
        <v>351201.66913353093</v>
      </c>
      <c r="J60" s="30">
        <f t="shared" ca="1" si="46"/>
        <v>358821.17110725137</v>
      </c>
      <c r="K60" s="30">
        <f t="shared" ca="1" si="46"/>
        <v>368909.74915115465</v>
      </c>
      <c r="L60" s="30">
        <f t="shared" ca="1" si="46"/>
        <v>375963.68037775473</v>
      </c>
      <c r="M60" s="30">
        <f t="shared" ref="M60:U60" ca="1" si="47">+M52*$I$48</f>
        <v>384204.20982474065</v>
      </c>
      <c r="N60" s="30">
        <f t="shared" ca="1" si="47"/>
        <v>390344.31861689244</v>
      </c>
      <c r="O60" s="30">
        <f t="shared" ca="1" si="47"/>
        <v>397669.13997902744</v>
      </c>
      <c r="P60" s="30">
        <f t="shared" ca="1" si="47"/>
        <v>405082.1407361353</v>
      </c>
      <c r="Q60" s="30">
        <f t="shared" ca="1" si="47"/>
        <v>413761.85413075268</v>
      </c>
      <c r="R60" s="30">
        <f t="shared" ca="1" si="47"/>
        <v>420167.31667717232</v>
      </c>
      <c r="S60" s="30">
        <f t="shared" ca="1" si="47"/>
        <v>427836.40806614386</v>
      </c>
      <c r="T60" s="30">
        <f t="shared" ca="1" si="47"/>
        <v>435587.49435344414</v>
      </c>
      <c r="U60" s="30">
        <f t="shared" ca="1" si="47"/>
        <v>445519.11474344193</v>
      </c>
      <c r="V60" s="30">
        <f ca="1">+SUM(B60:L60)</f>
        <v>3624629.0977554959</v>
      </c>
      <c r="W60" s="38">
        <f ca="1">+V60/$V$52</f>
        <v>0.10000000000000002</v>
      </c>
    </row>
    <row r="61" spans="1:23" x14ac:dyDescent="0.3">
      <c r="A61" t="s">
        <v>719</v>
      </c>
      <c r="B61" s="30" t="e">
        <f ca="1">+SUMIF(Producción!$18:$18,EEFF!B$51,Producción!45:45)</f>
        <v>#VALUE!</v>
      </c>
      <c r="C61" s="30" t="e">
        <f ca="1">+SUMIF(Producción!$18:$18,EEFF!C$51,Producción!45:45)</f>
        <v>#VALUE!</v>
      </c>
      <c r="D61" s="30" t="e">
        <f ca="1">+SUMIF(Producción!$18:$18,EEFF!D$51,Producción!45:45)</f>
        <v>#VALUE!</v>
      </c>
      <c r="E61" s="30" t="e">
        <f ca="1">+SUMIF(Producción!$18:$18,EEFF!E$51,Producción!45:45)</f>
        <v>#VALUE!</v>
      </c>
      <c r="F61" s="30" t="e">
        <f ca="1">+SUMIF(Producción!$18:$18,EEFF!F$51,Producción!45:45)</f>
        <v>#VALUE!</v>
      </c>
      <c r="G61" s="30" t="e">
        <f ca="1">+SUMIF(Producción!$18:$18,EEFF!G$51,Producción!45:45)</f>
        <v>#VALUE!</v>
      </c>
      <c r="H61" s="30" t="e">
        <f ca="1">+SUMIF(Producción!$18:$18,EEFF!H$51,Producción!45:45)</f>
        <v>#VALUE!</v>
      </c>
      <c r="I61" s="30" t="e">
        <f ca="1">+SUMIF(Producción!$18:$18,EEFF!I$51,Producción!45:45)</f>
        <v>#VALUE!</v>
      </c>
      <c r="J61" s="30" t="e">
        <f ca="1">+SUMIF(Producción!$18:$18,EEFF!J$51,Producción!45:45)</f>
        <v>#VALUE!</v>
      </c>
      <c r="K61" s="30" t="e">
        <f ca="1">+SUMIF(Producción!$18:$18,EEFF!K$51,Producción!45:45)</f>
        <v>#VALUE!</v>
      </c>
      <c r="L61" s="30" t="e">
        <f ca="1">+SUMIF(Producción!$18:$18,EEFF!L$51,Producción!45:45)</f>
        <v>#VALUE!</v>
      </c>
      <c r="M61" s="30">
        <f>+SUMIF(Producción!$18:$18,EEFF!M$51,Producción!45:45)</f>
        <v>0</v>
      </c>
      <c r="N61" s="30">
        <f>+SUMIF(Producción!$18:$18,EEFF!N$51,Producción!45:45)</f>
        <v>0</v>
      </c>
      <c r="O61" s="30">
        <f>+SUMIF(Producción!$18:$18,EEFF!O$51,Producción!45:45)</f>
        <v>0</v>
      </c>
      <c r="P61" s="30">
        <f>+SUMIF(Producción!$18:$18,EEFF!P$51,Producción!45:45)</f>
        <v>0</v>
      </c>
      <c r="Q61" s="30">
        <f>+SUMIF(Producción!$18:$18,EEFF!Q$51,Producción!45:45)</f>
        <v>0</v>
      </c>
      <c r="R61" s="30">
        <f>+SUMIF(Producción!$18:$18,EEFF!R$51,Producción!45:45)</f>
        <v>0</v>
      </c>
      <c r="S61" s="30">
        <f>+SUMIF(Producción!$18:$18,EEFF!S$51,Producción!45:45)</f>
        <v>0</v>
      </c>
      <c r="T61" s="30">
        <f>+SUMIF(Producción!$18:$18,EEFF!T$51,Producción!45:45)</f>
        <v>0</v>
      </c>
      <c r="U61" s="30">
        <f>+SUMIF(Producción!$18:$18,EEFF!U$51,Producción!45:45)</f>
        <v>0</v>
      </c>
      <c r="V61" s="30" t="e">
        <f ca="1">+SUM(B61:L61)</f>
        <v>#VALUE!</v>
      </c>
      <c r="W61" s="30"/>
    </row>
    <row r="62" spans="1:23" x14ac:dyDescent="0.3">
      <c r="A62" s="6" t="s">
        <v>1002</v>
      </c>
      <c r="B62" s="59" t="e">
        <f t="shared" ref="B62:G62" ca="1" si="48">+B57-B60-B61</f>
        <v>#VALUE!</v>
      </c>
      <c r="C62" s="59" t="e">
        <f t="shared" ca="1" si="48"/>
        <v>#VALUE!</v>
      </c>
      <c r="D62" s="59" t="e">
        <f t="shared" ca="1" si="48"/>
        <v>#VALUE!</v>
      </c>
      <c r="E62" s="59" t="e">
        <f t="shared" ca="1" si="48"/>
        <v>#VALUE!</v>
      </c>
      <c r="F62" s="59" t="e">
        <f t="shared" ca="1" si="48"/>
        <v>#VALUE!</v>
      </c>
      <c r="G62" s="59" t="e">
        <f t="shared" ca="1" si="48"/>
        <v>#VALUE!</v>
      </c>
      <c r="H62" s="59" t="e">
        <f t="shared" ref="H62:L62" ca="1" si="49">+H57-H60-H61</f>
        <v>#VALUE!</v>
      </c>
      <c r="I62" s="59" t="e">
        <f t="shared" ca="1" si="49"/>
        <v>#VALUE!</v>
      </c>
      <c r="J62" s="59" t="e">
        <f t="shared" ca="1" si="49"/>
        <v>#VALUE!</v>
      </c>
      <c r="K62" s="59" t="e">
        <f t="shared" ca="1" si="49"/>
        <v>#VALUE!</v>
      </c>
      <c r="L62" s="59" t="e">
        <f t="shared" ca="1" si="49"/>
        <v>#VALUE!</v>
      </c>
      <c r="M62" s="59">
        <f t="shared" ref="M62:U62" ca="1" si="50">+M57-M60-M61</f>
        <v>1345618.2370897315</v>
      </c>
      <c r="N62" s="59">
        <f t="shared" ca="1" si="50"/>
        <v>1362232.6266791092</v>
      </c>
      <c r="O62" s="59">
        <f t="shared" ca="1" si="50"/>
        <v>1388350.031712136</v>
      </c>
      <c r="P62" s="59">
        <f t="shared" ca="1" si="50"/>
        <v>1414066.8716831342</v>
      </c>
      <c r="Q62" s="59">
        <f t="shared" ca="1" si="50"/>
        <v>1449954.120386428</v>
      </c>
      <c r="R62" s="59">
        <f t="shared" ca="1" si="50"/>
        <v>1464106.2063004943</v>
      </c>
      <c r="S62" s="59">
        <f t="shared" ca="1" si="50"/>
        <v>1488326.0394874164</v>
      </c>
      <c r="T62" s="59">
        <f t="shared" ca="1" si="50"/>
        <v>1511939.7670798826</v>
      </c>
      <c r="U62" s="59">
        <f t="shared" ca="1" si="50"/>
        <v>1542149.2779879482</v>
      </c>
      <c r="V62" s="30" t="e">
        <f ca="1">+SUM(B62:L62)</f>
        <v>#VALUE!</v>
      </c>
      <c r="W62" s="33"/>
    </row>
    <row r="63" spans="1:23" x14ac:dyDescent="0.3">
      <c r="A63" t="s">
        <v>979</v>
      </c>
      <c r="B63" s="111" t="e">
        <f t="shared" ref="B63:L63" ca="1" si="51">+B62/B52</f>
        <v>#VALUE!</v>
      </c>
      <c r="C63" s="111" t="e">
        <f t="shared" ca="1" si="51"/>
        <v>#VALUE!</v>
      </c>
      <c r="D63" s="111" t="e">
        <f t="shared" ca="1" si="51"/>
        <v>#VALUE!</v>
      </c>
      <c r="E63" s="111" t="e">
        <f t="shared" ca="1" si="51"/>
        <v>#VALUE!</v>
      </c>
      <c r="F63" s="111" t="e">
        <f t="shared" ca="1" si="51"/>
        <v>#VALUE!</v>
      </c>
      <c r="G63" s="111" t="e">
        <f t="shared" ca="1" si="51"/>
        <v>#VALUE!</v>
      </c>
      <c r="H63" s="111" t="e">
        <f t="shared" ca="1" si="51"/>
        <v>#VALUE!</v>
      </c>
      <c r="I63" s="111" t="e">
        <f t="shared" ca="1" si="51"/>
        <v>#VALUE!</v>
      </c>
      <c r="J63" s="111" t="e">
        <f t="shared" ca="1" si="51"/>
        <v>#VALUE!</v>
      </c>
      <c r="K63" s="111" t="e">
        <f t="shared" ca="1" si="51"/>
        <v>#VALUE!</v>
      </c>
      <c r="L63" s="111" t="e">
        <f t="shared" ca="1" si="51"/>
        <v>#VALUE!</v>
      </c>
      <c r="M63" s="111">
        <f t="shared" ref="M63:U63" ca="1" si="52">+M62/M52</f>
        <v>0.3502351621039112</v>
      </c>
      <c r="N63" s="111">
        <f t="shared" ca="1" si="52"/>
        <v>0.34898231169494409</v>
      </c>
      <c r="O63" s="111">
        <f t="shared" ca="1" si="52"/>
        <v>0.3491218935885636</v>
      </c>
      <c r="P63" s="111">
        <f t="shared" ca="1" si="52"/>
        <v>0.34908151445862856</v>
      </c>
      <c r="Q63" s="111">
        <f t="shared" ca="1" si="52"/>
        <v>0.3504320434353595</v>
      </c>
      <c r="R63" s="111">
        <f t="shared" ca="1" si="52"/>
        <v>0.34845789955276624</v>
      </c>
      <c r="S63" s="111">
        <f t="shared" ca="1" si="52"/>
        <v>0.347872694195142</v>
      </c>
      <c r="T63" s="111">
        <f t="shared" ca="1" si="52"/>
        <v>0.347103575442197</v>
      </c>
      <c r="U63" s="111">
        <f t="shared" ca="1" si="52"/>
        <v>0.34614660223411858</v>
      </c>
      <c r="V63" s="38"/>
      <c r="W63" s="38"/>
    </row>
    <row r="65" spans="1:23" x14ac:dyDescent="0.3">
      <c r="A65" t="s">
        <v>980</v>
      </c>
      <c r="B65" s="30" t="e">
        <f>+#REF!/5</f>
        <v>#REF!</v>
      </c>
      <c r="C65" s="30" t="e">
        <f>+B65</f>
        <v>#REF!</v>
      </c>
      <c r="D65" s="30" t="e">
        <f t="shared" ref="D65:F65" si="53">+C65</f>
        <v>#REF!</v>
      </c>
      <c r="E65" s="30" t="e">
        <f t="shared" si="53"/>
        <v>#REF!</v>
      </c>
      <c r="F65" s="30" t="e">
        <f t="shared" si="53"/>
        <v>#REF!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spans="1:23" x14ac:dyDescent="0.3">
      <c r="A66" t="s">
        <v>981</v>
      </c>
      <c r="B66" s="33" t="e">
        <f t="shared" ref="B66:G66" ca="1" si="54">+B62-B65</f>
        <v>#VALUE!</v>
      </c>
      <c r="C66" s="33" t="e">
        <f t="shared" ca="1" si="54"/>
        <v>#VALUE!</v>
      </c>
      <c r="D66" s="33" t="e">
        <f t="shared" ca="1" si="54"/>
        <v>#VALUE!</v>
      </c>
      <c r="E66" s="33" t="e">
        <f t="shared" ca="1" si="54"/>
        <v>#VALUE!</v>
      </c>
      <c r="F66" s="33" t="e">
        <f t="shared" ca="1" si="54"/>
        <v>#VALUE!</v>
      </c>
      <c r="G66" s="33" t="e">
        <f t="shared" ca="1" si="54"/>
        <v>#VALUE!</v>
      </c>
      <c r="H66" s="33" t="e">
        <f t="shared" ref="H66:L66" ca="1" si="55">+H62-H65</f>
        <v>#VALUE!</v>
      </c>
      <c r="I66" s="33" t="e">
        <f t="shared" ca="1" si="55"/>
        <v>#VALUE!</v>
      </c>
      <c r="J66" s="33" t="e">
        <f t="shared" ca="1" si="55"/>
        <v>#VALUE!</v>
      </c>
      <c r="K66" s="33" t="e">
        <f t="shared" ca="1" si="55"/>
        <v>#VALUE!</v>
      </c>
      <c r="L66" s="33" t="e">
        <f t="shared" ca="1" si="55"/>
        <v>#VALUE!</v>
      </c>
      <c r="M66" s="33">
        <f t="shared" ref="M66:U66" ca="1" si="56">+M62-M65</f>
        <v>1345618.2370897315</v>
      </c>
      <c r="N66" s="33">
        <f t="shared" ca="1" si="56"/>
        <v>1362232.6266791092</v>
      </c>
      <c r="O66" s="33">
        <f t="shared" ca="1" si="56"/>
        <v>1388350.031712136</v>
      </c>
      <c r="P66" s="33">
        <f t="shared" ca="1" si="56"/>
        <v>1414066.8716831342</v>
      </c>
      <c r="Q66" s="33">
        <f t="shared" ca="1" si="56"/>
        <v>1449954.120386428</v>
      </c>
      <c r="R66" s="33">
        <f t="shared" ca="1" si="56"/>
        <v>1464106.2063004943</v>
      </c>
      <c r="S66" s="33">
        <f t="shared" ca="1" si="56"/>
        <v>1488326.0394874164</v>
      </c>
      <c r="T66" s="33">
        <f t="shared" ca="1" si="56"/>
        <v>1511939.7670798826</v>
      </c>
      <c r="U66" s="33">
        <f t="shared" ca="1" si="56"/>
        <v>1542149.2779879482</v>
      </c>
      <c r="V66" s="30" t="e">
        <f ca="1">+SUM(B66:L66)</f>
        <v>#VALUE!</v>
      </c>
      <c r="W66" s="41"/>
    </row>
    <row r="67" spans="1:23" x14ac:dyDescent="0.3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spans="1:23" x14ac:dyDescent="0.3">
      <c r="A68" t="s">
        <v>982</v>
      </c>
      <c r="B68" s="30">
        <f ca="1">+SUMIF(Producción!$18:$18,EEFF!B$51,Producción!44:44)</f>
        <v>0</v>
      </c>
      <c r="C68" s="30">
        <f ca="1">+SUMIF(Producción!$18:$18,EEFF!C$51,Producción!44:44)</f>
        <v>0</v>
      </c>
      <c r="D68" s="30">
        <f ca="1">+SUMIF(Producción!$18:$18,EEFF!D$51,Producción!44:44)</f>
        <v>0</v>
      </c>
      <c r="E68" s="30">
        <f ca="1">+SUMIF(Producción!$18:$18,EEFF!E$51,Producción!44:44)</f>
        <v>0</v>
      </c>
      <c r="F68" s="30">
        <f ca="1">+SUMIF(Producción!$18:$18,EEFF!F$51,Producción!44:44)</f>
        <v>0</v>
      </c>
      <c r="G68" s="30">
        <f ca="1">+SUMIF(Producción!$18:$18,EEFF!G$51,Producción!44:44)</f>
        <v>0</v>
      </c>
      <c r="H68" s="30">
        <f ca="1">+SUMIF(Producción!$18:$18,EEFF!H$51,Producción!44:44)</f>
        <v>0</v>
      </c>
      <c r="I68" s="30">
        <f ca="1">+SUMIF(Producción!$18:$18,EEFF!I$51,Producción!44:44)</f>
        <v>0</v>
      </c>
      <c r="J68" s="30">
        <f ca="1">+SUMIF(Producción!$18:$18,EEFF!J$51,Producción!44:44)</f>
        <v>0</v>
      </c>
      <c r="K68" s="30">
        <f ca="1">+SUMIF(Producción!$18:$18,EEFF!K$51,Producción!44:44)</f>
        <v>0</v>
      </c>
      <c r="L68" s="30">
        <f ca="1">+SUMIF(Producción!$18:$18,EEFF!L$51,Producción!44:44)</f>
        <v>0</v>
      </c>
      <c r="M68" s="30">
        <f>+SUMIF(Producción!$18:$18,EEFF!M$51,Producción!44:44)</f>
        <v>0</v>
      </c>
      <c r="N68" s="30">
        <f>+SUMIF(Producción!$18:$18,EEFF!N$51,Producción!44:44)</f>
        <v>0</v>
      </c>
      <c r="O68" s="30">
        <f>+SUMIF(Producción!$18:$18,EEFF!O$51,Producción!44:44)</f>
        <v>0</v>
      </c>
      <c r="P68" s="30">
        <f>+SUMIF(Producción!$18:$18,EEFF!P$51,Producción!44:44)</f>
        <v>0</v>
      </c>
      <c r="Q68" s="30">
        <f>+SUMIF(Producción!$18:$18,EEFF!Q$51,Producción!44:44)</f>
        <v>0</v>
      </c>
      <c r="R68" s="30">
        <f>+SUMIF(Producción!$18:$18,EEFF!R$51,Producción!44:44)</f>
        <v>0</v>
      </c>
      <c r="S68" s="30">
        <f>+SUMIF(Producción!$18:$18,EEFF!S$51,Producción!44:44)</f>
        <v>0</v>
      </c>
      <c r="T68" s="30">
        <f>+SUMIF(Producción!$18:$18,EEFF!T$51,Producción!44:44)</f>
        <v>0</v>
      </c>
      <c r="U68" s="30">
        <f>+SUMIF(Producción!$18:$18,EEFF!U$51,Producción!44:44)</f>
        <v>0</v>
      </c>
      <c r="V68" s="30">
        <f ca="1">+SUM(B68:L68)</f>
        <v>0</v>
      </c>
      <c r="W68" s="30"/>
    </row>
    <row r="69" spans="1:23" x14ac:dyDescent="0.3">
      <c r="A69" t="s">
        <v>983</v>
      </c>
      <c r="B69" s="33" t="e">
        <f ca="1">+B66-B68</f>
        <v>#VALUE!</v>
      </c>
      <c r="C69" s="33" t="e">
        <f t="shared" ref="C69:H69" ca="1" si="57">+C66-C68</f>
        <v>#VALUE!</v>
      </c>
      <c r="D69" s="33" t="e">
        <f t="shared" ca="1" si="57"/>
        <v>#VALUE!</v>
      </c>
      <c r="E69" s="33" t="e">
        <f t="shared" ca="1" si="57"/>
        <v>#VALUE!</v>
      </c>
      <c r="F69" s="33" t="e">
        <f t="shared" ca="1" si="57"/>
        <v>#VALUE!</v>
      </c>
      <c r="G69" s="33" t="e">
        <f t="shared" ca="1" si="57"/>
        <v>#VALUE!</v>
      </c>
      <c r="H69" s="33" t="e">
        <f t="shared" ca="1" si="57"/>
        <v>#VALUE!</v>
      </c>
      <c r="I69" s="33" t="e">
        <f t="shared" ref="I69:L69" ca="1" si="58">+I66-I68</f>
        <v>#VALUE!</v>
      </c>
      <c r="J69" s="33" t="e">
        <f t="shared" ca="1" si="58"/>
        <v>#VALUE!</v>
      </c>
      <c r="K69" s="33" t="e">
        <f t="shared" ca="1" si="58"/>
        <v>#VALUE!</v>
      </c>
      <c r="L69" s="33" t="e">
        <f t="shared" ca="1" si="58"/>
        <v>#VALUE!</v>
      </c>
      <c r="M69" s="33">
        <f t="shared" ref="M69:U69" ca="1" si="59">+M66-M68</f>
        <v>1345618.2370897315</v>
      </c>
      <c r="N69" s="33">
        <f t="shared" ca="1" si="59"/>
        <v>1362232.6266791092</v>
      </c>
      <c r="O69" s="33">
        <f t="shared" ca="1" si="59"/>
        <v>1388350.031712136</v>
      </c>
      <c r="P69" s="33">
        <f t="shared" ca="1" si="59"/>
        <v>1414066.8716831342</v>
      </c>
      <c r="Q69" s="33">
        <f t="shared" ca="1" si="59"/>
        <v>1449954.120386428</v>
      </c>
      <c r="R69" s="33">
        <f t="shared" ca="1" si="59"/>
        <v>1464106.2063004943</v>
      </c>
      <c r="S69" s="33">
        <f t="shared" ca="1" si="59"/>
        <v>1488326.0394874164</v>
      </c>
      <c r="T69" s="33">
        <f t="shared" ca="1" si="59"/>
        <v>1511939.7670798826</v>
      </c>
      <c r="U69" s="33">
        <f t="shared" ca="1" si="59"/>
        <v>1542149.2779879482</v>
      </c>
      <c r="V69" s="33"/>
      <c r="W69" s="33"/>
    </row>
    <row r="71" spans="1:23" x14ac:dyDescent="0.3">
      <c r="A71" t="s">
        <v>984</v>
      </c>
      <c r="B71" s="30" t="e">
        <f ca="1">+B69*$B$47</f>
        <v>#VALUE!</v>
      </c>
      <c r="C71" s="30" t="e">
        <f t="shared" ref="C71:H71" ca="1" si="60">+C69*$B$47</f>
        <v>#VALUE!</v>
      </c>
      <c r="D71" s="30" t="e">
        <f t="shared" ca="1" si="60"/>
        <v>#VALUE!</v>
      </c>
      <c r="E71" s="30" t="e">
        <f t="shared" ca="1" si="60"/>
        <v>#VALUE!</v>
      </c>
      <c r="F71" s="30" t="e">
        <f t="shared" ca="1" si="60"/>
        <v>#VALUE!</v>
      </c>
      <c r="G71" s="30" t="e">
        <f t="shared" ca="1" si="60"/>
        <v>#VALUE!</v>
      </c>
      <c r="H71" s="30" t="e">
        <f t="shared" ca="1" si="60"/>
        <v>#VALUE!</v>
      </c>
      <c r="I71" s="30" t="e">
        <f t="shared" ref="I71:L71" ca="1" si="61">+I69*$B$47</f>
        <v>#VALUE!</v>
      </c>
      <c r="J71" s="30" t="e">
        <f t="shared" ca="1" si="61"/>
        <v>#VALUE!</v>
      </c>
      <c r="K71" s="30" t="e">
        <f t="shared" ca="1" si="61"/>
        <v>#VALUE!</v>
      </c>
      <c r="L71" s="30" t="e">
        <f t="shared" ca="1" si="61"/>
        <v>#VALUE!</v>
      </c>
      <c r="M71" s="30">
        <f t="shared" ref="M71:U71" ca="1" si="62">+M69*$B$47</f>
        <v>470966.382981406</v>
      </c>
      <c r="N71" s="30">
        <f t="shared" ca="1" si="62"/>
        <v>476781.41933768819</v>
      </c>
      <c r="O71" s="30">
        <f t="shared" ca="1" si="62"/>
        <v>485922.51109924755</v>
      </c>
      <c r="P71" s="30">
        <f t="shared" ca="1" si="62"/>
        <v>494923.40508909692</v>
      </c>
      <c r="Q71" s="30">
        <f t="shared" ca="1" si="62"/>
        <v>507483.94213524973</v>
      </c>
      <c r="R71" s="30">
        <f t="shared" ca="1" si="62"/>
        <v>512437.17220517294</v>
      </c>
      <c r="S71" s="30">
        <f t="shared" ca="1" si="62"/>
        <v>520914.11382059572</v>
      </c>
      <c r="T71" s="30">
        <f t="shared" ca="1" si="62"/>
        <v>529178.91847795888</v>
      </c>
      <c r="U71" s="30">
        <f t="shared" ca="1" si="62"/>
        <v>539752.24729578185</v>
      </c>
      <c r="V71" s="30"/>
      <c r="W71" s="30"/>
    </row>
    <row r="72" spans="1:23" x14ac:dyDescent="0.3">
      <c r="A72" t="s">
        <v>985</v>
      </c>
      <c r="B72" s="30" t="e">
        <f ca="1">+IF(B69&lt;0,0,B71*50%)</f>
        <v>#VALUE!</v>
      </c>
      <c r="C72" s="30" t="e">
        <f t="shared" ref="C72:F72" ca="1" si="63">+IF(C69&lt;0,0,C71*50%)</f>
        <v>#VALUE!</v>
      </c>
      <c r="D72" s="30" t="e">
        <f t="shared" ca="1" si="63"/>
        <v>#VALUE!</v>
      </c>
      <c r="E72" s="30" t="e">
        <f t="shared" ca="1" si="63"/>
        <v>#VALUE!</v>
      </c>
      <c r="F72" s="30" t="e">
        <f t="shared" ca="1" si="63"/>
        <v>#VALUE!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spans="1:23" x14ac:dyDescent="0.3">
      <c r="A73" t="s">
        <v>987</v>
      </c>
      <c r="B73" s="33" t="e">
        <f ca="1">+B69-(B71-B72)</f>
        <v>#VALUE!</v>
      </c>
      <c r="C73" s="33" t="e">
        <f t="shared" ref="C73:K73" ca="1" si="64">+C69-(C71-C72)</f>
        <v>#VALUE!</v>
      </c>
      <c r="D73" s="33" t="e">
        <f t="shared" ca="1" si="64"/>
        <v>#VALUE!</v>
      </c>
      <c r="E73" s="33" t="e">
        <f t="shared" ca="1" si="64"/>
        <v>#VALUE!</v>
      </c>
      <c r="F73" s="33" t="e">
        <f t="shared" ca="1" si="64"/>
        <v>#VALUE!</v>
      </c>
      <c r="G73" s="33" t="e">
        <f t="shared" ca="1" si="64"/>
        <v>#VALUE!</v>
      </c>
      <c r="H73" s="33" t="e">
        <f t="shared" ca="1" si="64"/>
        <v>#VALUE!</v>
      </c>
      <c r="I73" s="33" t="e">
        <f t="shared" ca="1" si="64"/>
        <v>#VALUE!</v>
      </c>
      <c r="J73" s="33" t="e">
        <f t="shared" ca="1" si="64"/>
        <v>#VALUE!</v>
      </c>
      <c r="K73" s="33" t="e">
        <f t="shared" ca="1" si="64"/>
        <v>#VALUE!</v>
      </c>
      <c r="L73" s="33" t="e">
        <f t="shared" ref="L73:U73" ca="1" si="65">+L69-L71</f>
        <v>#VALUE!</v>
      </c>
      <c r="M73" s="33">
        <f t="shared" ca="1" si="65"/>
        <v>874651.85410832544</v>
      </c>
      <c r="N73" s="33">
        <f t="shared" ca="1" si="65"/>
        <v>885451.20734142093</v>
      </c>
      <c r="O73" s="33">
        <f t="shared" ca="1" si="65"/>
        <v>902427.5206128885</v>
      </c>
      <c r="P73" s="33">
        <f t="shared" ca="1" si="65"/>
        <v>919143.46659403737</v>
      </c>
      <c r="Q73" s="33">
        <f t="shared" ca="1" si="65"/>
        <v>942470.17825117824</v>
      </c>
      <c r="R73" s="33">
        <f t="shared" ca="1" si="65"/>
        <v>951669.03409532132</v>
      </c>
      <c r="S73" s="33">
        <f t="shared" ca="1" si="65"/>
        <v>967411.92566682072</v>
      </c>
      <c r="T73" s="33">
        <f t="shared" ca="1" si="65"/>
        <v>982760.84860192367</v>
      </c>
      <c r="U73" s="33">
        <f t="shared" ca="1" si="65"/>
        <v>1002397.0306921663</v>
      </c>
      <c r="V73" s="33"/>
      <c r="W73" s="33"/>
    </row>
    <row r="74" spans="1:23" x14ac:dyDescent="0.3">
      <c r="A74" t="s">
        <v>988</v>
      </c>
      <c r="B74" s="114" t="e">
        <f t="shared" ref="B74:L74" ca="1" si="66">+B73/B52</f>
        <v>#VALUE!</v>
      </c>
      <c r="C74" s="114" t="e">
        <f t="shared" ca="1" si="66"/>
        <v>#VALUE!</v>
      </c>
      <c r="D74" s="114" t="e">
        <f t="shared" ca="1" si="66"/>
        <v>#VALUE!</v>
      </c>
      <c r="E74" s="114" t="e">
        <f t="shared" ca="1" si="66"/>
        <v>#VALUE!</v>
      </c>
      <c r="F74" s="114" t="e">
        <f t="shared" ca="1" si="66"/>
        <v>#VALUE!</v>
      </c>
      <c r="G74" s="114" t="e">
        <f t="shared" ca="1" si="66"/>
        <v>#VALUE!</v>
      </c>
      <c r="H74" s="114" t="e">
        <f t="shared" ca="1" si="66"/>
        <v>#VALUE!</v>
      </c>
      <c r="I74" s="114" t="e">
        <f t="shared" ca="1" si="66"/>
        <v>#VALUE!</v>
      </c>
      <c r="J74" s="114" t="e">
        <f t="shared" ca="1" si="66"/>
        <v>#VALUE!</v>
      </c>
      <c r="K74" s="114" t="e">
        <f t="shared" ca="1" si="66"/>
        <v>#VALUE!</v>
      </c>
      <c r="L74" s="114" t="e">
        <f t="shared" ca="1" si="66"/>
        <v>#VALUE!</v>
      </c>
      <c r="M74" s="114">
        <f t="shared" ref="M74:U74" ca="1" si="67">+M73/M52</f>
        <v>0.22765285536754229</v>
      </c>
      <c r="N74" s="114">
        <f t="shared" ca="1" si="67"/>
        <v>0.22683850260171368</v>
      </c>
      <c r="O74" s="114">
        <f t="shared" ca="1" si="67"/>
        <v>0.22692923083256636</v>
      </c>
      <c r="P74" s="114">
        <f t="shared" ca="1" si="67"/>
        <v>0.2269029843981086</v>
      </c>
      <c r="Q74" s="114">
        <f t="shared" ca="1" si="67"/>
        <v>0.22778082823298368</v>
      </c>
      <c r="R74" s="114">
        <f t="shared" ca="1" si="67"/>
        <v>0.22649763470929807</v>
      </c>
      <c r="S74" s="114">
        <f t="shared" ca="1" si="67"/>
        <v>0.22611725122684231</v>
      </c>
      <c r="T74" s="114">
        <f t="shared" ca="1" si="67"/>
        <v>0.22561732403742807</v>
      </c>
      <c r="U74" s="114">
        <f t="shared" ca="1" si="67"/>
        <v>0.22499529145217706</v>
      </c>
      <c r="V74" s="114"/>
      <c r="W74" s="114"/>
    </row>
    <row r="75" spans="1:23" x14ac:dyDescent="0.3">
      <c r="B75" s="33"/>
    </row>
    <row r="76" spans="1:23" x14ac:dyDescent="0.3">
      <c r="A76" t="s">
        <v>640</v>
      </c>
      <c r="B76" s="30">
        <f ca="1">+SUMIF(Producción!$18:$18,EEFF!B$51,Producción!43:43)</f>
        <v>0</v>
      </c>
      <c r="C76" s="30">
        <f ca="1">+SUMIF(Producción!$18:$18,EEFF!C$51,Producción!43:43)</f>
        <v>0</v>
      </c>
      <c r="D76" s="30">
        <f ca="1">+SUMIF(Producción!$18:$18,EEFF!D$51,Producción!43:43)</f>
        <v>0</v>
      </c>
      <c r="E76" s="30">
        <f ca="1">+SUMIF(Producción!$18:$18,EEFF!E$51,Producción!43:43)</f>
        <v>0</v>
      </c>
      <c r="F76" s="30">
        <f ca="1">+SUMIF(Producción!$18:$18,EEFF!F$51,Producción!43:43)</f>
        <v>0</v>
      </c>
      <c r="G76" s="30">
        <f ca="1">+SUMIF(Producción!$18:$18,EEFF!G$51,Producción!43:43)</f>
        <v>0</v>
      </c>
      <c r="H76" s="30">
        <f ca="1">+SUMIF(Producción!$18:$18,EEFF!H$51,Producción!43:43)</f>
        <v>0</v>
      </c>
      <c r="I76" s="30">
        <f ca="1">+SUMIF(Producción!$18:$18,EEFF!I$51,Producción!43:43)</f>
        <v>0</v>
      </c>
      <c r="J76" s="30">
        <f ca="1">+SUMIF(Producción!$18:$18,EEFF!J$51,Producción!43:43)</f>
        <v>0</v>
      </c>
      <c r="K76" s="30">
        <f ca="1">+SUMIF(Producción!$18:$18,EEFF!K$51,Producción!43:43)</f>
        <v>0</v>
      </c>
      <c r="L76" s="30">
        <f ca="1">+SUMIF(Producción!$18:$18,EEFF!L$51,Producción!43:43)</f>
        <v>0</v>
      </c>
      <c r="M76" s="30">
        <f>+SUMIF(Producción!$18:$18,EEFF!M$51,Producción!43:43)</f>
        <v>0</v>
      </c>
      <c r="N76" s="30">
        <f>+SUMIF(Producción!$18:$18,EEFF!N$51,Producción!43:43)</f>
        <v>0</v>
      </c>
      <c r="O76" s="30">
        <f>+SUMIF(Producción!$18:$18,EEFF!O$51,Producción!43:43)</f>
        <v>0</v>
      </c>
      <c r="P76" s="30">
        <f>+SUMIF(Producción!$18:$18,EEFF!P$51,Producción!43:43)</f>
        <v>0</v>
      </c>
      <c r="Q76" s="30">
        <f>+SUMIF(Producción!$18:$18,EEFF!Q$51,Producción!43:43)</f>
        <v>0</v>
      </c>
      <c r="R76" s="30">
        <f>+SUMIF(Producción!$18:$18,EEFF!R$51,Producción!43:43)</f>
        <v>0</v>
      </c>
      <c r="S76" s="30">
        <f>+SUMIF(Producción!$18:$18,EEFF!S$51,Producción!43:43)</f>
        <v>0</v>
      </c>
      <c r="T76" s="30">
        <f>+SUMIF(Producción!$18:$18,EEFF!T$51,Producción!43:43)</f>
        <v>0</v>
      </c>
      <c r="U76" s="30">
        <f>+SUMIF(Producción!$18:$18,EEFF!U$51,Producción!43:43)</f>
        <v>0</v>
      </c>
    </row>
    <row r="77" spans="1:23" x14ac:dyDescent="0.3">
      <c r="A77" t="s">
        <v>1003</v>
      </c>
      <c r="B77" s="73" t="e">
        <f ca="1">+B57-B60-B61-B76-B68</f>
        <v>#VALUE!</v>
      </c>
      <c r="C77" s="73" t="e">
        <f t="shared" ref="C77:E77" ca="1" si="68">+C57-C60-C61-C76-C68</f>
        <v>#VALUE!</v>
      </c>
      <c r="D77" s="73" t="e">
        <f t="shared" ca="1" si="68"/>
        <v>#VALUE!</v>
      </c>
      <c r="E77" s="73" t="e">
        <f t="shared" ca="1" si="68"/>
        <v>#VALUE!</v>
      </c>
      <c r="F77" s="73" t="e">
        <f t="shared" ref="F77" ca="1" si="69">+F57-F60-F61-F76-F68</f>
        <v>#VALUE!</v>
      </c>
      <c r="G77" s="73" t="e">
        <f t="shared" ref="G77:H77" ca="1" si="70">+G57-G60-G61-G76-G68</f>
        <v>#VALUE!</v>
      </c>
      <c r="H77" s="73" t="e">
        <f t="shared" ca="1" si="70"/>
        <v>#VALUE!</v>
      </c>
      <c r="I77" s="73" t="e">
        <f t="shared" ref="I77" ca="1" si="71">+I57-I60-I61-I76-I68</f>
        <v>#VALUE!</v>
      </c>
      <c r="J77" s="73" t="e">
        <f t="shared" ref="J77:K77" ca="1" si="72">+J57-J60-J61-J76-J68</f>
        <v>#VALUE!</v>
      </c>
      <c r="K77" s="73" t="e">
        <f t="shared" ca="1" si="72"/>
        <v>#VALUE!</v>
      </c>
      <c r="L77" s="73" t="e">
        <f t="shared" ref="L77" ca="1" si="73">+L57-L60-L61-L76-L68</f>
        <v>#VALUE!</v>
      </c>
      <c r="M77" s="73">
        <f t="shared" ref="M77:N77" ca="1" si="74">+M57-M60-M61-M76-M68</f>
        <v>1345618.2370897315</v>
      </c>
      <c r="N77" s="73">
        <f t="shared" ca="1" si="74"/>
        <v>1362232.6266791092</v>
      </c>
      <c r="O77" s="73">
        <f t="shared" ref="O77" ca="1" si="75">+O57-O60-O61-O76-O68</f>
        <v>1388350.031712136</v>
      </c>
      <c r="P77" s="73">
        <f t="shared" ref="P77:Q77" ca="1" si="76">+P57-P60-P61-P76-P68</f>
        <v>1414066.8716831342</v>
      </c>
      <c r="Q77" s="73">
        <f t="shared" ca="1" si="76"/>
        <v>1449954.120386428</v>
      </c>
      <c r="R77" s="73">
        <f t="shared" ref="R77" ca="1" si="77">+R57-R60-R61-R76-R68</f>
        <v>1464106.2063004943</v>
      </c>
      <c r="S77" s="73">
        <f t="shared" ref="S77:T77" ca="1" si="78">+S57-S60-S61-S76-S68</f>
        <v>1488326.0394874164</v>
      </c>
      <c r="T77" s="73">
        <f t="shared" ca="1" si="78"/>
        <v>1511939.7670798826</v>
      </c>
      <c r="U77" s="73">
        <f t="shared" ref="U77" ca="1" si="79">+U57-U60-U61-U76-U68</f>
        <v>1542149.2779879482</v>
      </c>
      <c r="V77" s="73"/>
      <c r="W77" s="73"/>
    </row>
    <row r="78" spans="1:23" x14ac:dyDescent="0.3">
      <c r="A78" t="s">
        <v>990</v>
      </c>
      <c r="B78" s="73" t="e">
        <f t="shared" ref="B78:L78" ca="1" si="80">IF(B71&lt;0,B57-B60-B61-B65-B68,B57-B60-B61-B65-B68-B71)</f>
        <v>#VALUE!</v>
      </c>
      <c r="C78" s="73" t="e">
        <f t="shared" ca="1" si="80"/>
        <v>#VALUE!</v>
      </c>
      <c r="D78" s="73" t="e">
        <f t="shared" ca="1" si="80"/>
        <v>#VALUE!</v>
      </c>
      <c r="E78" s="73" t="e">
        <f t="shared" ca="1" si="80"/>
        <v>#VALUE!</v>
      </c>
      <c r="F78" s="73" t="e">
        <f t="shared" ca="1" si="80"/>
        <v>#VALUE!</v>
      </c>
      <c r="G78" s="73" t="e">
        <f t="shared" ca="1" si="80"/>
        <v>#VALUE!</v>
      </c>
      <c r="H78" s="73" t="e">
        <f t="shared" ca="1" si="80"/>
        <v>#VALUE!</v>
      </c>
      <c r="I78" s="73" t="e">
        <f t="shared" ca="1" si="80"/>
        <v>#VALUE!</v>
      </c>
      <c r="J78" s="73" t="e">
        <f t="shared" ca="1" si="80"/>
        <v>#VALUE!</v>
      </c>
      <c r="K78" s="73" t="e">
        <f t="shared" ca="1" si="80"/>
        <v>#VALUE!</v>
      </c>
      <c r="L78" s="73" t="e">
        <f t="shared" ca="1" si="80"/>
        <v>#VALUE!</v>
      </c>
      <c r="M78" s="73">
        <f t="shared" ref="M78:U78" ca="1" si="81">IF(M71&lt;0,M57-M60-M61-M65-M68,M57-M60-M61-M65-M68-M71)</f>
        <v>874651.85410832544</v>
      </c>
      <c r="N78" s="73">
        <f t="shared" ca="1" si="81"/>
        <v>885451.20734142093</v>
      </c>
      <c r="O78" s="73">
        <f t="shared" ca="1" si="81"/>
        <v>902427.5206128885</v>
      </c>
      <c r="P78" s="73">
        <f t="shared" ca="1" si="81"/>
        <v>919143.46659403737</v>
      </c>
      <c r="Q78" s="73">
        <f t="shared" ca="1" si="81"/>
        <v>942470.17825117824</v>
      </c>
      <c r="R78" s="73">
        <f t="shared" ca="1" si="81"/>
        <v>951669.03409532132</v>
      </c>
      <c r="S78" s="73">
        <f t="shared" ca="1" si="81"/>
        <v>967411.92566682072</v>
      </c>
      <c r="T78" s="73">
        <f t="shared" ca="1" si="81"/>
        <v>982760.84860192367</v>
      </c>
      <c r="U78" s="73">
        <f t="shared" ca="1" si="81"/>
        <v>1002397.0306921663</v>
      </c>
      <c r="V78" s="38"/>
      <c r="W78" s="38"/>
    </row>
    <row r="79" spans="1:23" x14ac:dyDescent="0.3"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23" x14ac:dyDescent="0.3">
      <c r="A80" t="s">
        <v>992</v>
      </c>
      <c r="B80" t="s">
        <v>993</v>
      </c>
      <c r="C80" t="s">
        <v>994</v>
      </c>
      <c r="D80" s="33"/>
      <c r="E80" s="33"/>
      <c r="F80" s="33"/>
      <c r="G80" s="33"/>
      <c r="H80" s="33"/>
      <c r="I80" s="33"/>
      <c r="J80" s="33"/>
      <c r="K80" s="33"/>
      <c r="L80" s="33"/>
    </row>
    <row r="81" spans="1:23" x14ac:dyDescent="0.3">
      <c r="B81" s="30" t="e">
        <f>+#REF!*50%</f>
        <v>#REF!</v>
      </c>
      <c r="D81" s="33"/>
      <c r="E81" s="33"/>
      <c r="F81" s="33"/>
      <c r="G81" s="33"/>
      <c r="H81" s="33"/>
      <c r="I81" s="33"/>
      <c r="J81" s="33"/>
      <c r="K81" s="33"/>
      <c r="L81" s="33"/>
    </row>
    <row r="82" spans="1:23" x14ac:dyDescent="0.3">
      <c r="A82" t="s">
        <v>995</v>
      </c>
      <c r="B82" s="30" t="e">
        <f ca="1">+SUM(B72:F72)</f>
        <v>#VALUE!</v>
      </c>
      <c r="D82" s="33"/>
      <c r="E82" s="33"/>
      <c r="F82" s="33"/>
      <c r="G82" s="33"/>
      <c r="H82" s="33"/>
      <c r="I82" s="33"/>
      <c r="J82" s="33"/>
      <c r="K82" s="33"/>
      <c r="L82" s="33"/>
    </row>
    <row r="83" spans="1:23" x14ac:dyDescent="0.3">
      <c r="A83" t="s">
        <v>996</v>
      </c>
      <c r="B83" s="30" t="e">
        <f ca="1">+B81-B82</f>
        <v>#REF!</v>
      </c>
      <c r="D83" s="33"/>
      <c r="E83" s="33"/>
      <c r="F83" s="33"/>
      <c r="G83" s="33"/>
      <c r="H83" s="33"/>
      <c r="I83" s="33"/>
      <c r="J83" s="33"/>
      <c r="K83" s="33"/>
      <c r="L83" s="33"/>
    </row>
    <row r="84" spans="1:23" x14ac:dyDescent="0.3">
      <c r="H84" t="s">
        <v>973</v>
      </c>
      <c r="I84" s="9">
        <v>0.1</v>
      </c>
    </row>
    <row r="86" spans="1:23" x14ac:dyDescent="0.3">
      <c r="A86" s="6" t="s">
        <v>743</v>
      </c>
      <c r="B86" s="6" t="s">
        <v>1000</v>
      </c>
    </row>
    <row r="87" spans="1:23" x14ac:dyDescent="0.3">
      <c r="B87">
        <v>2025</v>
      </c>
      <c r="C87">
        <v>2026</v>
      </c>
      <c r="D87">
        <v>2027</v>
      </c>
      <c r="E87">
        <v>2028</v>
      </c>
      <c r="F87">
        <v>2029</v>
      </c>
      <c r="G87">
        <v>2030</v>
      </c>
      <c r="H87">
        <v>2031</v>
      </c>
      <c r="I87">
        <v>2032</v>
      </c>
      <c r="J87">
        <v>2033</v>
      </c>
      <c r="K87">
        <v>2034</v>
      </c>
      <c r="L87">
        <v>2035</v>
      </c>
      <c r="M87">
        <v>2036</v>
      </c>
      <c r="N87">
        <v>2037</v>
      </c>
      <c r="O87">
        <v>2038</v>
      </c>
      <c r="P87">
        <v>2039</v>
      </c>
      <c r="Q87">
        <v>2040</v>
      </c>
      <c r="R87">
        <v>2041</v>
      </c>
      <c r="S87">
        <v>2042</v>
      </c>
      <c r="T87">
        <v>2043</v>
      </c>
      <c r="U87">
        <v>2044</v>
      </c>
      <c r="V87" t="s">
        <v>11</v>
      </c>
    </row>
    <row r="88" spans="1:23" x14ac:dyDescent="0.3">
      <c r="A88" t="s">
        <v>975</v>
      </c>
      <c r="B88" s="30">
        <f ca="1">+'Anál arrend finan LP'!D16</f>
        <v>2052666.0605293191</v>
      </c>
      <c r="C88" s="30">
        <f ca="1">+'Anál arrend finan LP'!E16</f>
        <v>2559640.4907792159</v>
      </c>
      <c r="D88" s="30">
        <f ca="1">+'Anál arrend finan LP'!F16</f>
        <v>2684873.5385467797</v>
      </c>
      <c r="E88" s="30">
        <f ca="1">+'Anál arrend finan LP'!G16</f>
        <v>2774388.4218524098</v>
      </c>
      <c r="F88" s="30">
        <f ca="1">+'Anál arrend finan LP'!H16</f>
        <v>2893951.8006705651</v>
      </c>
      <c r="G88" s="30">
        <f ca="1">+'Anál arrend finan LP'!I16</f>
        <v>2969623.7378357477</v>
      </c>
      <c r="H88" s="30">
        <f ca="1">+'Anál arrend finan LP'!J16</f>
        <v>3097655.6786642671</v>
      </c>
      <c r="I88" s="30">
        <f ca="1">+'Anál arrend finan LP'!K16</f>
        <v>3244953.3537622858</v>
      </c>
      <c r="J88" s="30">
        <f ca="1">+'Anál arrend finan LP'!L16</f>
        <v>3379716.4896059074</v>
      </c>
      <c r="K88" s="30">
        <f ca="1">+'Anál arrend finan LP'!M16</f>
        <v>3542227.9008007557</v>
      </c>
      <c r="L88" s="30">
        <f ca="1">+'Anál arrend finan LP'!N16</f>
        <v>3680055.0197631349</v>
      </c>
      <c r="M88" s="30">
        <f ca="1">+'Anál arrend finan LP'!O16</f>
        <v>3833754.7192039932</v>
      </c>
      <c r="N88" s="30">
        <f ca="1">+'Anál arrend finan LP'!P16</f>
        <v>3970638.8305376195</v>
      </c>
      <c r="O88" s="30">
        <f ca="1">+'Anál arrend finan LP'!Q16</f>
        <v>4123694.3119701012</v>
      </c>
      <c r="P88" s="30">
        <f ca="1">+'Anál arrend finan LP'!R16</f>
        <v>4282128.7444694862</v>
      </c>
      <c r="Q88" s="30">
        <f ca="1">+'Anál arrend finan LP'!S16</f>
        <v>4458829.4073924264</v>
      </c>
      <c r="R88" s="30">
        <f ca="1">+'Anál arrend finan LP'!T16</f>
        <v>4615757.5665440504</v>
      </c>
      <c r="S88" s="30">
        <f ca="1">+'Anál arrend finan LP'!U16</f>
        <v>4791268.523398634</v>
      </c>
      <c r="T88" s="30">
        <f ca="1">+'Anál arrend finan LP'!V16</f>
        <v>4972791.1820223182</v>
      </c>
      <c r="U88" s="30">
        <f ca="1">+'Anál arrend finan LP'!W16</f>
        <v>5184967.9498218372</v>
      </c>
      <c r="V88" s="30">
        <f t="shared" ref="V88:V93" ca="1" si="82">+SUM(B88:Q88)</f>
        <v>53548798.506384008</v>
      </c>
      <c r="W88" s="30"/>
    </row>
    <row r="89" spans="1:23" x14ac:dyDescent="0.3">
      <c r="A89" t="s">
        <v>976</v>
      </c>
      <c r="B89" s="33">
        <f t="shared" ref="B89:U89" si="83">+SUM(B90:B92)</f>
        <v>0</v>
      </c>
      <c r="C89" s="33">
        <f t="shared" si="83"/>
        <v>50000</v>
      </c>
      <c r="D89" s="33">
        <f t="shared" si="83"/>
        <v>1127000</v>
      </c>
      <c r="E89" s="33">
        <f t="shared" si="83"/>
        <v>1142270</v>
      </c>
      <c r="F89" s="33">
        <f t="shared" si="83"/>
        <v>1151818.0999999999</v>
      </c>
      <c r="G89" s="33">
        <f t="shared" si="83"/>
        <v>1594025.7462494061</v>
      </c>
      <c r="H89" s="33">
        <f t="shared" si="83"/>
        <v>1935229.5874560936</v>
      </c>
      <c r="I89" s="33">
        <f t="shared" si="83"/>
        <v>1968566.4750797765</v>
      </c>
      <c r="J89" s="33">
        <f t="shared" si="83"/>
        <v>2002903.4693321702</v>
      </c>
      <c r="K89" s="33">
        <f t="shared" si="83"/>
        <v>2038270.573412135</v>
      </c>
      <c r="L89" s="33">
        <f t="shared" si="83"/>
        <v>2074698.6906144992</v>
      </c>
      <c r="M89" s="33">
        <f t="shared" si="83"/>
        <v>2112219.6513329339</v>
      </c>
      <c r="N89" s="33">
        <f t="shared" si="83"/>
        <v>2150866.2408729224</v>
      </c>
      <c r="O89" s="33">
        <f t="shared" si="83"/>
        <v>2190672.2280991105</v>
      </c>
      <c r="P89" s="33">
        <f t="shared" si="83"/>
        <v>2231672.3949420834</v>
      </c>
      <c r="Q89" s="33">
        <f t="shared" si="83"/>
        <v>2273902.5667903461</v>
      </c>
      <c r="R89" s="33">
        <f t="shared" si="83"/>
        <v>2317399.6437940565</v>
      </c>
      <c r="S89" s="33">
        <f t="shared" si="83"/>
        <v>2362201.6331078783</v>
      </c>
      <c r="T89" s="33">
        <f t="shared" si="83"/>
        <v>2408347.6821011147</v>
      </c>
      <c r="U89" s="33">
        <f t="shared" si="83"/>
        <v>2467522.7547030291</v>
      </c>
      <c r="V89" s="30">
        <f t="shared" si="82"/>
        <v>26044115.724181477</v>
      </c>
      <c r="W89" s="38">
        <f ca="1">+V89/$V$88</f>
        <v>0.48636227983857633</v>
      </c>
    </row>
    <row r="90" spans="1:23" x14ac:dyDescent="0.3">
      <c r="A90" t="s">
        <v>643</v>
      </c>
      <c r="B90" s="30">
        <f>+SUMIF(Producción!$18:$18,EEFF!B$87,Producción!24:24)</f>
        <v>0</v>
      </c>
      <c r="C90" s="30">
        <f>+SUMIF(Producción!$18:$18,EEFF!C$87,Producción!24:24)</f>
        <v>0</v>
      </c>
      <c r="D90" s="30">
        <f>+SUMIF(Producción!$18:$18,EEFF!D$87,Producción!24:24)</f>
        <v>818000</v>
      </c>
      <c r="E90" s="30">
        <f>+SUMIF(Producción!$18:$18,EEFF!E$87,Producción!24:24)</f>
        <v>824000</v>
      </c>
      <c r="F90" s="30">
        <f>+SUMIF(Producción!$18:$18,EEFF!F$87,Producción!24:24)</f>
        <v>824000</v>
      </c>
      <c r="G90" s="30">
        <f>+SUMIF(Producción!$18:$18,EEFF!G$87,Producción!24:24)</f>
        <v>824000</v>
      </c>
      <c r="H90" s="30">
        <f>+SUMIF(Producción!$18:$18,EEFF!H$87,Producción!24:24)</f>
        <v>824000</v>
      </c>
      <c r="I90" s="30">
        <f>+SUMIF(Producción!$18:$18,EEFF!I$87,Producción!24:24)</f>
        <v>824000</v>
      </c>
      <c r="J90" s="30">
        <f>+SUMIF(Producción!$18:$18,EEFF!J$87,Producción!24:24)</f>
        <v>824000</v>
      </c>
      <c r="K90" s="30">
        <f>+SUMIF(Producción!$18:$18,EEFF!K$87,Producción!24:24)</f>
        <v>824000</v>
      </c>
      <c r="L90" s="30">
        <f>+SUMIF(Producción!$18:$18,EEFF!L$87,Producción!24:24)</f>
        <v>824000</v>
      </c>
      <c r="M90" s="30">
        <f>+SUMIF(Producción!$18:$18,EEFF!M$87,Producción!24:24)</f>
        <v>824000</v>
      </c>
      <c r="N90" s="30">
        <f>+SUMIF(Producción!$18:$18,EEFF!N$87,Producción!24:24)</f>
        <v>824000</v>
      </c>
      <c r="O90" s="30">
        <f>+SUMIF(Producción!$18:$18,EEFF!O$87,Producción!24:24)</f>
        <v>824000</v>
      </c>
      <c r="P90" s="30">
        <f>+SUMIF(Producción!$18:$18,EEFF!P$87,Producción!24:24)</f>
        <v>824000</v>
      </c>
      <c r="Q90" s="30">
        <f>+SUMIF(Producción!$18:$18,EEFF!Q$87,Producción!24:24)</f>
        <v>824000</v>
      </c>
      <c r="R90" s="30">
        <f>+SUMIF(Producción!$18:$18,EEFF!R$87,Producción!24:24)</f>
        <v>824000</v>
      </c>
      <c r="S90" s="30">
        <f>+SUMIF(Producción!$18:$18,EEFF!S$87,Producción!24:24)</f>
        <v>824000</v>
      </c>
      <c r="T90" s="30">
        <f>+SUMIF(Producción!$18:$18,EEFF!T$87,Producción!24:24)</f>
        <v>824000</v>
      </c>
      <c r="U90" s="30">
        <f>+SUMIF(Producción!$18:$18,EEFF!U$87,Producción!24:24)</f>
        <v>824000</v>
      </c>
      <c r="V90" s="30">
        <f t="shared" si="82"/>
        <v>11530000</v>
      </c>
      <c r="W90" s="38">
        <f ca="1">+V90/$V$88</f>
        <v>0.21531762283378611</v>
      </c>
    </row>
    <row r="91" spans="1:23" x14ac:dyDescent="0.3">
      <c r="A91" t="s">
        <v>777</v>
      </c>
      <c r="B91" s="30">
        <f>+SUMIF(Producción!$18:$18,EEFF!B$87,Producción!25:25)</f>
        <v>0</v>
      </c>
      <c r="C91" s="30">
        <f>+SUMIF(Producción!$18:$18,EEFF!C$87,Producción!25:25)</f>
        <v>0</v>
      </c>
      <c r="D91" s="30">
        <f>+SUMIF(Producción!$18:$18,EEFF!D$87,Producción!25:25)</f>
        <v>0</v>
      </c>
      <c r="E91" s="30">
        <f>+SUMIF(Producción!$18:$18,EEFF!E$87,Producción!25:25)</f>
        <v>0</v>
      </c>
      <c r="F91" s="30">
        <f>+SUMIF(Producción!$18:$18,EEFF!F$87,Producción!25:25)</f>
        <v>0</v>
      </c>
      <c r="G91" s="30">
        <f>+SUMIF(Producción!$18:$18,EEFF!G$87,Producción!25:25)</f>
        <v>432373.10324940598</v>
      </c>
      <c r="H91" s="30">
        <f>+SUMIF(Producción!$18:$18,EEFF!H$87,Producción!25:25)</f>
        <v>763447.36516609369</v>
      </c>
      <c r="I91" s="30">
        <f>+SUMIF(Producción!$18:$18,EEFF!I$87,Producción!25:25)</f>
        <v>786350.78612107655</v>
      </c>
      <c r="J91" s="30">
        <f>+SUMIF(Producción!$18:$18,EEFF!J$87,Producción!25:25)</f>
        <v>809941.30970470922</v>
      </c>
      <c r="K91" s="30">
        <f>+SUMIF(Producción!$18:$18,EEFF!K$87,Producción!25:25)</f>
        <v>834239.54899585014</v>
      </c>
      <c r="L91" s="30">
        <f>+SUMIF(Producción!$18:$18,EEFF!L$87,Producción!25:25)</f>
        <v>859266.73546572577</v>
      </c>
      <c r="M91" s="30">
        <f>+SUMIF(Producción!$18:$18,EEFF!M$87,Producción!25:25)</f>
        <v>885044.73752969748</v>
      </c>
      <c r="N91" s="30">
        <f>+SUMIF(Producción!$18:$18,EEFF!N$87,Producción!25:25)</f>
        <v>911596.0796555886</v>
      </c>
      <c r="O91" s="30">
        <f>+SUMIF(Producción!$18:$18,EEFF!O$87,Producción!25:25)</f>
        <v>938943.9620452564</v>
      </c>
      <c r="P91" s="30">
        <f>+SUMIF(Producción!$18:$18,EEFF!P$87,Producción!25:25)</f>
        <v>967112.28090661403</v>
      </c>
      <c r="Q91" s="30">
        <f>+SUMIF(Producción!$18:$18,EEFF!Q$87,Producción!25:25)</f>
        <v>996125.64933381276</v>
      </c>
      <c r="R91" s="30">
        <f>+SUMIF(Producción!$18:$18,EEFF!R$87,Producción!25:25)</f>
        <v>1026009.418813827</v>
      </c>
      <c r="S91" s="30">
        <f>+SUMIF(Producción!$18:$18,EEFF!S$87,Producción!25:25)</f>
        <v>1056789.7013782419</v>
      </c>
      <c r="T91" s="30">
        <f>+SUMIF(Producción!$18:$18,EEFF!T$87,Producción!25:25)</f>
        <v>1088493.3924195892</v>
      </c>
      <c r="U91" s="30">
        <f>+SUMIF(Producción!$18:$18,EEFF!U$87,Producción!25:25)</f>
        <v>1121148.1941921769</v>
      </c>
      <c r="V91" s="30">
        <f t="shared" si="82"/>
        <v>9184441.5581738297</v>
      </c>
      <c r="W91" s="38">
        <f ca="1">+V91/$V$88</f>
        <v>0.17151536195679301</v>
      </c>
    </row>
    <row r="92" spans="1:23" x14ac:dyDescent="0.3">
      <c r="A92" t="s">
        <v>644</v>
      </c>
      <c r="B92" s="30">
        <f>+SUMIF(Producción!$18:$18,EEFF!B$87,Producción!26:26)</f>
        <v>0</v>
      </c>
      <c r="C92" s="30">
        <f>+SUMIF(Producción!$18:$18,EEFF!C$87,Producción!26:26)</f>
        <v>50000</v>
      </c>
      <c r="D92" s="30">
        <f>+SUMIF(Producción!$18:$18,EEFF!D$87,Producción!26:26)</f>
        <v>309000</v>
      </c>
      <c r="E92" s="30">
        <f>+SUMIF(Producción!$18:$18,EEFF!E$87,Producción!26:26)</f>
        <v>318270</v>
      </c>
      <c r="F92" s="30">
        <f>+SUMIF(Producción!$18:$18,EEFF!F$87,Producción!26:26)</f>
        <v>327818.09999999992</v>
      </c>
      <c r="G92" s="30">
        <f>+SUMIF(Producción!$18:$18,EEFF!G$87,Producción!26:26)</f>
        <v>337652.6430000001</v>
      </c>
      <c r="H92" s="30">
        <f>+SUMIF(Producción!$18:$18,EEFF!H$87,Producción!26:26)</f>
        <v>347782.22228999995</v>
      </c>
      <c r="I92" s="30">
        <f>+SUMIF(Producción!$18:$18,EEFF!I$87,Producción!26:26)</f>
        <v>358215.68895869999</v>
      </c>
      <c r="J92" s="30">
        <f>+SUMIF(Producción!$18:$18,EEFF!J$87,Producción!26:26)</f>
        <v>368962.15962746093</v>
      </c>
      <c r="K92" s="30">
        <f>+SUMIF(Producción!$18:$18,EEFF!K$87,Producción!26:26)</f>
        <v>380031.02441628481</v>
      </c>
      <c r="L92" s="30">
        <f>+SUMIF(Producción!$18:$18,EEFF!L$87,Producción!26:26)</f>
        <v>391431.95514877333</v>
      </c>
      <c r="M92" s="30">
        <f>+SUMIF(Producción!$18:$18,EEFF!M$87,Producción!26:26)</f>
        <v>403174.9138032365</v>
      </c>
      <c r="N92" s="30">
        <f>+SUMIF(Producción!$18:$18,EEFF!N$87,Producción!26:26)</f>
        <v>415270.16121733381</v>
      </c>
      <c r="O92" s="30">
        <f>+SUMIF(Producción!$18:$18,EEFF!O$87,Producción!26:26)</f>
        <v>427728.26605385385</v>
      </c>
      <c r="P92" s="30">
        <f>+SUMIF(Producción!$18:$18,EEFF!P$87,Producción!26:26)</f>
        <v>440560.11403546925</v>
      </c>
      <c r="Q92" s="30">
        <f>+SUMIF(Producción!$18:$18,EEFF!Q$87,Producción!26:26)</f>
        <v>453776.91745653335</v>
      </c>
      <c r="R92" s="30">
        <f>+SUMIF(Producción!$18:$18,EEFF!R$87,Producción!26:26)</f>
        <v>467390.22498022934</v>
      </c>
      <c r="S92" s="30">
        <f>+SUMIF(Producción!$18:$18,EEFF!S$87,Producción!26:26)</f>
        <v>481411.93172963639</v>
      </c>
      <c r="T92" s="30">
        <f>+SUMIF(Producción!$18:$18,EEFF!T$87,Producción!26:26)</f>
        <v>495854.28968152561</v>
      </c>
      <c r="U92" s="30">
        <f>+SUMIF(Producción!$18:$18,EEFF!U$87,Producción!26:26)</f>
        <v>522374.56051085232</v>
      </c>
      <c r="V92" s="30">
        <f t="shared" si="82"/>
        <v>5329674.1660076464</v>
      </c>
      <c r="W92" s="38">
        <f ca="1">+V92/$V$88</f>
        <v>9.9529295047997207E-2</v>
      </c>
    </row>
    <row r="93" spans="1:23" x14ac:dyDescent="0.3">
      <c r="A93" t="s">
        <v>977</v>
      </c>
      <c r="B93" s="33">
        <f t="shared" ref="B93:U93" ca="1" si="84">+B88-B89</f>
        <v>2052666.0605293191</v>
      </c>
      <c r="C93" s="33">
        <f t="shared" ca="1" si="84"/>
        <v>2509640.4907792159</v>
      </c>
      <c r="D93" s="33">
        <f t="shared" ca="1" si="84"/>
        <v>1557873.5385467797</v>
      </c>
      <c r="E93" s="33">
        <f t="shared" ca="1" si="84"/>
        <v>1632118.4218524098</v>
      </c>
      <c r="F93" s="33">
        <f t="shared" ca="1" si="84"/>
        <v>1742133.7006705652</v>
      </c>
      <c r="G93" s="33">
        <f t="shared" ca="1" si="84"/>
        <v>1375597.9915863415</v>
      </c>
      <c r="H93" s="33">
        <f t="shared" ca="1" si="84"/>
        <v>1162426.0912081734</v>
      </c>
      <c r="I93" s="33">
        <f t="shared" ca="1" si="84"/>
        <v>1276386.8786825093</v>
      </c>
      <c r="J93" s="33">
        <f t="shared" ca="1" si="84"/>
        <v>1376813.0202737371</v>
      </c>
      <c r="K93" s="33">
        <f t="shared" ca="1" si="84"/>
        <v>1503957.3273886207</v>
      </c>
      <c r="L93" s="33">
        <f t="shared" ca="1" si="84"/>
        <v>1605356.3291486357</v>
      </c>
      <c r="M93" s="33">
        <f t="shared" ca="1" si="84"/>
        <v>1721535.0678710593</v>
      </c>
      <c r="N93" s="33">
        <f t="shared" ca="1" si="84"/>
        <v>1819772.5896646972</v>
      </c>
      <c r="O93" s="33">
        <f t="shared" ca="1" si="84"/>
        <v>1933022.0838709907</v>
      </c>
      <c r="P93" s="33">
        <f t="shared" ca="1" si="84"/>
        <v>2050456.3495274028</v>
      </c>
      <c r="Q93" s="33">
        <f t="shared" ca="1" si="84"/>
        <v>2184926.8406020803</v>
      </c>
      <c r="R93" s="33">
        <f t="shared" ca="1" si="84"/>
        <v>2298357.9227499939</v>
      </c>
      <c r="S93" s="33">
        <f t="shared" ca="1" si="84"/>
        <v>2429066.8902907558</v>
      </c>
      <c r="T93" s="33">
        <f t="shared" ca="1" si="84"/>
        <v>2564443.4999212036</v>
      </c>
      <c r="U93" s="33">
        <f t="shared" ca="1" si="84"/>
        <v>2717445.1951188082</v>
      </c>
      <c r="V93" s="30">
        <f t="shared" ca="1" si="82"/>
        <v>27504682.782202542</v>
      </c>
      <c r="W93" s="33"/>
    </row>
    <row r="94" spans="1:23" x14ac:dyDescent="0.3">
      <c r="A94" t="s">
        <v>957</v>
      </c>
      <c r="B94" s="38">
        <f t="shared" ref="B94:U94" ca="1" si="85">+B93/B88</f>
        <v>1</v>
      </c>
      <c r="C94" s="38">
        <f t="shared" ca="1" si="85"/>
        <v>0.98046600677707718</v>
      </c>
      <c r="D94" s="38">
        <f t="shared" ca="1" si="85"/>
        <v>0.5802409373031393</v>
      </c>
      <c r="E94" s="38">
        <f t="shared" ca="1" si="85"/>
        <v>0.58828043290444287</v>
      </c>
      <c r="F94" s="38">
        <f t="shared" ca="1" si="85"/>
        <v>0.60199126338831588</v>
      </c>
      <c r="G94" s="38">
        <f t="shared" ca="1" si="85"/>
        <v>0.46322299153928265</v>
      </c>
      <c r="H94" s="38">
        <f t="shared" ca="1" si="85"/>
        <v>0.3752599422894608</v>
      </c>
      <c r="I94" s="38">
        <f t="shared" ca="1" si="85"/>
        <v>0.39334521625792623</v>
      </c>
      <c r="J94" s="38">
        <f t="shared" ca="1" si="85"/>
        <v>0.40737530041588804</v>
      </c>
      <c r="K94" s="38">
        <f t="shared" ca="1" si="85"/>
        <v>0.4245794933320457</v>
      </c>
      <c r="L94" s="38">
        <f t="shared" ca="1" si="85"/>
        <v>0.43623161081215678</v>
      </c>
      <c r="M94" s="38">
        <f t="shared" ca="1" si="85"/>
        <v>0.44904674241353226</v>
      </c>
      <c r="N94" s="38">
        <f t="shared" ca="1" si="85"/>
        <v>0.45830725667343114</v>
      </c>
      <c r="O94" s="38">
        <f t="shared" ca="1" si="85"/>
        <v>0.46875979101066939</v>
      </c>
      <c r="P94" s="38">
        <f t="shared" ca="1" si="85"/>
        <v>0.47884042537853078</v>
      </c>
      <c r="Q94" s="38">
        <f t="shared" ca="1" si="85"/>
        <v>0.49002252406867708</v>
      </c>
      <c r="R94" s="38">
        <f t="shared" ca="1" si="85"/>
        <v>0.49793731356450771</v>
      </c>
      <c r="S94" s="38">
        <f t="shared" ca="1" si="85"/>
        <v>0.50697782402054226</v>
      </c>
      <c r="T94" s="38">
        <f t="shared" ca="1" si="85"/>
        <v>0.51569499020835707</v>
      </c>
      <c r="U94" s="38">
        <f t="shared" ca="1" si="85"/>
        <v>0.52410067360439194</v>
      </c>
      <c r="V94" s="38"/>
      <c r="W94" s="38"/>
    </row>
    <row r="96" spans="1:23" x14ac:dyDescent="0.3">
      <c r="A96" t="s">
        <v>973</v>
      </c>
      <c r="B96" s="30">
        <f ca="1">+B88*$I$84</f>
        <v>205266.60605293192</v>
      </c>
      <c r="C96" s="30">
        <f t="shared" ref="C96:Q96" ca="1" si="86">+C88*$I$84</f>
        <v>255964.04907792161</v>
      </c>
      <c r="D96" s="30">
        <f t="shared" ca="1" si="86"/>
        <v>268487.35385467799</v>
      </c>
      <c r="E96" s="30">
        <f t="shared" ca="1" si="86"/>
        <v>277438.842185241</v>
      </c>
      <c r="F96" s="30">
        <f t="shared" ca="1" si="86"/>
        <v>289395.1800670565</v>
      </c>
      <c r="G96" s="30">
        <f t="shared" ca="1" si="86"/>
        <v>296962.37378357479</v>
      </c>
      <c r="H96" s="30">
        <f t="shared" ca="1" si="86"/>
        <v>309765.56786642672</v>
      </c>
      <c r="I96" s="30">
        <f t="shared" ca="1" si="86"/>
        <v>324495.33537622861</v>
      </c>
      <c r="J96" s="30">
        <f t="shared" ca="1" si="86"/>
        <v>337971.64896059077</v>
      </c>
      <c r="K96" s="30">
        <f t="shared" ca="1" si="86"/>
        <v>354222.79008007562</v>
      </c>
      <c r="L96" s="30">
        <f t="shared" ca="1" si="86"/>
        <v>368005.50197631354</v>
      </c>
      <c r="M96" s="30">
        <f t="shared" ca="1" si="86"/>
        <v>383375.47192039934</v>
      </c>
      <c r="N96" s="30">
        <f t="shared" ca="1" si="86"/>
        <v>397063.88305376197</v>
      </c>
      <c r="O96" s="30">
        <f t="shared" ca="1" si="86"/>
        <v>412369.43119701016</v>
      </c>
      <c r="P96" s="30">
        <f t="shared" ca="1" si="86"/>
        <v>428212.87444694864</v>
      </c>
      <c r="Q96" s="30">
        <f t="shared" ca="1" si="86"/>
        <v>445882.94073924265</v>
      </c>
      <c r="R96" s="30">
        <f t="shared" ref="R96:U96" ca="1" si="87">+R88*$I$84</f>
        <v>461575.75665440504</v>
      </c>
      <c r="S96" s="30">
        <f t="shared" ca="1" si="87"/>
        <v>479126.85233986343</v>
      </c>
      <c r="T96" s="30">
        <f t="shared" ca="1" si="87"/>
        <v>497279.11820223182</v>
      </c>
      <c r="U96" s="30">
        <f t="shared" ca="1" si="87"/>
        <v>518496.79498218372</v>
      </c>
      <c r="V96" s="30">
        <f ca="1">+SUM(B96:Q96)</f>
        <v>5354879.8506384017</v>
      </c>
      <c r="W96" s="38">
        <f ca="1">+V96/$V$88</f>
        <v>0.10000000000000002</v>
      </c>
    </row>
    <row r="97" spans="1:23" x14ac:dyDescent="0.3">
      <c r="A97" t="s">
        <v>719</v>
      </c>
      <c r="B97" s="30" t="e">
        <f ca="1">+SUMIF(Producción!$18:$18,EEFF!B$87,Producción!49:49)</f>
        <v>#VALUE!</v>
      </c>
      <c r="C97" s="30" t="e">
        <f ca="1">+SUMIF(Producción!$18:$18,EEFF!C$87,Producción!49:49)</f>
        <v>#VALUE!</v>
      </c>
      <c r="D97" s="30" t="e">
        <f ca="1">+SUMIF(Producción!$18:$18,EEFF!D$87,Producción!49:49)</f>
        <v>#VALUE!</v>
      </c>
      <c r="E97" s="30" t="e">
        <f ca="1">+SUMIF(Producción!$18:$18,EEFF!E$87,Producción!49:49)</f>
        <v>#VALUE!</v>
      </c>
      <c r="F97" s="30" t="e">
        <f ca="1">+SUMIF(Producción!$18:$18,EEFF!F$87,Producción!49:49)</f>
        <v>#VALUE!</v>
      </c>
      <c r="G97" s="30" t="e">
        <f ca="1">+SUMIF(Producción!$18:$18,EEFF!G$87,Producción!49:49)</f>
        <v>#VALUE!</v>
      </c>
      <c r="H97" s="30" t="e">
        <f ca="1">+SUMIF(Producción!$18:$18,EEFF!H$87,Producción!49:49)</f>
        <v>#VALUE!</v>
      </c>
      <c r="I97" s="30" t="e">
        <f ca="1">+SUMIF(Producción!$18:$18,EEFF!I$87,Producción!49:49)</f>
        <v>#VALUE!</v>
      </c>
      <c r="J97" s="30" t="e">
        <f ca="1">+SUMIF(Producción!$18:$18,EEFF!J$87,Producción!49:49)</f>
        <v>#VALUE!</v>
      </c>
      <c r="K97" s="30" t="e">
        <f ca="1">+SUMIF(Producción!$18:$18,EEFF!K$87,Producción!49:49)</f>
        <v>#VALUE!</v>
      </c>
      <c r="L97" s="30" t="e">
        <f ca="1">+SUMIF(Producción!$18:$18,EEFF!L$87,Producción!49:49)</f>
        <v>#VALUE!</v>
      </c>
      <c r="M97" s="30" t="e">
        <f ca="1">+SUMIF(Producción!$18:$18,EEFF!M$87,Producción!49:49)</f>
        <v>#VALUE!</v>
      </c>
      <c r="N97" s="30" t="e">
        <f ca="1">+SUMIF(Producción!$18:$18,EEFF!N$87,Producción!49:49)</f>
        <v>#VALUE!</v>
      </c>
      <c r="O97" s="30" t="e">
        <f ca="1">+SUMIF(Producción!$18:$18,EEFF!O$87,Producción!49:49)</f>
        <v>#VALUE!</v>
      </c>
      <c r="P97" s="30" t="e">
        <f ca="1">+SUMIF(Producción!$18:$18,EEFF!P$87,Producción!49:49)</f>
        <v>#VALUE!</v>
      </c>
      <c r="Q97" s="30" t="e">
        <f ca="1">+SUMIF(Producción!$18:$18,EEFF!Q$87,Producción!49:49)</f>
        <v>#VALUE!</v>
      </c>
      <c r="R97" s="30">
        <f>+SUMIF(Producción!$18:$18,EEFF!R$87,Producción!49:49)</f>
        <v>0</v>
      </c>
      <c r="S97" s="30">
        <f>+SUMIF(Producción!$18:$18,EEFF!S$87,Producción!49:49)</f>
        <v>0</v>
      </c>
      <c r="T97" s="30">
        <f>+SUMIF(Producción!$18:$18,EEFF!T$87,Producción!49:49)</f>
        <v>0</v>
      </c>
      <c r="U97" s="30">
        <f>+SUMIF(Producción!$18:$18,EEFF!U$87,Producción!49:49)</f>
        <v>0</v>
      </c>
      <c r="V97" s="30" t="e">
        <f ca="1">+SUM(B97:Q97)</f>
        <v>#VALUE!</v>
      </c>
      <c r="W97" s="30"/>
    </row>
    <row r="98" spans="1:23" s="6" customFormat="1" x14ac:dyDescent="0.3">
      <c r="A98" s="6" t="s">
        <v>1004</v>
      </c>
      <c r="B98" s="59" t="e">
        <f t="shared" ref="B98:G98" ca="1" si="88">+B93-B96-B97</f>
        <v>#VALUE!</v>
      </c>
      <c r="C98" s="59" t="e">
        <f t="shared" ca="1" si="88"/>
        <v>#VALUE!</v>
      </c>
      <c r="D98" s="59" t="e">
        <f t="shared" ca="1" si="88"/>
        <v>#VALUE!</v>
      </c>
      <c r="E98" s="59" t="e">
        <f t="shared" ca="1" si="88"/>
        <v>#VALUE!</v>
      </c>
      <c r="F98" s="59" t="e">
        <f t="shared" ca="1" si="88"/>
        <v>#VALUE!</v>
      </c>
      <c r="G98" s="59" t="e">
        <f t="shared" ca="1" si="88"/>
        <v>#VALUE!</v>
      </c>
      <c r="H98" s="59" t="e">
        <f t="shared" ref="H98" ca="1" si="89">+H93-H96-H97</f>
        <v>#VALUE!</v>
      </c>
      <c r="I98" s="59" t="e">
        <f t="shared" ref="I98" ca="1" si="90">+I93-I96-I97</f>
        <v>#VALUE!</v>
      </c>
      <c r="J98" s="59" t="e">
        <f t="shared" ref="J98" ca="1" si="91">+J93-J96-J97</f>
        <v>#VALUE!</v>
      </c>
      <c r="K98" s="59" t="e">
        <f t="shared" ref="K98" ca="1" si="92">+K93-K96-K97</f>
        <v>#VALUE!</v>
      </c>
      <c r="L98" s="59" t="e">
        <f t="shared" ref="L98" ca="1" si="93">+L93-L96-L97</f>
        <v>#VALUE!</v>
      </c>
      <c r="M98" s="59" t="e">
        <f t="shared" ref="M98" ca="1" si="94">+M93-M96-M97</f>
        <v>#VALUE!</v>
      </c>
      <c r="N98" s="59" t="e">
        <f t="shared" ref="N98" ca="1" si="95">+N93-N96-N97</f>
        <v>#VALUE!</v>
      </c>
      <c r="O98" s="59" t="e">
        <f t="shared" ref="O98" ca="1" si="96">+O93-O96-O97</f>
        <v>#VALUE!</v>
      </c>
      <c r="P98" s="59" t="e">
        <f t="shared" ref="P98" ca="1" si="97">+P93-P96-P97</f>
        <v>#VALUE!</v>
      </c>
      <c r="Q98" s="59" t="e">
        <f t="shared" ref="Q98:T98" ca="1" si="98">+Q93-Q96-Q97</f>
        <v>#VALUE!</v>
      </c>
      <c r="R98" s="59">
        <f t="shared" ca="1" si="98"/>
        <v>1836782.1660955888</v>
      </c>
      <c r="S98" s="59">
        <f t="shared" ca="1" si="98"/>
        <v>1949940.0379508925</v>
      </c>
      <c r="T98" s="59">
        <f t="shared" ca="1" si="98"/>
        <v>2067164.3817189718</v>
      </c>
      <c r="U98" s="59">
        <f t="shared" ref="U98" ca="1" si="99">+U93-U96-U97</f>
        <v>2198948.4001366245</v>
      </c>
      <c r="V98" s="112" t="e">
        <f ca="1">+SUM(B98:Q98)</f>
        <v>#VALUE!</v>
      </c>
      <c r="W98" s="59"/>
    </row>
    <row r="99" spans="1:23" s="6" customFormat="1" x14ac:dyDescent="0.3">
      <c r="A99" s="6" t="s">
        <v>979</v>
      </c>
      <c r="B99" s="111" t="e">
        <f t="shared" ref="B99:U99" ca="1" si="100">+B98/B88</f>
        <v>#VALUE!</v>
      </c>
      <c r="C99" s="111" t="e">
        <f t="shared" ca="1" si="100"/>
        <v>#VALUE!</v>
      </c>
      <c r="D99" s="111" t="e">
        <f t="shared" ca="1" si="100"/>
        <v>#VALUE!</v>
      </c>
      <c r="E99" s="111" t="e">
        <f t="shared" ca="1" si="100"/>
        <v>#VALUE!</v>
      </c>
      <c r="F99" s="111" t="e">
        <f t="shared" ca="1" si="100"/>
        <v>#VALUE!</v>
      </c>
      <c r="G99" s="111" t="e">
        <f t="shared" ca="1" si="100"/>
        <v>#VALUE!</v>
      </c>
      <c r="H99" s="111" t="e">
        <f t="shared" ca="1" si="100"/>
        <v>#VALUE!</v>
      </c>
      <c r="I99" s="111" t="e">
        <f t="shared" ca="1" si="100"/>
        <v>#VALUE!</v>
      </c>
      <c r="J99" s="111" t="e">
        <f t="shared" ca="1" si="100"/>
        <v>#VALUE!</v>
      </c>
      <c r="K99" s="111" t="e">
        <f t="shared" ca="1" si="100"/>
        <v>#VALUE!</v>
      </c>
      <c r="L99" s="111" t="e">
        <f t="shared" ca="1" si="100"/>
        <v>#VALUE!</v>
      </c>
      <c r="M99" s="111" t="e">
        <f t="shared" ca="1" si="100"/>
        <v>#VALUE!</v>
      </c>
      <c r="N99" s="111" t="e">
        <f t="shared" ca="1" si="100"/>
        <v>#VALUE!</v>
      </c>
      <c r="O99" s="111" t="e">
        <f t="shared" ca="1" si="100"/>
        <v>#VALUE!</v>
      </c>
      <c r="P99" s="111" t="e">
        <f t="shared" ca="1" si="100"/>
        <v>#VALUE!</v>
      </c>
      <c r="Q99" s="111" t="e">
        <f t="shared" ca="1" si="100"/>
        <v>#VALUE!</v>
      </c>
      <c r="R99" s="111">
        <f t="shared" ca="1" si="100"/>
        <v>0.39793731356450773</v>
      </c>
      <c r="S99" s="111">
        <f t="shared" ca="1" si="100"/>
        <v>0.40697782402054222</v>
      </c>
      <c r="T99" s="111">
        <f t="shared" ca="1" si="100"/>
        <v>0.41569499020835704</v>
      </c>
      <c r="U99" s="111">
        <f t="shared" ca="1" si="100"/>
        <v>0.42410067360439196</v>
      </c>
      <c r="V99" s="111"/>
      <c r="W99" s="111"/>
    </row>
    <row r="101" spans="1:23" x14ac:dyDescent="0.3">
      <c r="A101" t="s">
        <v>980</v>
      </c>
      <c r="B101" s="30" t="e">
        <f>+#REF!/5</f>
        <v>#REF!</v>
      </c>
      <c r="C101" s="30" t="e">
        <f>+B101</f>
        <v>#REF!</v>
      </c>
      <c r="D101" s="30" t="e">
        <f t="shared" ref="D101:F101" si="101">+C101</f>
        <v>#REF!</v>
      </c>
      <c r="E101" s="30" t="e">
        <f t="shared" si="101"/>
        <v>#REF!</v>
      </c>
      <c r="F101" s="30" t="e">
        <f t="shared" si="101"/>
        <v>#REF!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spans="1:23" x14ac:dyDescent="0.3">
      <c r="A102" t="s">
        <v>981</v>
      </c>
      <c r="B102" s="33" t="e">
        <f t="shared" ref="B102:I102" ca="1" si="102">+B98-B101</f>
        <v>#VALUE!</v>
      </c>
      <c r="C102" s="33" t="e">
        <f t="shared" ca="1" si="102"/>
        <v>#VALUE!</v>
      </c>
      <c r="D102" s="33" t="e">
        <f t="shared" ca="1" si="102"/>
        <v>#VALUE!</v>
      </c>
      <c r="E102" s="33" t="e">
        <f t="shared" ca="1" si="102"/>
        <v>#VALUE!</v>
      </c>
      <c r="F102" s="33" t="e">
        <f t="shared" ca="1" si="102"/>
        <v>#VALUE!</v>
      </c>
      <c r="G102" s="33" t="e">
        <f t="shared" ca="1" si="102"/>
        <v>#VALUE!</v>
      </c>
      <c r="H102" s="33" t="e">
        <f t="shared" ca="1" si="102"/>
        <v>#VALUE!</v>
      </c>
      <c r="I102" s="33" t="e">
        <f t="shared" ca="1" si="102"/>
        <v>#VALUE!</v>
      </c>
      <c r="J102" s="33" t="e">
        <f t="shared" ref="J102:P102" ca="1" si="103">+J98-J101</f>
        <v>#VALUE!</v>
      </c>
      <c r="K102" s="33" t="e">
        <f t="shared" ca="1" si="103"/>
        <v>#VALUE!</v>
      </c>
      <c r="L102" s="33" t="e">
        <f t="shared" ca="1" si="103"/>
        <v>#VALUE!</v>
      </c>
      <c r="M102" s="33" t="e">
        <f t="shared" ca="1" si="103"/>
        <v>#VALUE!</v>
      </c>
      <c r="N102" s="33" t="e">
        <f t="shared" ca="1" si="103"/>
        <v>#VALUE!</v>
      </c>
      <c r="O102" s="33" t="e">
        <f t="shared" ca="1" si="103"/>
        <v>#VALUE!</v>
      </c>
      <c r="P102" s="33" t="e">
        <f t="shared" ca="1" si="103"/>
        <v>#VALUE!</v>
      </c>
      <c r="Q102" s="33" t="e">
        <f ca="1">+Q98-Q101</f>
        <v>#VALUE!</v>
      </c>
      <c r="R102" s="33">
        <f t="shared" ref="R102:T102" ca="1" si="104">+R98-R101</f>
        <v>1836782.1660955888</v>
      </c>
      <c r="S102" s="33">
        <f t="shared" ca="1" si="104"/>
        <v>1949940.0379508925</v>
      </c>
      <c r="T102" s="33">
        <f t="shared" ca="1" si="104"/>
        <v>2067164.3817189718</v>
      </c>
      <c r="U102" s="33">
        <f ca="1">+U98-U101</f>
        <v>2198948.4001366245</v>
      </c>
      <c r="V102" s="30" t="e">
        <f ca="1">+SUM(B102:Q102)</f>
        <v>#VALUE!</v>
      </c>
      <c r="W102" s="33"/>
    </row>
    <row r="103" spans="1:23" x14ac:dyDescent="0.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 spans="1:23" x14ac:dyDescent="0.3">
      <c r="A104" t="s">
        <v>982</v>
      </c>
      <c r="B104" s="30">
        <f ca="1">+SUMIF(Producción!$18:$18,EEFF!B$87,Producción!48:48)</f>
        <v>0</v>
      </c>
      <c r="C104" s="30">
        <f ca="1">+SUMIF(Producción!$18:$18,EEFF!C$87,Producción!48:48)</f>
        <v>0</v>
      </c>
      <c r="D104" s="30">
        <f ca="1">+SUMIF(Producción!$18:$18,EEFF!D$87,Producción!48:48)</f>
        <v>0</v>
      </c>
      <c r="E104" s="30">
        <f ca="1">+SUMIF(Producción!$18:$18,EEFF!E$87,Producción!48:48)</f>
        <v>0</v>
      </c>
      <c r="F104" s="30">
        <f ca="1">+SUMIF(Producción!$18:$18,EEFF!F$87,Producción!48:48)</f>
        <v>0</v>
      </c>
      <c r="G104" s="30">
        <f ca="1">+SUMIF(Producción!$18:$18,EEFF!G$87,Producción!48:48)</f>
        <v>0</v>
      </c>
      <c r="H104" s="30">
        <f ca="1">+SUMIF(Producción!$18:$18,EEFF!H$87,Producción!48:48)</f>
        <v>0</v>
      </c>
      <c r="I104" s="30">
        <f ca="1">+SUMIF(Producción!$18:$18,EEFF!I$87,Producción!48:48)</f>
        <v>0</v>
      </c>
      <c r="J104" s="30">
        <f ca="1">+SUMIF(Producción!$18:$18,EEFF!J$87,Producción!48:48)</f>
        <v>0</v>
      </c>
      <c r="K104" s="30">
        <f ca="1">+SUMIF(Producción!$18:$18,EEFF!K$87,Producción!48:48)</f>
        <v>0</v>
      </c>
      <c r="L104" s="30">
        <f ca="1">+SUMIF(Producción!$18:$18,EEFF!L$87,Producción!48:48)</f>
        <v>0</v>
      </c>
      <c r="M104" s="30">
        <f ca="1">+SUMIF(Producción!$18:$18,EEFF!M$87,Producción!48:48)</f>
        <v>0</v>
      </c>
      <c r="N104" s="30">
        <f ca="1">+SUMIF(Producción!$18:$18,EEFF!N$87,Producción!48:48)</f>
        <v>0</v>
      </c>
      <c r="O104" s="30">
        <f ca="1">+SUMIF(Producción!$18:$18,EEFF!O$87,Producción!48:48)</f>
        <v>0</v>
      </c>
      <c r="P104" s="30">
        <f ca="1">+SUMIF(Producción!$18:$18,EEFF!P$87,Producción!48:48)</f>
        <v>0</v>
      </c>
      <c r="Q104" s="30">
        <f ca="1">+SUMIF(Producción!$18:$18,EEFF!Q$87,Producción!48:48)</f>
        <v>0</v>
      </c>
      <c r="R104" s="30">
        <f>+SUMIF(Producción!$18:$18,EEFF!R$87,Producción!48:48)</f>
        <v>0</v>
      </c>
      <c r="S104" s="30">
        <f>+SUMIF(Producción!$18:$18,EEFF!S$87,Producción!48:48)</f>
        <v>0</v>
      </c>
      <c r="T104" s="30">
        <f>+SUMIF(Producción!$18:$18,EEFF!T$87,Producción!48:48)</f>
        <v>0</v>
      </c>
      <c r="U104" s="30">
        <f>+SUMIF(Producción!$18:$18,EEFF!U$87,Producción!48:48)</f>
        <v>0</v>
      </c>
      <c r="V104" s="30">
        <f ca="1">+SUM(B104:Q104)</f>
        <v>0</v>
      </c>
      <c r="W104" s="30"/>
    </row>
    <row r="105" spans="1:23" x14ac:dyDescent="0.3">
      <c r="A105" t="s">
        <v>983</v>
      </c>
      <c r="B105" s="33" t="e">
        <f ca="1">+B102-B104</f>
        <v>#VALUE!</v>
      </c>
      <c r="C105" s="33" t="e">
        <f t="shared" ref="C105:J105" ca="1" si="105">+C102-C104</f>
        <v>#VALUE!</v>
      </c>
      <c r="D105" s="33" t="e">
        <f t="shared" ca="1" si="105"/>
        <v>#VALUE!</v>
      </c>
      <c r="E105" s="33" t="e">
        <f t="shared" ca="1" si="105"/>
        <v>#VALUE!</v>
      </c>
      <c r="F105" s="33" t="e">
        <f t="shared" ca="1" si="105"/>
        <v>#VALUE!</v>
      </c>
      <c r="G105" s="33" t="e">
        <f t="shared" ca="1" si="105"/>
        <v>#VALUE!</v>
      </c>
      <c r="H105" s="33" t="e">
        <f t="shared" ca="1" si="105"/>
        <v>#VALUE!</v>
      </c>
      <c r="I105" s="33" t="e">
        <f t="shared" ca="1" si="105"/>
        <v>#VALUE!</v>
      </c>
      <c r="J105" s="33" t="e">
        <f t="shared" ca="1" si="105"/>
        <v>#VALUE!</v>
      </c>
      <c r="K105" s="33" t="e">
        <f t="shared" ref="K105:Q105" ca="1" si="106">+K102-K104</f>
        <v>#VALUE!</v>
      </c>
      <c r="L105" s="33" t="e">
        <f t="shared" ca="1" si="106"/>
        <v>#VALUE!</v>
      </c>
      <c r="M105" s="33" t="e">
        <f t="shared" ca="1" si="106"/>
        <v>#VALUE!</v>
      </c>
      <c r="N105" s="33" t="e">
        <f t="shared" ca="1" si="106"/>
        <v>#VALUE!</v>
      </c>
      <c r="O105" s="33" t="e">
        <f t="shared" ca="1" si="106"/>
        <v>#VALUE!</v>
      </c>
      <c r="P105" s="33" t="e">
        <f t="shared" ca="1" si="106"/>
        <v>#VALUE!</v>
      </c>
      <c r="Q105" s="33" t="e">
        <f t="shared" ca="1" si="106"/>
        <v>#VALUE!</v>
      </c>
      <c r="R105" s="33">
        <f t="shared" ref="R105:U105" ca="1" si="107">+R102-R104</f>
        <v>1836782.1660955888</v>
      </c>
      <c r="S105" s="33">
        <f t="shared" ca="1" si="107"/>
        <v>1949940.0379508925</v>
      </c>
      <c r="T105" s="33">
        <f t="shared" ca="1" si="107"/>
        <v>2067164.3817189718</v>
      </c>
      <c r="U105" s="33">
        <f t="shared" ca="1" si="107"/>
        <v>2198948.4001366245</v>
      </c>
      <c r="V105" s="30" t="e">
        <f ca="1">+SUM(B105:Q105)</f>
        <v>#VALUE!</v>
      </c>
      <c r="W105" s="33"/>
    </row>
    <row r="107" spans="1:23" x14ac:dyDescent="0.3">
      <c r="A107" t="s">
        <v>984</v>
      </c>
      <c r="B107" s="30" t="e">
        <f t="shared" ref="B107:H107" ca="1" si="108">+B105*$B$47</f>
        <v>#VALUE!</v>
      </c>
      <c r="C107" s="30" t="e">
        <f t="shared" ca="1" si="108"/>
        <v>#VALUE!</v>
      </c>
      <c r="D107" s="30" t="e">
        <f t="shared" ca="1" si="108"/>
        <v>#VALUE!</v>
      </c>
      <c r="E107" s="30" t="e">
        <f t="shared" ca="1" si="108"/>
        <v>#VALUE!</v>
      </c>
      <c r="F107" s="30" t="e">
        <f t="shared" ca="1" si="108"/>
        <v>#VALUE!</v>
      </c>
      <c r="G107" s="30" t="e">
        <f t="shared" ca="1" si="108"/>
        <v>#VALUE!</v>
      </c>
      <c r="H107" s="30" t="e">
        <f t="shared" ca="1" si="108"/>
        <v>#VALUE!</v>
      </c>
      <c r="I107" s="30" t="e">
        <f t="shared" ref="I107:Q107" ca="1" si="109">+I105*$B$47</f>
        <v>#VALUE!</v>
      </c>
      <c r="J107" s="30" t="e">
        <f t="shared" ca="1" si="109"/>
        <v>#VALUE!</v>
      </c>
      <c r="K107" s="30" t="e">
        <f t="shared" ca="1" si="109"/>
        <v>#VALUE!</v>
      </c>
      <c r="L107" s="30" t="e">
        <f t="shared" ca="1" si="109"/>
        <v>#VALUE!</v>
      </c>
      <c r="M107" s="30" t="e">
        <f t="shared" ca="1" si="109"/>
        <v>#VALUE!</v>
      </c>
      <c r="N107" s="30" t="e">
        <f t="shared" ca="1" si="109"/>
        <v>#VALUE!</v>
      </c>
      <c r="O107" s="30" t="e">
        <f t="shared" ca="1" si="109"/>
        <v>#VALUE!</v>
      </c>
      <c r="P107" s="30" t="e">
        <f t="shared" ca="1" si="109"/>
        <v>#VALUE!</v>
      </c>
      <c r="Q107" s="30" t="e">
        <f t="shared" ca="1" si="109"/>
        <v>#VALUE!</v>
      </c>
      <c r="R107" s="30">
        <f t="shared" ref="R107:U107" ca="1" si="110">+R105*$B$47</f>
        <v>642873.75813345599</v>
      </c>
      <c r="S107" s="30">
        <f t="shared" ca="1" si="110"/>
        <v>682479.01328281232</v>
      </c>
      <c r="T107" s="30">
        <f t="shared" ca="1" si="110"/>
        <v>723507.53360164003</v>
      </c>
      <c r="U107" s="30">
        <f t="shared" ca="1" si="110"/>
        <v>769631.94004781847</v>
      </c>
      <c r="V107" s="30" t="e">
        <f ca="1">+SUM(B107:Q107)</f>
        <v>#VALUE!</v>
      </c>
      <c r="W107" s="30"/>
    </row>
    <row r="108" spans="1:23" x14ac:dyDescent="0.3">
      <c r="A108" t="s">
        <v>985</v>
      </c>
      <c r="B108" s="30" t="e">
        <f ca="1">+IF(B105&lt;0,0,B107*50%)</f>
        <v>#VALUE!</v>
      </c>
      <c r="C108" s="30" t="e">
        <f t="shared" ref="C108:J108" ca="1" si="111">+IF(C105&lt;0,0,C107*50%)</f>
        <v>#VALUE!</v>
      </c>
      <c r="D108" s="30" t="e">
        <f t="shared" ca="1" si="111"/>
        <v>#VALUE!</v>
      </c>
      <c r="E108" s="30" t="e">
        <f t="shared" ca="1" si="111"/>
        <v>#VALUE!</v>
      </c>
      <c r="F108" s="30" t="e">
        <f t="shared" ca="1" si="111"/>
        <v>#VALUE!</v>
      </c>
      <c r="G108" s="30" t="e">
        <f t="shared" ca="1" si="111"/>
        <v>#VALUE!</v>
      </c>
      <c r="H108" s="30" t="e">
        <f t="shared" ca="1" si="111"/>
        <v>#VALUE!</v>
      </c>
      <c r="I108" s="30" t="e">
        <f t="shared" ca="1" si="111"/>
        <v>#VALUE!</v>
      </c>
      <c r="J108" s="30" t="e">
        <f t="shared" ca="1" si="111"/>
        <v>#VALUE!</v>
      </c>
      <c r="K108" s="30" t="e">
        <f t="shared" ref="K108" ca="1" si="112">+IF(K105&lt;0,0,K107*50%)</f>
        <v>#VALUE!</v>
      </c>
      <c r="L108" s="30" t="e">
        <f t="shared" ref="L108" ca="1" si="113">+IF(L105&lt;0,0,L107*50%)</f>
        <v>#VALUE!</v>
      </c>
      <c r="M108" s="30" t="e">
        <f t="shared" ref="M108" ca="1" si="114">+IF(M105&lt;0,0,M107*50%)</f>
        <v>#VALUE!</v>
      </c>
      <c r="N108" s="30" t="e">
        <f t="shared" ref="N108" ca="1" si="115">+IF(N105&lt;0,0,N107*50%)</f>
        <v>#VALUE!</v>
      </c>
      <c r="O108" s="30" t="e">
        <f t="shared" ref="O108" ca="1" si="116">+IF(O105&lt;0,0,O107*50%)</f>
        <v>#VALUE!</v>
      </c>
      <c r="P108" s="30" t="e">
        <f t="shared" ref="P108" ca="1" si="117">+IF(P105&lt;0,0,P107*50%)</f>
        <v>#VALUE!</v>
      </c>
      <c r="Q108" s="30" t="e">
        <f t="shared" ref="Q108" ca="1" si="118">+IF(Q105&lt;0,0,Q107*50%)</f>
        <v>#VALUE!</v>
      </c>
      <c r="R108" s="30">
        <f t="shared" ref="R108" ca="1" si="119">+IF(R105&lt;0,0,R107*50%)</f>
        <v>321436.879066728</v>
      </c>
      <c r="S108" s="30">
        <f t="shared" ref="S108" ca="1" si="120">+IF(S105&lt;0,0,S107*50%)</f>
        <v>341239.50664140616</v>
      </c>
      <c r="T108" s="30">
        <f t="shared" ref="T108" ca="1" si="121">+IF(T105&lt;0,0,T107*50%)</f>
        <v>361753.76680082001</v>
      </c>
      <c r="U108" s="30">
        <f t="shared" ref="U108" ca="1" si="122">+IF(U105&lt;0,0,U107*50%)</f>
        <v>384815.97002390923</v>
      </c>
      <c r="V108" s="30" t="e">
        <f ca="1">+SUM(B108:Q108)</f>
        <v>#VALUE!</v>
      </c>
      <c r="W108" s="30"/>
    </row>
    <row r="109" spans="1:23" x14ac:dyDescent="0.3">
      <c r="A109" t="s">
        <v>987</v>
      </c>
      <c r="B109" s="33" t="e">
        <f ca="1">+B105-(B107-B108)</f>
        <v>#VALUE!</v>
      </c>
      <c r="C109" s="33" t="e">
        <f t="shared" ref="C109:J109" ca="1" si="123">+C105-(C107-C108)</f>
        <v>#VALUE!</v>
      </c>
      <c r="D109" s="33" t="e">
        <f t="shared" ca="1" si="123"/>
        <v>#VALUE!</v>
      </c>
      <c r="E109" s="33" t="e">
        <f t="shared" ca="1" si="123"/>
        <v>#VALUE!</v>
      </c>
      <c r="F109" s="33" t="e">
        <f t="shared" ca="1" si="123"/>
        <v>#VALUE!</v>
      </c>
      <c r="G109" s="33" t="e">
        <f t="shared" ca="1" si="123"/>
        <v>#VALUE!</v>
      </c>
      <c r="H109" s="33" t="e">
        <f t="shared" ca="1" si="123"/>
        <v>#VALUE!</v>
      </c>
      <c r="I109" s="33" t="e">
        <f t="shared" ca="1" si="123"/>
        <v>#VALUE!</v>
      </c>
      <c r="J109" s="33" t="e">
        <f t="shared" ca="1" si="123"/>
        <v>#VALUE!</v>
      </c>
      <c r="K109" s="33" t="e">
        <f t="shared" ref="K109" ca="1" si="124">+K105-(K107-K108)</f>
        <v>#VALUE!</v>
      </c>
      <c r="L109" s="33" t="e">
        <f t="shared" ref="L109" ca="1" si="125">+L105-(L107-L108)</f>
        <v>#VALUE!</v>
      </c>
      <c r="M109" s="33" t="e">
        <f t="shared" ref="M109" ca="1" si="126">+M105-(M107-M108)</f>
        <v>#VALUE!</v>
      </c>
      <c r="N109" s="33" t="e">
        <f t="shared" ref="N109" ca="1" si="127">+N105-(N107-N108)</f>
        <v>#VALUE!</v>
      </c>
      <c r="O109" s="33" t="e">
        <f t="shared" ref="O109" ca="1" si="128">+O105-(O107-O108)</f>
        <v>#VALUE!</v>
      </c>
      <c r="P109" s="33" t="e">
        <f t="shared" ref="P109" ca="1" si="129">+P105-(P107-P108)</f>
        <v>#VALUE!</v>
      </c>
      <c r="Q109" s="33" t="e">
        <f t="shared" ref="Q109" ca="1" si="130">+Q105-(Q107-Q108)</f>
        <v>#VALUE!</v>
      </c>
      <c r="R109" s="33">
        <f t="shared" ref="R109" ca="1" si="131">+R105-(R107-R108)</f>
        <v>1515345.2870288608</v>
      </c>
      <c r="S109" s="33">
        <f t="shared" ref="S109" ca="1" si="132">+S105-(S107-S108)</f>
        <v>1608700.5313094864</v>
      </c>
      <c r="T109" s="33">
        <f t="shared" ref="T109" ca="1" si="133">+T105-(T107-T108)</f>
        <v>1705410.6149181519</v>
      </c>
      <c r="U109" s="33">
        <f t="shared" ref="U109" ca="1" si="134">+U105-(U107-U108)</f>
        <v>1814132.4301127153</v>
      </c>
      <c r="V109" s="113" t="e">
        <f ca="1">+SUM(B109:Q109)</f>
        <v>#VALUE!</v>
      </c>
      <c r="W109" s="113"/>
    </row>
    <row r="110" spans="1:23" x14ac:dyDescent="0.3">
      <c r="A110" t="s">
        <v>988</v>
      </c>
      <c r="B110" s="114" t="e">
        <f ca="1">B109/B88</f>
        <v>#VALUE!</v>
      </c>
      <c r="C110" s="114" t="e">
        <f t="shared" ref="C110:Q110" ca="1" si="135">C109/C88</f>
        <v>#VALUE!</v>
      </c>
      <c r="D110" s="114" t="e">
        <f t="shared" ca="1" si="135"/>
        <v>#VALUE!</v>
      </c>
      <c r="E110" s="114" t="e">
        <f t="shared" ca="1" si="135"/>
        <v>#VALUE!</v>
      </c>
      <c r="F110" s="114" t="e">
        <f t="shared" ca="1" si="135"/>
        <v>#VALUE!</v>
      </c>
      <c r="G110" s="114" t="e">
        <f t="shared" ca="1" si="135"/>
        <v>#VALUE!</v>
      </c>
      <c r="H110" s="114" t="e">
        <f t="shared" ca="1" si="135"/>
        <v>#VALUE!</v>
      </c>
      <c r="I110" s="114" t="e">
        <f t="shared" ca="1" si="135"/>
        <v>#VALUE!</v>
      </c>
      <c r="J110" s="114" t="e">
        <f t="shared" ca="1" si="135"/>
        <v>#VALUE!</v>
      </c>
      <c r="K110" s="114" t="e">
        <f t="shared" ca="1" si="135"/>
        <v>#VALUE!</v>
      </c>
      <c r="L110" s="114" t="e">
        <f t="shared" ca="1" si="135"/>
        <v>#VALUE!</v>
      </c>
      <c r="M110" s="114" t="e">
        <f t="shared" ca="1" si="135"/>
        <v>#VALUE!</v>
      </c>
      <c r="N110" s="114" t="e">
        <f t="shared" ca="1" si="135"/>
        <v>#VALUE!</v>
      </c>
      <c r="O110" s="114" t="e">
        <f t="shared" ca="1" si="135"/>
        <v>#VALUE!</v>
      </c>
      <c r="P110" s="114" t="e">
        <f t="shared" ca="1" si="135"/>
        <v>#VALUE!</v>
      </c>
      <c r="Q110" s="114" t="e">
        <f t="shared" ca="1" si="135"/>
        <v>#VALUE!</v>
      </c>
      <c r="R110" s="114">
        <f t="shared" ref="R110" ca="1" si="136">R109/R88</f>
        <v>0.32829828369071884</v>
      </c>
      <c r="S110" s="114">
        <f t="shared" ref="S110" ca="1" si="137">S109/S88</f>
        <v>0.33575670481694736</v>
      </c>
      <c r="T110" s="114">
        <f t="shared" ref="T110" ca="1" si="138">T109/T88</f>
        <v>0.34294836692189457</v>
      </c>
      <c r="U110" s="114">
        <f t="shared" ref="U110" ca="1" si="139">U109/U88</f>
        <v>0.34988305572362344</v>
      </c>
      <c r="V110" s="114"/>
      <c r="W110" s="114"/>
    </row>
    <row r="112" spans="1:23" x14ac:dyDescent="0.3">
      <c r="A112" t="s">
        <v>640</v>
      </c>
      <c r="B112" s="30">
        <f ca="1">+SUMIF(Producción!$18:$18,EEFF!B$87,Producción!47:47)</f>
        <v>0</v>
      </c>
      <c r="C112" s="30">
        <f ca="1">+SUMIF(Producción!$18:$18,EEFF!C$87,Producción!47:47)</f>
        <v>0</v>
      </c>
      <c r="D112" s="30">
        <f ca="1">+SUMIF(Producción!$18:$18,EEFF!D$87,Producción!47:47)</f>
        <v>0</v>
      </c>
      <c r="E112" s="30">
        <f ca="1">+SUMIF(Producción!$18:$18,EEFF!E$87,Producción!47:47)</f>
        <v>0</v>
      </c>
      <c r="F112" s="30">
        <f ca="1">+SUMIF(Producción!$18:$18,EEFF!F$87,Producción!47:47)</f>
        <v>0</v>
      </c>
      <c r="G112" s="30">
        <f ca="1">+SUMIF(Producción!$18:$18,EEFF!G$87,Producción!47:47)</f>
        <v>0</v>
      </c>
      <c r="H112" s="30">
        <f ca="1">+SUMIF(Producción!$18:$18,EEFF!H$87,Producción!47:47)</f>
        <v>0</v>
      </c>
      <c r="I112" s="30">
        <f ca="1">+SUMIF(Producción!$18:$18,EEFF!I$87,Producción!47:47)</f>
        <v>0</v>
      </c>
      <c r="J112" s="30">
        <f ca="1">+SUMIF(Producción!$18:$18,EEFF!J$87,Producción!47:47)</f>
        <v>0</v>
      </c>
      <c r="K112" s="30">
        <f ca="1">+SUMIF(Producción!$18:$18,EEFF!K$87,Producción!47:47)</f>
        <v>0</v>
      </c>
      <c r="L112" s="30">
        <f ca="1">+SUMIF(Producción!$18:$18,EEFF!L$87,Producción!47:47)</f>
        <v>0</v>
      </c>
      <c r="M112" s="30">
        <f ca="1">+SUMIF(Producción!$18:$18,EEFF!M$87,Producción!47:47)</f>
        <v>0</v>
      </c>
      <c r="N112" s="30">
        <f ca="1">+SUMIF(Producción!$18:$18,EEFF!N$87,Producción!47:47)</f>
        <v>0</v>
      </c>
      <c r="O112" s="30">
        <f ca="1">+SUMIF(Producción!$18:$18,EEFF!O$87,Producción!47:47)</f>
        <v>0</v>
      </c>
      <c r="P112" s="30">
        <f ca="1">+SUMIF(Producción!$18:$18,EEFF!P$87,Producción!47:47)</f>
        <v>0</v>
      </c>
      <c r="Q112" s="30">
        <f ca="1">+SUMIF(Producción!$18:$18,EEFF!Q$87,Producción!47:47)</f>
        <v>0</v>
      </c>
      <c r="R112" s="30">
        <f>+SUMIF(Producción!$18:$18,EEFF!R$87,Producción!47:47)</f>
        <v>0</v>
      </c>
      <c r="S112" s="30">
        <f>+SUMIF(Producción!$18:$18,EEFF!S$87,Producción!47:47)</f>
        <v>0</v>
      </c>
      <c r="T112" s="30">
        <f>+SUMIF(Producción!$18:$18,EEFF!T$87,Producción!47:47)</f>
        <v>0</v>
      </c>
      <c r="U112" s="30">
        <f>+SUMIF(Producción!$18:$18,EEFF!U$87,Producción!47:47)</f>
        <v>0</v>
      </c>
    </row>
    <row r="113" spans="1:23" x14ac:dyDescent="0.3">
      <c r="A113" t="s">
        <v>1005</v>
      </c>
      <c r="B113" s="73" t="e">
        <f ca="1">+B93-B96-B97-B112-B104</f>
        <v>#VALUE!</v>
      </c>
      <c r="C113" s="73" t="e">
        <f t="shared" ref="C113:U113" ca="1" si="140">+C93-C96-C97-C112-C104</f>
        <v>#VALUE!</v>
      </c>
      <c r="D113" s="73" t="e">
        <f t="shared" ca="1" si="140"/>
        <v>#VALUE!</v>
      </c>
      <c r="E113" s="73" t="e">
        <f t="shared" ca="1" si="140"/>
        <v>#VALUE!</v>
      </c>
      <c r="F113" s="73" t="e">
        <f t="shared" ca="1" si="140"/>
        <v>#VALUE!</v>
      </c>
      <c r="G113" s="73" t="e">
        <f t="shared" ca="1" si="140"/>
        <v>#VALUE!</v>
      </c>
      <c r="H113" s="73" t="e">
        <f t="shared" ca="1" si="140"/>
        <v>#VALUE!</v>
      </c>
      <c r="I113" s="73" t="e">
        <f t="shared" ca="1" si="140"/>
        <v>#VALUE!</v>
      </c>
      <c r="J113" s="73" t="e">
        <f t="shared" ca="1" si="140"/>
        <v>#VALUE!</v>
      </c>
      <c r="K113" s="73" t="e">
        <f t="shared" ca="1" si="140"/>
        <v>#VALUE!</v>
      </c>
      <c r="L113" s="73" t="e">
        <f t="shared" ca="1" si="140"/>
        <v>#VALUE!</v>
      </c>
      <c r="M113" s="73" t="e">
        <f t="shared" ca="1" si="140"/>
        <v>#VALUE!</v>
      </c>
      <c r="N113" s="73" t="e">
        <f t="shared" ca="1" si="140"/>
        <v>#VALUE!</v>
      </c>
      <c r="O113" s="73" t="e">
        <f t="shared" ca="1" si="140"/>
        <v>#VALUE!</v>
      </c>
      <c r="P113" s="73" t="e">
        <f t="shared" ca="1" si="140"/>
        <v>#VALUE!</v>
      </c>
      <c r="Q113" s="73" t="e">
        <f t="shared" ca="1" si="140"/>
        <v>#VALUE!</v>
      </c>
      <c r="R113" s="73">
        <f t="shared" ca="1" si="140"/>
        <v>1836782.1660955888</v>
      </c>
      <c r="S113" s="73">
        <f t="shared" ca="1" si="140"/>
        <v>1949940.0379508925</v>
      </c>
      <c r="T113" s="73">
        <f t="shared" ca="1" si="140"/>
        <v>2067164.3817189718</v>
      </c>
      <c r="U113" s="73">
        <f t="shared" ca="1" si="140"/>
        <v>2198948.4001366245</v>
      </c>
      <c r="V113" s="30" t="e">
        <f ca="1">+SUM(B113:Q113)</f>
        <v>#VALUE!</v>
      </c>
      <c r="W113" s="73"/>
    </row>
    <row r="114" spans="1:23" x14ac:dyDescent="0.3">
      <c r="A114" t="s">
        <v>990</v>
      </c>
      <c r="B114" s="73" t="e">
        <f t="shared" ref="B114:L114" ca="1" si="141">IF(B107&lt;0,B93-B96-B97-B101-B104,B93-B96-B97-B101-B104-B107)</f>
        <v>#VALUE!</v>
      </c>
      <c r="C114" s="73" t="e">
        <f t="shared" ca="1" si="141"/>
        <v>#VALUE!</v>
      </c>
      <c r="D114" s="73" t="e">
        <f t="shared" ca="1" si="141"/>
        <v>#VALUE!</v>
      </c>
      <c r="E114" s="73" t="e">
        <f t="shared" ca="1" si="141"/>
        <v>#VALUE!</v>
      </c>
      <c r="F114" s="73" t="e">
        <f t="shared" ca="1" si="141"/>
        <v>#VALUE!</v>
      </c>
      <c r="G114" s="73" t="e">
        <f t="shared" ca="1" si="141"/>
        <v>#VALUE!</v>
      </c>
      <c r="H114" s="73" t="e">
        <f t="shared" ca="1" si="141"/>
        <v>#VALUE!</v>
      </c>
      <c r="I114" s="73" t="e">
        <f t="shared" ca="1" si="141"/>
        <v>#VALUE!</v>
      </c>
      <c r="J114" s="73" t="e">
        <f t="shared" ca="1" si="141"/>
        <v>#VALUE!</v>
      </c>
      <c r="K114" s="73" t="e">
        <f t="shared" ca="1" si="141"/>
        <v>#VALUE!</v>
      </c>
      <c r="L114" s="73" t="e">
        <f t="shared" ca="1" si="141"/>
        <v>#VALUE!</v>
      </c>
      <c r="M114" s="38" t="e">
        <f t="shared" ref="M114:U114" ca="1" si="142">+M113/M88</f>
        <v>#VALUE!</v>
      </c>
      <c r="N114" s="38" t="e">
        <f t="shared" ca="1" si="142"/>
        <v>#VALUE!</v>
      </c>
      <c r="O114" s="38" t="e">
        <f t="shared" ca="1" si="142"/>
        <v>#VALUE!</v>
      </c>
      <c r="P114" s="38" t="e">
        <f t="shared" ca="1" si="142"/>
        <v>#VALUE!</v>
      </c>
      <c r="Q114" s="38" t="e">
        <f t="shared" ca="1" si="142"/>
        <v>#VALUE!</v>
      </c>
      <c r="R114" s="38">
        <f t="shared" ca="1" si="142"/>
        <v>0.39793731356450773</v>
      </c>
      <c r="S114" s="38">
        <f t="shared" ca="1" si="142"/>
        <v>0.40697782402054222</v>
      </c>
      <c r="T114" s="38">
        <f t="shared" ca="1" si="142"/>
        <v>0.41569499020835704</v>
      </c>
      <c r="U114" s="38">
        <f t="shared" ca="1" si="142"/>
        <v>0.42410067360439196</v>
      </c>
      <c r="V114" s="38"/>
      <c r="W114" s="38"/>
    </row>
    <row r="116" spans="1:23" x14ac:dyDescent="0.3">
      <c r="A116" t="s">
        <v>992</v>
      </c>
      <c r="B116" t="s">
        <v>993</v>
      </c>
      <c r="C116" t="s">
        <v>994</v>
      </c>
    </row>
    <row r="117" spans="1:23" x14ac:dyDescent="0.3">
      <c r="B117" s="30" t="e">
        <f>+#REF!*50%</f>
        <v>#REF!</v>
      </c>
    </row>
    <row r="118" spans="1:23" x14ac:dyDescent="0.3">
      <c r="A118" t="s">
        <v>995</v>
      </c>
      <c r="B118" s="30" t="e">
        <f ca="1">+SUM(B108:F108)</f>
        <v>#VALUE!</v>
      </c>
    </row>
    <row r="119" spans="1:23" x14ac:dyDescent="0.3">
      <c r="A119" t="s">
        <v>996</v>
      </c>
      <c r="B119" s="30" t="e">
        <f ca="1">+B117-B118</f>
        <v>#REF!</v>
      </c>
    </row>
    <row r="122" spans="1:23" x14ac:dyDescent="0.3">
      <c r="A122" t="s">
        <v>1006</v>
      </c>
      <c r="B122">
        <v>2025</v>
      </c>
      <c r="C122">
        <v>2026</v>
      </c>
      <c r="D122">
        <v>2027</v>
      </c>
      <c r="E122">
        <v>2028</v>
      </c>
      <c r="F122">
        <v>2029</v>
      </c>
      <c r="G122">
        <v>2030</v>
      </c>
      <c r="H122">
        <v>2031</v>
      </c>
      <c r="I122">
        <v>2032</v>
      </c>
      <c r="J122">
        <v>2033</v>
      </c>
      <c r="K122">
        <v>2034</v>
      </c>
      <c r="L122">
        <v>2035</v>
      </c>
      <c r="M122">
        <v>2036</v>
      </c>
      <c r="N122">
        <v>2037</v>
      </c>
      <c r="O122">
        <v>2038</v>
      </c>
      <c r="P122">
        <v>2039</v>
      </c>
      <c r="Q122">
        <v>2040</v>
      </c>
      <c r="R122">
        <v>2041</v>
      </c>
      <c r="S122">
        <v>2042</v>
      </c>
      <c r="T122">
        <v>2043</v>
      </c>
      <c r="U122">
        <v>2044</v>
      </c>
    </row>
    <row r="123" spans="1:23" x14ac:dyDescent="0.3">
      <c r="A123" t="s">
        <v>727</v>
      </c>
      <c r="B123" s="33">
        <f ca="1">+Tarifas!D17</f>
        <v>117.76437779643382</v>
      </c>
      <c r="C123" s="33">
        <f ca="1">+Tarifas!E17</f>
        <v>120.70848724134466</v>
      </c>
      <c r="D123" s="33">
        <f ca="1">+Tarifas!F17</f>
        <v>124.32974185858502</v>
      </c>
      <c r="E123" s="33">
        <f ca="1">+Tarifas!G17</f>
        <v>128.0596341143426</v>
      </c>
      <c r="F123" s="33">
        <f ca="1">+Tarifas!H17</f>
        <v>131.90142313777287</v>
      </c>
      <c r="G123" s="33">
        <f ca="1">+Tarifas!I17</f>
        <v>135.8584658319061</v>
      </c>
      <c r="H123" s="33">
        <f ca="1">+Tarifas!J17</f>
        <v>139.93421980686321</v>
      </c>
      <c r="I123" s="33">
        <f ca="1">+Tarifas!K17</f>
        <v>144.13224640106918</v>
      </c>
      <c r="J123" s="33">
        <f ca="1">+Tarifas!L17</f>
        <v>148.45621379310126</v>
      </c>
      <c r="K123" s="33">
        <f ca="1">+Tarifas!M17</f>
        <v>152.90990020689432</v>
      </c>
      <c r="L123" s="33">
        <f ca="1">+Tarifas!N17</f>
        <v>157.49719721310109</v>
      </c>
      <c r="M123" s="33">
        <f ca="1">+Tarifas!O17</f>
        <v>162.22211312949415</v>
      </c>
      <c r="N123" s="33">
        <f ca="1">+Tarifas!P17</f>
        <v>167.0887765233789</v>
      </c>
      <c r="O123" s="33">
        <f ca="1">+Tarifas!Q17</f>
        <v>172.1014398190803</v>
      </c>
      <c r="P123" s="33">
        <f ca="1">+Tarifas!R17</f>
        <v>177.26448301365278</v>
      </c>
      <c r="Q123" s="33">
        <f ca="1">+Tarifas!S17</f>
        <v>182.58241750406228</v>
      </c>
      <c r="R123" s="33">
        <f ca="1">+Tarifas!T17</f>
        <v>188.05989002918412</v>
      </c>
      <c r="S123" s="33">
        <f ca="1">+Tarifas!U17</f>
        <v>193.70168673005966</v>
      </c>
      <c r="T123" s="33">
        <f ca="1">+Tarifas!V17</f>
        <v>199.51273733196146</v>
      </c>
      <c r="U123" s="33">
        <f ca="1">+Tarifas!W17</f>
        <v>205.4981194519203</v>
      </c>
    </row>
    <row r="124" spans="1:23" x14ac:dyDescent="0.3">
      <c r="A124" t="s">
        <v>741</v>
      </c>
      <c r="B124" s="33">
        <f ca="1">+Tarifas!D20</f>
        <v>117.76437779643382</v>
      </c>
      <c r="C124" s="33">
        <f ca="1">+Tarifas!E20</f>
        <v>120.70848724134466</v>
      </c>
      <c r="D124" s="33">
        <f ca="1">+Tarifas!F20</f>
        <v>124.32974185858502</v>
      </c>
      <c r="E124" s="33">
        <f ca="1">+Tarifas!G20</f>
        <v>128.0596341143426</v>
      </c>
      <c r="F124" s="33">
        <f ca="1">+Tarifas!H20</f>
        <v>131.90142313777287</v>
      </c>
      <c r="G124" s="33">
        <f ca="1">+Tarifas!I20</f>
        <v>135.8584658319061</v>
      </c>
      <c r="H124" s="33">
        <f ca="1">+Tarifas!J20</f>
        <v>139.93421980686321</v>
      </c>
      <c r="I124" s="33">
        <f ca="1">+Tarifas!K20</f>
        <v>144.13224640106918</v>
      </c>
      <c r="J124" s="33">
        <f ca="1">+Tarifas!L20</f>
        <v>148.45621379310126</v>
      </c>
      <c r="K124" s="33">
        <f ca="1">+Tarifas!M20</f>
        <v>152.90990020689432</v>
      </c>
      <c r="L124" s="33">
        <f ca="1">+Tarifas!N20</f>
        <v>157.49719721310109</v>
      </c>
      <c r="M124" s="33">
        <f ca="1">+Tarifas!O20</f>
        <v>162.22211312949415</v>
      </c>
      <c r="N124" s="33">
        <f ca="1">+Tarifas!P20</f>
        <v>167.0887765233789</v>
      </c>
      <c r="O124" s="33">
        <f ca="1">+Tarifas!Q20</f>
        <v>172.1014398190803</v>
      </c>
      <c r="P124" s="33">
        <f ca="1">+Tarifas!R20</f>
        <v>177.26448301365278</v>
      </c>
      <c r="Q124" s="33">
        <f ca="1">+Tarifas!S20</f>
        <v>182.58241750406228</v>
      </c>
      <c r="R124" s="33">
        <f ca="1">+Tarifas!T20</f>
        <v>188.05989002918412</v>
      </c>
      <c r="S124" s="33">
        <f ca="1">+Tarifas!U20</f>
        <v>193.70168673005966</v>
      </c>
      <c r="T124" s="33">
        <f ca="1">+Tarifas!V20</f>
        <v>199.51273733196146</v>
      </c>
      <c r="U124" s="33">
        <f ca="1">+Tarifas!W20</f>
        <v>205.4981194519203</v>
      </c>
    </row>
    <row r="125" spans="1:23" x14ac:dyDescent="0.3">
      <c r="A125" t="s">
        <v>743</v>
      </c>
      <c r="B125" s="33">
        <f ca="1">+Tarifas!D21</f>
        <v>98.972189850194368</v>
      </c>
      <c r="C125" s="33">
        <f ca="1">+Tarifas!E21</f>
        <v>103.92079934270411</v>
      </c>
      <c r="D125" s="33">
        <f ca="1">+Tarifas!F21</f>
        <v>109.11683930983934</v>
      </c>
      <c r="E125" s="33">
        <f ca="1">+Tarifas!G21</f>
        <v>112.39034448913451</v>
      </c>
      <c r="F125" s="33">
        <f ca="1">+Tarifas!H21</f>
        <v>118.00986171359121</v>
      </c>
      <c r="G125" s="33">
        <f ca="1">+Tarifas!I21</f>
        <v>121.55015756499894</v>
      </c>
      <c r="H125" s="33">
        <f ca="1">+Tarifas!J21</f>
        <v>127.62766544324897</v>
      </c>
      <c r="I125" s="33">
        <f ca="1">+Tarifas!K21</f>
        <v>134.00904871541138</v>
      </c>
      <c r="J125" s="33">
        <f ca="1">+Tarifas!L21</f>
        <v>140.70950115118197</v>
      </c>
      <c r="K125" s="33">
        <f ca="1">+Tarifas!M21</f>
        <v>147.74497620874106</v>
      </c>
      <c r="L125" s="33">
        <f ca="1">+Tarifas!N21</f>
        <v>155.13222501917812</v>
      </c>
      <c r="M125" s="33">
        <f ca="1">+Tarifas!O21</f>
        <v>162.88883627013703</v>
      </c>
      <c r="N125" s="33">
        <f ca="1">+Tarifas!P21</f>
        <v>171.03327808364386</v>
      </c>
      <c r="O125" s="33">
        <f ca="1">+Tarifas!Q21</f>
        <v>179.58494198782611</v>
      </c>
      <c r="P125" s="33">
        <f ca="1">+Tarifas!R21</f>
        <v>188.56418908721739</v>
      </c>
      <c r="Q125" s="33">
        <f ca="1">+Tarifas!S21</f>
        <v>197.99239854157827</v>
      </c>
      <c r="R125" s="33">
        <f ca="1">+Tarifas!T21</f>
        <v>207.8920184686572</v>
      </c>
      <c r="S125" s="33">
        <f ca="1">+Tarifas!U21</f>
        <v>218.28661939208999</v>
      </c>
      <c r="T125" s="33">
        <f ca="1">+Tarifas!V21</f>
        <v>229.20095036169459</v>
      </c>
      <c r="U125" s="33">
        <f ca="1">+Tarifas!W21</f>
        <v>240.6609978797793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003D-72AD-47BE-9C4B-03635755A42C}">
  <dimension ref="A2:U12"/>
  <sheetViews>
    <sheetView workbookViewId="0">
      <selection activeCell="F16" sqref="F16"/>
    </sheetView>
  </sheetViews>
  <sheetFormatPr baseColWidth="10" defaultColWidth="11.44140625" defaultRowHeight="14.4" x14ac:dyDescent="0.3"/>
  <cols>
    <col min="1" max="1" width="13.21875" bestFit="1" customWidth="1"/>
    <col min="2" max="2" width="16.44140625" bestFit="1" customWidth="1"/>
    <col min="3" max="6" width="14.44140625" bestFit="1" customWidth="1"/>
    <col min="7" max="21" width="15.44140625" bestFit="1" customWidth="1"/>
  </cols>
  <sheetData>
    <row r="2" spans="1:21" x14ac:dyDescent="0.3">
      <c r="B2">
        <v>2025</v>
      </c>
      <c r="C2">
        <v>2026</v>
      </c>
      <c r="D2">
        <v>2027</v>
      </c>
      <c r="E2">
        <v>2028</v>
      </c>
      <c r="F2">
        <v>2029</v>
      </c>
      <c r="G2">
        <v>2030</v>
      </c>
      <c r="H2">
        <v>2031</v>
      </c>
      <c r="I2">
        <v>2032</v>
      </c>
      <c r="J2">
        <v>2033</v>
      </c>
      <c r="K2">
        <v>2034</v>
      </c>
      <c r="L2">
        <v>2035</v>
      </c>
      <c r="M2">
        <v>2036</v>
      </c>
      <c r="N2">
        <v>2037</v>
      </c>
      <c r="O2">
        <v>2038</v>
      </c>
      <c r="P2">
        <v>2039</v>
      </c>
      <c r="Q2">
        <v>2040</v>
      </c>
      <c r="R2">
        <v>2041</v>
      </c>
      <c r="S2">
        <v>2042</v>
      </c>
      <c r="T2">
        <v>2043</v>
      </c>
      <c r="U2">
        <v>2044</v>
      </c>
    </row>
    <row r="3" spans="1:21" x14ac:dyDescent="0.3">
      <c r="A3" t="s">
        <v>944</v>
      </c>
      <c r="B3" s="33">
        <f>+SUM(B4:B6)</f>
        <v>0</v>
      </c>
      <c r="C3" s="33">
        <f>+SUM(C4:C6)</f>
        <v>50000</v>
      </c>
      <c r="D3" s="33">
        <f t="shared" ref="D3:U3" si="0">+SUM(D4:D6)</f>
        <v>1127000</v>
      </c>
      <c r="E3" s="33">
        <f t="shared" si="0"/>
        <v>1142270</v>
      </c>
      <c r="F3" s="33">
        <f t="shared" si="0"/>
        <v>1151818.0999999999</v>
      </c>
      <c r="G3" s="33">
        <f t="shared" si="0"/>
        <v>1594025.7462494061</v>
      </c>
      <c r="H3" s="33">
        <f t="shared" si="0"/>
        <v>1935229.5874560936</v>
      </c>
      <c r="I3" s="33">
        <f t="shared" si="0"/>
        <v>1968566.4750797765</v>
      </c>
      <c r="J3" s="33">
        <f t="shared" si="0"/>
        <v>2002903.4693321702</v>
      </c>
      <c r="K3" s="33">
        <f t="shared" si="0"/>
        <v>2038270.573412135</v>
      </c>
      <c r="L3" s="33">
        <f t="shared" si="0"/>
        <v>2074698.6906144992</v>
      </c>
      <c r="M3" s="33">
        <f t="shared" si="0"/>
        <v>2112219.6513329339</v>
      </c>
      <c r="N3" s="33">
        <f t="shared" si="0"/>
        <v>2150866.2408729224</v>
      </c>
      <c r="O3" s="33">
        <f t="shared" si="0"/>
        <v>2190672.2280991105</v>
      </c>
      <c r="P3" s="33">
        <f t="shared" si="0"/>
        <v>2231672.3949420834</v>
      </c>
      <c r="Q3" s="33">
        <f t="shared" si="0"/>
        <v>2273902.5667903461</v>
      </c>
      <c r="R3" s="33">
        <f t="shared" si="0"/>
        <v>2317399.6437940565</v>
      </c>
      <c r="S3" s="33">
        <f t="shared" si="0"/>
        <v>2362201.6331078783</v>
      </c>
      <c r="T3" s="33">
        <f t="shared" si="0"/>
        <v>2408347.6821011147</v>
      </c>
      <c r="U3" s="33">
        <f t="shared" si="0"/>
        <v>2467522.7547030291</v>
      </c>
    </row>
    <row r="4" spans="1:21" x14ac:dyDescent="0.3">
      <c r="A4" t="s">
        <v>643</v>
      </c>
      <c r="B4" s="30">
        <f>+EEFF!B8</f>
        <v>0</v>
      </c>
      <c r="C4" s="30">
        <f>+EEFF!C8</f>
        <v>0</v>
      </c>
      <c r="D4" s="30">
        <f>+EEFF!D8</f>
        <v>818000</v>
      </c>
      <c r="E4" s="30">
        <f>+EEFF!E8</f>
        <v>824000</v>
      </c>
      <c r="F4" s="30">
        <f>+EEFF!F8</f>
        <v>824000</v>
      </c>
      <c r="G4" s="30">
        <f>+EEFF!G8</f>
        <v>824000</v>
      </c>
      <c r="H4" s="30">
        <f>+EEFF!H8</f>
        <v>824000</v>
      </c>
      <c r="I4" s="30">
        <f>+EEFF!I8</f>
        <v>824000</v>
      </c>
      <c r="J4" s="30">
        <f>+EEFF!J8</f>
        <v>824000</v>
      </c>
      <c r="K4" s="30">
        <f>+EEFF!K8</f>
        <v>824000</v>
      </c>
      <c r="L4" s="30">
        <f>+EEFF!L8</f>
        <v>824000</v>
      </c>
      <c r="M4" s="30">
        <f>+EEFF!M8</f>
        <v>824000</v>
      </c>
      <c r="N4" s="30">
        <f>+EEFF!N8</f>
        <v>824000</v>
      </c>
      <c r="O4" s="30">
        <f>+EEFF!O8</f>
        <v>824000</v>
      </c>
      <c r="P4" s="30">
        <f>+EEFF!P8</f>
        <v>824000</v>
      </c>
      <c r="Q4" s="30">
        <f>+EEFF!Q8</f>
        <v>824000</v>
      </c>
      <c r="R4" s="30">
        <f>+EEFF!R8</f>
        <v>824000</v>
      </c>
      <c r="S4" s="30">
        <f>+EEFF!S8</f>
        <v>824000</v>
      </c>
      <c r="T4" s="30">
        <f>+EEFF!T8</f>
        <v>824000</v>
      </c>
      <c r="U4" s="30">
        <f>+EEFF!U8</f>
        <v>824000</v>
      </c>
    </row>
    <row r="5" spans="1:21" x14ac:dyDescent="0.3">
      <c r="A5" t="s">
        <v>777</v>
      </c>
      <c r="B5" s="28">
        <f>+EEFF!B9</f>
        <v>0</v>
      </c>
      <c r="C5" s="30">
        <f>+EEFF!C9</f>
        <v>0</v>
      </c>
      <c r="D5" s="30">
        <f>+EEFF!D9</f>
        <v>0</v>
      </c>
      <c r="E5" s="30">
        <f>+EEFF!E9</f>
        <v>0</v>
      </c>
      <c r="F5" s="30">
        <f>+EEFF!F9</f>
        <v>0</v>
      </c>
      <c r="G5" s="30">
        <f>+EEFF!G9</f>
        <v>432373.10324940598</v>
      </c>
      <c r="H5" s="30">
        <f>+EEFF!H9</f>
        <v>763447.36516609369</v>
      </c>
      <c r="I5" s="30">
        <f>+EEFF!I9</f>
        <v>786350.78612107655</v>
      </c>
      <c r="J5" s="30">
        <f>+EEFF!J9</f>
        <v>809941.30970470922</v>
      </c>
      <c r="K5" s="30">
        <f>+EEFF!K9</f>
        <v>834239.54899585014</v>
      </c>
      <c r="L5" s="30">
        <f>+EEFF!L9</f>
        <v>859266.73546572577</v>
      </c>
      <c r="M5" s="30">
        <f>+EEFF!M9</f>
        <v>885044.73752969748</v>
      </c>
      <c r="N5" s="30">
        <f>+EEFF!N9</f>
        <v>911596.0796555886</v>
      </c>
      <c r="O5" s="30">
        <f>+EEFF!O9</f>
        <v>938943.9620452564</v>
      </c>
      <c r="P5" s="30">
        <f>+EEFF!P9</f>
        <v>967112.28090661403</v>
      </c>
      <c r="Q5" s="30">
        <f>+EEFF!Q9</f>
        <v>996125.64933381276</v>
      </c>
      <c r="R5" s="30">
        <f>+EEFF!R9</f>
        <v>1026009.418813827</v>
      </c>
      <c r="S5" s="30">
        <f>+EEFF!S9</f>
        <v>1056789.7013782419</v>
      </c>
      <c r="T5" s="30">
        <f>+EEFF!T9</f>
        <v>1088493.3924195892</v>
      </c>
      <c r="U5" s="30">
        <f>+EEFF!U9</f>
        <v>1121148.1941921769</v>
      </c>
    </row>
    <row r="6" spans="1:21" x14ac:dyDescent="0.3">
      <c r="A6" t="s">
        <v>644</v>
      </c>
      <c r="B6" s="30">
        <f>+EEFF!B10</f>
        <v>0</v>
      </c>
      <c r="C6" s="30">
        <f>+EEFF!C10</f>
        <v>50000</v>
      </c>
      <c r="D6" s="30">
        <f>+EEFF!D10</f>
        <v>309000</v>
      </c>
      <c r="E6" s="30">
        <f>+EEFF!E10</f>
        <v>318270</v>
      </c>
      <c r="F6" s="30">
        <f>+EEFF!F10</f>
        <v>327818.09999999992</v>
      </c>
      <c r="G6" s="30">
        <f>+EEFF!G10</f>
        <v>337652.6430000001</v>
      </c>
      <c r="H6" s="30">
        <f>+EEFF!H10</f>
        <v>347782.22228999995</v>
      </c>
      <c r="I6" s="30">
        <f>+EEFF!I10</f>
        <v>358215.68895869999</v>
      </c>
      <c r="J6" s="30">
        <f>+EEFF!J10</f>
        <v>368962.15962746093</v>
      </c>
      <c r="K6" s="30">
        <f>+EEFF!K10</f>
        <v>380031.02441628481</v>
      </c>
      <c r="L6" s="30">
        <f>+EEFF!L10</f>
        <v>391431.95514877333</v>
      </c>
      <c r="M6" s="30">
        <f>+EEFF!M10</f>
        <v>403174.9138032365</v>
      </c>
      <c r="N6" s="30">
        <f>+EEFF!N10</f>
        <v>415270.16121733381</v>
      </c>
      <c r="O6" s="30">
        <f>+EEFF!O10</f>
        <v>427728.26605385385</v>
      </c>
      <c r="P6" s="30">
        <f>+EEFF!P10</f>
        <v>440560.11403546925</v>
      </c>
      <c r="Q6" s="30">
        <f>+EEFF!Q10</f>
        <v>453776.91745653335</v>
      </c>
      <c r="R6" s="30">
        <f>+EEFF!R10</f>
        <v>467390.22498022934</v>
      </c>
      <c r="S6" s="30">
        <f>+EEFF!S10</f>
        <v>481411.93172963639</v>
      </c>
      <c r="T6" s="30">
        <f>+EEFF!T10</f>
        <v>495854.28968152561</v>
      </c>
      <c r="U6" s="30">
        <f>+EEFF!U10</f>
        <v>522374.56051085232</v>
      </c>
    </row>
    <row r="7" spans="1:21" x14ac:dyDescent="0.3">
      <c r="A7" t="s">
        <v>822</v>
      </c>
      <c r="B7" s="30">
        <f ca="1">+EEFF!B14</f>
        <v>66267.866437068034</v>
      </c>
      <c r="C7" s="30">
        <f ca="1">+EEFF!C14</f>
        <v>89754.776158338573</v>
      </c>
      <c r="D7" s="30">
        <f ca="1">+EEFF!D14</f>
        <v>92352.861635544818</v>
      </c>
      <c r="E7" s="30">
        <f ca="1">+EEFF!E14</f>
        <v>95298.295225648078</v>
      </c>
      <c r="F7" s="30">
        <f ca="1">+EEFF!F14</f>
        <v>97648.716474486369</v>
      </c>
      <c r="G7" s="30">
        <f ca="1">+EEFF!G14</f>
        <v>100061.54862190076</v>
      </c>
      <c r="H7" s="30">
        <f ca="1">+EEFF!H14</f>
        <v>102531.26685333299</v>
      </c>
      <c r="I7" s="30">
        <f ca="1">+EEFF!I14</f>
        <v>105360.50074005927</v>
      </c>
      <c r="J7" s="30">
        <f ca="1">+EEFF!J14</f>
        <v>107646.3513321754</v>
      </c>
      <c r="K7" s="30">
        <f ca="1">+EEFF!K14</f>
        <v>110672.92474534639</v>
      </c>
      <c r="L7" s="30">
        <f ca="1">+EEFF!L14</f>
        <v>112789.10411332641</v>
      </c>
      <c r="M7" s="30">
        <f ca="1">+EEFF!M14</f>
        <v>115261.26294742218</v>
      </c>
      <c r="N7" s="30">
        <f ca="1">+EEFF!N14</f>
        <v>117103.29558506771</v>
      </c>
      <c r="O7" s="30">
        <f ca="1">+EEFF!O14</f>
        <v>119300.74199370822</v>
      </c>
      <c r="P7" s="30">
        <f ca="1">+EEFF!P14</f>
        <v>121524.64222084059</v>
      </c>
      <c r="Q7" s="30">
        <f ca="1">+EEFF!Q14</f>
        <v>124128.5562392258</v>
      </c>
      <c r="R7" s="30">
        <f ca="1">+EEFF!R14</f>
        <v>126050.19500315169</v>
      </c>
      <c r="S7" s="30">
        <f ca="1">+EEFF!S14</f>
        <v>128350.92241984315</v>
      </c>
      <c r="T7" s="30">
        <f ca="1">+EEFF!T14</f>
        <v>130676.24830603323</v>
      </c>
      <c r="U7" s="30">
        <f ca="1">+EEFF!U14</f>
        <v>133655.73442303255</v>
      </c>
    </row>
    <row r="8" spans="1:21" x14ac:dyDescent="0.3">
      <c r="A8" t="s">
        <v>1007</v>
      </c>
      <c r="B8" s="33">
        <f ca="1">+B3+B7</f>
        <v>66267.866437068034</v>
      </c>
      <c r="C8" s="33">
        <f t="shared" ref="C8:T8" ca="1" si="1">+C3+C7</f>
        <v>139754.77615833859</v>
      </c>
      <c r="D8" s="33">
        <f t="shared" ca="1" si="1"/>
        <v>1219352.8616355448</v>
      </c>
      <c r="E8" s="33">
        <f t="shared" ca="1" si="1"/>
        <v>1237568.295225648</v>
      </c>
      <c r="F8" s="33">
        <f t="shared" ca="1" si="1"/>
        <v>1249466.8164744861</v>
      </c>
      <c r="G8" s="33">
        <f t="shared" ca="1" si="1"/>
        <v>1694087.294871307</v>
      </c>
      <c r="H8" s="33">
        <f t="shared" ca="1" si="1"/>
        <v>2037760.8543094266</v>
      </c>
      <c r="I8" s="33">
        <f t="shared" ca="1" si="1"/>
        <v>2073926.9758198357</v>
      </c>
      <c r="J8" s="33">
        <f t="shared" ca="1" si="1"/>
        <v>2110549.8206643458</v>
      </c>
      <c r="K8" s="33">
        <f t="shared" ca="1" si="1"/>
        <v>2148943.4981574812</v>
      </c>
      <c r="L8" s="33">
        <f t="shared" ca="1" si="1"/>
        <v>2187487.7947278256</v>
      </c>
      <c r="M8" s="33">
        <f t="shared" ca="1" si="1"/>
        <v>2227480.9142803559</v>
      </c>
      <c r="N8" s="33">
        <f t="shared" ca="1" si="1"/>
        <v>2267969.5364579903</v>
      </c>
      <c r="O8" s="33">
        <f t="shared" ca="1" si="1"/>
        <v>2309972.9700928186</v>
      </c>
      <c r="P8" s="33">
        <f t="shared" ca="1" si="1"/>
        <v>2353197.0371629242</v>
      </c>
      <c r="Q8" s="33">
        <f t="shared" ca="1" si="1"/>
        <v>2398031.123029572</v>
      </c>
      <c r="R8" s="33">
        <f t="shared" ca="1" si="1"/>
        <v>2443449.8387972084</v>
      </c>
      <c r="S8" s="33">
        <f t="shared" ca="1" si="1"/>
        <v>2490552.5555277215</v>
      </c>
      <c r="T8" s="33">
        <f t="shared" ca="1" si="1"/>
        <v>2539023.9304071479</v>
      </c>
      <c r="U8" s="33">
        <f ca="1">+U3+U7</f>
        <v>2601178.4891260616</v>
      </c>
    </row>
    <row r="9" spans="1:21" x14ac:dyDescent="0.3">
      <c r="A9" t="s">
        <v>966</v>
      </c>
      <c r="B9" s="30" t="e">
        <f>+#REF!</f>
        <v>#REF!</v>
      </c>
    </row>
    <row r="10" spans="1:21" x14ac:dyDescent="0.3">
      <c r="B10" s="28"/>
    </row>
    <row r="11" spans="1:21" x14ac:dyDescent="0.3">
      <c r="A11" t="s">
        <v>1008</v>
      </c>
      <c r="B11" s="40" t="e">
        <f>+B3/$B$9</f>
        <v>#REF!</v>
      </c>
      <c r="C11" s="40" t="e">
        <f t="shared" ref="C11:T11" si="2">+C3/$B$9</f>
        <v>#REF!</v>
      </c>
      <c r="D11" s="40" t="e">
        <f t="shared" si="2"/>
        <v>#REF!</v>
      </c>
      <c r="E11" s="40" t="e">
        <f t="shared" si="2"/>
        <v>#REF!</v>
      </c>
      <c r="F11" s="40" t="e">
        <f t="shared" si="2"/>
        <v>#REF!</v>
      </c>
      <c r="G11" s="40" t="e">
        <f t="shared" si="2"/>
        <v>#REF!</v>
      </c>
      <c r="H11" s="40" t="e">
        <f t="shared" si="2"/>
        <v>#REF!</v>
      </c>
      <c r="I11" s="40" t="e">
        <f t="shared" si="2"/>
        <v>#REF!</v>
      </c>
      <c r="J11" s="40" t="e">
        <f t="shared" si="2"/>
        <v>#REF!</v>
      </c>
      <c r="K11" s="40" t="e">
        <f t="shared" si="2"/>
        <v>#REF!</v>
      </c>
      <c r="L11" s="40" t="e">
        <f t="shared" si="2"/>
        <v>#REF!</v>
      </c>
      <c r="M11" s="40" t="e">
        <f t="shared" si="2"/>
        <v>#REF!</v>
      </c>
      <c r="N11" s="40" t="e">
        <f t="shared" si="2"/>
        <v>#REF!</v>
      </c>
      <c r="O11" s="40" t="e">
        <f>+O3/$B$9</f>
        <v>#REF!</v>
      </c>
      <c r="P11" s="40" t="e">
        <f t="shared" si="2"/>
        <v>#REF!</v>
      </c>
      <c r="Q11" s="40" t="e">
        <f t="shared" si="2"/>
        <v>#REF!</v>
      </c>
      <c r="R11" s="40" t="e">
        <f t="shared" si="2"/>
        <v>#REF!</v>
      </c>
      <c r="S11" s="40" t="e">
        <f t="shared" si="2"/>
        <v>#REF!</v>
      </c>
      <c r="T11" s="40" t="e">
        <f t="shared" si="2"/>
        <v>#REF!</v>
      </c>
      <c r="U11" s="40" t="e">
        <f>+U3/$B$9</f>
        <v>#REF!</v>
      </c>
    </row>
    <row r="12" spans="1:21" x14ac:dyDescent="0.3">
      <c r="A12" t="s">
        <v>1009</v>
      </c>
      <c r="B12" s="40" t="e">
        <f ca="1">+B8/$B$9</f>
        <v>#REF!</v>
      </c>
      <c r="C12" s="40" t="e">
        <f t="shared" ref="C12:T12" ca="1" si="3">+C8/$B$9</f>
        <v>#REF!</v>
      </c>
      <c r="D12" s="40" t="e">
        <f t="shared" ca="1" si="3"/>
        <v>#REF!</v>
      </c>
      <c r="E12" s="40" t="e">
        <f t="shared" ca="1" si="3"/>
        <v>#REF!</v>
      </c>
      <c r="F12" s="40" t="e">
        <f t="shared" ca="1" si="3"/>
        <v>#REF!</v>
      </c>
      <c r="G12" s="40" t="e">
        <f t="shared" ca="1" si="3"/>
        <v>#REF!</v>
      </c>
      <c r="H12" s="40" t="e">
        <f t="shared" ca="1" si="3"/>
        <v>#REF!</v>
      </c>
      <c r="I12" s="40" t="e">
        <f t="shared" ca="1" si="3"/>
        <v>#REF!</v>
      </c>
      <c r="J12" s="40" t="e">
        <f t="shared" ca="1" si="3"/>
        <v>#REF!</v>
      </c>
      <c r="K12" s="40" t="e">
        <f t="shared" ca="1" si="3"/>
        <v>#REF!</v>
      </c>
      <c r="L12" s="40" t="e">
        <f t="shared" ca="1" si="3"/>
        <v>#REF!</v>
      </c>
      <c r="M12" s="40" t="e">
        <f t="shared" ca="1" si="3"/>
        <v>#REF!</v>
      </c>
      <c r="N12" s="40" t="e">
        <f t="shared" ca="1" si="3"/>
        <v>#REF!</v>
      </c>
      <c r="O12" s="40" t="e">
        <f t="shared" ca="1" si="3"/>
        <v>#REF!</v>
      </c>
      <c r="P12" s="40" t="e">
        <f t="shared" ca="1" si="3"/>
        <v>#REF!</v>
      </c>
      <c r="Q12" s="40" t="e">
        <f t="shared" ca="1" si="3"/>
        <v>#REF!</v>
      </c>
      <c r="R12" s="40" t="e">
        <f t="shared" ca="1" si="3"/>
        <v>#REF!</v>
      </c>
      <c r="S12" s="40" t="e">
        <f t="shared" ca="1" si="3"/>
        <v>#REF!</v>
      </c>
      <c r="T12" s="40" t="e">
        <f t="shared" ca="1" si="3"/>
        <v>#REF!</v>
      </c>
      <c r="U12" s="40" t="e">
        <f ca="1">+U8/$B$9</f>
        <v>#REF!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B96A-2976-4C79-9159-F4FC2E479220}">
  <dimension ref="B3:X55"/>
  <sheetViews>
    <sheetView topLeftCell="A30" workbookViewId="0">
      <selection activeCell="E33" sqref="E33"/>
    </sheetView>
  </sheetViews>
  <sheetFormatPr baseColWidth="10" defaultColWidth="11.44140625" defaultRowHeight="14.4" x14ac:dyDescent="0.3"/>
  <cols>
    <col min="2" max="2" width="20.5546875" customWidth="1"/>
    <col min="3" max="3" width="13.77734375" hidden="1" customWidth="1"/>
    <col min="4" max="4" width="16.44140625" hidden="1" customWidth="1"/>
    <col min="5" max="5" width="16.44140625" customWidth="1"/>
    <col min="6" max="6" width="16.44140625" bestFit="1" customWidth="1"/>
    <col min="7" max="7" width="16.5546875" bestFit="1" customWidth="1"/>
    <col min="8" max="8" width="13.5546875" bestFit="1" customWidth="1"/>
    <col min="20" max="20" width="25.77734375" bestFit="1" customWidth="1"/>
  </cols>
  <sheetData>
    <row r="3" spans="2:17" x14ac:dyDescent="0.3">
      <c r="C3" s="6" t="s">
        <v>926</v>
      </c>
      <c r="D3" s="6" t="s">
        <v>927</v>
      </c>
      <c r="E3" s="6" t="s">
        <v>928</v>
      </c>
      <c r="F3" s="6" t="s">
        <v>1010</v>
      </c>
      <c r="G3" s="43" t="s">
        <v>945</v>
      </c>
      <c r="H3" s="43" t="s">
        <v>1011</v>
      </c>
    </row>
    <row r="4" spans="2:17" x14ac:dyDescent="0.3">
      <c r="C4" t="s">
        <v>783</v>
      </c>
      <c r="D4" s="28">
        <v>625.29</v>
      </c>
      <c r="E4" s="28">
        <v>489.36</v>
      </c>
      <c r="F4" s="28">
        <v>467.60724789226089</v>
      </c>
      <c r="G4" s="28">
        <v>451.29536715183315</v>
      </c>
      <c r="H4" s="28">
        <v>434.98348641140547</v>
      </c>
    </row>
    <row r="5" spans="2:17" x14ac:dyDescent="0.3">
      <c r="C5" t="s">
        <v>929</v>
      </c>
      <c r="D5" s="30">
        <v>116345393.26706879</v>
      </c>
      <c r="E5" s="30">
        <v>198066991.28839302</v>
      </c>
      <c r="F5" s="30">
        <v>225347866.43986091</v>
      </c>
      <c r="G5" s="30">
        <v>261388474.69575411</v>
      </c>
      <c r="H5" s="30">
        <v>306532044.60839331</v>
      </c>
    </row>
    <row r="6" spans="2:17" x14ac:dyDescent="0.3">
      <c r="C6" t="s">
        <v>941</v>
      </c>
      <c r="D6" s="30">
        <v>69980852.164981127</v>
      </c>
      <c r="E6" s="30">
        <v>93879260.527340293</v>
      </c>
      <c r="F6" s="30">
        <v>102052806.27321023</v>
      </c>
      <c r="G6" s="30">
        <v>113465277.47978592</v>
      </c>
      <c r="H6" s="30">
        <v>126923651.97647378</v>
      </c>
    </row>
    <row r="7" spans="2:17" x14ac:dyDescent="0.3">
      <c r="C7" t="s">
        <v>854</v>
      </c>
      <c r="D7" s="30">
        <f>+D5-D6</f>
        <v>46364541.102087662</v>
      </c>
      <c r="E7" s="30">
        <f t="shared" ref="E7:H7" si="0">+E5-E6</f>
        <v>104187730.76105273</v>
      </c>
      <c r="F7" s="30">
        <f t="shared" si="0"/>
        <v>123295060.16665068</v>
      </c>
      <c r="G7" s="30">
        <f t="shared" si="0"/>
        <v>147923197.21596819</v>
      </c>
      <c r="H7" s="30">
        <f t="shared" si="0"/>
        <v>179608392.63191953</v>
      </c>
    </row>
    <row r="8" spans="2:17" x14ac:dyDescent="0.3">
      <c r="C8" t="s">
        <v>942</v>
      </c>
      <c r="D8" s="38">
        <f>+D7/D5</f>
        <v>0.3985077517908997</v>
      </c>
      <c r="E8" s="38">
        <f t="shared" ref="E8:H8" si="1">+E7/E5</f>
        <v>0.52602268597775315</v>
      </c>
      <c r="F8" s="38">
        <f t="shared" si="1"/>
        <v>0.54713213892155799</v>
      </c>
      <c r="G8" s="38">
        <f t="shared" si="1"/>
        <v>0.56591323465254151</v>
      </c>
      <c r="H8" s="38">
        <f t="shared" si="1"/>
        <v>0.58593675862298933</v>
      </c>
    </row>
    <row r="10" spans="2:17" x14ac:dyDescent="0.3">
      <c r="C10" t="s">
        <v>1012</v>
      </c>
      <c r="D10" s="73"/>
    </row>
    <row r="11" spans="2:17" x14ac:dyDescent="0.3">
      <c r="B11" t="s">
        <v>845</v>
      </c>
      <c r="C11">
        <f>+'Capital propio'!H19</f>
        <v>2409</v>
      </c>
      <c r="D11">
        <f>+'Capital propio'!I19</f>
        <v>2063</v>
      </c>
      <c r="E11">
        <f>+'Capital propio'!X19</f>
        <v>1428</v>
      </c>
      <c r="F11">
        <f>+'Capital propio'!Y19</f>
        <v>1562</v>
      </c>
      <c r="G11">
        <f>+'Capital propio'!Z19</f>
        <v>1231</v>
      </c>
      <c r="H11">
        <f>+'Capital propio'!AA19</f>
        <v>1361</v>
      </c>
      <c r="I11">
        <f>+'Capital propio'!AB19</f>
        <v>1712</v>
      </c>
      <c r="J11">
        <f>+'Capital propio'!AC19</f>
        <v>1565</v>
      </c>
      <c r="K11">
        <f>+'Capital propio'!AD19</f>
        <v>2143</v>
      </c>
      <c r="L11">
        <f>+'Capital propio'!AE19</f>
        <v>2131</v>
      </c>
      <c r="M11">
        <f>+'Capital propio'!AF19</f>
        <v>2409</v>
      </c>
      <c r="N11">
        <f>+'Capital propio'!AG19</f>
        <v>2063</v>
      </c>
      <c r="O11">
        <f>+'Capital propio'!AH19</f>
        <v>1931</v>
      </c>
      <c r="P11">
        <f>+'Capital propio'!AI19</f>
        <v>1439</v>
      </c>
      <c r="Q11">
        <f>+'Capital propio'!AJ19</f>
        <v>1428</v>
      </c>
    </row>
    <row r="12" spans="2:17" x14ac:dyDescent="0.3">
      <c r="C12" s="14">
        <f>+'Capital propio'!H14</f>
        <v>45658</v>
      </c>
      <c r="D12" s="14">
        <f>+'Capital propio'!I14</f>
        <v>45689</v>
      </c>
      <c r="E12" s="166">
        <f>+'Capital propio'!AD18</f>
        <v>46327</v>
      </c>
      <c r="F12" s="166">
        <f>+'Capital propio'!AE18</f>
        <v>46357</v>
      </c>
      <c r="G12" s="166">
        <f>+'Capital propio'!AF18</f>
        <v>46388</v>
      </c>
      <c r="H12" s="166">
        <f>+'Capital propio'!AG18</f>
        <v>46419</v>
      </c>
      <c r="I12" s="166">
        <f>+'Capital propio'!AH18</f>
        <v>46447</v>
      </c>
      <c r="J12" s="166">
        <f>+'Capital propio'!AI18</f>
        <v>46478</v>
      </c>
      <c r="K12" s="166">
        <f>+'Capital propio'!AJ18</f>
        <v>46508</v>
      </c>
      <c r="L12" s="166">
        <f>+'Capital propio'!AK18</f>
        <v>46539</v>
      </c>
      <c r="M12" s="166">
        <f>+'Capital propio'!AL18</f>
        <v>46569</v>
      </c>
      <c r="N12" s="166">
        <f>+'Capital propio'!AM18</f>
        <v>46600</v>
      </c>
      <c r="O12" s="166">
        <f>+'Capital propio'!AN18</f>
        <v>46631</v>
      </c>
      <c r="P12" s="166">
        <f>+'Capital propio'!AO18</f>
        <v>46661</v>
      </c>
      <c r="Q12" s="166">
        <f>+'Capital propio'!AP18</f>
        <v>46692</v>
      </c>
    </row>
    <row r="13" spans="2:17" x14ac:dyDescent="0.3">
      <c r="B13" t="s">
        <v>1013</v>
      </c>
      <c r="C13" s="46">
        <f>+'Análisis cliente final CP'!H19/1000000</f>
        <v>0</v>
      </c>
      <c r="D13" s="46">
        <f>+'Análisis cliente final CP'!I19/1000000</f>
        <v>0</v>
      </c>
      <c r="E13" s="46">
        <f>+'Capital propio'!AF22/1000000</f>
        <v>2.36990067732</v>
      </c>
      <c r="F13" s="46">
        <f>+'Capital propio'!AG22/1000000</f>
        <v>2.0295164372400003</v>
      </c>
      <c r="G13" s="46">
        <f>+'Capital propio'!AH22/1000000</f>
        <v>2.3194225423800003</v>
      </c>
      <c r="H13" s="46">
        <f>+'Capital propio'!AI22/1000000</f>
        <v>1.7283829817352001</v>
      </c>
      <c r="I13" s="46">
        <f>+'Capital propio'!AJ22/1000000</f>
        <v>1.7151708811104003</v>
      </c>
      <c r="J13" s="46">
        <f>+'Capital propio'!AK22/1000000</f>
        <v>1.8655789686336</v>
      </c>
      <c r="K13" s="46">
        <f>+'Capital propio'!AL22/1000000</f>
        <v>1.3880505944508001</v>
      </c>
      <c r="L13" s="46">
        <f>+'Capital propio'!AM22/1000000</f>
        <v>1.5346186271160001</v>
      </c>
      <c r="M13" s="46">
        <f>+'Capital propio'!AN22/1000000</f>
        <v>1.7327128032000001</v>
      </c>
      <c r="N13" s="46">
        <f>+'Capital propio'!AO22/1000000</f>
        <v>1.5839343090000002</v>
      </c>
      <c r="O13" s="46">
        <f>+'Capital propio'!AP22/1000000</f>
        <v>2.1714645355092004</v>
      </c>
      <c r="P13" s="46">
        <f>+'Capital propio'!AQ22/1000000</f>
        <v>2.1593051447364</v>
      </c>
      <c r="Q13" s="46">
        <f>+'Capital propio'!AR22/1000000</f>
        <v>2.4409976976396002</v>
      </c>
    </row>
    <row r="14" spans="2:17" x14ac:dyDescent="0.3">
      <c r="B14" t="s">
        <v>1014</v>
      </c>
      <c r="C14" s="46">
        <f>+SUM('Capital propio'!H31:H35)/1000000</f>
        <v>0</v>
      </c>
      <c r="D14" s="46">
        <f>+SUM('Capital propio'!I31:I35)/1000000</f>
        <v>0</v>
      </c>
      <c r="E14" s="46">
        <f>+SUM('Capital propio'!AD31:AD36)/1000000</f>
        <v>0.45430194263742568</v>
      </c>
      <c r="F14" s="46">
        <f>+SUM('Capital propio'!AE31:AE36)/1000000</f>
        <v>0.38460628135135233</v>
      </c>
      <c r="G14" s="46">
        <f>+SUM('Capital propio'!AF31:AF36)/1000000</f>
        <v>0.41391961161297408</v>
      </c>
      <c r="H14" s="46">
        <f>+SUM('Capital propio'!AG31:AG36)/1000000</f>
        <v>0.2461774583782938</v>
      </c>
      <c r="I14" s="46">
        <f>+SUM('Capital propio'!AH31:AH36)/1000000</f>
        <v>-2.1986477665096638E-2</v>
      </c>
      <c r="J14" s="46">
        <f>+SUM('Capital propio'!AI31:AI36)/1000000</f>
        <v>-0.17838206243173191</v>
      </c>
      <c r="K14" s="46">
        <f>+SUM('Capital propio'!AJ31:AJ36)/1000000</f>
        <v>-0.14802969837092564</v>
      </c>
      <c r="L14" s="46">
        <f>+SUM('Capital propio'!AK31:AK36)/1000000</f>
        <v>-7.0603695197075017E-2</v>
      </c>
      <c r="M14" s="46">
        <f>+SUM('Capital propio'!AL31:AL36)/1000000</f>
        <v>-0.30764001395539564</v>
      </c>
      <c r="N14" s="46">
        <f>+SUM('Capital propio'!AM31:AM36)/1000000</f>
        <v>-0.29977820685668072</v>
      </c>
      <c r="O14" s="46">
        <f>+SUM('Capital propio'!AN31:AN36)/1000000</f>
        <v>-0.14989310418838883</v>
      </c>
      <c r="P14" s="46">
        <f>+SUM('Capital propio'!AO31:AO36)/1000000</f>
        <v>-0.13713608383082729</v>
      </c>
      <c r="Q14" s="46">
        <f>+SUM('Capital propio'!AP31:AP36)/1000000</f>
        <v>0.46793100091654849</v>
      </c>
    </row>
    <row r="15" spans="2:17" x14ac:dyDescent="0.3">
      <c r="B15" t="s">
        <v>1015</v>
      </c>
      <c r="C15" s="46">
        <f>+'Análisis cliente final CP'!H31/1000000</f>
        <v>0</v>
      </c>
      <c r="D15" s="46">
        <f>+'Análisis cliente final CP'!I31/1000000</f>
        <v>0</v>
      </c>
      <c r="E15" s="46">
        <f>+SUM('Capital propio'!AD37:AD39)/1000000</f>
        <v>2.5000000000000001E-2</v>
      </c>
      <c r="F15" s="46">
        <f>+SUM('Capital propio'!AE37:AE39)/1000000</f>
        <v>2.5000000000000001E-2</v>
      </c>
      <c r="G15" s="46">
        <f>+SUM('Capital propio'!AF37:AF39)/1000000</f>
        <v>0.22575000000000001</v>
      </c>
      <c r="H15" s="46">
        <f>+SUM('Capital propio'!AG37:AG39)/1000000</f>
        <v>2.5749999999999999E-2</v>
      </c>
      <c r="I15" s="46">
        <f>+SUM('Capital propio'!AH37:AH39)/1000000</f>
        <v>2.5749999999999999E-2</v>
      </c>
      <c r="J15" s="46">
        <f>+SUM('Capital propio'!AI37:AI39)/1000000</f>
        <v>0.23175000000000001</v>
      </c>
      <c r="K15" s="46">
        <f>+SUM('Capital propio'!AJ37:AJ39)/1000000</f>
        <v>2.5749999999999999E-2</v>
      </c>
      <c r="L15" s="46">
        <f>+SUM('Capital propio'!AK37:AK39)/1000000</f>
        <v>2.5749999999999999E-2</v>
      </c>
      <c r="M15" s="46">
        <f>+SUM('Capital propio'!AL37:AL39)/1000000</f>
        <v>0.23175000000000001</v>
      </c>
      <c r="N15" s="46">
        <f>+SUM('Capital propio'!AM37:AM39)/1000000</f>
        <v>2.5749999999999999E-2</v>
      </c>
      <c r="O15" s="46">
        <f>+SUM('Capital propio'!AN37:AN39)/1000000</f>
        <v>2.5749999999999999E-2</v>
      </c>
      <c r="P15" s="46">
        <f>+SUM('Capital propio'!AO37:AO39)/1000000</f>
        <v>0.23175000000000001</v>
      </c>
      <c r="Q15" s="46">
        <f>+SUM('Capital propio'!AP37:AP39)/1000000</f>
        <v>2.5749999999999999E-2</v>
      </c>
    </row>
    <row r="16" spans="2:17" x14ac:dyDescent="0.3">
      <c r="B16" t="s">
        <v>1016</v>
      </c>
      <c r="C16" s="46">
        <f>+C15+C14</f>
        <v>0</v>
      </c>
      <c r="D16" s="46">
        <f>+D15+D14</f>
        <v>0</v>
      </c>
      <c r="E16" s="46">
        <f>+E15+E14</f>
        <v>0.4793019426374257</v>
      </c>
      <c r="F16" s="46">
        <f>+F15+F14</f>
        <v>0.40960628135135235</v>
      </c>
      <c r="G16" s="46">
        <f>+G15+G14</f>
        <v>0.63966961161297409</v>
      </c>
      <c r="H16" s="46">
        <f t="shared" ref="H16:Q16" si="2">+H15+H14</f>
        <v>0.2719274583782938</v>
      </c>
      <c r="I16" s="46">
        <f t="shared" si="2"/>
        <v>3.7635223349033603E-3</v>
      </c>
      <c r="J16" s="46">
        <f t="shared" si="2"/>
        <v>5.3367937568268103E-2</v>
      </c>
      <c r="K16" s="46">
        <f t="shared" si="2"/>
        <v>-0.12227969837092564</v>
      </c>
      <c r="L16" s="46">
        <f t="shared" si="2"/>
        <v>-4.4853695197075022E-2</v>
      </c>
      <c r="M16" s="46">
        <f t="shared" si="2"/>
        <v>-7.589001395539563E-2</v>
      </c>
      <c r="N16" s="46">
        <f t="shared" si="2"/>
        <v>-0.27402820685668072</v>
      </c>
      <c r="O16" s="46">
        <f t="shared" si="2"/>
        <v>-0.12414310418838884</v>
      </c>
      <c r="P16" s="46">
        <f t="shared" si="2"/>
        <v>9.4613916169172724E-2</v>
      </c>
      <c r="Q16" s="46">
        <f t="shared" si="2"/>
        <v>0.49368100091654848</v>
      </c>
    </row>
    <row r="17" spans="2:24" x14ac:dyDescent="0.3">
      <c r="B17" t="s">
        <v>854</v>
      </c>
      <c r="C17" s="46">
        <f>+C13-C16</f>
        <v>0</v>
      </c>
      <c r="D17" s="46">
        <f t="shared" ref="D17" si="3">+D13-D16</f>
        <v>0</v>
      </c>
      <c r="E17" s="46">
        <f>+E13-E16</f>
        <v>1.8905987346825743</v>
      </c>
      <c r="F17" s="46">
        <f t="shared" ref="F17:Q17" si="4">+F13-F16</f>
        <v>1.619910155888648</v>
      </c>
      <c r="G17" s="46">
        <f t="shared" si="4"/>
        <v>1.6797529307670263</v>
      </c>
      <c r="H17" s="46">
        <f t="shared" si="4"/>
        <v>1.4564555233569063</v>
      </c>
      <c r="I17" s="46">
        <f t="shared" si="4"/>
        <v>1.711407358775497</v>
      </c>
      <c r="J17" s="46">
        <f t="shared" si="4"/>
        <v>1.8122110310653319</v>
      </c>
      <c r="K17" s="46">
        <f t="shared" si="4"/>
        <v>1.5103302928217257</v>
      </c>
      <c r="L17" s="46">
        <f t="shared" si="4"/>
        <v>1.5794723223130751</v>
      </c>
      <c r="M17" s="46">
        <f t="shared" si="4"/>
        <v>1.8086028171553958</v>
      </c>
      <c r="N17" s="46">
        <f t="shared" si="4"/>
        <v>1.857962515856681</v>
      </c>
      <c r="O17" s="46">
        <f t="shared" si="4"/>
        <v>2.2956076396975891</v>
      </c>
      <c r="P17" s="46">
        <f t="shared" si="4"/>
        <v>2.0646912285672272</v>
      </c>
      <c r="Q17" s="46">
        <f t="shared" si="4"/>
        <v>1.9473166967230517</v>
      </c>
      <c r="U17" t="s">
        <v>783</v>
      </c>
      <c r="V17" t="s">
        <v>1017</v>
      </c>
    </row>
    <row r="18" spans="2:24" x14ac:dyDescent="0.3">
      <c r="B18" t="s">
        <v>1018</v>
      </c>
      <c r="C18" s="30">
        <f>+(C13*1000000)/N11</f>
        <v>0</v>
      </c>
      <c r="D18" s="30">
        <f>+(D13*1000000)/C11</f>
        <v>0</v>
      </c>
      <c r="E18" s="30">
        <f>+(E13*1000000)/E11</f>
        <v>1659.5943118487394</v>
      </c>
      <c r="F18" s="30">
        <f>+(F13*1000000)/F11</f>
        <v>1299.306297848912</v>
      </c>
      <c r="G18" s="30">
        <f>+(G13*1000000)/G11</f>
        <v>1884.1775323964262</v>
      </c>
      <c r="H18" s="30">
        <f>+(H13*1000000)/H11</f>
        <v>1269.9360629942689</v>
      </c>
      <c r="I18" s="30">
        <f>+(I13*1000000)/I11</f>
        <v>1001.8521501813085</v>
      </c>
      <c r="J18" s="30">
        <f t="shared" ref="J18:Q18" si="5">+(J13*1000000)/J11</f>
        <v>1192.0632387435144</v>
      </c>
      <c r="K18" s="30">
        <f t="shared" si="5"/>
        <v>647.71376315949612</v>
      </c>
      <c r="L18" s="30">
        <f t="shared" si="5"/>
        <v>720.14013473298928</v>
      </c>
      <c r="M18" s="30">
        <f>+(M13*1000000)/M11</f>
        <v>719.26641892901625</v>
      </c>
      <c r="N18" s="30">
        <f t="shared" si="5"/>
        <v>767.78202084343195</v>
      </c>
      <c r="O18" s="30">
        <f t="shared" si="5"/>
        <v>1124.5285010404973</v>
      </c>
      <c r="P18" s="30">
        <f t="shared" si="5"/>
        <v>1500.5595168425295</v>
      </c>
      <c r="Q18" s="30">
        <f t="shared" si="5"/>
        <v>1709.3821412042018</v>
      </c>
      <c r="R18" s="33">
        <f>+AVERAGE(E18:Q18)</f>
        <v>1192.0232377511793</v>
      </c>
      <c r="T18" t="s">
        <v>1018</v>
      </c>
      <c r="U18" s="33">
        <f>+R18</f>
        <v>1192.0232377511793</v>
      </c>
      <c r="V18" s="9">
        <v>1</v>
      </c>
      <c r="W18" s="33">
        <f>+U18</f>
        <v>1192.0232377511793</v>
      </c>
    </row>
    <row r="19" spans="2:24" x14ac:dyDescent="0.3">
      <c r="B19" t="s">
        <v>1019</v>
      </c>
      <c r="C19" s="30">
        <f>+(C16*1000000)/N11</f>
        <v>0</v>
      </c>
      <c r="D19" s="30">
        <f>+(D16*1000000)/C11</f>
        <v>0</v>
      </c>
      <c r="E19" s="30">
        <f>+(E16*1000000)/E11</f>
        <v>335.64561809343536</v>
      </c>
      <c r="F19" s="30">
        <f t="shared" ref="F19:Q19" si="6">+(F16*1000000)/F11</f>
        <v>262.23193428383632</v>
      </c>
      <c r="G19" s="30">
        <f t="shared" si="6"/>
        <v>519.63412803653455</v>
      </c>
      <c r="H19" s="30">
        <f t="shared" si="6"/>
        <v>199.79974899213357</v>
      </c>
      <c r="I19" s="30">
        <f t="shared" si="6"/>
        <v>2.1983191208547668</v>
      </c>
      <c r="J19" s="30">
        <f t="shared" si="6"/>
        <v>34.100918573973232</v>
      </c>
      <c r="K19" s="30">
        <f t="shared" si="6"/>
        <v>-57.060055236082896</v>
      </c>
      <c r="L19" s="30">
        <f t="shared" si="6"/>
        <v>-21.048191082625539</v>
      </c>
      <c r="M19" s="30">
        <f t="shared" si="6"/>
        <v>-31.502704008051317</v>
      </c>
      <c r="N19" s="30">
        <f t="shared" si="6"/>
        <v>-132.82995969785784</v>
      </c>
      <c r="O19" s="30">
        <f t="shared" si="6"/>
        <v>-64.28954126793829</v>
      </c>
      <c r="P19" s="30">
        <f t="shared" si="6"/>
        <v>65.749768011933782</v>
      </c>
      <c r="Q19" s="30">
        <f t="shared" si="6"/>
        <v>345.71498663623845</v>
      </c>
      <c r="R19" s="33">
        <f>+AVERAGE(F19:Q19)</f>
        <v>93.558279363579075</v>
      </c>
      <c r="T19" t="s">
        <v>1020</v>
      </c>
      <c r="U19" s="33">
        <f>+R33</f>
        <v>196.24517047078294</v>
      </c>
      <c r="V19" s="38">
        <f>+(U18-U19)/U18</f>
        <v>0.83536799933446704</v>
      </c>
      <c r="W19" s="30">
        <f>+Producción!C29</f>
        <v>112.31414412203108</v>
      </c>
      <c r="X19" s="38"/>
    </row>
    <row r="20" spans="2:24" x14ac:dyDescent="0.3">
      <c r="C20" s="30"/>
      <c r="D20" s="30"/>
      <c r="E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3">
        <f>+R18-R19</f>
        <v>1098.4649583876003</v>
      </c>
      <c r="T20" t="s">
        <v>1021</v>
      </c>
      <c r="U20" s="33">
        <f ca="1">+R27</f>
        <v>278.62683499589895</v>
      </c>
      <c r="V20" s="38">
        <f ca="1">+(U18-U20)/U18</f>
        <v>0.76625721196379992</v>
      </c>
      <c r="X20" s="38"/>
    </row>
    <row r="21" spans="2:24" x14ac:dyDescent="0.3"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8">
        <f>+R20/R18</f>
        <v>0.92151304068527884</v>
      </c>
      <c r="X21" s="38">
        <f>+(W18-W19)/W18</f>
        <v>0.90577856155395231</v>
      </c>
    </row>
    <row r="22" spans="2:24" x14ac:dyDescent="0.3">
      <c r="B22" t="s">
        <v>1022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8"/>
    </row>
    <row r="23" spans="2:24" x14ac:dyDescent="0.3">
      <c r="B23" t="s">
        <v>1023</v>
      </c>
      <c r="E23" s="46">
        <f ca="1">+'Análisis cliente financiamiento'!AD31/1000000</f>
        <v>1.5071513897862288</v>
      </c>
      <c r="F23" s="46">
        <f ca="1">+'Análisis cliente financiamiento'!AE31/1000000</f>
        <v>1.5066533935923401</v>
      </c>
      <c r="G23" s="46">
        <f ca="1">+'Análisis cliente financiamiento'!AF31/1000000</f>
        <v>1.5061450224777448</v>
      </c>
      <c r="H23" s="46">
        <f ca="1">+'Análisis cliente financiamiento'!AG31/1000000</f>
        <v>1.5056260602982627</v>
      </c>
      <c r="I23" s="46">
        <f ca="1">+'Análisis cliente financiamiento'!AH31/1000000</f>
        <v>1.5050962864067077</v>
      </c>
      <c r="J23" s="46">
        <f ca="1">+'Análisis cliente financiamiento'!AI31/1000000</f>
        <v>1.5045554755590789</v>
      </c>
      <c r="K23" s="46">
        <f ca="1">+'Análisis cliente financiamiento'!AJ31/1000000</f>
        <v>1.504003397818791</v>
      </c>
      <c r="L23" s="46">
        <f ca="1">+'Análisis cliente financiamiento'!AK31/1000000</f>
        <v>1.5034398184589137</v>
      </c>
      <c r="M23" s="46">
        <f ca="1">+'Análisis cliente financiamiento'!AL31/1000000</f>
        <v>1.5028644978623726</v>
      </c>
      <c r="N23" s="46">
        <f ca="1">+'Análisis cliente financiamiento'!AM31/1000000</f>
        <v>1.5022771914200699</v>
      </c>
      <c r="O23" s="46">
        <f ca="1">+'Análisis cliente financiamiento'!AN31/1000000</f>
        <v>1.5016776494268862</v>
      </c>
      <c r="P23" s="46">
        <f ca="1">+'Análisis cliente financiamiento'!AO31/1000000</f>
        <v>1.5010656169755108</v>
      </c>
      <c r="Q23" s="46">
        <f ca="1">+'Análisis cliente financiamiento'!AP31/1000000</f>
        <v>1.5004408338480653</v>
      </c>
    </row>
    <row r="24" spans="2:24" x14ac:dyDescent="0.3">
      <c r="B24" t="s">
        <v>944</v>
      </c>
      <c r="E24" s="46">
        <f>+E15</f>
        <v>2.5000000000000001E-2</v>
      </c>
      <c r="F24" s="46">
        <f t="shared" ref="F24:Q24" si="7">+F15</f>
        <v>2.5000000000000001E-2</v>
      </c>
      <c r="G24" s="46">
        <f t="shared" si="7"/>
        <v>0.22575000000000001</v>
      </c>
      <c r="H24" s="46">
        <f t="shared" si="7"/>
        <v>2.5749999999999999E-2</v>
      </c>
      <c r="I24" s="46">
        <f t="shared" si="7"/>
        <v>2.5749999999999999E-2</v>
      </c>
      <c r="J24" s="46">
        <f>+J15</f>
        <v>0.23175000000000001</v>
      </c>
      <c r="K24" s="46">
        <f t="shared" si="7"/>
        <v>2.5749999999999999E-2</v>
      </c>
      <c r="L24" s="46">
        <f t="shared" si="7"/>
        <v>2.5749999999999999E-2</v>
      </c>
      <c r="M24" s="46">
        <f t="shared" si="7"/>
        <v>0.23175000000000001</v>
      </c>
      <c r="N24" s="46">
        <f t="shared" si="7"/>
        <v>2.5749999999999999E-2</v>
      </c>
      <c r="O24" s="46">
        <f t="shared" si="7"/>
        <v>2.5749999999999999E-2</v>
      </c>
      <c r="P24" s="46">
        <f t="shared" si="7"/>
        <v>0.23175000000000001</v>
      </c>
      <c r="Q24" s="46">
        <f t="shared" si="7"/>
        <v>2.5749999999999999E-2</v>
      </c>
    </row>
    <row r="25" spans="2:24" x14ac:dyDescent="0.3">
      <c r="B25" t="s">
        <v>1024</v>
      </c>
      <c r="E25" s="46">
        <f>+E24</f>
        <v>2.5000000000000001E-2</v>
      </c>
      <c r="F25" s="46">
        <f t="shared" ref="F25:Q25" si="8">+F24</f>
        <v>2.5000000000000001E-2</v>
      </c>
      <c r="G25" s="46">
        <f t="shared" si="8"/>
        <v>0.22575000000000001</v>
      </c>
      <c r="H25" s="46">
        <f t="shared" si="8"/>
        <v>2.5749999999999999E-2</v>
      </c>
      <c r="I25" s="46">
        <f t="shared" si="8"/>
        <v>2.5749999999999999E-2</v>
      </c>
      <c r="J25" s="46">
        <f t="shared" si="8"/>
        <v>0.23175000000000001</v>
      </c>
      <c r="K25" s="46">
        <f t="shared" si="8"/>
        <v>2.5749999999999999E-2</v>
      </c>
      <c r="L25" s="46">
        <f t="shared" si="8"/>
        <v>2.5749999999999999E-2</v>
      </c>
      <c r="M25" s="46">
        <f t="shared" si="8"/>
        <v>0.23175000000000001</v>
      </c>
      <c r="N25" s="46">
        <f t="shared" si="8"/>
        <v>2.5749999999999999E-2</v>
      </c>
      <c r="O25" s="46">
        <f t="shared" si="8"/>
        <v>2.5749999999999999E-2</v>
      </c>
      <c r="P25" s="46">
        <f t="shared" si="8"/>
        <v>0.23175000000000001</v>
      </c>
      <c r="Q25" s="46">
        <f t="shared" si="8"/>
        <v>2.5749999999999999E-2</v>
      </c>
    </row>
    <row r="26" spans="2:24" x14ac:dyDescent="0.3">
      <c r="B26" t="s">
        <v>854</v>
      </c>
      <c r="E26" s="46">
        <f>+E13-E25-E14</f>
        <v>1.8905987346825743</v>
      </c>
      <c r="F26" s="46">
        <f>+F13-F24-F14</f>
        <v>1.6199101558886482</v>
      </c>
      <c r="G26" s="46">
        <f t="shared" ref="G26:Q26" si="9">+G13-G24-G14</f>
        <v>1.6797529307670263</v>
      </c>
      <c r="H26" s="46">
        <f t="shared" si="9"/>
        <v>1.4564555233569063</v>
      </c>
      <c r="I26" s="46">
        <f t="shared" si="9"/>
        <v>1.711407358775497</v>
      </c>
      <c r="J26" s="46">
        <f t="shared" si="9"/>
        <v>1.8122110310653317</v>
      </c>
      <c r="K26" s="46">
        <f t="shared" si="9"/>
        <v>1.5103302928217259</v>
      </c>
      <c r="L26" s="46">
        <f t="shared" si="9"/>
        <v>1.5794723223130751</v>
      </c>
      <c r="M26" s="46">
        <f t="shared" si="9"/>
        <v>1.8086028171553958</v>
      </c>
      <c r="N26" s="46">
        <f t="shared" si="9"/>
        <v>1.857962515856681</v>
      </c>
      <c r="O26" s="46">
        <f t="shared" si="9"/>
        <v>2.2956076396975891</v>
      </c>
      <c r="P26" s="46">
        <f t="shared" si="9"/>
        <v>2.0646912285672272</v>
      </c>
      <c r="Q26" s="46">
        <f t="shared" si="9"/>
        <v>1.9473166967230517</v>
      </c>
    </row>
    <row r="27" spans="2:24" x14ac:dyDescent="0.3">
      <c r="B27" t="s">
        <v>1021</v>
      </c>
      <c r="E27" s="30">
        <f ca="1">+(((E24+E14)*1000000)/(E11))+Producción!$B$31</f>
        <v>520.71417372575524</v>
      </c>
      <c r="F27" s="30">
        <f ca="1">+(((F24+F14)*1000000)/(F11))+Producción!$B$31</f>
        <v>447.30048991615627</v>
      </c>
      <c r="G27" s="30">
        <f ca="1">+(((G24+G14)*1000000)/(G11))+Producción!$B$31</f>
        <v>704.70268366885443</v>
      </c>
      <c r="H27" s="30">
        <f ca="1">+(((H24+H14)*1000000)/(H11))+Producción!$B$31</f>
        <v>384.86830462445346</v>
      </c>
      <c r="I27" s="30">
        <f ca="1">+(((I24+I14)*1000000)/(I11))+Producción!$B$31</f>
        <v>187.26687475317468</v>
      </c>
      <c r="J27" s="30">
        <f ca="1">+(((J24+J14)*1000000)/(J11))+Producción!$B$31</f>
        <v>219.16947420629316</v>
      </c>
      <c r="K27" s="30">
        <f ca="1">+(((K24+K14)*1000000)/(K11))+Producción!$B$31</f>
        <v>128.00850039623703</v>
      </c>
      <c r="L27" s="30">
        <f ca="1">+(((L24+L14)*1000000)/(L11))+Producción!$B$31</f>
        <v>164.02036454969436</v>
      </c>
      <c r="M27" s="30">
        <f ca="1">+(((M24+M14)*1000000)/(M11))+Producción!$B$31</f>
        <v>153.56585162426859</v>
      </c>
      <c r="N27" s="30">
        <f ca="1">+(((N24+N14)*1000000)/(N11))+Producción!$B$31</f>
        <v>52.238595934462069</v>
      </c>
      <c r="O27" s="30">
        <f ca="1">+(((O24+O14)*1000000)/(O11))+Producción!$B$31</f>
        <v>120.77901436438162</v>
      </c>
      <c r="P27" s="30">
        <f ca="1">+(((P24+P14)*1000000)/(P11))+Producción!$B$31</f>
        <v>250.8183236442537</v>
      </c>
      <c r="Q27" s="30">
        <f ca="1">+(((Q24+Q14)*1000000)/(Q11))+Producción!$B$31</f>
        <v>530.78354226855834</v>
      </c>
      <c r="R27" s="33">
        <f ca="1">+AVERAGE(F27:Q27)</f>
        <v>278.62683499589895</v>
      </c>
    </row>
    <row r="29" spans="2:24" x14ac:dyDescent="0.3">
      <c r="B29" t="s">
        <v>1025</v>
      </c>
    </row>
    <row r="30" spans="2:24" x14ac:dyDescent="0.3">
      <c r="B30" t="s">
        <v>1026</v>
      </c>
      <c r="E30" s="46">
        <f>+E15</f>
        <v>2.5000000000000001E-2</v>
      </c>
      <c r="F30" s="46">
        <f t="shared" ref="F30:Q30" si="10">+F15</f>
        <v>2.5000000000000001E-2</v>
      </c>
      <c r="G30" s="46">
        <f t="shared" si="10"/>
        <v>0.22575000000000001</v>
      </c>
      <c r="H30" s="46">
        <f t="shared" si="10"/>
        <v>2.5749999999999999E-2</v>
      </c>
      <c r="I30" s="46">
        <f t="shared" si="10"/>
        <v>2.5749999999999999E-2</v>
      </c>
      <c r="J30" s="46">
        <f t="shared" si="10"/>
        <v>0.23175000000000001</v>
      </c>
      <c r="K30" s="46">
        <f t="shared" si="10"/>
        <v>2.5749999999999999E-2</v>
      </c>
      <c r="L30" s="46">
        <f t="shared" si="10"/>
        <v>2.5749999999999999E-2</v>
      </c>
      <c r="M30" s="46">
        <f>+M15</f>
        <v>0.23175000000000001</v>
      </c>
      <c r="N30" s="46">
        <f t="shared" si="10"/>
        <v>2.5749999999999999E-2</v>
      </c>
      <c r="O30" s="46">
        <f t="shared" si="10"/>
        <v>2.5749999999999999E-2</v>
      </c>
      <c r="P30" s="46">
        <f t="shared" si="10"/>
        <v>0.23175000000000001</v>
      </c>
      <c r="Q30" s="46">
        <f t="shared" si="10"/>
        <v>2.5749999999999999E-2</v>
      </c>
    </row>
    <row r="31" spans="2:24" x14ac:dyDescent="0.3">
      <c r="B31" t="s">
        <v>1027</v>
      </c>
      <c r="E31" s="46">
        <f>+E30+E14</f>
        <v>0.4793019426374257</v>
      </c>
      <c r="F31" s="46">
        <f>+F30+F14</f>
        <v>0.40960628135135235</v>
      </c>
      <c r="G31" s="46">
        <f t="shared" ref="G31:Q31" si="11">+G30+G14</f>
        <v>0.63966961161297409</v>
      </c>
      <c r="H31" s="46">
        <f t="shared" si="11"/>
        <v>0.2719274583782938</v>
      </c>
      <c r="I31" s="46">
        <f t="shared" si="11"/>
        <v>3.7635223349033603E-3</v>
      </c>
      <c r="J31" s="46">
        <f t="shared" si="11"/>
        <v>5.3367937568268103E-2</v>
      </c>
      <c r="K31" s="46">
        <f t="shared" si="11"/>
        <v>-0.12227969837092564</v>
      </c>
      <c r="L31" s="46">
        <f t="shared" si="11"/>
        <v>-4.4853695197075022E-2</v>
      </c>
      <c r="M31" s="46">
        <f t="shared" si="11"/>
        <v>-7.589001395539563E-2</v>
      </c>
      <c r="N31" s="46">
        <f t="shared" si="11"/>
        <v>-0.27402820685668072</v>
      </c>
      <c r="O31" s="46">
        <f t="shared" si="11"/>
        <v>-0.12414310418838884</v>
      </c>
      <c r="P31" s="46">
        <f t="shared" si="11"/>
        <v>9.4613916169172724E-2</v>
      </c>
      <c r="Q31" s="46">
        <f t="shared" si="11"/>
        <v>0.49368100091654848</v>
      </c>
    </row>
    <row r="32" spans="2:24" x14ac:dyDescent="0.3">
      <c r="B32" t="s">
        <v>854</v>
      </c>
      <c r="E32" s="46">
        <f>+E13-E31</f>
        <v>1.8905987346825743</v>
      </c>
      <c r="F32" s="46">
        <f>+F13-F31</f>
        <v>1.619910155888648</v>
      </c>
      <c r="G32" s="46">
        <f t="shared" ref="G32:Q32" si="12">+G13-G31</f>
        <v>1.6797529307670263</v>
      </c>
      <c r="H32" s="46">
        <f t="shared" si="12"/>
        <v>1.4564555233569063</v>
      </c>
      <c r="I32" s="46">
        <f t="shared" si="12"/>
        <v>1.711407358775497</v>
      </c>
      <c r="J32" s="46">
        <f t="shared" si="12"/>
        <v>1.8122110310653319</v>
      </c>
      <c r="K32" s="46">
        <f t="shared" si="12"/>
        <v>1.5103302928217257</v>
      </c>
      <c r="L32" s="46">
        <f t="shared" si="12"/>
        <v>1.5794723223130751</v>
      </c>
      <c r="M32" s="46">
        <f t="shared" si="12"/>
        <v>1.8086028171553958</v>
      </c>
      <c r="N32" s="46">
        <f t="shared" si="12"/>
        <v>1.857962515856681</v>
      </c>
      <c r="O32" s="46">
        <f t="shared" si="12"/>
        <v>2.2956076396975891</v>
      </c>
      <c r="P32" s="46">
        <f t="shared" si="12"/>
        <v>2.0646912285672272</v>
      </c>
      <c r="Q32" s="46">
        <f t="shared" si="12"/>
        <v>1.9473166967230517</v>
      </c>
    </row>
    <row r="33" spans="2:18" x14ac:dyDescent="0.3">
      <c r="B33" t="s">
        <v>1020</v>
      </c>
      <c r="E33" s="12">
        <f>+((E31*1000000)/(E11)+Producción!$C$31)</f>
        <v>438.33250920063921</v>
      </c>
      <c r="F33" s="12">
        <f>+((F31*1000000)/(F11)+Producción!$C$31)</f>
        <v>364.91882539104017</v>
      </c>
      <c r="G33" s="12">
        <f>+((G31*1000000)/(G11)+Producción!$C$31)</f>
        <v>622.32101914373845</v>
      </c>
      <c r="H33" s="12">
        <f>+((H31*1000000)/(H11)+Producción!$C$31)</f>
        <v>302.48664009933742</v>
      </c>
      <c r="I33" s="12">
        <f>+((I31*1000000)/(I11)+Producción!$C$31)</f>
        <v>104.88521022805863</v>
      </c>
      <c r="J33" s="12">
        <f>+((J31*1000000)/(J11)+Producción!$C$31)</f>
        <v>136.78780968117709</v>
      </c>
      <c r="K33" s="12">
        <f>+((K31*1000000)/(K11)+Producción!$C$31)</f>
        <v>45.626835871120967</v>
      </c>
      <c r="L33" s="12">
        <f>+((L31*1000000)/(L11)+Producción!$C$31)</f>
        <v>81.638700024578327</v>
      </c>
      <c r="M33" s="12">
        <f>+((M31*1000000)/(M11)+Producción!$C$31)</f>
        <v>71.184187099152552</v>
      </c>
      <c r="N33" s="12">
        <f>+((N31*1000000)/(N11)+Producción!$C$31)</f>
        <v>-30.143068590653982</v>
      </c>
      <c r="O33" s="12">
        <f>+((O31*1000000)/(O11)+Producción!$C$31)</f>
        <v>38.397349839265573</v>
      </c>
      <c r="P33" s="12">
        <f>+((P31*1000000)/(P11)+Producción!$C$31)</f>
        <v>168.43665911913763</v>
      </c>
      <c r="Q33" s="12">
        <f>+((Q31*1000000)/(Q11)+Producción!$C$31)</f>
        <v>448.4018777434423</v>
      </c>
      <c r="R33" s="33">
        <f>+AVERAGE(F33:Q33)</f>
        <v>196.24517047078294</v>
      </c>
    </row>
    <row r="52" spans="2:23" x14ac:dyDescent="0.3">
      <c r="B52" t="s">
        <v>952</v>
      </c>
      <c r="C52">
        <f>+'Anál inv CP'!C48</f>
        <v>2024</v>
      </c>
      <c r="D52">
        <f>+'Anál inv CP'!D48</f>
        <v>2025</v>
      </c>
      <c r="E52">
        <f>+'Anál inv CP'!E48</f>
        <v>2026</v>
      </c>
      <c r="F52">
        <f>+'Anál inv CP'!F48</f>
        <v>2027</v>
      </c>
      <c r="G52">
        <f>+'Anál inv CP'!G48</f>
        <v>2028</v>
      </c>
      <c r="H52">
        <f>+'Anál inv CP'!H48</f>
        <v>2029</v>
      </c>
      <c r="I52">
        <f>+'Anál inv CP'!I48</f>
        <v>2030</v>
      </c>
      <c r="J52">
        <f>+'Anál inv CP'!J48</f>
        <v>2031</v>
      </c>
      <c r="K52">
        <f>+'Anál inv CP'!K48</f>
        <v>2032</v>
      </c>
      <c r="L52">
        <f>+'Anál inv CP'!L48</f>
        <v>2033</v>
      </c>
      <c r="M52">
        <f>+'Anál inv CP'!M48</f>
        <v>2034</v>
      </c>
      <c r="N52">
        <f>+'Anál inv CP'!N48</f>
        <v>2035</v>
      </c>
      <c r="O52">
        <f>+'Anál inv CP'!O48</f>
        <v>2036</v>
      </c>
      <c r="P52">
        <f>+'Anál inv CP'!P48</f>
        <v>2037</v>
      </c>
      <c r="Q52">
        <f>+'Anál inv CP'!Q48</f>
        <v>2038</v>
      </c>
      <c r="R52">
        <f>+'Anál inv CP'!R48</f>
        <v>2039</v>
      </c>
      <c r="S52">
        <f>+'Anál inv CP'!S48</f>
        <v>2040</v>
      </c>
      <c r="T52">
        <f>+'Anál inv CP'!T48</f>
        <v>2041</v>
      </c>
      <c r="U52">
        <f>+'Anál inv CP'!U48</f>
        <v>2042</v>
      </c>
      <c r="V52">
        <f>+'Anál inv CP'!V48</f>
        <v>2043</v>
      </c>
      <c r="W52">
        <f>+'Anál inv CP'!W48</f>
        <v>2044</v>
      </c>
    </row>
    <row r="53" spans="2:23" x14ac:dyDescent="0.3">
      <c r="B53" t="s">
        <v>788</v>
      </c>
      <c r="C53" s="12">
        <f>+'Anál inv CP'!C51</f>
        <v>0</v>
      </c>
      <c r="D53" s="12">
        <f ca="1">+'Anál inv CP'!D51</f>
        <v>2.2089288812356012</v>
      </c>
      <c r="E53" s="12">
        <f ca="1">+'Anál inv CP'!E51</f>
        <v>-7.1978911433949744E-2</v>
      </c>
      <c r="F53" s="12">
        <f ca="1">+'Anál inv CP'!F51</f>
        <v>-16.085566163773045</v>
      </c>
      <c r="G53" s="12">
        <f ca="1">+'Anál inv CP'!G51</f>
        <v>-15.908422554848858</v>
      </c>
      <c r="H53" s="12">
        <f ca="1">+'Anál inv CP'!H51</f>
        <v>-15.718936756860607</v>
      </c>
      <c r="I53" s="12">
        <f ca="1">+'Anál inv CP'!I51</f>
        <v>-15.926149625876247</v>
      </c>
      <c r="J53" s="12">
        <f ca="1">+'Anál inv CP'!J51</f>
        <v>-13.09141195818159</v>
      </c>
      <c r="K53" s="12">
        <f ca="1">+'Anál inv CP'!K51</f>
        <v>1.5434502162555332</v>
      </c>
      <c r="L53" s="12">
        <f ca="1">+'Anál inv CP'!L51</f>
        <v>1.5853082417403428</v>
      </c>
      <c r="M53" s="12">
        <f ca="1">+'Anál inv CP'!M51</f>
        <v>1.6508269180994111</v>
      </c>
      <c r="N53" s="12">
        <f ca="1">+'Anál inv CP'!N51</f>
        <v>1.6849381131630472</v>
      </c>
      <c r="O53" s="12">
        <f ca="1">+'Anál inv CP'!O51</f>
        <v>1.7298224469144716</v>
      </c>
      <c r="P53" s="12">
        <f ca="1">+'Anál inv CP'!P51</f>
        <v>1.7525769452960014</v>
      </c>
      <c r="Q53" s="12">
        <f ca="1">+'Anál inv CP'!Q51</f>
        <v>1.7860191716911635</v>
      </c>
      <c r="R53" s="12">
        <f ca="1">+'Anál inv CP'!R51</f>
        <v>1.8191490124192686</v>
      </c>
      <c r="S53" s="12">
        <f ca="1">+'Anál inv CP'!S51</f>
        <v>1.8637159745171807</v>
      </c>
      <c r="T53" s="12">
        <f ca="1">+'Anál inv CP'!T51</f>
        <v>1.8842735229776668</v>
      </c>
      <c r="U53" s="12">
        <f ca="1">+'Anál inv CP'!U51</f>
        <v>1.9161624475535599</v>
      </c>
      <c r="V53" s="12">
        <f ca="1">+'Anál inv CP'!V51</f>
        <v>1.947527261433327</v>
      </c>
      <c r="W53" s="12">
        <f ca="1">+'Anál inv CP'!W51</f>
        <v>1.9876683927313907</v>
      </c>
    </row>
    <row r="54" spans="2:23" x14ac:dyDescent="0.3">
      <c r="B54" t="s">
        <v>793</v>
      </c>
      <c r="C54" s="12" t="e">
        <f>+'Anál arrend finan MP'!C$51</f>
        <v>#REF!</v>
      </c>
      <c r="D54" s="12" t="e">
        <f ca="1">+'Anál arrend finan MP'!D$51</f>
        <v>#VALUE!</v>
      </c>
      <c r="E54" s="12" t="e">
        <f ca="1">+'Anál arrend finan MP'!E$51</f>
        <v>#VALUE!</v>
      </c>
      <c r="F54" s="12" t="e">
        <f ca="1">+'Anál arrend finan MP'!F$51</f>
        <v>#VALUE!</v>
      </c>
      <c r="G54" s="12" t="e">
        <f ca="1">+'Anál arrend finan MP'!G$51</f>
        <v>#VALUE!</v>
      </c>
      <c r="H54" s="12" t="e">
        <f ca="1">+'Anál arrend finan MP'!H$51</f>
        <v>#VALUE!</v>
      </c>
      <c r="I54" s="12" t="e">
        <f ca="1">+'Anál arrend finan MP'!I$51</f>
        <v>#VALUE!</v>
      </c>
      <c r="J54" s="12" t="e">
        <f ca="1">+'Anál arrend finan MP'!J$51</f>
        <v>#VALUE!</v>
      </c>
      <c r="K54" s="12" t="e">
        <f ca="1">+'Anál arrend finan MP'!K$51</f>
        <v>#VALUE!</v>
      </c>
      <c r="L54" s="12" t="e">
        <f ca="1">+'Anál arrend finan MP'!L$51</f>
        <v>#VALUE!</v>
      </c>
      <c r="M54" s="12" t="e">
        <f ca="1">+'Anál arrend finan MP'!M$51</f>
        <v>#VALUE!</v>
      </c>
      <c r="N54" s="12" t="e">
        <f ca="1">+'Anál arrend finan MP'!N$51</f>
        <v>#VALUE!</v>
      </c>
      <c r="O54" s="12">
        <f ca="1">+'Anál arrend finan MP'!O$51</f>
        <v>1.7298224469144716</v>
      </c>
      <c r="P54" s="12">
        <f ca="1">+'Anál arrend finan MP'!P$51</f>
        <v>1.7525769452960014</v>
      </c>
      <c r="Q54" s="12">
        <f ca="1">+'Anál arrend finan MP'!Q$51</f>
        <v>1.7860191716911635</v>
      </c>
      <c r="R54" s="12">
        <f ca="1">+'Anál arrend finan MP'!R$51</f>
        <v>1.8191490124192686</v>
      </c>
      <c r="S54" s="12">
        <f ca="1">+'Anál arrend finan MP'!S$51</f>
        <v>1.8637159745171807</v>
      </c>
      <c r="T54" s="12">
        <f ca="1">+'Anál arrend finan MP'!T$51</f>
        <v>1.8842735229776668</v>
      </c>
      <c r="U54" s="12">
        <f ca="1">+'Anál arrend finan MP'!U$51</f>
        <v>1.9161624475535599</v>
      </c>
      <c r="V54" s="12">
        <f ca="1">+'Anál arrend finan MP'!V$51</f>
        <v>1.947527261433327</v>
      </c>
      <c r="W54" s="12">
        <f ca="1">+'Anál arrend finan MP'!W$51</f>
        <v>1.9876683927313907</v>
      </c>
    </row>
    <row r="55" spans="2:23" x14ac:dyDescent="0.3">
      <c r="B55" t="s">
        <v>798</v>
      </c>
      <c r="C55" s="12" t="e">
        <f>+'Anál arrend finan LP'!C$51</f>
        <v>#REF!</v>
      </c>
      <c r="D55" s="12" t="e">
        <f ca="1">+'Anál arrend finan LP'!D$51</f>
        <v>#VALUE!</v>
      </c>
      <c r="E55" s="12" t="e">
        <f ca="1">+'Anál arrend finan LP'!E$51</f>
        <v>#VALUE!</v>
      </c>
      <c r="F55" s="12" t="e">
        <f ca="1">+'Anál arrend finan LP'!F$51</f>
        <v>#VALUE!</v>
      </c>
      <c r="G55" s="12" t="e">
        <f ca="1">+'Anál arrend finan LP'!G$51</f>
        <v>#VALUE!</v>
      </c>
      <c r="H55" s="12" t="e">
        <f ca="1">+'Anál arrend finan LP'!H$51</f>
        <v>#VALUE!</v>
      </c>
      <c r="I55" s="12" t="e">
        <f ca="1">+'Anál arrend finan LP'!I$51</f>
        <v>#VALUE!</v>
      </c>
      <c r="J55" s="12" t="e">
        <f ca="1">+'Anál arrend finan LP'!J$51</f>
        <v>#VALUE!</v>
      </c>
      <c r="K55" s="12" t="e">
        <f ca="1">+'Anál arrend finan LP'!K$51</f>
        <v>#VALUE!</v>
      </c>
      <c r="L55" s="12" t="e">
        <f ca="1">+'Anál arrend finan LP'!L$51</f>
        <v>#VALUE!</v>
      </c>
      <c r="M55" s="12" t="e">
        <f ca="1">+'Anál arrend finan LP'!M$51</f>
        <v>#VALUE!</v>
      </c>
      <c r="N55" s="12" t="e">
        <f ca="1">+'Anál arrend finan LP'!N$51</f>
        <v>#VALUE!</v>
      </c>
      <c r="O55" s="12" t="e">
        <f ca="1">+'Anál arrend finan LP'!O$51</f>
        <v>#VALUE!</v>
      </c>
      <c r="P55" s="12" t="e">
        <f ca="1">+'Anál arrend finan LP'!P$51</f>
        <v>#VALUE!</v>
      </c>
      <c r="Q55" s="12" t="e">
        <f ca="1">+'Anál arrend finan LP'!Q$51</f>
        <v>#VALUE!</v>
      </c>
      <c r="R55" s="12" t="e">
        <f ca="1">+'Anál arrend finan LP'!R$51</f>
        <v>#VALUE!</v>
      </c>
      <c r="S55" s="12" t="e">
        <f ca="1">+'Anál arrend finan LP'!S$51</f>
        <v>#VALUE!</v>
      </c>
      <c r="T55" s="12">
        <f ca="1">+'Anál arrend finan LP'!T$51</f>
        <v>2.298357922749994</v>
      </c>
      <c r="U55" s="12">
        <f ca="1">+'Anál arrend finan LP'!U$51</f>
        <v>2.429066890290756</v>
      </c>
      <c r="V55" s="12">
        <f ca="1">+'Anál arrend finan LP'!V$51</f>
        <v>2.5644434999212034</v>
      </c>
      <c r="W55" s="12">
        <f ca="1">+'Anál arrend finan LP'!W$51</f>
        <v>2.7174451951188088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BE75-6737-4887-A544-63DF70057E2A}">
  <dimension ref="A1:N54"/>
  <sheetViews>
    <sheetView workbookViewId="0">
      <pane xSplit="3" ySplit="3" topLeftCell="D21" activePane="bottomRight" state="frozen"/>
      <selection pane="topRight" activeCell="E1" sqref="E1"/>
      <selection pane="bottomLeft" activeCell="A5" sqref="A5"/>
      <selection pane="bottomRight" activeCell="D38" sqref="D38"/>
    </sheetView>
  </sheetViews>
  <sheetFormatPr baseColWidth="10" defaultColWidth="11.44140625" defaultRowHeight="14.4" x14ac:dyDescent="0.3"/>
  <cols>
    <col min="1" max="1" width="82.77734375" customWidth="1"/>
    <col min="2" max="2" width="15.44140625" bestFit="1" customWidth="1"/>
    <col min="3" max="3" width="4.77734375" bestFit="1" customWidth="1"/>
    <col min="4" max="4" width="15.44140625" bestFit="1" customWidth="1"/>
    <col min="5" max="6" width="12.5546875" bestFit="1" customWidth="1"/>
    <col min="7" max="7" width="15.44140625" bestFit="1" customWidth="1"/>
    <col min="8" max="8" width="19" bestFit="1" customWidth="1"/>
    <col min="9" max="9" width="25.5546875" bestFit="1" customWidth="1"/>
    <col min="10" max="10" width="25.5546875" customWidth="1"/>
    <col min="11" max="11" width="14.5546875" bestFit="1" customWidth="1"/>
    <col min="12" max="12" width="13.44140625" bestFit="1" customWidth="1"/>
    <col min="13" max="13" width="13.44140625" customWidth="1"/>
    <col min="14" max="14" width="12.5546875" bestFit="1" customWidth="1"/>
  </cols>
  <sheetData>
    <row r="1" spans="1:14" x14ac:dyDescent="0.3">
      <c r="C1" s="9"/>
      <c r="D1" s="9"/>
      <c r="E1" s="9"/>
      <c r="F1" s="9"/>
    </row>
    <row r="3" spans="1:14" x14ac:dyDescent="0.3">
      <c r="A3" s="18" t="s">
        <v>1</v>
      </c>
      <c r="B3" s="18" t="s">
        <v>299</v>
      </c>
      <c r="C3" s="18" t="s">
        <v>1028</v>
      </c>
      <c r="D3" s="18" t="s">
        <v>1029</v>
      </c>
      <c r="E3" s="18" t="s">
        <v>303</v>
      </c>
      <c r="F3" s="18" t="s">
        <v>1030</v>
      </c>
      <c r="G3" s="18" t="s">
        <v>1031</v>
      </c>
    </row>
    <row r="4" spans="1:14" x14ac:dyDescent="0.3">
      <c r="A4" s="19" t="s">
        <v>363</v>
      </c>
      <c r="B4" s="20"/>
      <c r="C4" s="20"/>
      <c r="D4" s="23"/>
      <c r="E4" s="23"/>
      <c r="F4" s="21">
        <f>+SUM(F5:F7)</f>
        <v>0</v>
      </c>
      <c r="G4" s="21">
        <f>+SUM(G5:G7)</f>
        <v>0</v>
      </c>
      <c r="L4" t="s">
        <v>357</v>
      </c>
      <c r="M4">
        <v>1.2</v>
      </c>
      <c r="N4">
        <v>1.2</v>
      </c>
    </row>
    <row r="5" spans="1:14" x14ac:dyDescent="0.3">
      <c r="A5" s="20" t="s">
        <v>1032</v>
      </c>
      <c r="B5" s="20" t="s">
        <v>299</v>
      </c>
      <c r="C5" s="20">
        <v>1</v>
      </c>
      <c r="D5" s="23"/>
      <c r="E5" s="51">
        <v>0.19</v>
      </c>
      <c r="F5" s="23">
        <f t="shared" ref="F5:F7" si="0">+C5*D5</f>
        <v>0</v>
      </c>
      <c r="G5" s="24">
        <f t="shared" ref="G5:G7" si="1">+C5*(D5*(1+E5))</f>
        <v>0</v>
      </c>
      <c r="M5" s="30" t="e">
        <f>+#REF!*M4</f>
        <v>#REF!</v>
      </c>
      <c r="N5" s="30" t="e">
        <f>+#REF!*N4</f>
        <v>#REF!</v>
      </c>
    </row>
    <row r="6" spans="1:14" x14ac:dyDescent="0.3">
      <c r="A6" s="20" t="s">
        <v>1033</v>
      </c>
      <c r="B6" s="20" t="s">
        <v>299</v>
      </c>
      <c r="C6" s="20">
        <v>4</v>
      </c>
      <c r="D6" s="23"/>
      <c r="E6" s="51">
        <v>0.19</v>
      </c>
      <c r="F6" s="23">
        <f t="shared" si="0"/>
        <v>0</v>
      </c>
      <c r="G6" s="24">
        <f t="shared" si="1"/>
        <v>0</v>
      </c>
      <c r="N6" s="30"/>
    </row>
    <row r="7" spans="1:14" x14ac:dyDescent="0.3">
      <c r="A7" s="20" t="s">
        <v>1034</v>
      </c>
      <c r="B7" s="20" t="s">
        <v>299</v>
      </c>
      <c r="C7" s="20">
        <v>2</v>
      </c>
      <c r="D7" s="23"/>
      <c r="E7" s="51">
        <v>0.19</v>
      </c>
      <c r="F7" s="23">
        <f t="shared" si="0"/>
        <v>0</v>
      </c>
      <c r="G7" s="24">
        <f t="shared" si="1"/>
        <v>0</v>
      </c>
      <c r="N7" s="30"/>
    </row>
    <row r="8" spans="1:14" x14ac:dyDescent="0.3">
      <c r="A8" s="19" t="s">
        <v>370</v>
      </c>
      <c r="B8" s="20"/>
      <c r="C8" s="20"/>
      <c r="D8" s="23"/>
      <c r="E8" s="23"/>
      <c r="F8" s="21">
        <f>+SUM(F9:F11)</f>
        <v>0</v>
      </c>
      <c r="G8" s="21">
        <f>+SUM(G9:G11)</f>
        <v>0</v>
      </c>
      <c r="N8" s="30"/>
    </row>
    <row r="9" spans="1:14" x14ac:dyDescent="0.3">
      <c r="A9" s="20" t="s">
        <v>1035</v>
      </c>
      <c r="B9" s="20" t="s">
        <v>299</v>
      </c>
      <c r="C9" s="20">
        <v>1</v>
      </c>
      <c r="D9" s="23"/>
      <c r="E9" s="51">
        <v>0.19</v>
      </c>
      <c r="F9" s="23">
        <f t="shared" ref="F9:F11" si="2">+C9*D9</f>
        <v>0</v>
      </c>
      <c r="G9" s="24">
        <f t="shared" ref="G9:G11" si="3">+C9*(D9*(1+E9))</f>
        <v>0</v>
      </c>
      <c r="N9" s="30"/>
    </row>
    <row r="10" spans="1:14" x14ac:dyDescent="0.3">
      <c r="A10" s="20" t="s">
        <v>1036</v>
      </c>
      <c r="B10" s="20" t="s">
        <v>299</v>
      </c>
      <c r="C10" s="20">
        <v>1</v>
      </c>
      <c r="D10" s="23"/>
      <c r="E10" s="51">
        <v>0.19</v>
      </c>
      <c r="F10" s="23">
        <f t="shared" si="2"/>
        <v>0</v>
      </c>
      <c r="G10" s="24">
        <f t="shared" si="3"/>
        <v>0</v>
      </c>
      <c r="N10" s="30"/>
    </row>
    <row r="11" spans="1:14" x14ac:dyDescent="0.3">
      <c r="A11" s="20" t="s">
        <v>1037</v>
      </c>
      <c r="B11" s="20" t="s">
        <v>299</v>
      </c>
      <c r="C11" s="20">
        <v>1</v>
      </c>
      <c r="D11" s="23"/>
      <c r="E11" s="51">
        <v>0.19</v>
      </c>
      <c r="F11" s="23">
        <f t="shared" si="2"/>
        <v>0</v>
      </c>
      <c r="G11" s="24">
        <f t="shared" si="3"/>
        <v>0</v>
      </c>
      <c r="N11" s="30"/>
    </row>
    <row r="12" spans="1:14" x14ac:dyDescent="0.3">
      <c r="A12" s="19" t="s">
        <v>1038</v>
      </c>
      <c r="B12" s="19"/>
      <c r="C12" s="19"/>
      <c r="D12" s="23"/>
      <c r="E12" s="23"/>
      <c r="F12" s="21">
        <f>+SUM(F13:F13)</f>
        <v>0</v>
      </c>
      <c r="G12" s="21">
        <f>+SUM(G13:G13)</f>
        <v>0</v>
      </c>
    </row>
    <row r="13" spans="1:14" x14ac:dyDescent="0.3">
      <c r="A13" s="20" t="s">
        <v>1039</v>
      </c>
      <c r="B13" s="20" t="s">
        <v>299</v>
      </c>
      <c r="C13" s="20">
        <v>2</v>
      </c>
      <c r="D13" s="64"/>
      <c r="E13" s="65">
        <v>0.19</v>
      </c>
      <c r="F13" s="64">
        <f>+C13*D13</f>
        <v>0</v>
      </c>
      <c r="G13" s="24">
        <f>+C13*D13</f>
        <v>0</v>
      </c>
    </row>
    <row r="14" spans="1:14" x14ac:dyDescent="0.3">
      <c r="A14" s="19" t="s">
        <v>415</v>
      </c>
      <c r="B14" s="20"/>
      <c r="C14" s="20"/>
      <c r="D14" s="23"/>
      <c r="E14" s="23"/>
      <c r="F14" s="21">
        <f>+SUM(F15:F18)</f>
        <v>0</v>
      </c>
      <c r="G14" s="21">
        <f>+SUM(G15:G18)</f>
        <v>0</v>
      </c>
    </row>
    <row r="15" spans="1:14" x14ac:dyDescent="0.3">
      <c r="A15" s="53" t="s">
        <v>1040</v>
      </c>
      <c r="B15" s="20" t="s">
        <v>393</v>
      </c>
      <c r="C15" s="20">
        <f>40*1.25</f>
        <v>50</v>
      </c>
      <c r="D15" s="23"/>
      <c r="E15" s="51">
        <v>0.19</v>
      </c>
      <c r="F15" s="23">
        <f>+C15*D15</f>
        <v>0</v>
      </c>
      <c r="G15" s="24">
        <f>+C15*(D15*(1+E15))</f>
        <v>0</v>
      </c>
    </row>
    <row r="16" spans="1:14" x14ac:dyDescent="0.3">
      <c r="A16" s="53" t="s">
        <v>243</v>
      </c>
      <c r="B16" s="20" t="s">
        <v>299</v>
      </c>
      <c r="C16" s="20">
        <v>10</v>
      </c>
      <c r="D16" s="23"/>
      <c r="E16" s="51">
        <v>0.19</v>
      </c>
      <c r="F16" s="23">
        <f t="shared" ref="F16:F18" si="4">+C16*D16</f>
        <v>0</v>
      </c>
      <c r="G16" s="24">
        <f t="shared" ref="G16:G18" si="5">+C16*(D16*(1+E16))</f>
        <v>0</v>
      </c>
    </row>
    <row r="17" spans="1:11" x14ac:dyDescent="0.3">
      <c r="A17" s="26" t="s">
        <v>1041</v>
      </c>
      <c r="B17" s="20" t="s">
        <v>393</v>
      </c>
      <c r="C17" s="20">
        <f>5*4*1.25</f>
        <v>25</v>
      </c>
      <c r="D17" s="23"/>
      <c r="E17" s="51">
        <v>0.19</v>
      </c>
      <c r="F17" s="23">
        <f>+C17*D17</f>
        <v>0</v>
      </c>
      <c r="G17" s="24">
        <f t="shared" si="5"/>
        <v>0</v>
      </c>
    </row>
    <row r="18" spans="1:11" x14ac:dyDescent="0.3">
      <c r="A18" s="26" t="s">
        <v>1042</v>
      </c>
      <c r="B18" s="20" t="s">
        <v>393</v>
      </c>
      <c r="C18" s="20">
        <v>10</v>
      </c>
      <c r="D18" s="23"/>
      <c r="E18" s="51">
        <v>0.19</v>
      </c>
      <c r="F18" s="23">
        <f t="shared" si="4"/>
        <v>0</v>
      </c>
      <c r="G18" s="24">
        <f t="shared" si="5"/>
        <v>0</v>
      </c>
    </row>
    <row r="19" spans="1:11" x14ac:dyDescent="0.3">
      <c r="A19" s="27" t="s">
        <v>467</v>
      </c>
      <c r="B19" s="20"/>
      <c r="C19" s="20"/>
      <c r="D19" s="23"/>
      <c r="E19" s="23"/>
      <c r="F19" s="21">
        <f>+SUM(F20:F22)</f>
        <v>0</v>
      </c>
      <c r="G19" s="21">
        <f>+SUM(G20:G22)</f>
        <v>0</v>
      </c>
    </row>
    <row r="20" spans="1:11" x14ac:dyDescent="0.3">
      <c r="A20" s="26" t="s">
        <v>1043</v>
      </c>
      <c r="B20" s="20" t="s">
        <v>393</v>
      </c>
      <c r="C20" s="20">
        <f>10*1.5</f>
        <v>15</v>
      </c>
      <c r="D20" s="23"/>
      <c r="E20" s="51">
        <v>0.19</v>
      </c>
      <c r="F20" s="23">
        <f t="shared" ref="F20:F22" si="6">+C20*D20</f>
        <v>0</v>
      </c>
      <c r="G20" s="24">
        <f t="shared" ref="G20:G22" si="7">+C20*(D20*(1+E20))</f>
        <v>0</v>
      </c>
    </row>
    <row r="21" spans="1:11" x14ac:dyDescent="0.3">
      <c r="A21" s="26" t="s">
        <v>1044</v>
      </c>
      <c r="B21" s="20" t="s">
        <v>393</v>
      </c>
      <c r="C21" s="20">
        <f>10*1.5</f>
        <v>15</v>
      </c>
      <c r="D21" s="23"/>
      <c r="E21" s="51">
        <v>0.19</v>
      </c>
      <c r="F21" s="23">
        <f>+C21*D21</f>
        <v>0</v>
      </c>
      <c r="G21" s="24">
        <f>+C21*(D21*(1+E21))</f>
        <v>0</v>
      </c>
    </row>
    <row r="22" spans="1:11" x14ac:dyDescent="0.3">
      <c r="A22" s="26" t="s">
        <v>1045</v>
      </c>
      <c r="B22" s="20" t="s">
        <v>393</v>
      </c>
      <c r="C22" s="20">
        <v>20</v>
      </c>
      <c r="D22" s="23"/>
      <c r="E22" s="51">
        <v>0.19</v>
      </c>
      <c r="F22" s="23">
        <f t="shared" si="6"/>
        <v>0</v>
      </c>
      <c r="G22" s="24">
        <f t="shared" si="7"/>
        <v>0</v>
      </c>
    </row>
    <row r="23" spans="1:11" x14ac:dyDescent="0.3">
      <c r="A23" s="26" t="s">
        <v>1046</v>
      </c>
      <c r="B23" s="20" t="s">
        <v>393</v>
      </c>
      <c r="C23" s="20">
        <v>20</v>
      </c>
      <c r="D23" s="23"/>
      <c r="E23" s="51">
        <v>0.19</v>
      </c>
      <c r="F23" s="23">
        <f t="shared" ref="F23" si="8">+C23*D23</f>
        <v>0</v>
      </c>
      <c r="G23" s="24">
        <f t="shared" ref="G23" si="9">+C23*(D23*(1+E23))</f>
        <v>0</v>
      </c>
    </row>
    <row r="24" spans="1:11" x14ac:dyDescent="0.3">
      <c r="A24" s="26" t="s">
        <v>1047</v>
      </c>
      <c r="B24" s="20" t="s">
        <v>393</v>
      </c>
      <c r="C24" s="20">
        <v>20</v>
      </c>
      <c r="D24" s="23"/>
      <c r="E24" s="51"/>
      <c r="F24" s="23"/>
      <c r="G24" s="24"/>
    </row>
    <row r="25" spans="1:11" x14ac:dyDescent="0.3">
      <c r="A25" s="26" t="s">
        <v>1048</v>
      </c>
      <c r="B25" s="20" t="s">
        <v>393</v>
      </c>
      <c r="C25" s="20">
        <v>20</v>
      </c>
      <c r="D25" s="23"/>
      <c r="E25" s="51"/>
      <c r="F25" s="23"/>
      <c r="G25" s="24"/>
    </row>
    <row r="26" spans="1:11" x14ac:dyDescent="0.3">
      <c r="A26" s="26" t="s">
        <v>1049</v>
      </c>
      <c r="B26" s="20" t="s">
        <v>393</v>
      </c>
      <c r="C26" s="20">
        <v>20</v>
      </c>
      <c r="D26" s="23"/>
      <c r="E26" s="51"/>
      <c r="F26" s="23"/>
      <c r="G26" s="24"/>
    </row>
    <row r="27" spans="1:11" x14ac:dyDescent="0.3">
      <c r="A27" s="26" t="s">
        <v>1050</v>
      </c>
      <c r="B27" s="20" t="s">
        <v>393</v>
      </c>
      <c r="C27" s="20">
        <v>20</v>
      </c>
      <c r="D27" s="23"/>
      <c r="E27" s="51"/>
      <c r="F27" s="23"/>
      <c r="G27" s="24"/>
    </row>
    <row r="28" spans="1:11" x14ac:dyDescent="0.3">
      <c r="A28" s="27" t="s">
        <v>11</v>
      </c>
      <c r="B28" s="19"/>
      <c r="C28" s="19"/>
      <c r="D28" s="19"/>
      <c r="E28" s="19"/>
      <c r="F28" s="21" t="e">
        <f>+#REF!+#REF!+F4+F8+F12+F14+F19+#REF!+#REF!+#REF!</f>
        <v>#REF!</v>
      </c>
      <c r="G28" s="21" t="e">
        <f>+#REF!+#REF!+G4+G8+G12+G14+G19+#REF!+#REF!+#REF!</f>
        <v>#REF!</v>
      </c>
      <c r="J28" t="s">
        <v>430</v>
      </c>
    </row>
    <row r="29" spans="1:11" x14ac:dyDescent="0.3">
      <c r="A29" s="56"/>
      <c r="D29" s="9"/>
      <c r="E29" s="9"/>
      <c r="F29" s="9"/>
      <c r="G29" s="57" t="e">
        <f>+G28/B39</f>
        <v>#REF!</v>
      </c>
      <c r="J29" t="s">
        <v>607</v>
      </c>
      <c r="K29" s="16">
        <v>0.187</v>
      </c>
    </row>
    <row r="30" spans="1:11" x14ac:dyDescent="0.3">
      <c r="A30" s="56"/>
      <c r="D30" s="9"/>
      <c r="E30" s="9"/>
      <c r="F30" s="9"/>
      <c r="G30" s="57"/>
      <c r="K30" s="16"/>
    </row>
    <row r="31" spans="1:11" x14ac:dyDescent="0.3">
      <c r="A31" s="56"/>
      <c r="D31" s="9"/>
      <c r="E31" s="9"/>
      <c r="F31" s="9"/>
      <c r="G31" s="57"/>
    </row>
    <row r="32" spans="1:11" x14ac:dyDescent="0.3">
      <c r="A32" s="56"/>
      <c r="D32" s="9"/>
      <c r="E32" s="9"/>
      <c r="F32" s="9"/>
      <c r="G32" s="57"/>
    </row>
    <row r="33" spans="1:13" x14ac:dyDescent="0.3">
      <c r="A33" s="56"/>
      <c r="D33" s="9"/>
      <c r="E33" s="9"/>
      <c r="F33" s="9"/>
      <c r="G33" s="57"/>
    </row>
    <row r="34" spans="1:13" x14ac:dyDescent="0.3">
      <c r="A34" s="37"/>
      <c r="E34" s="9"/>
      <c r="F34" s="9"/>
      <c r="G34" s="57"/>
      <c r="K34" s="30"/>
    </row>
    <row r="35" spans="1:13" x14ac:dyDescent="0.3">
      <c r="E35" s="9"/>
      <c r="F35" s="9"/>
      <c r="G35" s="57"/>
      <c r="K35" s="30"/>
    </row>
    <row r="36" spans="1:13" x14ac:dyDescent="0.3">
      <c r="E36" s="9"/>
      <c r="F36" s="9"/>
      <c r="G36" s="58"/>
      <c r="K36" s="32"/>
    </row>
    <row r="37" spans="1:13" x14ac:dyDescent="0.3">
      <c r="A37" s="46"/>
      <c r="G37" s="59"/>
    </row>
    <row r="38" spans="1:13" x14ac:dyDescent="0.3">
      <c r="G38" s="30"/>
      <c r="J38" s="30"/>
      <c r="K38" s="33"/>
      <c r="L38" s="33"/>
      <c r="M38" s="33"/>
    </row>
    <row r="39" spans="1:13" x14ac:dyDescent="0.3">
      <c r="J39" s="30"/>
      <c r="K39" s="33"/>
      <c r="L39" s="33"/>
      <c r="M39" s="33"/>
    </row>
    <row r="40" spans="1:13" x14ac:dyDescent="0.3">
      <c r="B40" s="60"/>
      <c r="D40" s="30"/>
      <c r="E40" s="33"/>
    </row>
    <row r="41" spans="1:13" x14ac:dyDescent="0.3">
      <c r="B41" s="60"/>
      <c r="D41" s="30"/>
    </row>
    <row r="42" spans="1:13" x14ac:dyDescent="0.3">
      <c r="B42" s="60"/>
      <c r="D42" s="30"/>
    </row>
    <row r="43" spans="1:13" x14ac:dyDescent="0.3">
      <c r="B43" s="60"/>
      <c r="D43" s="30"/>
    </row>
    <row r="45" spans="1:13" x14ac:dyDescent="0.3">
      <c r="A45" s="6"/>
    </row>
    <row r="46" spans="1:13" x14ac:dyDescent="0.3">
      <c r="B46" s="9"/>
      <c r="E46" s="9"/>
    </row>
    <row r="47" spans="1:13" x14ac:dyDescent="0.3">
      <c r="H47" s="32"/>
    </row>
    <row r="48" spans="1:13" x14ac:dyDescent="0.3">
      <c r="G48" s="32"/>
    </row>
    <row r="49" spans="2:7" x14ac:dyDescent="0.3">
      <c r="G49" s="28"/>
    </row>
    <row r="50" spans="2:7" x14ac:dyDescent="0.3">
      <c r="G50" s="32"/>
    </row>
    <row r="51" spans="2:7" x14ac:dyDescent="0.3">
      <c r="G51" s="28"/>
    </row>
    <row r="52" spans="2:7" x14ac:dyDescent="0.3">
      <c r="G52" s="41"/>
    </row>
    <row r="53" spans="2:7" x14ac:dyDescent="0.3">
      <c r="B53" s="30"/>
    </row>
    <row r="54" spans="2:7" x14ac:dyDescent="0.3">
      <c r="B54" s="3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76AB-3FAE-47D2-A270-6AD498D54482}">
  <dimension ref="A1:J27"/>
  <sheetViews>
    <sheetView topLeftCell="A3" workbookViewId="0">
      <selection activeCell="F13" sqref="F13"/>
    </sheetView>
  </sheetViews>
  <sheetFormatPr baseColWidth="10" defaultColWidth="11.44140625" defaultRowHeight="14.4" x14ac:dyDescent="0.3"/>
  <cols>
    <col min="1" max="1" width="2.5546875" bestFit="1" customWidth="1"/>
    <col min="2" max="2" width="42.5546875" bestFit="1" customWidth="1"/>
    <col min="6" max="6" width="12.5546875" bestFit="1" customWidth="1"/>
    <col min="8" max="8" width="20.44140625" bestFit="1" customWidth="1"/>
  </cols>
  <sheetData>
    <row r="1" spans="1:10" x14ac:dyDescent="0.3">
      <c r="A1" t="s">
        <v>1051</v>
      </c>
      <c r="B1" t="s">
        <v>1052</v>
      </c>
      <c r="H1" s="216" t="s">
        <v>38</v>
      </c>
      <c r="I1" s="216"/>
      <c r="J1" s="216"/>
    </row>
    <row r="3" spans="1:10" x14ac:dyDescent="0.3">
      <c r="B3" t="s">
        <v>1053</v>
      </c>
      <c r="C3">
        <v>550</v>
      </c>
      <c r="D3" t="s">
        <v>72</v>
      </c>
      <c r="H3" t="s">
        <v>43</v>
      </c>
      <c r="I3">
        <v>390</v>
      </c>
      <c r="J3" t="s">
        <v>44</v>
      </c>
    </row>
    <row r="4" spans="1:10" x14ac:dyDescent="0.3">
      <c r="B4" t="s">
        <v>1054</v>
      </c>
      <c r="C4">
        <v>12</v>
      </c>
      <c r="D4" t="s">
        <v>1055</v>
      </c>
      <c r="H4" t="s">
        <v>48</v>
      </c>
      <c r="I4">
        <v>41.1</v>
      </c>
      <c r="J4" t="s">
        <v>49</v>
      </c>
    </row>
    <row r="5" spans="1:10" x14ac:dyDescent="0.3">
      <c r="B5" t="s">
        <v>1056</v>
      </c>
      <c r="C5">
        <v>0.85</v>
      </c>
      <c r="H5" t="s">
        <v>52</v>
      </c>
      <c r="I5">
        <v>9.49</v>
      </c>
      <c r="J5" t="s">
        <v>53</v>
      </c>
    </row>
    <row r="6" spans="1:10" x14ac:dyDescent="0.3">
      <c r="B6" t="s">
        <v>40</v>
      </c>
      <c r="C6" s="3">
        <f>+C3/I13</f>
        <v>174.60317460317458</v>
      </c>
      <c r="D6" t="s">
        <v>1057</v>
      </c>
      <c r="H6" t="s">
        <v>55</v>
      </c>
      <c r="I6">
        <v>49.9</v>
      </c>
      <c r="J6" t="s">
        <v>49</v>
      </c>
    </row>
    <row r="7" spans="1:10" x14ac:dyDescent="0.3">
      <c r="H7" t="s">
        <v>57</v>
      </c>
      <c r="I7">
        <v>10.119999999999999</v>
      </c>
      <c r="J7" t="s">
        <v>53</v>
      </c>
    </row>
    <row r="8" spans="1:10" x14ac:dyDescent="0.3">
      <c r="H8" t="s">
        <v>1058</v>
      </c>
      <c r="I8">
        <v>1</v>
      </c>
      <c r="J8" t="s">
        <v>64</v>
      </c>
    </row>
    <row r="9" spans="1:10" x14ac:dyDescent="0.3">
      <c r="B9" t="s">
        <v>36</v>
      </c>
      <c r="C9" s="3">
        <f>+(C6*I3)/1000</f>
        <v>68.095238095238088</v>
      </c>
      <c r="D9" t="s">
        <v>1059</v>
      </c>
      <c r="H9" t="s">
        <v>1060</v>
      </c>
      <c r="I9">
        <v>2.1</v>
      </c>
      <c r="J9" t="s">
        <v>64</v>
      </c>
    </row>
    <row r="10" spans="1:10" x14ac:dyDescent="0.3">
      <c r="H10" t="s">
        <v>1061</v>
      </c>
      <c r="I10">
        <f>+I8*I9</f>
        <v>2.1</v>
      </c>
      <c r="J10" t="s">
        <v>72</v>
      </c>
    </row>
    <row r="11" spans="1:10" x14ac:dyDescent="0.3">
      <c r="H11" t="s">
        <v>1062</v>
      </c>
      <c r="I11" s="13">
        <v>0.5</v>
      </c>
      <c r="J11" t="s">
        <v>1063</v>
      </c>
    </row>
    <row r="12" spans="1:10" x14ac:dyDescent="0.3">
      <c r="H12" t="s">
        <v>1064</v>
      </c>
      <c r="I12">
        <v>0.8</v>
      </c>
      <c r="J12" t="s">
        <v>64</v>
      </c>
    </row>
    <row r="13" spans="1:10" x14ac:dyDescent="0.3">
      <c r="H13" t="s">
        <v>1065</v>
      </c>
      <c r="I13">
        <f>+I10*(1+I11)</f>
        <v>3.1500000000000004</v>
      </c>
      <c r="J13" t="s">
        <v>72</v>
      </c>
    </row>
    <row r="14" spans="1:10" x14ac:dyDescent="0.3">
      <c r="B14" t="s">
        <v>735</v>
      </c>
      <c r="C14" t="s">
        <v>50</v>
      </c>
      <c r="D14" t="s">
        <v>1066</v>
      </c>
      <c r="E14" t="s">
        <v>1067</v>
      </c>
      <c r="F14" t="s">
        <v>1068</v>
      </c>
    </row>
    <row r="15" spans="1:10" x14ac:dyDescent="0.3">
      <c r="B15" t="s">
        <v>114</v>
      </c>
      <c r="C15">
        <v>4.45</v>
      </c>
      <c r="D15" s="3">
        <f>+$C$9*C15*$C$5</f>
        <v>257.5702380952381</v>
      </c>
      <c r="E15">
        <v>31</v>
      </c>
      <c r="F15" s="10">
        <f>+D15*E15</f>
        <v>7984.6773809523811</v>
      </c>
    </row>
    <row r="16" spans="1:10" x14ac:dyDescent="0.3">
      <c r="B16" t="s">
        <v>115</v>
      </c>
      <c r="C16">
        <v>4.3899999999999997</v>
      </c>
      <c r="D16" s="3">
        <f t="shared" ref="D16:D26" si="0">+$C$9*C16*$C$5</f>
        <v>254.09738095238089</v>
      </c>
      <c r="E16">
        <v>28</v>
      </c>
      <c r="F16" s="10">
        <f t="shared" ref="F16:F26" si="1">+D16*E16</f>
        <v>7114.7266666666646</v>
      </c>
    </row>
    <row r="17" spans="2:6" x14ac:dyDescent="0.3">
      <c r="B17" t="s">
        <v>116</v>
      </c>
      <c r="C17">
        <v>4.3</v>
      </c>
      <c r="D17" s="3">
        <f t="shared" si="0"/>
        <v>248.88809523809516</v>
      </c>
      <c r="E17">
        <v>31</v>
      </c>
      <c r="F17" s="10">
        <f t="shared" si="1"/>
        <v>7715.5309523809501</v>
      </c>
    </row>
    <row r="18" spans="2:6" x14ac:dyDescent="0.3">
      <c r="B18" t="s">
        <v>117</v>
      </c>
      <c r="C18">
        <v>3.78</v>
      </c>
      <c r="D18" s="3">
        <f t="shared" si="0"/>
        <v>218.78999999999996</v>
      </c>
      <c r="E18">
        <v>30</v>
      </c>
      <c r="F18" s="10">
        <f t="shared" si="1"/>
        <v>6563.6999999999989</v>
      </c>
    </row>
    <row r="19" spans="2:6" x14ac:dyDescent="0.3">
      <c r="B19" t="s">
        <v>118</v>
      </c>
      <c r="C19">
        <v>4.2300000000000004</v>
      </c>
      <c r="D19" s="3">
        <f t="shared" si="0"/>
        <v>244.83642857142857</v>
      </c>
      <c r="E19">
        <v>31</v>
      </c>
      <c r="F19" s="10">
        <f t="shared" si="1"/>
        <v>7589.9292857142855</v>
      </c>
    </row>
    <row r="20" spans="2:6" x14ac:dyDescent="0.3">
      <c r="B20" t="s">
        <v>119</v>
      </c>
      <c r="C20">
        <v>4.01</v>
      </c>
      <c r="D20" s="3">
        <f t="shared" si="0"/>
        <v>232.10261904761899</v>
      </c>
      <c r="E20">
        <v>30</v>
      </c>
      <c r="F20" s="10">
        <f t="shared" si="1"/>
        <v>6963.0785714285694</v>
      </c>
    </row>
    <row r="21" spans="2:6" x14ac:dyDescent="0.3">
      <c r="B21" t="s">
        <v>120</v>
      </c>
      <c r="C21">
        <v>4.1900000000000004</v>
      </c>
      <c r="D21" s="3">
        <f t="shared" si="0"/>
        <v>242.5211904761905</v>
      </c>
      <c r="E21">
        <v>31</v>
      </c>
      <c r="F21" s="10">
        <f t="shared" si="1"/>
        <v>7518.156904761905</v>
      </c>
    </row>
    <row r="22" spans="2:6" x14ac:dyDescent="0.3">
      <c r="B22" t="s">
        <v>121</v>
      </c>
      <c r="C22">
        <v>4.6500000000000004</v>
      </c>
      <c r="D22" s="3">
        <f t="shared" si="0"/>
        <v>269.14642857142854</v>
      </c>
      <c r="E22">
        <v>31</v>
      </c>
      <c r="F22" s="10">
        <f t="shared" si="1"/>
        <v>8343.5392857142851</v>
      </c>
    </row>
    <row r="23" spans="2:6" x14ac:dyDescent="0.3">
      <c r="B23" t="s">
        <v>122</v>
      </c>
      <c r="C23">
        <v>4.6399999999999997</v>
      </c>
      <c r="D23" s="3">
        <f t="shared" si="0"/>
        <v>268.56761904761896</v>
      </c>
      <c r="E23">
        <v>30</v>
      </c>
      <c r="F23" s="10">
        <f t="shared" si="1"/>
        <v>8057.0285714285692</v>
      </c>
    </row>
    <row r="24" spans="2:6" x14ac:dyDescent="0.3">
      <c r="B24" t="s">
        <v>123</v>
      </c>
      <c r="C24">
        <v>4.59</v>
      </c>
      <c r="D24" s="3">
        <f t="shared" si="0"/>
        <v>265.67357142857139</v>
      </c>
      <c r="E24">
        <v>31</v>
      </c>
      <c r="F24" s="10">
        <f t="shared" si="1"/>
        <v>8235.8807142857131</v>
      </c>
    </row>
    <row r="25" spans="2:6" x14ac:dyDescent="0.3">
      <c r="B25" t="s">
        <v>124</v>
      </c>
      <c r="C25">
        <v>4.2300000000000004</v>
      </c>
      <c r="D25" s="3">
        <f t="shared" si="0"/>
        <v>244.83642857142857</v>
      </c>
      <c r="E25">
        <v>30</v>
      </c>
      <c r="F25" s="10">
        <f t="shared" si="1"/>
        <v>7345.0928571428567</v>
      </c>
    </row>
    <row r="26" spans="2:6" x14ac:dyDescent="0.3">
      <c r="B26" t="s">
        <v>125</v>
      </c>
      <c r="C26">
        <v>4.78</v>
      </c>
      <c r="D26" s="3">
        <f t="shared" si="0"/>
        <v>276.67095238095231</v>
      </c>
      <c r="E26">
        <v>31</v>
      </c>
      <c r="F26" s="10">
        <f t="shared" si="1"/>
        <v>8576.7995238095209</v>
      </c>
    </row>
    <row r="27" spans="2:6" x14ac:dyDescent="0.3">
      <c r="B27" t="s">
        <v>757</v>
      </c>
      <c r="C27" s="3">
        <f>+AVERAGE(C15:C26)</f>
        <v>4.3533333333333344</v>
      </c>
      <c r="D27" s="3">
        <f>+SUM(D15:D26)</f>
        <v>3023.700952380952</v>
      </c>
      <c r="F27" s="10">
        <f>+SUM(F15:F26)</f>
        <v>92008.140714285692</v>
      </c>
    </row>
  </sheetData>
  <mergeCells count="1">
    <mergeCell ref="H1:J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4924193D0F7A4DB4BB30800DADC48E" ma:contentTypeVersion="12" ma:contentTypeDescription="Create a new document." ma:contentTypeScope="" ma:versionID="eb855a1968e72af40c5a2f7d0ab1eeb1">
  <xsd:schema xmlns:xsd="http://www.w3.org/2001/XMLSchema" xmlns:xs="http://www.w3.org/2001/XMLSchema" xmlns:p="http://schemas.microsoft.com/office/2006/metadata/properties" xmlns:ns3="0027fc2a-1977-41f3-893e-5a28a10f9930" targetNamespace="http://schemas.microsoft.com/office/2006/metadata/properties" ma:root="true" ma:fieldsID="9d2f281c240353bc7e2e13afa4d8f7bb" ns3:_="">
    <xsd:import namespace="0027fc2a-1977-41f3-893e-5a28a10f993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27fc2a-1977-41f3-893e-5a28a10f99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27fc2a-1977-41f3-893e-5a28a10f9930" xsi:nil="true"/>
  </documentManagement>
</p:properties>
</file>

<file path=customXml/itemProps1.xml><?xml version="1.0" encoding="utf-8"?>
<ds:datastoreItem xmlns:ds="http://schemas.openxmlformats.org/officeDocument/2006/customXml" ds:itemID="{D81E4FB8-7ADD-45A4-B9F4-D62485FDF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27fc2a-1977-41f3-893e-5a28a10f9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B5171C-A629-4455-A994-19F60DF70C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866FBA-973C-4A6E-A4EB-802C9E63A437}">
  <ds:schemaRefs>
    <ds:schemaRef ds:uri="http://purl.org/dc/elements/1.1/"/>
    <ds:schemaRef ds:uri="http://purl.org/dc/terms/"/>
    <ds:schemaRef ds:uri="0027fc2a-1977-41f3-893e-5a28a10f9930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35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38</vt:i4>
      </vt:variant>
    </vt:vector>
  </HeadingPairs>
  <TitlesOfParts>
    <vt:vector size="74" baseType="lpstr">
      <vt:lpstr>Cuadro de cargas</vt:lpstr>
      <vt:lpstr>Datos2</vt:lpstr>
      <vt:lpstr>Cálculos</vt:lpstr>
      <vt:lpstr>Área</vt:lpstr>
      <vt:lpstr>SIGO GoodWe</vt:lpstr>
      <vt:lpstr>Capex GoodWe</vt:lpstr>
      <vt:lpstr>Ejecución</vt:lpstr>
      <vt:lpstr>Cronograma</vt:lpstr>
      <vt:lpstr>Instalación</vt:lpstr>
      <vt:lpstr>Prestamo 5 años</vt:lpstr>
      <vt:lpstr>Prestamo 10 años</vt:lpstr>
      <vt:lpstr>Simulacion prestamo</vt:lpstr>
      <vt:lpstr>Prestamo 15 años</vt:lpstr>
      <vt:lpstr>Comparativo</vt:lpstr>
      <vt:lpstr>Producción</vt:lpstr>
      <vt:lpstr>Liquidación</vt:lpstr>
      <vt:lpstr>Curva diaria</vt:lpstr>
      <vt:lpstr>Tarifas</vt:lpstr>
      <vt:lpstr>Capital propio</vt:lpstr>
      <vt:lpstr>Análisis cliente final CP</vt:lpstr>
      <vt:lpstr>Análisis cliente financiamiento</vt:lpstr>
      <vt:lpstr>Análisis cliente final MP</vt:lpstr>
      <vt:lpstr>Análisis cliente final LP</vt:lpstr>
      <vt:lpstr>Anál inv cap propio</vt:lpstr>
      <vt:lpstr>Anál inv CP</vt:lpstr>
      <vt:lpstr>Análisis ESP CP</vt:lpstr>
      <vt:lpstr>Análisis ESP MP</vt:lpstr>
      <vt:lpstr>Análisis ESP LP</vt:lpstr>
      <vt:lpstr>Anál arrend finan MP</vt:lpstr>
      <vt:lpstr>Anál arrend finan LP</vt:lpstr>
      <vt:lpstr>EEFF</vt:lpstr>
      <vt:lpstr>A O&amp;M</vt:lpstr>
      <vt:lpstr>Resumen</vt:lpstr>
      <vt:lpstr>Listado de materiales</vt:lpstr>
      <vt:lpstr>Basado en Area disponible</vt:lpstr>
      <vt:lpstr>Gráfico1</vt:lpstr>
      <vt:lpstr>'Prestamo 10 años'!AñosPréstamo</vt:lpstr>
      <vt:lpstr>'Prestamo 15 años'!AñosPréstamo</vt:lpstr>
      <vt:lpstr>AñosPréstamo</vt:lpstr>
      <vt:lpstr>'Prestamo 10 años'!CantidadPréstamo</vt:lpstr>
      <vt:lpstr>'Prestamo 15 años'!CantidadPréstamo</vt:lpstr>
      <vt:lpstr>CantidadPréstamo</vt:lpstr>
      <vt:lpstr>'Prestamo 10 años'!CosteTotalPréstamo</vt:lpstr>
      <vt:lpstr>'Prestamo 15 años'!CosteTotalPréstamo</vt:lpstr>
      <vt:lpstr>CosteTotalPréstamo</vt:lpstr>
      <vt:lpstr>'Prestamo 10 años'!FechaInicioPréstamo</vt:lpstr>
      <vt:lpstr>'Prestamo 15 años'!FechaInicioPréstamo</vt:lpstr>
      <vt:lpstr>FechaInicioPréstamo</vt:lpstr>
      <vt:lpstr>'Prestamo 10 años'!Intereses_Total</vt:lpstr>
      <vt:lpstr>'Prestamo 15 años'!Intereses_Total</vt:lpstr>
      <vt:lpstr>Intereses_Total</vt:lpstr>
      <vt:lpstr>'Prestamo 10 años'!NúmeroDePagos</vt:lpstr>
      <vt:lpstr>'Prestamo 15 años'!NúmeroDePagos</vt:lpstr>
      <vt:lpstr>NúmeroDePagos</vt:lpstr>
      <vt:lpstr>'Prestamo 10 años'!TasaInterés</vt:lpstr>
      <vt:lpstr>'Prestamo 15 años'!TasaInterés</vt:lpstr>
      <vt:lpstr>TasaInterés</vt:lpstr>
      <vt:lpstr>'Anál arrend finan LP'!TítuloDeColumna1</vt:lpstr>
      <vt:lpstr>'Anál arrend finan MP'!TítuloDeColumna1</vt:lpstr>
      <vt:lpstr>'Anál inv cap propio'!TítuloDeColumna1</vt:lpstr>
      <vt:lpstr>'Análisis cliente financiamiento'!TítuloDeColumna1</vt:lpstr>
      <vt:lpstr>'Capex GoodWe'!TítuloDeColumna1</vt:lpstr>
      <vt:lpstr>'Prestamo 10 años'!TítuloDeColumna1</vt:lpstr>
      <vt:lpstr>'Prestamo 15 años'!TítuloDeColumna1</vt:lpstr>
      <vt:lpstr>TítuloDeColumna1</vt:lpstr>
      <vt:lpstr>'Prestamo 10 años'!TítuloDeFilaRegión2..H6</vt:lpstr>
      <vt:lpstr>'Prestamo 15 años'!TítuloDeFilaRegión2..H6</vt:lpstr>
      <vt:lpstr>TítuloDeFilaRegión2..H6</vt:lpstr>
      <vt:lpstr>'Prestamo 10 años'!TítuloFilaRegión1..D6</vt:lpstr>
      <vt:lpstr>'Prestamo 15 años'!TítuloFilaRegión1..D6</vt:lpstr>
      <vt:lpstr>TítuloFilaRegión1..D6</vt:lpstr>
      <vt:lpstr>'Prestamo 10 años'!Títulos_a_imprimir</vt:lpstr>
      <vt:lpstr>'Prestamo 15 años'!Títulos_a_imprimir</vt:lpstr>
      <vt:lpstr>'Prestamo 5 años'!Títulos_a_imprimir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Marjorie Katherine Jimenez Guerra</dc:creator>
  <cp:keywords/>
  <dc:description/>
  <cp:lastModifiedBy>Sofia Montenegro</cp:lastModifiedBy>
  <cp:revision/>
  <dcterms:created xsi:type="dcterms:W3CDTF">2024-05-02T18:25:35Z</dcterms:created>
  <dcterms:modified xsi:type="dcterms:W3CDTF">2026-10-06T13:35:40Z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0x010100E34924193D0F7A4DB4BB30800DADC48E</vt:lpwstr>
  </property>
</Properties>
</file>